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210"/>
  </bookViews>
  <sheets>
    <sheet name="Sheet1" sheetId="1" r:id="rId1"/>
    <sheet name="Explianation" sheetId="2" r:id="rId2"/>
    <sheet name="Units convertion" sheetId="3" r:id="rId3"/>
    <sheet name="RsUnits" sheetId="4" r:id="rId4"/>
    <sheet name="SoilClassfication" sheetId="5" r:id="rId5"/>
    <sheet name="CoverCropGroup" sheetId="7" r:id="rId6"/>
    <sheet name="GrainCropGroup" sheetId="8" r:id="rId7"/>
    <sheet name="SD&amp;SE" sheetId="9" r:id="rId8"/>
    <sheet name="ReadMe" sheetId="6" r:id="rId9"/>
    <sheet name="Sheet2" sheetId="10" r:id="rId10"/>
  </sheets>
  <definedNames>
    <definedName name="_xlnm._FilterDatabase" localSheetId="0" hidden="1">Sheet1!$A$1:$IQ$2442</definedName>
  </definedNames>
  <calcPr calcId="145621"/>
  <fileRecoveryPr autoRecover="0"/>
</workbook>
</file>

<file path=xl/calcChain.xml><?xml version="1.0" encoding="utf-8"?>
<calcChain xmlns="http://schemas.openxmlformats.org/spreadsheetml/2006/main">
  <c r="AA2921" i="1" l="1"/>
  <c r="J2921" i="1"/>
  <c r="I2921" i="1"/>
  <c r="AA2920" i="1"/>
  <c r="J2920" i="1"/>
  <c r="I2920" i="1"/>
  <c r="AA2918" i="1"/>
  <c r="J2918" i="1"/>
  <c r="I2918" i="1"/>
  <c r="AA2917" i="1"/>
  <c r="J2917" i="1"/>
  <c r="I2917" i="1"/>
  <c r="AA2916" i="1"/>
  <c r="J2916" i="1"/>
  <c r="I2916" i="1"/>
  <c r="AA2919" i="1"/>
  <c r="AA2915" i="1"/>
  <c r="J2919" i="1"/>
  <c r="I2919" i="1"/>
  <c r="J2915" i="1"/>
  <c r="I2915" i="1"/>
  <c r="AA2914" i="1"/>
  <c r="AA2913" i="1"/>
  <c r="AZ2912" i="1"/>
  <c r="AZ2911" i="1"/>
  <c r="AZ2908" i="1"/>
  <c r="AZ2907" i="1"/>
  <c r="AZ2906" i="1"/>
  <c r="AZ2905" i="1"/>
  <c r="AZ2902" i="1"/>
  <c r="AZ2901" i="1"/>
  <c r="CR2912" i="1"/>
  <c r="CR2911" i="1"/>
  <c r="CR2910" i="1"/>
  <c r="CR2909" i="1"/>
  <c r="CR2908" i="1"/>
  <c r="CR2907" i="1"/>
  <c r="CQ2912" i="1"/>
  <c r="CQ2911" i="1"/>
  <c r="CQ2910" i="1"/>
  <c r="CQ2909" i="1"/>
  <c r="CQ2908" i="1"/>
  <c r="CQ2907" i="1"/>
  <c r="J2912" i="1"/>
  <c r="J2911" i="1"/>
  <c r="J2910" i="1"/>
  <c r="J2909" i="1"/>
  <c r="J2908" i="1"/>
  <c r="CR2906" i="1"/>
  <c r="CR2905" i="1"/>
  <c r="CQ2906" i="1"/>
  <c r="CQ2905" i="1"/>
  <c r="CR2904" i="1"/>
  <c r="CR2903" i="1"/>
  <c r="CQ2904" i="1"/>
  <c r="CQ2903" i="1"/>
  <c r="CR2902" i="1"/>
  <c r="CR2901" i="1"/>
  <c r="CQ2902" i="1"/>
  <c r="CQ2901" i="1"/>
  <c r="J2906" i="1"/>
  <c r="J2905" i="1"/>
  <c r="J2904" i="1"/>
  <c r="J2903" i="1"/>
  <c r="J2902" i="1"/>
  <c r="J2901" i="1"/>
  <c r="J2907" i="1"/>
  <c r="J2900" i="1"/>
  <c r="I2900" i="1"/>
  <c r="J2899" i="1"/>
  <c r="I2899" i="1"/>
  <c r="J2898" i="1"/>
  <c r="I2898" i="1"/>
  <c r="J2897" i="1"/>
  <c r="I2897" i="1"/>
  <c r="J2896" i="1"/>
  <c r="I2896" i="1"/>
  <c r="J2895" i="1"/>
  <c r="I2895" i="1"/>
  <c r="BZ2883" i="1"/>
  <c r="BZ2884" i="1"/>
  <c r="BZ2885" i="1"/>
  <c r="BY2884" i="1"/>
  <c r="BY2885" i="1"/>
  <c r="BY2883" i="1"/>
  <c r="BZ2880" i="1"/>
  <c r="BZ2881" i="1"/>
  <c r="BZ2882" i="1"/>
  <c r="BY2881" i="1"/>
  <c r="BY2882" i="1"/>
  <c r="BY2880" i="1"/>
  <c r="BZ2877" i="1"/>
  <c r="BZ2878" i="1"/>
  <c r="BZ2879" i="1"/>
  <c r="BY2878" i="1"/>
  <c r="BY2879" i="1"/>
  <c r="BY2877" i="1"/>
  <c r="BZ2892" i="1"/>
  <c r="BZ2893" i="1"/>
  <c r="BZ2894" i="1"/>
  <c r="BY2893" i="1"/>
  <c r="BY2894" i="1"/>
  <c r="BY2892" i="1"/>
  <c r="BZ2889" i="1"/>
  <c r="BZ2890" i="1"/>
  <c r="BZ2891" i="1"/>
  <c r="BY2890" i="1"/>
  <c r="BY2891" i="1"/>
  <c r="BY2889" i="1"/>
  <c r="BZ2886" i="1"/>
  <c r="BZ2887" i="1"/>
  <c r="BZ2888" i="1"/>
  <c r="BY2887" i="1"/>
  <c r="BY2888" i="1"/>
  <c r="BY2886" i="1"/>
  <c r="BJ2877" i="1"/>
  <c r="BJ2878" i="1"/>
  <c r="BJ2879" i="1"/>
  <c r="BJ2883" i="1"/>
  <c r="BJ2884" i="1"/>
  <c r="BJ2885" i="1"/>
  <c r="BK2878" i="1"/>
  <c r="BK2879" i="1"/>
  <c r="BK2884" i="1"/>
  <c r="BK2885" i="1"/>
  <c r="BK2883" i="1"/>
  <c r="BK2877" i="1"/>
  <c r="BJ2892" i="1"/>
  <c r="BJ2893" i="1"/>
  <c r="BJ2894" i="1"/>
  <c r="BK2893" i="1"/>
  <c r="BK2894" i="1"/>
  <c r="BK2892" i="1"/>
  <c r="J2894" i="1"/>
  <c r="I2894" i="1"/>
  <c r="J2893" i="1"/>
  <c r="I2893" i="1"/>
  <c r="J2892" i="1"/>
  <c r="I2892" i="1"/>
  <c r="J2891" i="1"/>
  <c r="I2891" i="1"/>
  <c r="J2890" i="1"/>
  <c r="I2890" i="1"/>
  <c r="J2889" i="1"/>
  <c r="I2889" i="1"/>
  <c r="J2888" i="1"/>
  <c r="I2888" i="1"/>
  <c r="J2887" i="1"/>
  <c r="I2887" i="1"/>
  <c r="J2886" i="1"/>
  <c r="I2886" i="1"/>
  <c r="J2885" i="1"/>
  <c r="I2885" i="1"/>
  <c r="J2884" i="1"/>
  <c r="I2884" i="1"/>
  <c r="J2883" i="1"/>
  <c r="I2883" i="1"/>
  <c r="J2882" i="1"/>
  <c r="I2882" i="1"/>
  <c r="J2881" i="1"/>
  <c r="I2881" i="1"/>
  <c r="J2880" i="1"/>
  <c r="I2880" i="1"/>
  <c r="J2879" i="1"/>
  <c r="I2879" i="1"/>
  <c r="J2878" i="1"/>
  <c r="I2878" i="1"/>
  <c r="J2877" i="1"/>
  <c r="I2877" i="1"/>
  <c r="CQ2876" i="1" l="1"/>
  <c r="CQ2875" i="1"/>
  <c r="CP2875" i="1"/>
  <c r="CQ2874" i="1"/>
  <c r="CQ2873" i="1"/>
  <c r="CP2876" i="1"/>
  <c r="CP2874" i="1"/>
  <c r="CP2873" i="1"/>
  <c r="J2876" i="1"/>
  <c r="I2876" i="1"/>
  <c r="J2875" i="1"/>
  <c r="I2875" i="1"/>
  <c r="J2874" i="1"/>
  <c r="I2874" i="1"/>
  <c r="J2873" i="1"/>
  <c r="I2873" i="1"/>
  <c r="BA2871" i="1"/>
  <c r="BA2872" i="1"/>
  <c r="BA2870" i="1"/>
  <c r="BA2868" i="1"/>
  <c r="BA2869" i="1"/>
  <c r="BA2867" i="1"/>
  <c r="BA2865" i="1"/>
  <c r="BA2866" i="1"/>
  <c r="BA2864" i="1"/>
  <c r="BX2872" i="1"/>
  <c r="BX2871" i="1"/>
  <c r="BX2870" i="1"/>
  <c r="BX2869" i="1"/>
  <c r="BX2868" i="1"/>
  <c r="BX2867" i="1"/>
  <c r="BX2866" i="1"/>
  <c r="BX2865" i="1"/>
  <c r="BX2864" i="1"/>
  <c r="BW2865" i="1"/>
  <c r="BW2866" i="1"/>
  <c r="BW2867" i="1"/>
  <c r="BW2868" i="1"/>
  <c r="BW2869" i="1"/>
  <c r="BW2870" i="1"/>
  <c r="BW2871" i="1"/>
  <c r="BW2872" i="1"/>
  <c r="BW2864" i="1"/>
  <c r="J2872" i="1"/>
  <c r="J2871" i="1"/>
  <c r="J2870" i="1"/>
  <c r="J2869" i="1"/>
  <c r="J2868" i="1"/>
  <c r="J2867" i="1"/>
  <c r="J2866" i="1"/>
  <c r="J2865" i="1"/>
  <c r="AY2863" i="1"/>
  <c r="BA2863" i="1" s="1"/>
  <c r="AY2862" i="1"/>
  <c r="BA2862" i="1"/>
  <c r="AY2861" i="1"/>
  <c r="AY2860" i="1"/>
  <c r="BA2860" i="1" s="1"/>
  <c r="AY2859" i="1"/>
  <c r="AY2858" i="1"/>
  <c r="BA2858" i="1" s="1"/>
  <c r="AY2857" i="1"/>
  <c r="BA2857" i="1"/>
  <c r="AY2856" i="1"/>
  <c r="BA2856" i="1" s="1"/>
  <c r="AY2855" i="1"/>
  <c r="BA2855" i="1" s="1"/>
  <c r="BA2861" i="1"/>
  <c r="BA2859" i="1"/>
  <c r="BX2863" i="1"/>
  <c r="BX2862" i="1"/>
  <c r="BX2861" i="1"/>
  <c r="BX2860" i="1"/>
  <c r="BX2859" i="1"/>
  <c r="BX2858" i="1"/>
  <c r="BX2857" i="1"/>
  <c r="BX2856" i="1"/>
  <c r="BX2855" i="1"/>
  <c r="BW2856" i="1"/>
  <c r="BW2857" i="1"/>
  <c r="BW2858" i="1"/>
  <c r="BW2859" i="1"/>
  <c r="BW2860" i="1"/>
  <c r="BW2861" i="1"/>
  <c r="BW2862" i="1"/>
  <c r="BW2863" i="1"/>
  <c r="BW2855" i="1"/>
  <c r="J2863" i="1"/>
  <c r="J2862" i="1"/>
  <c r="J2861" i="1"/>
  <c r="J2860" i="1"/>
  <c r="J2859" i="1"/>
  <c r="J2858" i="1"/>
  <c r="J2857" i="1"/>
  <c r="J2856" i="1"/>
  <c r="J2864" i="1"/>
  <c r="J2855" i="1"/>
  <c r="J2854" i="1"/>
  <c r="I2854" i="1"/>
  <c r="J2853" i="1"/>
  <c r="I2853" i="1"/>
  <c r="J2852" i="1"/>
  <c r="I2852" i="1"/>
  <c r="J2851" i="1"/>
  <c r="I2851" i="1"/>
  <c r="J2850" i="1"/>
  <c r="I2850" i="1"/>
  <c r="J2849" i="1"/>
  <c r="I2849" i="1"/>
  <c r="J2848" i="1"/>
  <c r="I2848" i="1"/>
  <c r="J2847" i="1"/>
  <c r="I2847" i="1"/>
  <c r="J2846" i="1"/>
  <c r="I2846" i="1"/>
  <c r="J2845" i="1"/>
  <c r="I2845" i="1"/>
  <c r="J2844" i="1"/>
  <c r="I2844" i="1"/>
  <c r="J2843" i="1"/>
  <c r="I2843" i="1"/>
  <c r="J2842" i="1"/>
  <c r="I2842" i="1"/>
  <c r="J2841" i="1"/>
  <c r="I2841" i="1"/>
  <c r="J2840" i="1"/>
  <c r="I2840" i="1"/>
  <c r="J2839" i="1"/>
  <c r="I2839" i="1"/>
  <c r="J2838" i="1"/>
  <c r="I2838" i="1"/>
  <c r="J2837" i="1"/>
  <c r="I2837" i="1"/>
  <c r="J2836" i="1"/>
  <c r="I2836" i="1"/>
  <c r="J2835" i="1"/>
  <c r="I2835" i="1"/>
  <c r="J2834" i="1"/>
  <c r="I2834" i="1"/>
  <c r="J2833" i="1"/>
  <c r="I2833" i="1"/>
  <c r="J2832" i="1"/>
  <c r="I2832" i="1"/>
  <c r="J2831" i="1"/>
  <c r="I2831" i="1"/>
  <c r="J2830" i="1"/>
  <c r="I2830" i="1"/>
  <c r="J2829" i="1"/>
  <c r="I2829" i="1"/>
  <c r="J2828" i="1"/>
  <c r="I2828" i="1"/>
  <c r="J2827" i="1"/>
  <c r="I2827" i="1"/>
  <c r="J2826" i="1"/>
  <c r="I2826" i="1"/>
  <c r="J2825" i="1"/>
  <c r="I2825" i="1"/>
  <c r="J2824" i="1"/>
  <c r="I2824" i="1"/>
  <c r="J2823" i="1"/>
  <c r="I2823" i="1"/>
  <c r="J2822" i="1"/>
  <c r="I2822" i="1"/>
  <c r="J2821" i="1"/>
  <c r="I2821" i="1"/>
  <c r="J2820" i="1"/>
  <c r="I2820" i="1"/>
  <c r="J2819" i="1"/>
  <c r="I2819" i="1"/>
  <c r="J2818" i="1"/>
  <c r="I2818" i="1"/>
  <c r="J2817" i="1"/>
  <c r="I2817" i="1"/>
  <c r="J2816" i="1"/>
  <c r="I2816" i="1"/>
  <c r="J2815" i="1"/>
  <c r="I2815" i="1"/>
  <c r="J2814" i="1"/>
  <c r="I2814" i="1"/>
  <c r="J2813" i="1"/>
  <c r="I2813" i="1"/>
  <c r="J2812" i="1"/>
  <c r="I2812" i="1"/>
  <c r="J2811" i="1"/>
  <c r="I2811" i="1"/>
  <c r="J2810" i="1"/>
  <c r="I2810" i="1"/>
  <c r="J2809" i="1"/>
  <c r="I2809" i="1"/>
  <c r="J2808" i="1"/>
  <c r="I2808" i="1"/>
  <c r="J2807" i="1"/>
  <c r="I2807" i="1"/>
  <c r="J2806" i="1"/>
  <c r="I2806" i="1"/>
  <c r="J2805" i="1"/>
  <c r="I2805" i="1"/>
  <c r="J2804" i="1"/>
  <c r="I2804" i="1"/>
  <c r="J2803" i="1"/>
  <c r="I2803" i="1"/>
  <c r="J2802" i="1"/>
  <c r="I2802" i="1"/>
  <c r="J2801" i="1"/>
  <c r="I2801" i="1"/>
  <c r="J2800" i="1"/>
  <c r="I2800" i="1"/>
  <c r="J2799" i="1"/>
  <c r="I2799" i="1"/>
  <c r="J2798" i="1"/>
  <c r="I2798" i="1"/>
  <c r="J2797" i="1"/>
  <c r="I2797" i="1"/>
  <c r="J2796" i="1"/>
  <c r="I2796" i="1"/>
  <c r="J2795" i="1"/>
  <c r="I2795" i="1"/>
  <c r="J2794" i="1"/>
  <c r="I2794" i="1"/>
  <c r="J2793" i="1"/>
  <c r="I2793" i="1"/>
  <c r="J2792" i="1"/>
  <c r="I2792" i="1"/>
  <c r="J2791" i="1"/>
  <c r="I2791" i="1"/>
  <c r="J2790" i="1"/>
  <c r="I2790" i="1"/>
  <c r="J2789" i="1"/>
  <c r="I2789" i="1"/>
  <c r="J2788" i="1"/>
  <c r="I2788" i="1"/>
  <c r="J2787" i="1"/>
  <c r="I2787" i="1"/>
  <c r="J2786" i="1"/>
  <c r="I2786" i="1"/>
  <c r="J2785" i="1"/>
  <c r="I2785" i="1"/>
  <c r="J2784" i="1"/>
  <c r="I2784" i="1"/>
  <c r="J2783" i="1"/>
  <c r="I2783" i="1"/>
  <c r="FK2780" i="1"/>
  <c r="FK2779" i="1"/>
  <c r="FK2778" i="1"/>
  <c r="FK2775" i="1"/>
  <c r="FK2774" i="1"/>
  <c r="FK2773" i="1"/>
  <c r="J2782" i="1"/>
  <c r="I2782" i="1"/>
  <c r="J2781" i="1"/>
  <c r="I2781" i="1"/>
  <c r="J2780" i="1"/>
  <c r="I2780" i="1"/>
  <c r="J2779" i="1"/>
  <c r="I2779" i="1"/>
  <c r="J2778" i="1"/>
  <c r="I2778" i="1"/>
  <c r="J2777" i="1"/>
  <c r="I2777" i="1"/>
  <c r="J2776" i="1"/>
  <c r="I2776" i="1"/>
  <c r="J2775" i="1"/>
  <c r="I2775" i="1"/>
  <c r="J2774" i="1"/>
  <c r="I2774" i="1"/>
  <c r="J2773" i="1"/>
  <c r="I2773" i="1"/>
  <c r="J2772" i="1"/>
  <c r="I2772" i="1"/>
  <c r="J2771" i="1"/>
  <c r="I2771" i="1"/>
  <c r="J2770" i="1"/>
  <c r="I2770" i="1"/>
  <c r="BI2769" i="1"/>
  <c r="BH2769" i="1"/>
  <c r="J2769" i="1"/>
  <c r="I2769" i="1"/>
  <c r="GZ2719" i="1"/>
  <c r="GZ2720" i="1"/>
  <c r="GY2720" i="1"/>
  <c r="GY2719" i="1"/>
  <c r="ER2719" i="1"/>
  <c r="ER2720" i="1"/>
  <c r="EQ2720" i="1"/>
  <c r="EQ2719" i="1"/>
  <c r="EP2720" i="1"/>
  <c r="EP2719" i="1"/>
  <c r="EO2720" i="1"/>
  <c r="EO2719" i="1"/>
  <c r="GX2720" i="1"/>
  <c r="GW2720" i="1"/>
  <c r="GX2719" i="1"/>
  <c r="GW2719" i="1"/>
  <c r="O2718" i="1"/>
  <c r="J2718" i="1"/>
  <c r="I2718" i="1"/>
  <c r="O2717" i="1"/>
  <c r="J2717" i="1"/>
  <c r="I2717" i="1"/>
  <c r="O2716" i="1"/>
  <c r="J2716" i="1"/>
  <c r="I2716" i="1"/>
  <c r="O2715" i="1"/>
  <c r="J2715" i="1"/>
  <c r="I2715" i="1"/>
  <c r="O2714" i="1"/>
  <c r="J2714" i="1"/>
  <c r="I2714" i="1"/>
  <c r="O2713" i="1"/>
  <c r="J2713" i="1"/>
  <c r="I2713" i="1"/>
  <c r="O2712" i="1"/>
  <c r="J2712" i="1"/>
  <c r="I2712" i="1"/>
  <c r="O2711" i="1"/>
  <c r="J2711" i="1"/>
  <c r="I2711" i="1"/>
  <c r="O2710" i="1"/>
  <c r="J2710" i="1"/>
  <c r="I2710" i="1"/>
  <c r="O2709" i="1"/>
  <c r="J2709" i="1"/>
  <c r="I2709" i="1"/>
  <c r="O2708" i="1"/>
  <c r="J2708" i="1"/>
  <c r="I2708" i="1"/>
  <c r="O2707" i="1"/>
  <c r="J2707" i="1"/>
  <c r="I2707" i="1"/>
  <c r="O2706" i="1"/>
  <c r="J2706" i="1"/>
  <c r="I2706" i="1"/>
  <c r="O2705" i="1"/>
  <c r="J2705" i="1"/>
  <c r="I2705" i="1"/>
  <c r="O2704" i="1"/>
  <c r="J2704" i="1"/>
  <c r="I2704" i="1"/>
  <c r="O2703" i="1"/>
  <c r="J2703" i="1"/>
  <c r="I2703" i="1"/>
  <c r="O2702" i="1"/>
  <c r="J2702" i="1"/>
  <c r="I2702" i="1"/>
  <c r="O2701" i="1" l="1"/>
  <c r="J2701" i="1"/>
  <c r="I2701" i="1"/>
  <c r="EL2698" i="1" l="1"/>
  <c r="AA2676" i="1"/>
  <c r="I2676" i="1"/>
  <c r="AA2675" i="1"/>
  <c r="I2675" i="1"/>
  <c r="AA2674" i="1"/>
  <c r="I2674" i="1"/>
  <c r="AA2673" i="1"/>
  <c r="I2673" i="1"/>
  <c r="AA2672" i="1"/>
  <c r="I2672" i="1"/>
  <c r="AA2671" i="1"/>
  <c r="I2671" i="1"/>
  <c r="AA2670" i="1"/>
  <c r="I2670" i="1"/>
  <c r="AA2669" i="1"/>
  <c r="I2669" i="1"/>
  <c r="AA2668" i="1"/>
  <c r="I2668" i="1"/>
  <c r="AA2667" i="1"/>
  <c r="I2667" i="1"/>
  <c r="AA2666" i="1"/>
  <c r="I2666" i="1"/>
  <c r="AA2665" i="1"/>
  <c r="I2665" i="1"/>
  <c r="AA2664" i="1"/>
  <c r="I2664" i="1"/>
  <c r="AA2663" i="1"/>
  <c r="I2663" i="1"/>
  <c r="AA2662" i="1"/>
  <c r="I2662" i="1"/>
  <c r="AA2661" i="1"/>
  <c r="I2661" i="1"/>
  <c r="AZ2625" i="1"/>
  <c r="AZ2624" i="1"/>
  <c r="AZ2623" i="1"/>
  <c r="AZ2622" i="1"/>
  <c r="AZ2621" i="1"/>
  <c r="AZ2620" i="1"/>
  <c r="AZ2611" i="1"/>
  <c r="AZ2610" i="1"/>
  <c r="AZ2609" i="1"/>
  <c r="AZ2608" i="1"/>
  <c r="AZ2607" i="1"/>
  <c r="AZ2606" i="1"/>
  <c r="DQ2605" i="1"/>
  <c r="DQ2606" i="1"/>
  <c r="DQ2607" i="1"/>
  <c r="DQ2608" i="1"/>
  <c r="DQ2609" i="1"/>
  <c r="DQ2610" i="1"/>
  <c r="DQ2611" i="1"/>
  <c r="DP2606" i="1"/>
  <c r="DP2607" i="1"/>
  <c r="DP2608" i="1"/>
  <c r="DP2609" i="1"/>
  <c r="DP2610" i="1"/>
  <c r="DP2611" i="1"/>
  <c r="DP2605" i="1"/>
  <c r="AA2660" i="1"/>
  <c r="I2660" i="1"/>
  <c r="AA2659" i="1"/>
  <c r="I2659" i="1"/>
  <c r="AA2658" i="1"/>
  <c r="I2658" i="1"/>
  <c r="AA2657" i="1"/>
  <c r="I2657" i="1"/>
  <c r="AA2656" i="1"/>
  <c r="I2656" i="1"/>
  <c r="AA2655" i="1"/>
  <c r="I2655" i="1"/>
  <c r="AA2654" i="1"/>
  <c r="I2654" i="1"/>
  <c r="AA2653" i="1"/>
  <c r="I2653" i="1"/>
  <c r="AA2652" i="1"/>
  <c r="I2652" i="1"/>
  <c r="AA2651" i="1"/>
  <c r="I2651" i="1"/>
  <c r="AA2650" i="1"/>
  <c r="I2650" i="1"/>
  <c r="AA2649" i="1"/>
  <c r="I2649" i="1"/>
  <c r="AA2648" i="1"/>
  <c r="I2648" i="1"/>
  <c r="AA2647" i="1"/>
  <c r="I2647" i="1"/>
  <c r="AA2646" i="1"/>
  <c r="I2646" i="1"/>
  <c r="AA2645" i="1"/>
  <c r="I2645" i="1"/>
  <c r="AA2644" i="1"/>
  <c r="I2644" i="1"/>
  <c r="AA2643" i="1"/>
  <c r="I2643" i="1"/>
  <c r="AA2642" i="1"/>
  <c r="I2642" i="1"/>
  <c r="AA2641" i="1"/>
  <c r="I2641" i="1"/>
  <c r="AA2640" i="1"/>
  <c r="I2640" i="1"/>
  <c r="AA2639" i="1"/>
  <c r="I2639" i="1"/>
  <c r="AA2638" i="1"/>
  <c r="I2638" i="1"/>
  <c r="AA2637" i="1"/>
  <c r="I2637" i="1"/>
  <c r="AA2636" i="1"/>
  <c r="I2636" i="1"/>
  <c r="AA2635" i="1"/>
  <c r="I2635" i="1"/>
  <c r="AA2634" i="1"/>
  <c r="I2634" i="1"/>
  <c r="AA2633" i="1"/>
  <c r="I2633" i="1"/>
  <c r="AA2632" i="1"/>
  <c r="I2632" i="1"/>
  <c r="AA2631" i="1"/>
  <c r="I2631" i="1"/>
  <c r="AA2630" i="1"/>
  <c r="I2630" i="1"/>
  <c r="AA2629" i="1"/>
  <c r="I2629" i="1"/>
  <c r="AA2628" i="1"/>
  <c r="I2628" i="1"/>
  <c r="AA2627" i="1"/>
  <c r="I2627" i="1"/>
  <c r="AA2626" i="1"/>
  <c r="I2626" i="1"/>
  <c r="AA2618" i="1"/>
  <c r="I2618" i="1"/>
  <c r="AA2617" i="1"/>
  <c r="I2617" i="1"/>
  <c r="AA2616" i="1"/>
  <c r="I2616" i="1"/>
  <c r="AA2615" i="1"/>
  <c r="I2615" i="1"/>
  <c r="AA2614" i="1"/>
  <c r="I2614" i="1"/>
  <c r="AA2613" i="1"/>
  <c r="I2613" i="1"/>
  <c r="AA2612" i="1"/>
  <c r="I2612" i="1"/>
  <c r="AA2625" i="1"/>
  <c r="I2625" i="1"/>
  <c r="AA2624" i="1"/>
  <c r="I2624" i="1"/>
  <c r="AA2623" i="1"/>
  <c r="I2623" i="1"/>
  <c r="AA2622" i="1"/>
  <c r="I2622" i="1"/>
  <c r="AA2621" i="1"/>
  <c r="I2621" i="1"/>
  <c r="AA2620" i="1"/>
  <c r="I2620" i="1"/>
  <c r="AA2619" i="1"/>
  <c r="I2619" i="1"/>
  <c r="AA2611" i="1"/>
  <c r="I2611" i="1"/>
  <c r="AA2610" i="1"/>
  <c r="I2610" i="1"/>
  <c r="AA2609" i="1"/>
  <c r="I2609" i="1"/>
  <c r="AA2608" i="1"/>
  <c r="I2608" i="1"/>
  <c r="AA2607" i="1"/>
  <c r="I2607" i="1"/>
  <c r="AA2606" i="1"/>
  <c r="I2606" i="1"/>
  <c r="AA2605" i="1"/>
  <c r="I2605" i="1"/>
  <c r="AZ2603" i="1"/>
  <c r="AZ2602" i="1"/>
  <c r="AZ2601" i="1"/>
  <c r="AZ2599" i="1"/>
  <c r="AZ2598" i="1"/>
  <c r="AZ2597" i="1"/>
  <c r="M2604" i="1"/>
  <c r="J2604" i="1"/>
  <c r="I2604" i="1"/>
  <c r="M2603" i="1"/>
  <c r="J2603" i="1"/>
  <c r="I2603" i="1"/>
  <c r="M2602" i="1"/>
  <c r="J2602" i="1"/>
  <c r="I2602" i="1"/>
  <c r="M2601" i="1"/>
  <c r="J2601" i="1"/>
  <c r="I2601" i="1"/>
  <c r="M2600" i="1"/>
  <c r="J2600" i="1"/>
  <c r="I2600" i="1"/>
  <c r="M2599" i="1"/>
  <c r="J2599" i="1"/>
  <c r="I2599" i="1"/>
  <c r="M2598" i="1"/>
  <c r="J2598" i="1"/>
  <c r="I2598" i="1"/>
  <c r="AA2596" i="1"/>
  <c r="M2597" i="1"/>
  <c r="J2597" i="1"/>
  <c r="I2597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J2584" i="1"/>
  <c r="I2584" i="1"/>
  <c r="AA2583" i="1"/>
  <c r="J2583" i="1"/>
  <c r="I2583" i="1"/>
  <c r="AA2582" i="1"/>
  <c r="J2582" i="1"/>
  <c r="I2582" i="1"/>
  <c r="AA2581" i="1"/>
  <c r="J2581" i="1"/>
  <c r="I2581" i="1"/>
  <c r="AA2580" i="1"/>
  <c r="J2580" i="1"/>
  <c r="I2580" i="1"/>
  <c r="AA2579" i="1"/>
  <c r="J2579" i="1"/>
  <c r="I2579" i="1"/>
  <c r="AA2578" i="1"/>
  <c r="J2578" i="1"/>
  <c r="I2578" i="1"/>
  <c r="AA2577" i="1"/>
  <c r="J2577" i="1"/>
  <c r="I2577" i="1"/>
  <c r="AA2576" i="1"/>
  <c r="J2576" i="1"/>
  <c r="I2576" i="1"/>
  <c r="AA2575" i="1"/>
  <c r="J2575" i="1"/>
  <c r="I2575" i="1"/>
  <c r="AA2574" i="1"/>
  <c r="J2574" i="1"/>
  <c r="I2574" i="1"/>
  <c r="AA2573" i="1"/>
  <c r="J2573" i="1"/>
  <c r="I2573" i="1"/>
  <c r="BW2558" i="1"/>
  <c r="BW2559" i="1"/>
  <c r="BW2560" i="1"/>
  <c r="BW2557" i="1"/>
  <c r="AA2572" i="1"/>
  <c r="J2572" i="1"/>
  <c r="I2572" i="1"/>
  <c r="AA2571" i="1"/>
  <c r="J2571" i="1"/>
  <c r="I2571" i="1"/>
  <c r="AA2570" i="1"/>
  <c r="J2570" i="1"/>
  <c r="I2570" i="1"/>
  <c r="AA2569" i="1"/>
  <c r="J2569" i="1"/>
  <c r="I2569" i="1"/>
  <c r="AA2564" i="1"/>
  <c r="J2564" i="1"/>
  <c r="I2564" i="1"/>
  <c r="AA2563" i="1"/>
  <c r="J2563" i="1"/>
  <c r="I2563" i="1"/>
  <c r="AA2562" i="1"/>
  <c r="J2562" i="1"/>
  <c r="I2562" i="1"/>
  <c r="AA2561" i="1"/>
  <c r="J2561" i="1"/>
  <c r="I2561" i="1"/>
  <c r="AA2568" i="1"/>
  <c r="J2568" i="1"/>
  <c r="I2568" i="1"/>
  <c r="AA2567" i="1"/>
  <c r="J2567" i="1"/>
  <c r="I2567" i="1"/>
  <c r="AA2566" i="1"/>
  <c r="J2566" i="1"/>
  <c r="I2566" i="1"/>
  <c r="AA2560" i="1"/>
  <c r="J2560" i="1"/>
  <c r="I2560" i="1"/>
  <c r="AA2559" i="1"/>
  <c r="J2559" i="1"/>
  <c r="I2559" i="1"/>
  <c r="AA2558" i="1"/>
  <c r="J2558" i="1"/>
  <c r="I2558" i="1"/>
  <c r="AA2565" i="1"/>
  <c r="AA2557" i="1"/>
  <c r="J2565" i="1"/>
  <c r="I2565" i="1"/>
  <c r="J2557" i="1"/>
  <c r="I2557" i="1"/>
  <c r="AY2556" i="1"/>
  <c r="AY2555" i="1"/>
  <c r="AY2554" i="1"/>
  <c r="AY2553" i="1"/>
  <c r="I2556" i="1"/>
  <c r="I2554" i="1"/>
  <c r="BH2553" i="1"/>
  <c r="I2555" i="1"/>
  <c r="I2553" i="1"/>
  <c r="CR2525" i="1"/>
  <c r="CR2524" i="1"/>
  <c r="CR2523" i="1"/>
  <c r="CR2521" i="1"/>
  <c r="CR2520" i="1"/>
  <c r="CR2518" i="1"/>
  <c r="CR2519" i="1"/>
  <c r="CR2522" i="1"/>
  <c r="CR2517" i="1"/>
  <c r="CQ2525" i="1"/>
  <c r="CQ2524" i="1"/>
  <c r="CQ2523" i="1"/>
  <c r="CQ2522" i="1"/>
  <c r="CQ2521" i="1"/>
  <c r="CQ2520" i="1"/>
  <c r="CQ2519" i="1"/>
  <c r="CQ2518" i="1"/>
  <c r="CQ2517" i="1"/>
  <c r="BR2467" i="1"/>
  <c r="BR2466" i="1"/>
  <c r="AY2478" i="1"/>
  <c r="AY2477" i="1"/>
  <c r="AY2476" i="1"/>
  <c r="AY2475" i="1"/>
  <c r="AY2474" i="1"/>
  <c r="AZ2474" i="1" s="1"/>
  <c r="AY2473" i="1"/>
  <c r="AZ2473" i="1" s="1"/>
  <c r="AY2472" i="1"/>
  <c r="AY2471" i="1"/>
  <c r="AY2470" i="1"/>
  <c r="AY2469" i="1"/>
  <c r="J2516" i="1"/>
  <c r="I2516" i="1"/>
  <c r="J2515" i="1"/>
  <c r="I2515" i="1"/>
  <c r="J2514" i="1"/>
  <c r="I2514" i="1"/>
  <c r="J2513" i="1"/>
  <c r="I2513" i="1"/>
  <c r="J2512" i="1"/>
  <c r="I2512" i="1"/>
  <c r="J2511" i="1"/>
  <c r="I2511" i="1"/>
  <c r="J2510" i="1"/>
  <c r="I2510" i="1"/>
  <c r="J2509" i="1"/>
  <c r="I2509" i="1"/>
  <c r="J2508" i="1"/>
  <c r="I2508" i="1"/>
  <c r="J2507" i="1"/>
  <c r="I2507" i="1"/>
  <c r="J2506" i="1"/>
  <c r="I2506" i="1"/>
  <c r="J2505" i="1"/>
  <c r="I2505" i="1"/>
  <c r="J2504" i="1"/>
  <c r="I2504" i="1"/>
  <c r="J2503" i="1"/>
  <c r="I2503" i="1"/>
  <c r="J2502" i="1"/>
  <c r="I2502" i="1"/>
  <c r="J2501" i="1"/>
  <c r="I2501" i="1"/>
  <c r="J2500" i="1"/>
  <c r="I2500" i="1"/>
  <c r="J2499" i="1"/>
  <c r="I2499" i="1"/>
  <c r="J2498" i="1"/>
  <c r="I2498" i="1"/>
  <c r="J2497" i="1"/>
  <c r="I2497" i="1"/>
  <c r="J2496" i="1"/>
  <c r="I2496" i="1"/>
  <c r="J2495" i="1"/>
  <c r="I2495" i="1"/>
  <c r="J2494" i="1"/>
  <c r="I2494" i="1"/>
  <c r="J2493" i="1"/>
  <c r="I2493" i="1"/>
  <c r="J2492" i="1"/>
  <c r="I2492" i="1"/>
  <c r="J2491" i="1"/>
  <c r="I2491" i="1"/>
  <c r="J2490" i="1"/>
  <c r="I2490" i="1"/>
  <c r="J2489" i="1"/>
  <c r="I2489" i="1"/>
  <c r="J2488" i="1"/>
  <c r="I2488" i="1"/>
  <c r="J2487" i="1"/>
  <c r="I2487" i="1"/>
  <c r="J2486" i="1"/>
  <c r="I2486" i="1"/>
  <c r="J2485" i="1"/>
  <c r="I2485" i="1"/>
  <c r="J2484" i="1"/>
  <c r="I2484" i="1"/>
  <c r="J2483" i="1"/>
  <c r="I2483" i="1"/>
  <c r="J2482" i="1"/>
  <c r="I2482" i="1"/>
  <c r="J2481" i="1"/>
  <c r="I2481" i="1"/>
  <c r="J2480" i="1"/>
  <c r="I2480" i="1"/>
  <c r="J2479" i="1"/>
  <c r="I2479" i="1"/>
  <c r="J2478" i="1"/>
  <c r="I2478" i="1"/>
  <c r="J2477" i="1"/>
  <c r="I2477" i="1"/>
  <c r="J2476" i="1"/>
  <c r="I2476" i="1"/>
  <c r="J2475" i="1"/>
  <c r="I2475" i="1"/>
  <c r="J2474" i="1"/>
  <c r="I2474" i="1"/>
  <c r="J2473" i="1"/>
  <c r="I2473" i="1"/>
  <c r="J2472" i="1"/>
  <c r="I2472" i="1"/>
  <c r="J2471" i="1"/>
  <c r="I2471" i="1"/>
  <c r="J2470" i="1"/>
  <c r="I2470" i="1"/>
  <c r="J2469" i="1"/>
  <c r="I2469" i="1"/>
  <c r="CR2468" i="1"/>
  <c r="CR2467" i="1"/>
  <c r="CR2466" i="1"/>
  <c r="CQ2468" i="1"/>
  <c r="CQ2467" i="1"/>
  <c r="CQ2466" i="1"/>
  <c r="J2468" i="1"/>
  <c r="I2468" i="1"/>
  <c r="J2467" i="1"/>
  <c r="I2467" i="1"/>
  <c r="J2466" i="1"/>
  <c r="I2466" i="1"/>
  <c r="J2465" i="1"/>
  <c r="I2465" i="1"/>
  <c r="J2464" i="1"/>
  <c r="I2464" i="1"/>
  <c r="J2463" i="1"/>
  <c r="I2463" i="1"/>
  <c r="J2462" i="1"/>
  <c r="I2462" i="1"/>
  <c r="J2461" i="1"/>
  <c r="I2461" i="1"/>
  <c r="J2460" i="1"/>
  <c r="I2460" i="1"/>
  <c r="J2459" i="1"/>
  <c r="I2459" i="1"/>
  <c r="J2458" i="1"/>
  <c r="I2458" i="1"/>
  <c r="BW2447" i="1" l="1"/>
  <c r="BW2448" i="1"/>
  <c r="BW2446" i="1"/>
  <c r="J2457" i="1"/>
  <c r="I2457" i="1"/>
  <c r="J2456" i="1"/>
  <c r="I2456" i="1"/>
  <c r="J2455" i="1"/>
  <c r="I2455" i="1"/>
  <c r="J2454" i="1"/>
  <c r="I2454" i="1"/>
  <c r="J2453" i="1"/>
  <c r="I2453" i="1"/>
  <c r="J2451" i="1"/>
  <c r="I2451" i="1"/>
  <c r="J2450" i="1"/>
  <c r="I2450" i="1"/>
  <c r="J2449" i="1"/>
  <c r="I2449" i="1"/>
  <c r="J2448" i="1"/>
  <c r="I2448" i="1"/>
  <c r="J2447" i="1"/>
  <c r="I2447" i="1"/>
  <c r="J2452" i="1"/>
  <c r="I2452" i="1"/>
  <c r="J2446" i="1"/>
  <c r="I2446" i="1"/>
  <c r="FE2445" i="1"/>
  <c r="FE2444" i="1"/>
  <c r="FE2443" i="1"/>
  <c r="FD2444" i="1"/>
  <c r="FD2445" i="1"/>
  <c r="FD2443" i="1"/>
  <c r="BH2443" i="1"/>
  <c r="AU2445" i="1"/>
  <c r="AU2444" i="1"/>
  <c r="AU2443" i="1"/>
  <c r="AA2442" i="1" l="1"/>
  <c r="AA2441" i="1"/>
  <c r="J2442" i="1"/>
  <c r="I2442" i="1"/>
  <c r="J2440" i="1"/>
  <c r="I2440" i="1"/>
  <c r="J2441" i="1"/>
  <c r="I2441" i="1"/>
  <c r="J2439" i="1"/>
  <c r="I2439" i="1"/>
  <c r="AV2438" i="1"/>
  <c r="J2438" i="1"/>
  <c r="I2438" i="1"/>
  <c r="AV2437" i="1"/>
  <c r="J2437" i="1"/>
  <c r="I2437" i="1"/>
  <c r="AV2436" i="1"/>
  <c r="J2436" i="1"/>
  <c r="I2436" i="1"/>
  <c r="AV2435" i="1"/>
  <c r="J2435" i="1"/>
  <c r="I2435" i="1"/>
  <c r="AV2434" i="1"/>
  <c r="J2434" i="1"/>
  <c r="I2434" i="1"/>
  <c r="AV2433" i="1"/>
  <c r="J2433" i="1"/>
  <c r="I2433" i="1"/>
  <c r="IB2432" i="1"/>
  <c r="IA2432" i="1"/>
  <c r="AV2432" i="1"/>
  <c r="J2432" i="1"/>
  <c r="I2432" i="1"/>
  <c r="IB2431" i="1"/>
  <c r="IA2431" i="1"/>
  <c r="AV2431" i="1"/>
  <c r="J2431" i="1"/>
  <c r="I2431" i="1"/>
  <c r="CC2429" i="1"/>
  <c r="CH2430" i="1"/>
  <c r="CH2429" i="1"/>
  <c r="CG2430" i="1"/>
  <c r="CG2429" i="1"/>
  <c r="IB2430" i="1"/>
  <c r="IB2429" i="1"/>
  <c r="IA2430" i="1"/>
  <c r="IA2429" i="1"/>
  <c r="BX2430" i="1"/>
  <c r="BX2429" i="1"/>
  <c r="BW2430" i="1"/>
  <c r="BW2429" i="1"/>
  <c r="AV2430" i="1"/>
  <c r="J2430" i="1"/>
  <c r="I2430" i="1"/>
  <c r="BR2429" i="1"/>
  <c r="BS2429" i="1"/>
  <c r="AV2429" i="1"/>
  <c r="J2429" i="1"/>
  <c r="I2429" i="1"/>
  <c r="DI2428" i="1"/>
  <c r="DH2428" i="1"/>
  <c r="DI2427" i="1"/>
  <c r="DH2427" i="1"/>
  <c r="DI2426" i="1"/>
  <c r="DH2426" i="1"/>
  <c r="AV2428" i="1" l="1"/>
  <c r="J2428" i="1"/>
  <c r="I2428" i="1"/>
  <c r="AV2427" i="1"/>
  <c r="J2427" i="1"/>
  <c r="I2427" i="1"/>
  <c r="AV2426" i="1"/>
  <c r="J2426" i="1"/>
  <c r="I2426" i="1"/>
  <c r="BP2268" i="1" l="1"/>
  <c r="BP2267" i="1"/>
  <c r="BP2266" i="1"/>
  <c r="BP2265" i="1"/>
  <c r="BP2264" i="1"/>
  <c r="BP2263" i="1"/>
  <c r="BP2262" i="1"/>
  <c r="BP2261" i="1"/>
  <c r="BP2260" i="1"/>
  <c r="BP2259" i="1"/>
  <c r="BP2258" i="1"/>
  <c r="BP2257" i="1"/>
  <c r="BP2256" i="1"/>
  <c r="BP2255" i="1"/>
  <c r="BP2254" i="1"/>
  <c r="BP2253" i="1"/>
  <c r="BO2261" i="1"/>
  <c r="BO2262" i="1"/>
  <c r="BO2263" i="1"/>
  <c r="BO2264" i="1"/>
  <c r="BO2265" i="1"/>
  <c r="BO2266" i="1"/>
  <c r="BO2267" i="1"/>
  <c r="BO2268" i="1"/>
  <c r="BO2254" i="1"/>
  <c r="BO2255" i="1"/>
  <c r="BO2256" i="1"/>
  <c r="BO2257" i="1"/>
  <c r="BO2258" i="1"/>
  <c r="BO2259" i="1"/>
  <c r="BO2260" i="1"/>
  <c r="BO2253" i="1"/>
  <c r="CR2252" i="1"/>
  <c r="CR2251" i="1"/>
  <c r="CQ2252" i="1"/>
  <c r="CQ2251" i="1"/>
  <c r="I2234" i="1"/>
  <c r="J2234" i="1"/>
  <c r="I2235" i="1"/>
  <c r="J2235" i="1"/>
  <c r="I2236" i="1"/>
  <c r="J2236" i="1"/>
  <c r="I2237" i="1"/>
  <c r="J2237" i="1"/>
  <c r="J2233" i="1"/>
  <c r="I2233" i="1"/>
  <c r="BD2212" i="1"/>
  <c r="BD2211" i="1"/>
  <c r="BD2210" i="1"/>
  <c r="BC2212" i="1"/>
  <c r="BC2211" i="1"/>
  <c r="BC2210" i="1"/>
  <c r="AX2212" i="1"/>
  <c r="AX2211" i="1"/>
  <c r="AX2210" i="1"/>
  <c r="BN2224" i="1"/>
  <c r="BN2223" i="1"/>
  <c r="BN2222" i="1"/>
  <c r="BN2221" i="1"/>
  <c r="BN2220" i="1"/>
  <c r="BN2219" i="1"/>
  <c r="BN2218" i="1"/>
  <c r="BN2217" i="1"/>
  <c r="BN2216" i="1"/>
  <c r="BM2217" i="1"/>
  <c r="BM2218" i="1"/>
  <c r="BM2219" i="1"/>
  <c r="BM2220" i="1"/>
  <c r="BM2221" i="1"/>
  <c r="BM2222" i="1"/>
  <c r="BM2223" i="1"/>
  <c r="BM2224" i="1"/>
  <c r="BM2216" i="1"/>
  <c r="BH2199" i="1"/>
  <c r="BH2200" i="1"/>
  <c r="BH2201" i="1"/>
  <c r="BH2202" i="1"/>
  <c r="BH2203" i="1"/>
  <c r="BH2204" i="1"/>
  <c r="BU2131" i="1"/>
  <c r="BU2130" i="1"/>
  <c r="BU2129" i="1"/>
  <c r="BU2128" i="1"/>
  <c r="BU2127" i="1"/>
  <c r="BT2131" i="1"/>
  <c r="BT2130" i="1"/>
  <c r="BT2129" i="1"/>
  <c r="BT2128" i="1"/>
  <c r="BT2127" i="1"/>
  <c r="BS2131" i="1"/>
  <c r="BS2130" i="1"/>
  <c r="BS2129" i="1"/>
  <c r="BS2128" i="1"/>
  <c r="BS2127" i="1"/>
  <c r="BR2128" i="1"/>
  <c r="BR2129" i="1"/>
  <c r="BR2130" i="1"/>
  <c r="BR2131" i="1"/>
  <c r="BR2127" i="1"/>
  <c r="BI2198" i="1" l="1"/>
  <c r="BI2197" i="1"/>
  <c r="BI2196" i="1"/>
  <c r="BI2195" i="1"/>
  <c r="BI2194" i="1"/>
  <c r="BI2193" i="1"/>
  <c r="BI2192" i="1"/>
  <c r="BI2191" i="1"/>
  <c r="BI2190" i="1"/>
  <c r="BI2189" i="1"/>
  <c r="BI2188" i="1"/>
  <c r="BI2187" i="1"/>
  <c r="BI2186" i="1"/>
  <c r="BI2185" i="1"/>
  <c r="BH2185" i="1"/>
  <c r="BH2198" i="1"/>
  <c r="BH2197" i="1"/>
  <c r="BH2196" i="1"/>
  <c r="BH2195" i="1"/>
  <c r="BH2194" i="1"/>
  <c r="BH2193" i="1"/>
  <c r="BH2192" i="1"/>
  <c r="BH2191" i="1"/>
  <c r="BH2190" i="1"/>
  <c r="BH2189" i="1"/>
  <c r="BH2188" i="1"/>
  <c r="BH2187" i="1"/>
  <c r="BH2186" i="1"/>
  <c r="BH2184" i="1"/>
  <c r="BI2184" i="1"/>
  <c r="BI2183" i="1"/>
  <c r="BI2182" i="1"/>
  <c r="BI2181" i="1"/>
  <c r="BH2183" i="1"/>
  <c r="BH2182" i="1"/>
  <c r="BH2181" i="1"/>
  <c r="BI2180" i="1"/>
  <c r="BI2179" i="1"/>
  <c r="BH2180" i="1"/>
  <c r="BH2179" i="1"/>
  <c r="J2198" i="1"/>
  <c r="J2197" i="1"/>
  <c r="J2196" i="1"/>
  <c r="J2195" i="1"/>
  <c r="J2194" i="1"/>
  <c r="J2193" i="1"/>
  <c r="J2192" i="1"/>
  <c r="I2192" i="1"/>
  <c r="J2191" i="1"/>
  <c r="I2191" i="1"/>
  <c r="J2190" i="1"/>
  <c r="I2190" i="1"/>
  <c r="J2189" i="1"/>
  <c r="I2189" i="1"/>
  <c r="J2188" i="1"/>
  <c r="I2188" i="1"/>
  <c r="J2187" i="1"/>
  <c r="I2187" i="1"/>
  <c r="J2186" i="1"/>
  <c r="I2186" i="1"/>
  <c r="J2185" i="1"/>
  <c r="I2185" i="1"/>
  <c r="BZ2184" i="1"/>
  <c r="BZ2183" i="1"/>
  <c r="BZ2182" i="1"/>
  <c r="BZ2181" i="1"/>
  <c r="BZ2180" i="1"/>
  <c r="BZ2179" i="1"/>
  <c r="BY2184" i="1"/>
  <c r="BY2183" i="1"/>
  <c r="BY2182" i="1"/>
  <c r="BY2181" i="1"/>
  <c r="BY2180" i="1"/>
  <c r="BY2179" i="1"/>
  <c r="BU2184" i="1"/>
  <c r="BU2183" i="1"/>
  <c r="BU2182" i="1"/>
  <c r="BU2181" i="1"/>
  <c r="BU2180" i="1"/>
  <c r="BU2179" i="1"/>
  <c r="BT2184" i="1"/>
  <c r="BT2183" i="1"/>
  <c r="BT2182" i="1"/>
  <c r="BT2181" i="1"/>
  <c r="BT2180" i="1"/>
  <c r="BT2179" i="1"/>
  <c r="J2183" i="1"/>
  <c r="J2184" i="1"/>
  <c r="J2182" i="1"/>
  <c r="J2181" i="1"/>
  <c r="I2181" i="1"/>
  <c r="I2180" i="1"/>
  <c r="J2180" i="1"/>
  <c r="J2179" i="1"/>
  <c r="I2179" i="1"/>
  <c r="AD2166" i="1"/>
  <c r="AD2165" i="1"/>
  <c r="J2178" i="1"/>
  <c r="I2178" i="1"/>
  <c r="J2177" i="1"/>
  <c r="I2177" i="1"/>
  <c r="J2176" i="1"/>
  <c r="I2176" i="1"/>
  <c r="J2175" i="1"/>
  <c r="I2175" i="1"/>
  <c r="J2174" i="1"/>
  <c r="I2174" i="1"/>
  <c r="J2173" i="1"/>
  <c r="I2173" i="1"/>
  <c r="J2172" i="1"/>
  <c r="I2172" i="1"/>
  <c r="J2171" i="1"/>
  <c r="I2171" i="1"/>
  <c r="J2170" i="1"/>
  <c r="I2170" i="1"/>
  <c r="J2169" i="1"/>
  <c r="I2169" i="1"/>
  <c r="J2168" i="1"/>
  <c r="I2168" i="1"/>
  <c r="J2167" i="1"/>
  <c r="I2167" i="1"/>
  <c r="I2166" i="1"/>
  <c r="J2166" i="1"/>
  <c r="J2165" i="1"/>
  <c r="I2165" i="1"/>
  <c r="Z2159" i="1"/>
  <c r="AA2160" i="1"/>
  <c r="AA2161" i="1"/>
  <c r="AA2162" i="1"/>
  <c r="AA2163" i="1"/>
  <c r="AA2164" i="1"/>
  <c r="AA2159" i="1"/>
  <c r="Z2160" i="1"/>
  <c r="Z2161" i="1"/>
  <c r="Z2162" i="1"/>
  <c r="Z2163" i="1"/>
  <c r="Z2164" i="1"/>
  <c r="J2158" i="1"/>
  <c r="I2158" i="1"/>
  <c r="J2157" i="1"/>
  <c r="I2157" i="1"/>
  <c r="J2156" i="1"/>
  <c r="I2156" i="1"/>
  <c r="J2154" i="1"/>
  <c r="I2154" i="1"/>
  <c r="J2150" i="1"/>
  <c r="I2150" i="1"/>
  <c r="J2153" i="1"/>
  <c r="I2153" i="1"/>
  <c r="J2152" i="1"/>
  <c r="I2152" i="1"/>
  <c r="J2148" i="1"/>
  <c r="I2148" i="1"/>
  <c r="J2149" i="1"/>
  <c r="I2149" i="1"/>
  <c r="J2155" i="1"/>
  <c r="I2155" i="1"/>
  <c r="J2151" i="1"/>
  <c r="I2151" i="1"/>
  <c r="J2147" i="1"/>
  <c r="I2147" i="1"/>
  <c r="AZ2126" i="1" l="1"/>
  <c r="AZ2125" i="1"/>
  <c r="AZ2124" i="1"/>
  <c r="AZ2123" i="1"/>
  <c r="AZ2122" i="1"/>
  <c r="AZ2121" i="1"/>
  <c r="AZ2120" i="1"/>
  <c r="AZ2119" i="1"/>
  <c r="AD2118" i="1"/>
  <c r="J2118" i="1"/>
  <c r="I2118" i="1"/>
  <c r="AD2117" i="1"/>
  <c r="J2117" i="1"/>
  <c r="I2117" i="1"/>
  <c r="AD2116" i="1"/>
  <c r="J2116" i="1"/>
  <c r="I2116" i="1"/>
  <c r="AD2115" i="1"/>
  <c r="J2115" i="1"/>
  <c r="I2115" i="1"/>
  <c r="IB2113" i="1"/>
  <c r="IA2113" i="1"/>
  <c r="AD2114" i="1"/>
  <c r="J2114" i="1"/>
  <c r="I2114" i="1"/>
  <c r="AD2113" i="1"/>
  <c r="J2113" i="1"/>
  <c r="I2113" i="1"/>
  <c r="AD2112" i="1"/>
  <c r="J2112" i="1"/>
  <c r="I2112" i="1"/>
  <c r="AD2111" i="1"/>
  <c r="J2111" i="1"/>
  <c r="I2111" i="1"/>
  <c r="AD2110" i="1"/>
  <c r="J2110" i="1"/>
  <c r="I2110" i="1"/>
  <c r="AD2109" i="1"/>
  <c r="J2109" i="1"/>
  <c r="I2109" i="1"/>
  <c r="AD2108" i="1"/>
  <c r="J2108" i="1"/>
  <c r="I2108" i="1"/>
  <c r="AD2107" i="1"/>
  <c r="J2107" i="1" l="1"/>
  <c r="I2107" i="1"/>
  <c r="BN2095" i="1" l="1"/>
  <c r="BM2095" i="1"/>
  <c r="L2100" i="1"/>
  <c r="L2099" i="1"/>
  <c r="L2098" i="1"/>
  <c r="L2097" i="1"/>
  <c r="L2096" i="1"/>
  <c r="L2095" i="1"/>
  <c r="L2102" i="1"/>
  <c r="L2103" i="1"/>
  <c r="L2101" i="1"/>
  <c r="M2097" i="1"/>
  <c r="M2096" i="1"/>
  <c r="M2095" i="1"/>
  <c r="M2102" i="1"/>
  <c r="M2103" i="1"/>
  <c r="M2101" i="1"/>
  <c r="BO2095" i="1"/>
  <c r="BP2095" i="1"/>
  <c r="BO2096" i="1"/>
  <c r="BP2096" i="1"/>
  <c r="BO2097" i="1"/>
  <c r="BP2097" i="1"/>
  <c r="AD2100" i="1"/>
  <c r="AD2099" i="1"/>
  <c r="AD2098" i="1"/>
  <c r="AD2097" i="1"/>
  <c r="AD2096" i="1"/>
  <c r="AD2095" i="1"/>
  <c r="AD2102" i="1"/>
  <c r="AD2103" i="1"/>
  <c r="AD2101" i="1"/>
  <c r="BN2096" i="1"/>
  <c r="BN2097" i="1"/>
  <c r="BM2096" i="1"/>
  <c r="BM2097" i="1"/>
  <c r="Y2018" i="1" l="1"/>
  <c r="Y2017" i="1"/>
  <c r="Y2016" i="1"/>
  <c r="BR2040" i="1"/>
  <c r="BR2039" i="1"/>
  <c r="BR2038" i="1"/>
  <c r="BR2037" i="1"/>
  <c r="BX2037" i="1"/>
  <c r="BX2040" i="1"/>
  <c r="BW2040" i="1"/>
  <c r="BX2039" i="1"/>
  <c r="BW2039" i="1"/>
  <c r="BX2038" i="1"/>
  <c r="BW2038" i="1"/>
  <c r="BW2037" i="1"/>
  <c r="BS2037" i="1"/>
  <c r="BS2038" i="1"/>
  <c r="BS2039" i="1"/>
  <c r="BS2040" i="1"/>
  <c r="AD2094" i="1"/>
  <c r="AD2093" i="1"/>
  <c r="AD2092" i="1"/>
  <c r="AD2091" i="1"/>
  <c r="AD2090" i="1"/>
  <c r="AD2089" i="1"/>
  <c r="AD2088" i="1"/>
  <c r="AD2087" i="1"/>
  <c r="AD2086" i="1"/>
  <c r="AD2085" i="1"/>
  <c r="AD2084" i="1"/>
  <c r="AD2083" i="1"/>
  <c r="AD2082" i="1"/>
  <c r="AD2081" i="1"/>
  <c r="AD2080" i="1"/>
  <c r="AD2079" i="1"/>
  <c r="AD2078" i="1"/>
  <c r="AD2077" i="1"/>
  <c r="AD2076" i="1"/>
  <c r="AD2075" i="1"/>
  <c r="AD2074" i="1"/>
  <c r="AD2073" i="1"/>
  <c r="AD2072" i="1"/>
  <c r="AD2071" i="1"/>
  <c r="AD2070" i="1"/>
  <c r="AD2069" i="1"/>
  <c r="AD2068" i="1"/>
  <c r="AD2067" i="1"/>
  <c r="AD2066" i="1"/>
  <c r="AD2065" i="1"/>
  <c r="AD2064" i="1"/>
  <c r="AD2063" i="1"/>
  <c r="AD2062" i="1"/>
  <c r="AD2061" i="1"/>
  <c r="AD2060" i="1"/>
  <c r="AD2059" i="1"/>
  <c r="AD2058" i="1"/>
  <c r="AD2057" i="1"/>
  <c r="AD2056" i="1"/>
  <c r="AD2055" i="1"/>
  <c r="AD2054" i="1"/>
  <c r="AD2053" i="1"/>
  <c r="AD2052" i="1"/>
  <c r="AD2051" i="1"/>
  <c r="AD2050" i="1"/>
  <c r="AD2049" i="1"/>
  <c r="AD2048" i="1"/>
  <c r="AD2047" i="1"/>
  <c r="AD2046" i="1"/>
  <c r="AD2045" i="1"/>
  <c r="AD2044" i="1"/>
  <c r="AD2043" i="1"/>
  <c r="AD2042" i="1"/>
  <c r="AD2041" i="1"/>
  <c r="AD2040" i="1"/>
  <c r="AY2011" i="1"/>
  <c r="AY2006" i="1"/>
  <c r="AY2001" i="1"/>
  <c r="AY1996" i="1"/>
  <c r="AY1991" i="1"/>
  <c r="AY1986" i="1"/>
  <c r="AY1981" i="1"/>
  <c r="AY1976" i="1"/>
  <c r="AY1971" i="1"/>
  <c r="AY1966" i="1"/>
  <c r="AY1961" i="1"/>
  <c r="AY1956" i="1"/>
  <c r="AY1951" i="1"/>
  <c r="AY1946" i="1"/>
  <c r="AY1941" i="1"/>
  <c r="AY1936" i="1"/>
  <c r="AY1931" i="1"/>
  <c r="AY1926" i="1"/>
  <c r="AY1921" i="1"/>
  <c r="AY1916" i="1"/>
  <c r="AY1911" i="1"/>
  <c r="AY1906" i="1"/>
  <c r="AY1901" i="1"/>
  <c r="AY1896" i="1"/>
  <c r="AY1891" i="1"/>
  <c r="AY1886" i="1"/>
  <c r="AY1881" i="1"/>
  <c r="Y2022" i="1" l="1"/>
  <c r="C36" i="3"/>
  <c r="N35" i="3"/>
  <c r="BM1881" i="1" l="1"/>
  <c r="BM1882" i="1"/>
  <c r="BM1883" i="1"/>
  <c r="Y1883" i="1" s="1"/>
  <c r="BM1884" i="1"/>
  <c r="Y1884" i="1" s="1"/>
  <c r="BM1885" i="1"/>
  <c r="BM1886" i="1"/>
  <c r="BM1887" i="1"/>
  <c r="Y1887" i="1" s="1"/>
  <c r="BM1888" i="1"/>
  <c r="Y1888" i="1" s="1"/>
  <c r="BM1889" i="1"/>
  <c r="BM1890" i="1"/>
  <c r="BM1891" i="1"/>
  <c r="Y1891" i="1" s="1"/>
  <c r="BM1892" i="1"/>
  <c r="Y1892" i="1" s="1"/>
  <c r="BM1893" i="1"/>
  <c r="BM1894" i="1"/>
  <c r="BM1895" i="1"/>
  <c r="Y1895" i="1" s="1"/>
  <c r="BM1896" i="1"/>
  <c r="Y1896" i="1" s="1"/>
  <c r="BM1897" i="1"/>
  <c r="BM1898" i="1"/>
  <c r="BM1899" i="1"/>
  <c r="Y1899" i="1" s="1"/>
  <c r="BM1900" i="1"/>
  <c r="Y1900" i="1" s="1"/>
  <c r="BM1901" i="1"/>
  <c r="BM1902" i="1"/>
  <c r="BM1903" i="1"/>
  <c r="Y1903" i="1" s="1"/>
  <c r="BM1904" i="1"/>
  <c r="Y1904" i="1" s="1"/>
  <c r="BM1905" i="1"/>
  <c r="BM1906" i="1"/>
  <c r="BM1907" i="1"/>
  <c r="Y1907" i="1" s="1"/>
  <c r="BM1908" i="1"/>
  <c r="Y1908" i="1" s="1"/>
  <c r="BM1909" i="1"/>
  <c r="BM1910" i="1"/>
  <c r="BM1911" i="1"/>
  <c r="Y1911" i="1" s="1"/>
  <c r="BM1912" i="1"/>
  <c r="Y1912" i="1" s="1"/>
  <c r="BM1913" i="1"/>
  <c r="BM1914" i="1"/>
  <c r="BM1915" i="1"/>
  <c r="Y1915" i="1" s="1"/>
  <c r="BM1916" i="1"/>
  <c r="Y1916" i="1" s="1"/>
  <c r="BM1917" i="1"/>
  <c r="BM1918" i="1"/>
  <c r="BM1919" i="1"/>
  <c r="Y1919" i="1" s="1"/>
  <c r="BM1920" i="1"/>
  <c r="Y1920" i="1" s="1"/>
  <c r="BM1921" i="1"/>
  <c r="BM1922" i="1"/>
  <c r="BM1923" i="1"/>
  <c r="Y1923" i="1" s="1"/>
  <c r="BM1924" i="1"/>
  <c r="Y1924" i="1" s="1"/>
  <c r="BM1925" i="1"/>
  <c r="BM1926" i="1"/>
  <c r="BM1927" i="1"/>
  <c r="Y1927" i="1" s="1"/>
  <c r="BM1928" i="1"/>
  <c r="Y1928" i="1" s="1"/>
  <c r="BM1929" i="1"/>
  <c r="BM1930" i="1"/>
  <c r="BM1931" i="1"/>
  <c r="Y1931" i="1" s="1"/>
  <c r="BM1932" i="1"/>
  <c r="Y1932" i="1" s="1"/>
  <c r="BM1933" i="1"/>
  <c r="BM1934" i="1"/>
  <c r="BM1935" i="1"/>
  <c r="Y1935" i="1" s="1"/>
  <c r="BM1936" i="1"/>
  <c r="Y1936" i="1" s="1"/>
  <c r="BM1937" i="1"/>
  <c r="BM1938" i="1"/>
  <c r="BM1939" i="1"/>
  <c r="Y1939" i="1" s="1"/>
  <c r="BM1940" i="1"/>
  <c r="Y1940" i="1" s="1"/>
  <c r="BM1941" i="1"/>
  <c r="BM1942" i="1"/>
  <c r="BM1943" i="1"/>
  <c r="Y1943" i="1" s="1"/>
  <c r="BM1944" i="1"/>
  <c r="Y1944" i="1" s="1"/>
  <c r="BM1945" i="1"/>
  <c r="BM1946" i="1"/>
  <c r="BM1947" i="1"/>
  <c r="Y1947" i="1" s="1"/>
  <c r="BM1948" i="1"/>
  <c r="Y1948" i="1" s="1"/>
  <c r="BM1949" i="1"/>
  <c r="BM1950" i="1"/>
  <c r="BM1951" i="1"/>
  <c r="Y1951" i="1" s="1"/>
  <c r="BM1952" i="1"/>
  <c r="Y1952" i="1" s="1"/>
  <c r="BM1953" i="1"/>
  <c r="BM1954" i="1"/>
  <c r="BM1955" i="1"/>
  <c r="Y1955" i="1" s="1"/>
  <c r="BM1956" i="1"/>
  <c r="Y1956" i="1" s="1"/>
  <c r="BM1957" i="1"/>
  <c r="BM1958" i="1"/>
  <c r="BM1959" i="1"/>
  <c r="Y1959" i="1" s="1"/>
  <c r="BM1960" i="1"/>
  <c r="Y1960" i="1" s="1"/>
  <c r="BM1961" i="1"/>
  <c r="BM1962" i="1"/>
  <c r="BM1963" i="1"/>
  <c r="Y1963" i="1" s="1"/>
  <c r="BM1964" i="1"/>
  <c r="Y1964" i="1" s="1"/>
  <c r="BM1965" i="1"/>
  <c r="BM1966" i="1"/>
  <c r="BM1967" i="1"/>
  <c r="Y1967" i="1" s="1"/>
  <c r="BM1968" i="1"/>
  <c r="Y1968" i="1" s="1"/>
  <c r="BM1969" i="1"/>
  <c r="BM1970" i="1"/>
  <c r="BM1971" i="1"/>
  <c r="Y1971" i="1" s="1"/>
  <c r="BM1972" i="1"/>
  <c r="Y1972" i="1" s="1"/>
  <c r="BM1973" i="1"/>
  <c r="BM1974" i="1"/>
  <c r="BM1975" i="1"/>
  <c r="Y1975" i="1" s="1"/>
  <c r="BM1976" i="1"/>
  <c r="Y1976" i="1" s="1"/>
  <c r="BM1977" i="1"/>
  <c r="BM1978" i="1"/>
  <c r="BM1979" i="1"/>
  <c r="Y1979" i="1" s="1"/>
  <c r="BM1980" i="1"/>
  <c r="Y1980" i="1" s="1"/>
  <c r="BM1981" i="1"/>
  <c r="BM1982" i="1"/>
  <c r="BM1983" i="1"/>
  <c r="Y1983" i="1" s="1"/>
  <c r="BM1984" i="1"/>
  <c r="Y1984" i="1" s="1"/>
  <c r="BM1985" i="1"/>
  <c r="BM1986" i="1"/>
  <c r="BM1987" i="1"/>
  <c r="Y1987" i="1" s="1"/>
  <c r="BM1988" i="1"/>
  <c r="Y1988" i="1" s="1"/>
  <c r="BM1989" i="1"/>
  <c r="BM1990" i="1"/>
  <c r="BM1991" i="1"/>
  <c r="Y1991" i="1" s="1"/>
  <c r="BM1992" i="1"/>
  <c r="Y1992" i="1" s="1"/>
  <c r="BM1993" i="1"/>
  <c r="BM1994" i="1"/>
  <c r="BM1995" i="1"/>
  <c r="Y1995" i="1" s="1"/>
  <c r="BM1996" i="1"/>
  <c r="Y1996" i="1" s="1"/>
  <c r="BM1997" i="1"/>
  <c r="BM1998" i="1"/>
  <c r="BM1999" i="1"/>
  <c r="Y1999" i="1" s="1"/>
  <c r="BM2000" i="1"/>
  <c r="Y2000" i="1" s="1"/>
  <c r="BM2001" i="1"/>
  <c r="BM2002" i="1"/>
  <c r="BM2003" i="1"/>
  <c r="Y2003" i="1" s="1"/>
  <c r="BM2004" i="1"/>
  <c r="Y2004" i="1" s="1"/>
  <c r="BM2005" i="1"/>
  <c r="BM2006" i="1"/>
  <c r="BM2007" i="1"/>
  <c r="Y2007" i="1" s="1"/>
  <c r="BM2008" i="1"/>
  <c r="Y2008" i="1" s="1"/>
  <c r="BM2009" i="1"/>
  <c r="BM2010" i="1"/>
  <c r="BM2011" i="1"/>
  <c r="Y2011" i="1" s="1"/>
  <c r="BM2012" i="1"/>
  <c r="Y2012" i="1" s="1"/>
  <c r="BM2013" i="1"/>
  <c r="BM2014" i="1"/>
  <c r="BM2015" i="1"/>
  <c r="Y2015" i="1" s="1"/>
  <c r="BH1880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2023" i="1"/>
  <c r="Y2024" i="1"/>
  <c r="AD2037" i="1"/>
  <c r="AD2038" i="1"/>
  <c r="AD2039" i="1"/>
  <c r="Y1881" i="1"/>
  <c r="Y1882" i="1"/>
  <c r="Y1885" i="1"/>
  <c r="Y1886" i="1"/>
  <c r="Y1889" i="1"/>
  <c r="Y1890" i="1"/>
  <c r="Y1893" i="1"/>
  <c r="Y1894" i="1"/>
  <c r="Y1897" i="1"/>
  <c r="Y1898" i="1"/>
  <c r="Y1901" i="1"/>
  <c r="Y1902" i="1"/>
  <c r="Y1905" i="1"/>
  <c r="Y1906" i="1"/>
  <c r="Y1909" i="1"/>
  <c r="Y1910" i="1"/>
  <c r="Y1913" i="1"/>
  <c r="Y1914" i="1"/>
  <c r="Y1917" i="1"/>
  <c r="Y1918" i="1"/>
  <c r="Y1921" i="1"/>
  <c r="Y1922" i="1"/>
  <c r="Y1925" i="1"/>
  <c r="Y1926" i="1"/>
  <c r="Y1929" i="1"/>
  <c r="Y1930" i="1"/>
  <c r="Y1933" i="1"/>
  <c r="Y1934" i="1"/>
  <c r="Y1937" i="1"/>
  <c r="Y1938" i="1"/>
  <c r="Y1941" i="1"/>
  <c r="Y1942" i="1"/>
  <c r="Y1945" i="1"/>
  <c r="Y1946" i="1"/>
  <c r="Y1949" i="1"/>
  <c r="Y1950" i="1"/>
  <c r="Y1953" i="1"/>
  <c r="Y1954" i="1"/>
  <c r="Y1957" i="1"/>
  <c r="Y1958" i="1"/>
  <c r="Y1961" i="1"/>
  <c r="Y1962" i="1"/>
  <c r="Y1965" i="1"/>
  <c r="Y1966" i="1"/>
  <c r="Y1969" i="1"/>
  <c r="Y1970" i="1"/>
  <c r="Y1973" i="1"/>
  <c r="Y1974" i="1"/>
  <c r="Y1977" i="1"/>
  <c r="Y1978" i="1"/>
  <c r="Y1981" i="1"/>
  <c r="Y1982" i="1"/>
  <c r="Y1985" i="1"/>
  <c r="Y1986" i="1"/>
  <c r="Y1989" i="1"/>
  <c r="Y1990" i="1"/>
  <c r="Y1993" i="1"/>
  <c r="Y1994" i="1"/>
  <c r="Y1997" i="1"/>
  <c r="Y1998" i="1"/>
  <c r="Y2001" i="1"/>
  <c r="Y2002" i="1"/>
  <c r="Y2005" i="1"/>
  <c r="Y2006" i="1"/>
  <c r="Y2009" i="1"/>
  <c r="Y2010" i="1"/>
  <c r="Y2013" i="1"/>
  <c r="Y2014" i="1"/>
  <c r="Y2119" i="1"/>
  <c r="Y2120" i="1"/>
  <c r="Y2121" i="1"/>
  <c r="Y2122" i="1"/>
  <c r="Y2123" i="1"/>
  <c r="Y2124" i="1"/>
  <c r="Y2125" i="1"/>
  <c r="Y2126" i="1"/>
  <c r="BR795" i="1" l="1"/>
  <c r="M35" i="3"/>
  <c r="BU1676" i="1" l="1"/>
  <c r="BU1675" i="1" l="1"/>
  <c r="BT1676" i="1"/>
  <c r="BT1675" i="1"/>
  <c r="FK228" i="1" l="1"/>
  <c r="FL228" i="1"/>
  <c r="FK229" i="1"/>
  <c r="FL229" i="1"/>
  <c r="FK230" i="1"/>
  <c r="FL230" i="1"/>
  <c r="FK231" i="1"/>
  <c r="FL231" i="1"/>
  <c r="FK232" i="1"/>
  <c r="FL232" i="1"/>
  <c r="FK233" i="1"/>
  <c r="FL233" i="1"/>
  <c r="FK234" i="1"/>
  <c r="FL234" i="1"/>
  <c r="FK235" i="1"/>
  <c r="FL235" i="1"/>
  <c r="FK236" i="1"/>
  <c r="FL236" i="1"/>
  <c r="FK237" i="1"/>
  <c r="FL237" i="1"/>
  <c r="FK238" i="1"/>
  <c r="FL238" i="1"/>
  <c r="FK239" i="1"/>
  <c r="FL239" i="1"/>
  <c r="FK240" i="1"/>
  <c r="FL240" i="1"/>
  <c r="FK241" i="1"/>
  <c r="FL241" i="1"/>
  <c r="FK242" i="1"/>
  <c r="FL242" i="1"/>
  <c r="FK243" i="1"/>
  <c r="FL243" i="1"/>
  <c r="FK244" i="1"/>
  <c r="FL244" i="1"/>
  <c r="FK245" i="1"/>
  <c r="FL245" i="1"/>
  <c r="FK246" i="1"/>
  <c r="FL246" i="1"/>
  <c r="FK247" i="1"/>
  <c r="FL247" i="1"/>
  <c r="FK248" i="1"/>
  <c r="FL248" i="1"/>
  <c r="FK249" i="1"/>
  <c r="FL249" i="1"/>
  <c r="FK250" i="1"/>
  <c r="FL250" i="1"/>
  <c r="FK251" i="1"/>
  <c r="FL251" i="1"/>
  <c r="FK252" i="1"/>
  <c r="FL252" i="1"/>
  <c r="FK253" i="1"/>
  <c r="FL253" i="1"/>
  <c r="FK254" i="1"/>
  <c r="FL254" i="1"/>
  <c r="FK255" i="1"/>
  <c r="FL255" i="1"/>
  <c r="FK256" i="1"/>
  <c r="FL256" i="1"/>
  <c r="FK257" i="1"/>
  <c r="FL257" i="1"/>
  <c r="FK258" i="1"/>
  <c r="FL258" i="1"/>
  <c r="FK259" i="1"/>
  <c r="FL259" i="1"/>
  <c r="FK260" i="1"/>
  <c r="FL260" i="1"/>
  <c r="FK261" i="1"/>
  <c r="FL261" i="1"/>
  <c r="ER1381" i="1"/>
  <c r="ER1380" i="1"/>
  <c r="EQ1381" i="1"/>
  <c r="EQ1380" i="1"/>
  <c r="FT93" i="1" l="1"/>
  <c r="FT92" i="1"/>
  <c r="FS93" i="1"/>
  <c r="FS92" i="1"/>
  <c r="AY93" i="1"/>
  <c r="J93" i="1"/>
  <c r="I93" i="1"/>
  <c r="AY92" i="1"/>
  <c r="J92" i="1"/>
  <c r="I92" i="1"/>
  <c r="Y1782" i="1" l="1"/>
  <c r="J1782" i="1"/>
  <c r="I1782" i="1"/>
  <c r="Y1781" i="1"/>
  <c r="J1781" i="1"/>
  <c r="I1781" i="1"/>
  <c r="Y1780" i="1"/>
  <c r="J1780" i="1"/>
  <c r="I1780" i="1"/>
  <c r="Y1779" i="1"/>
  <c r="J1779" i="1"/>
  <c r="I1779" i="1"/>
  <c r="Y1778" i="1"/>
  <c r="J1778" i="1"/>
  <c r="I1778" i="1"/>
  <c r="Y1777" i="1"/>
  <c r="J1777" i="1"/>
  <c r="I1777" i="1"/>
  <c r="IB1506" i="1" l="1"/>
  <c r="IB1505" i="1"/>
  <c r="IB1504" i="1"/>
  <c r="IB1503" i="1"/>
  <c r="IA1506" i="1"/>
  <c r="IA1505" i="1"/>
  <c r="IA1504" i="1"/>
  <c r="IA1503" i="1"/>
  <c r="IA1502" i="1"/>
  <c r="DV60" i="1"/>
  <c r="DU60" i="1"/>
  <c r="DV58" i="1"/>
  <c r="DU58" i="1"/>
  <c r="EZ64" i="1"/>
  <c r="EY64" i="1"/>
  <c r="EZ63" i="1"/>
  <c r="EY63" i="1"/>
  <c r="EZ62" i="1"/>
  <c r="EZ61" i="1"/>
  <c r="EY62" i="1"/>
  <c r="EY61" i="1"/>
  <c r="EO736" i="1" l="1"/>
  <c r="EO737" i="1"/>
  <c r="EO738" i="1"/>
  <c r="BW910" i="1" l="1"/>
  <c r="CG910" i="1"/>
  <c r="CH910" i="1"/>
  <c r="FT91" i="1"/>
  <c r="FS91" i="1"/>
  <c r="FT90" i="1"/>
  <c r="FS90" i="1"/>
  <c r="BI4" i="1" l="1"/>
  <c r="E57" i="1"/>
  <c r="BR57" i="1"/>
  <c r="BS57" i="1"/>
  <c r="DU57" i="1"/>
  <c r="DV57" i="1"/>
  <c r="E58" i="1"/>
  <c r="BR58" i="1"/>
  <c r="BS58" i="1"/>
  <c r="E59" i="1"/>
  <c r="BR59" i="1"/>
  <c r="BS59" i="1"/>
  <c r="DU59" i="1"/>
  <c r="DV59" i="1"/>
  <c r="E60" i="1"/>
  <c r="BR60" i="1"/>
  <c r="BS60" i="1"/>
  <c r="E61" i="1"/>
  <c r="BR61" i="1"/>
  <c r="BS61" i="1"/>
  <c r="E62" i="1"/>
  <c r="BR62" i="1"/>
  <c r="BS62" i="1"/>
  <c r="E63" i="1"/>
  <c r="BR63" i="1"/>
  <c r="BS63" i="1"/>
  <c r="E64" i="1"/>
  <c r="BR64" i="1"/>
  <c r="BS64" i="1"/>
  <c r="BR65" i="1"/>
  <c r="DF65" i="1"/>
  <c r="DG65" i="1"/>
  <c r="BR66" i="1"/>
  <c r="DF66" i="1"/>
  <c r="DG66" i="1"/>
  <c r="BR67" i="1"/>
  <c r="DF67" i="1"/>
  <c r="DG67" i="1"/>
  <c r="BR68" i="1"/>
  <c r="DF68" i="1"/>
  <c r="DG68" i="1"/>
  <c r="BR69" i="1"/>
  <c r="DF69" i="1"/>
  <c r="DG69" i="1"/>
  <c r="BR70" i="1"/>
  <c r="DF70" i="1"/>
  <c r="DG70" i="1"/>
  <c r="BR71" i="1"/>
  <c r="DF71" i="1"/>
  <c r="DG71" i="1"/>
  <c r="BR72" i="1"/>
  <c r="DF72" i="1"/>
  <c r="DG72" i="1"/>
  <c r="BR73" i="1"/>
  <c r="BR74" i="1"/>
  <c r="BR75" i="1"/>
  <c r="BR76" i="1"/>
  <c r="BR77" i="1"/>
  <c r="BR78" i="1"/>
  <c r="BR79" i="1"/>
  <c r="BR80" i="1"/>
  <c r="Z81" i="1"/>
  <c r="AA81" i="1"/>
  <c r="AY81" i="1"/>
  <c r="Z82" i="1"/>
  <c r="AA82" i="1"/>
  <c r="AY82" i="1"/>
  <c r="Z83" i="1"/>
  <c r="AA83" i="1"/>
  <c r="AY83" i="1"/>
  <c r="Z84" i="1"/>
  <c r="AA84" i="1"/>
  <c r="AY84" i="1"/>
  <c r="Z85" i="1"/>
  <c r="AA85" i="1"/>
  <c r="AD85" i="1"/>
  <c r="HL85" i="1"/>
  <c r="HM85" i="1"/>
  <c r="HP85" i="1"/>
  <c r="Z86" i="1"/>
  <c r="AA86" i="1"/>
  <c r="AD86" i="1"/>
  <c r="HL86" i="1"/>
  <c r="HM86" i="1"/>
  <c r="HP86" i="1"/>
  <c r="Z87" i="1"/>
  <c r="AA87" i="1"/>
  <c r="AD87" i="1"/>
  <c r="HL87" i="1"/>
  <c r="HM87" i="1"/>
  <c r="HP87" i="1"/>
  <c r="Z88" i="1"/>
  <c r="AA88" i="1"/>
  <c r="AD88" i="1"/>
  <c r="HL88" i="1"/>
  <c r="HM88" i="1"/>
  <c r="HP88" i="1"/>
  <c r="Z89" i="1"/>
  <c r="AA89" i="1"/>
  <c r="AD89" i="1"/>
  <c r="HL89" i="1"/>
  <c r="HM89" i="1"/>
  <c r="HP89" i="1"/>
  <c r="I90" i="1"/>
  <c r="J90" i="1"/>
  <c r="AY90" i="1"/>
  <c r="BH90" i="1"/>
  <c r="BI90" i="1"/>
  <c r="FI90" i="1"/>
  <c r="FJ90" i="1"/>
  <c r="I91" i="1"/>
  <c r="J91" i="1"/>
  <c r="AY91" i="1"/>
  <c r="BH91" i="1"/>
  <c r="BI91" i="1"/>
  <c r="FI91" i="1"/>
  <c r="FJ91" i="1"/>
  <c r="I94" i="1"/>
  <c r="J94" i="1"/>
  <c r="Z94" i="1"/>
  <c r="AA94" i="1"/>
  <c r="DF94" i="1"/>
  <c r="DG94" i="1"/>
  <c r="DU94" i="1"/>
  <c r="DV94" i="1"/>
  <c r="I95" i="1"/>
  <c r="J95" i="1"/>
  <c r="Z95" i="1"/>
  <c r="AA95" i="1"/>
  <c r="DF95" i="1"/>
  <c r="DG95" i="1"/>
  <c r="DU95" i="1"/>
  <c r="DV95" i="1"/>
  <c r="I96" i="1"/>
  <c r="J96" i="1"/>
  <c r="Z96" i="1"/>
  <c r="AA96" i="1"/>
  <c r="DF96" i="1"/>
  <c r="DG96" i="1"/>
  <c r="DU96" i="1"/>
  <c r="DV96" i="1"/>
  <c r="I97" i="1"/>
  <c r="J97" i="1"/>
  <c r="Z97" i="1"/>
  <c r="AA97" i="1"/>
  <c r="DF97" i="1"/>
  <c r="DG97" i="1"/>
  <c r="DU97" i="1"/>
  <c r="DV97" i="1"/>
  <c r="I98" i="1"/>
  <c r="J98" i="1"/>
  <c r="Z98" i="1"/>
  <c r="AA98" i="1"/>
  <c r="DF98" i="1"/>
  <c r="DG98" i="1"/>
  <c r="DU98" i="1"/>
  <c r="DV98" i="1"/>
  <c r="I99" i="1"/>
  <c r="J99" i="1"/>
  <c r="Z99" i="1"/>
  <c r="AA99" i="1"/>
  <c r="DF99" i="1"/>
  <c r="DG99" i="1"/>
  <c r="DU99" i="1"/>
  <c r="DV99" i="1"/>
  <c r="BH100" i="1"/>
  <c r="BI100" i="1"/>
  <c r="BH103" i="1"/>
  <c r="BI103" i="1"/>
  <c r="BH106" i="1"/>
  <c r="BI106" i="1"/>
  <c r="BH109" i="1"/>
  <c r="BI109" i="1"/>
  <c r="Z112" i="1"/>
  <c r="AA112" i="1"/>
  <c r="GH112" i="1"/>
  <c r="GI112" i="1"/>
  <c r="Z113" i="1"/>
  <c r="AA113" i="1"/>
  <c r="GH113" i="1"/>
  <c r="GI113" i="1"/>
  <c r="Z114" i="1"/>
  <c r="AA114" i="1"/>
  <c r="GH114" i="1"/>
  <c r="GI114" i="1"/>
  <c r="Z115" i="1"/>
  <c r="AA115" i="1"/>
  <c r="GH115" i="1"/>
  <c r="GI115" i="1"/>
  <c r="Z116" i="1"/>
  <c r="AA116" i="1"/>
  <c r="GH116" i="1"/>
  <c r="GI116" i="1"/>
  <c r="Z117" i="1"/>
  <c r="AA117" i="1"/>
  <c r="GH117" i="1"/>
  <c r="GI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BH130" i="1"/>
  <c r="BI130" i="1"/>
  <c r="EY130" i="1"/>
  <c r="EZ130" i="1"/>
  <c r="BH131" i="1"/>
  <c r="BI131" i="1"/>
  <c r="BH132" i="1"/>
  <c r="BI132" i="1"/>
  <c r="BH133" i="1"/>
  <c r="BI133" i="1"/>
  <c r="BH134" i="1"/>
  <c r="BI134" i="1"/>
  <c r="BH135" i="1"/>
  <c r="BI135" i="1"/>
  <c r="BH136" i="1"/>
  <c r="BI136" i="1"/>
  <c r="BH137" i="1"/>
  <c r="BI137" i="1"/>
  <c r="BH138" i="1"/>
  <c r="BI138" i="1"/>
  <c r="BH139" i="1"/>
  <c r="BI139" i="1"/>
  <c r="BH140" i="1"/>
  <c r="BI140" i="1"/>
  <c r="BH141" i="1"/>
  <c r="BI141" i="1"/>
  <c r="BH142" i="1"/>
  <c r="BI142" i="1"/>
  <c r="BH144" i="1"/>
  <c r="BI144" i="1"/>
  <c r="BH145" i="1"/>
  <c r="BI145" i="1"/>
  <c r="BH146" i="1"/>
  <c r="BI146" i="1"/>
  <c r="BH147" i="1"/>
  <c r="BI147" i="1"/>
  <c r="BH148" i="1"/>
  <c r="BI148" i="1"/>
  <c r="BH149" i="1"/>
  <c r="BI149" i="1"/>
  <c r="BH150" i="1"/>
  <c r="BI150" i="1"/>
  <c r="BH151" i="1"/>
  <c r="BI151" i="1"/>
  <c r="BH152" i="1"/>
  <c r="BI152" i="1"/>
  <c r="BH153" i="1"/>
  <c r="BI153" i="1"/>
  <c r="J154" i="1"/>
  <c r="Y154" i="1"/>
  <c r="AX154" i="1"/>
  <c r="AZ154" i="1"/>
  <c r="BR154" i="1"/>
  <c r="BW154" i="1" s="1"/>
  <c r="BS154" i="1"/>
  <c r="BX154" i="1" s="1"/>
  <c r="HL154" i="1"/>
  <c r="HM154" i="1"/>
  <c r="IA154" i="1"/>
  <c r="IB154" i="1"/>
  <c r="IF154" i="1"/>
  <c r="IG154" i="1"/>
  <c r="J155" i="1"/>
  <c r="Y155" i="1"/>
  <c r="AX155" i="1"/>
  <c r="AZ155" i="1"/>
  <c r="BR155" i="1"/>
  <c r="BW155" i="1" s="1"/>
  <c r="BS155" i="1"/>
  <c r="BX155" i="1" s="1"/>
  <c r="HL155" i="1"/>
  <c r="HM155" i="1"/>
  <c r="IA155" i="1"/>
  <c r="IB155" i="1"/>
  <c r="IF155" i="1"/>
  <c r="IG155" i="1"/>
  <c r="J156" i="1"/>
  <c r="Y156" i="1"/>
  <c r="AX156" i="1"/>
  <c r="AZ156" i="1"/>
  <c r="BR156" i="1"/>
  <c r="BW156" i="1" s="1"/>
  <c r="BS156" i="1"/>
  <c r="BX156" i="1" s="1"/>
  <c r="HL156" i="1"/>
  <c r="HM156" i="1"/>
  <c r="IA156" i="1"/>
  <c r="IB156" i="1"/>
  <c r="IF156" i="1"/>
  <c r="IG156" i="1"/>
  <c r="J157" i="1"/>
  <c r="Y157" i="1"/>
  <c r="AX157" i="1"/>
  <c r="AZ157" i="1"/>
  <c r="BR157" i="1"/>
  <c r="BW157" i="1" s="1"/>
  <c r="BS157" i="1"/>
  <c r="BX157" i="1" s="1"/>
  <c r="HL157" i="1"/>
  <c r="HM157" i="1"/>
  <c r="IA157" i="1"/>
  <c r="IB157" i="1"/>
  <c r="IF157" i="1"/>
  <c r="IG157" i="1"/>
  <c r="J158" i="1"/>
  <c r="Y158" i="1"/>
  <c r="AX158" i="1"/>
  <c r="AZ158" i="1"/>
  <c r="BR158" i="1"/>
  <c r="BW158" i="1" s="1"/>
  <c r="BS158" i="1"/>
  <c r="BX158" i="1" s="1"/>
  <c r="HL158" i="1"/>
  <c r="HM158" i="1"/>
  <c r="IA158" i="1"/>
  <c r="IB158" i="1"/>
  <c r="IF158" i="1"/>
  <c r="IG158" i="1"/>
  <c r="J159" i="1"/>
  <c r="Y159" i="1"/>
  <c r="AX159" i="1"/>
  <c r="AZ159" i="1"/>
  <c r="BR159" i="1"/>
  <c r="BW159" i="1" s="1"/>
  <c r="BS159" i="1"/>
  <c r="BX159" i="1" s="1"/>
  <c r="HL159" i="1"/>
  <c r="HM159" i="1"/>
  <c r="IA159" i="1"/>
  <c r="IB159" i="1"/>
  <c r="IG159" i="1"/>
  <c r="J160" i="1"/>
  <c r="Y160" i="1"/>
  <c r="AX160" i="1"/>
  <c r="AZ160" i="1"/>
  <c r="BR160" i="1"/>
  <c r="BW160" i="1" s="1"/>
  <c r="BS160" i="1"/>
  <c r="BX160" i="1" s="1"/>
  <c r="HL160" i="1"/>
  <c r="HM160" i="1"/>
  <c r="IA160" i="1"/>
  <c r="IB160" i="1"/>
  <c r="IG160" i="1"/>
  <c r="J161" i="1"/>
  <c r="Y161" i="1"/>
  <c r="AX161" i="1"/>
  <c r="AZ161" i="1"/>
  <c r="BR161" i="1"/>
  <c r="BW161" i="1" s="1"/>
  <c r="BS161" i="1"/>
  <c r="BX161" i="1" s="1"/>
  <c r="HL161" i="1"/>
  <c r="HM161" i="1"/>
  <c r="IA161" i="1"/>
  <c r="IB161" i="1"/>
  <c r="IG161" i="1"/>
  <c r="J162" i="1"/>
  <c r="Y162" i="1"/>
  <c r="AX162" i="1"/>
  <c r="AZ162" i="1"/>
  <c r="BR162" i="1"/>
  <c r="BW162" i="1" s="1"/>
  <c r="BS162" i="1"/>
  <c r="BX162" i="1" s="1"/>
  <c r="HL162" i="1"/>
  <c r="HM162" i="1"/>
  <c r="IA162" i="1"/>
  <c r="IB162" i="1"/>
  <c r="IG162" i="1"/>
  <c r="J163" i="1"/>
  <c r="Y163" i="1"/>
  <c r="AX163" i="1"/>
  <c r="AZ163" i="1"/>
  <c r="BR163" i="1"/>
  <c r="BW163" i="1" s="1"/>
  <c r="BS163" i="1"/>
  <c r="BX163" i="1" s="1"/>
  <c r="HL163" i="1"/>
  <c r="HM163" i="1"/>
  <c r="IA163" i="1"/>
  <c r="IB163" i="1"/>
  <c r="IG163" i="1"/>
  <c r="J164" i="1"/>
  <c r="Y164" i="1"/>
  <c r="AX164" i="1"/>
  <c r="AZ164" i="1"/>
  <c r="BR164" i="1"/>
  <c r="BW164" i="1" s="1"/>
  <c r="BS164" i="1"/>
  <c r="BX164" i="1" s="1"/>
  <c r="HL164" i="1"/>
  <c r="HM164" i="1"/>
  <c r="IA164" i="1"/>
  <c r="IB164" i="1"/>
  <c r="IG164" i="1"/>
  <c r="J165" i="1"/>
  <c r="Y165" i="1"/>
  <c r="AX165" i="1"/>
  <c r="AZ165" i="1"/>
  <c r="BR165" i="1"/>
  <c r="BW165" i="1" s="1"/>
  <c r="BS165" i="1"/>
  <c r="BX165" i="1" s="1"/>
  <c r="HL165" i="1"/>
  <c r="HM165" i="1"/>
  <c r="IA165" i="1"/>
  <c r="IB165" i="1"/>
  <c r="IG165" i="1"/>
  <c r="J166" i="1"/>
  <c r="Y166" i="1"/>
  <c r="AX166" i="1"/>
  <c r="AZ166" i="1"/>
  <c r="BR166" i="1"/>
  <c r="BW166" i="1" s="1"/>
  <c r="BS166" i="1"/>
  <c r="BX166" i="1" s="1"/>
  <c r="HL166" i="1"/>
  <c r="HM166" i="1"/>
  <c r="IA166" i="1"/>
  <c r="IB166" i="1"/>
  <c r="IG166" i="1"/>
  <c r="J167" i="1"/>
  <c r="Y167" i="1"/>
  <c r="AX167" i="1"/>
  <c r="AZ167" i="1"/>
  <c r="BR167" i="1"/>
  <c r="BW167" i="1" s="1"/>
  <c r="BS167" i="1"/>
  <c r="BX167" i="1" s="1"/>
  <c r="HL167" i="1"/>
  <c r="HM167" i="1"/>
  <c r="IA167" i="1"/>
  <c r="IB167" i="1"/>
  <c r="IG167" i="1"/>
  <c r="J168" i="1"/>
  <c r="Y168" i="1"/>
  <c r="AX168" i="1"/>
  <c r="AZ168" i="1"/>
  <c r="BR168" i="1"/>
  <c r="BW168" i="1" s="1"/>
  <c r="BS168" i="1"/>
  <c r="BX168" i="1" s="1"/>
  <c r="HL168" i="1"/>
  <c r="HM168" i="1"/>
  <c r="IA168" i="1"/>
  <c r="IB168" i="1"/>
  <c r="IG168" i="1"/>
  <c r="J169" i="1"/>
  <c r="Y169" i="1"/>
  <c r="AX169" i="1"/>
  <c r="AZ169" i="1"/>
  <c r="BR169" i="1"/>
  <c r="BW169" i="1" s="1"/>
  <c r="BS169" i="1"/>
  <c r="BX169" i="1" s="1"/>
  <c r="HL169" i="1"/>
  <c r="HM169" i="1"/>
  <c r="IA169" i="1"/>
  <c r="IB169" i="1"/>
  <c r="IG169" i="1"/>
  <c r="J170" i="1"/>
  <c r="Y170" i="1"/>
  <c r="AX170" i="1"/>
  <c r="AZ170" i="1"/>
  <c r="BR170" i="1"/>
  <c r="BW170" i="1" s="1"/>
  <c r="BS170" i="1"/>
  <c r="BX170" i="1" s="1"/>
  <c r="HL170" i="1"/>
  <c r="HM170" i="1"/>
  <c r="IA170" i="1"/>
  <c r="IB170" i="1"/>
  <c r="IG170" i="1"/>
  <c r="J171" i="1"/>
  <c r="Y171" i="1"/>
  <c r="AX171" i="1"/>
  <c r="AZ171" i="1"/>
  <c r="BR171" i="1"/>
  <c r="BW171" i="1" s="1"/>
  <c r="BS171" i="1"/>
  <c r="BX171" i="1" s="1"/>
  <c r="HL171" i="1"/>
  <c r="HM171" i="1"/>
  <c r="IA171" i="1"/>
  <c r="IB171" i="1"/>
  <c r="IG171" i="1"/>
  <c r="J172" i="1"/>
  <c r="Y172" i="1"/>
  <c r="AX172" i="1"/>
  <c r="AZ172" i="1"/>
  <c r="BR172" i="1"/>
  <c r="BW172" i="1" s="1"/>
  <c r="BS172" i="1"/>
  <c r="BX172" i="1" s="1"/>
  <c r="HL172" i="1"/>
  <c r="HM172" i="1"/>
  <c r="IA172" i="1"/>
  <c r="IB172" i="1"/>
  <c r="IG172" i="1"/>
  <c r="J173" i="1"/>
  <c r="Y173" i="1"/>
  <c r="AX173" i="1"/>
  <c r="AZ173" i="1"/>
  <c r="BR173" i="1"/>
  <c r="BW173" i="1" s="1"/>
  <c r="BS173" i="1"/>
  <c r="BX173" i="1" s="1"/>
  <c r="HL173" i="1"/>
  <c r="HM173" i="1"/>
  <c r="IA173" i="1"/>
  <c r="IB173" i="1"/>
  <c r="IG173" i="1"/>
  <c r="I219" i="1"/>
  <c r="J219" i="1"/>
  <c r="AY219" i="1"/>
  <c r="BH219" i="1"/>
  <c r="BI219" i="1"/>
  <c r="FI219" i="1"/>
  <c r="FJ219" i="1"/>
  <c r="I220" i="1"/>
  <c r="J220" i="1"/>
  <c r="BH220" i="1"/>
  <c r="BI220" i="1"/>
  <c r="FI220" i="1"/>
  <c r="FJ220" i="1"/>
  <c r="BH221" i="1"/>
  <c r="BI221" i="1"/>
  <c r="FI221" i="1"/>
  <c r="FJ221" i="1"/>
  <c r="BH222" i="1"/>
  <c r="BI222" i="1"/>
  <c r="FI222" i="1"/>
  <c r="FJ222" i="1"/>
  <c r="I223" i="1"/>
  <c r="J223" i="1"/>
  <c r="BH223" i="1"/>
  <c r="BI223" i="1"/>
  <c r="FI223" i="1"/>
  <c r="FJ223" i="1"/>
  <c r="I224" i="1"/>
  <c r="J224" i="1"/>
  <c r="BH224" i="1"/>
  <c r="BI224" i="1"/>
  <c r="FI224" i="1"/>
  <c r="FJ224" i="1"/>
  <c r="Y225" i="1"/>
  <c r="BM225" i="1"/>
  <c r="BN225" i="1"/>
  <c r="DK225" i="1"/>
  <c r="DL225" i="1"/>
  <c r="DZ225" i="1"/>
  <c r="EA225" i="1"/>
  <c r="EY225" i="1"/>
  <c r="EZ225" i="1"/>
  <c r="Y226" i="1"/>
  <c r="BM226" i="1"/>
  <c r="BN226" i="1"/>
  <c r="DK226" i="1"/>
  <c r="DL226" i="1"/>
  <c r="DZ226" i="1"/>
  <c r="EA226" i="1"/>
  <c r="EY226" i="1"/>
  <c r="EZ226" i="1"/>
  <c r="Y227" i="1"/>
  <c r="BM227" i="1"/>
  <c r="BN227" i="1"/>
  <c r="DK227" i="1"/>
  <c r="DL227" i="1"/>
  <c r="DZ227" i="1"/>
  <c r="EA227" i="1"/>
  <c r="EY227" i="1"/>
  <c r="EZ227" i="1"/>
  <c r="I228" i="1"/>
  <c r="J228" i="1"/>
  <c r="BW228" i="1"/>
  <c r="I229" i="1"/>
  <c r="J229" i="1"/>
  <c r="BW229" i="1"/>
  <c r="I230" i="1"/>
  <c r="J230" i="1"/>
  <c r="BW230" i="1"/>
  <c r="I231" i="1"/>
  <c r="J231" i="1"/>
  <c r="BW231" i="1"/>
  <c r="I232" i="1"/>
  <c r="J232" i="1"/>
  <c r="BW232" i="1"/>
  <c r="I233" i="1"/>
  <c r="J233" i="1"/>
  <c r="BW233" i="1"/>
  <c r="I234" i="1"/>
  <c r="J234" i="1"/>
  <c r="BW234" i="1"/>
  <c r="I235" i="1"/>
  <c r="J235" i="1"/>
  <c r="BW235" i="1"/>
  <c r="I236" i="1"/>
  <c r="J236" i="1"/>
  <c r="BW236" i="1"/>
  <c r="I237" i="1"/>
  <c r="J237" i="1"/>
  <c r="BW237" i="1"/>
  <c r="I238" i="1"/>
  <c r="J238" i="1"/>
  <c r="BW238" i="1"/>
  <c r="I239" i="1"/>
  <c r="J239" i="1"/>
  <c r="BW239" i="1"/>
  <c r="I240" i="1"/>
  <c r="J240" i="1"/>
  <c r="BW240" i="1"/>
  <c r="I241" i="1"/>
  <c r="J241" i="1"/>
  <c r="BW241" i="1"/>
  <c r="I242" i="1"/>
  <c r="J242" i="1"/>
  <c r="BW242" i="1"/>
  <c r="I243" i="1"/>
  <c r="J243" i="1"/>
  <c r="BW243" i="1"/>
  <c r="I244" i="1"/>
  <c r="J244" i="1"/>
  <c r="I245" i="1"/>
  <c r="J245" i="1"/>
  <c r="BW245" i="1"/>
  <c r="I246" i="1"/>
  <c r="J246" i="1"/>
  <c r="BW246" i="1"/>
  <c r="I247" i="1"/>
  <c r="J247" i="1"/>
  <c r="BW247" i="1"/>
  <c r="I248" i="1"/>
  <c r="J248" i="1"/>
  <c r="BW248" i="1"/>
  <c r="I249" i="1"/>
  <c r="J249" i="1"/>
  <c r="BW249" i="1"/>
  <c r="I250" i="1"/>
  <c r="J250" i="1"/>
  <c r="BW250" i="1"/>
  <c r="I251" i="1"/>
  <c r="J251" i="1"/>
  <c r="BW251" i="1"/>
  <c r="I252" i="1"/>
  <c r="J252" i="1"/>
  <c r="BW252" i="1"/>
  <c r="I253" i="1"/>
  <c r="J253" i="1"/>
  <c r="BW253" i="1"/>
  <c r="I254" i="1"/>
  <c r="J254" i="1"/>
  <c r="BW254" i="1"/>
  <c r="I255" i="1"/>
  <c r="J255" i="1"/>
  <c r="BW255" i="1"/>
  <c r="I256" i="1"/>
  <c r="J256" i="1"/>
  <c r="BW256" i="1"/>
  <c r="I257" i="1"/>
  <c r="J257" i="1"/>
  <c r="BW257" i="1"/>
  <c r="I258" i="1"/>
  <c r="J258" i="1"/>
  <c r="BW258" i="1"/>
  <c r="I259" i="1"/>
  <c r="J259" i="1"/>
  <c r="BW259" i="1"/>
  <c r="I260" i="1"/>
  <c r="J260" i="1"/>
  <c r="BW260" i="1"/>
  <c r="I261" i="1"/>
  <c r="J261" i="1"/>
  <c r="BW261" i="1"/>
  <c r="AY290" i="1"/>
  <c r="AZ290" i="1"/>
  <c r="BH290" i="1"/>
  <c r="BI290" i="1"/>
  <c r="BR290" i="1"/>
  <c r="BW290" i="1"/>
  <c r="AY291" i="1"/>
  <c r="AZ291" i="1"/>
  <c r="BH291" i="1"/>
  <c r="BI291" i="1"/>
  <c r="BR291" i="1"/>
  <c r="BW291" i="1"/>
  <c r="AY292" i="1"/>
  <c r="AZ292" i="1"/>
  <c r="BH292" i="1"/>
  <c r="BI292" i="1"/>
  <c r="BR292" i="1"/>
  <c r="BW292" i="1"/>
  <c r="AY293" i="1"/>
  <c r="AZ293" i="1"/>
  <c r="BH293" i="1"/>
  <c r="BI293" i="1"/>
  <c r="BR293" i="1"/>
  <c r="BW293" i="1"/>
  <c r="AY294" i="1"/>
  <c r="AZ294" i="1"/>
  <c r="BH294" i="1"/>
  <c r="BI294" i="1"/>
  <c r="BR294" i="1"/>
  <c r="BW294" i="1"/>
  <c r="AY295" i="1"/>
  <c r="AZ295" i="1"/>
  <c r="BH295" i="1"/>
  <c r="BI295" i="1"/>
  <c r="BW295" i="1"/>
  <c r="AY296" i="1"/>
  <c r="AZ296" i="1"/>
  <c r="BH296" i="1"/>
  <c r="BI296" i="1"/>
  <c r="BW296" i="1"/>
  <c r="AY297" i="1"/>
  <c r="AZ297" i="1"/>
  <c r="BH297" i="1"/>
  <c r="BI297" i="1"/>
  <c r="BW297" i="1"/>
  <c r="AY298" i="1"/>
  <c r="AZ298" i="1"/>
  <c r="BH298" i="1"/>
  <c r="BI298" i="1"/>
  <c r="BW298" i="1"/>
  <c r="AY299" i="1"/>
  <c r="AZ299" i="1"/>
  <c r="BH299" i="1"/>
  <c r="BI299" i="1"/>
  <c r="BW299" i="1"/>
  <c r="AY300" i="1"/>
  <c r="AZ300" i="1"/>
  <c r="BH300" i="1"/>
  <c r="BI300" i="1"/>
  <c r="BW300" i="1"/>
  <c r="AY301" i="1"/>
  <c r="AZ301" i="1"/>
  <c r="BH301" i="1"/>
  <c r="BI301" i="1"/>
  <c r="BW301" i="1"/>
  <c r="AY302" i="1"/>
  <c r="AZ302" i="1"/>
  <c r="BH302" i="1"/>
  <c r="BI302" i="1"/>
  <c r="BW302" i="1"/>
  <c r="AY303" i="1"/>
  <c r="AZ303" i="1"/>
  <c r="BH303" i="1"/>
  <c r="BI303" i="1"/>
  <c r="BW303" i="1"/>
  <c r="AY304" i="1"/>
  <c r="AZ304" i="1"/>
  <c r="BH304" i="1"/>
  <c r="BI304" i="1"/>
  <c r="BW304" i="1"/>
  <c r="AY305" i="1"/>
  <c r="AZ305" i="1"/>
  <c r="BH305" i="1"/>
  <c r="BI305" i="1"/>
  <c r="AY306" i="1"/>
  <c r="AZ306" i="1"/>
  <c r="BH306" i="1"/>
  <c r="BI306" i="1"/>
  <c r="AY307" i="1"/>
  <c r="AZ307" i="1"/>
  <c r="BH307" i="1"/>
  <c r="BI307" i="1"/>
  <c r="AY308" i="1"/>
  <c r="AZ308" i="1"/>
  <c r="BH308" i="1"/>
  <c r="BI308" i="1"/>
  <c r="AY309" i="1"/>
  <c r="AZ309" i="1"/>
  <c r="BH309" i="1"/>
  <c r="BI309" i="1"/>
  <c r="AY310" i="1"/>
  <c r="AZ310" i="1"/>
  <c r="BH310" i="1"/>
  <c r="BI310" i="1"/>
  <c r="AY311" i="1"/>
  <c r="AZ311" i="1"/>
  <c r="BH311" i="1"/>
  <c r="BI311" i="1"/>
  <c r="AY312" i="1"/>
  <c r="AZ312" i="1"/>
  <c r="BH312" i="1"/>
  <c r="BI312" i="1"/>
  <c r="AY313" i="1"/>
  <c r="AZ313" i="1"/>
  <c r="BH313" i="1"/>
  <c r="BI313" i="1"/>
  <c r="AY314" i="1"/>
  <c r="AZ314" i="1"/>
  <c r="BH314" i="1"/>
  <c r="BI314" i="1"/>
  <c r="AY315" i="1"/>
  <c r="AZ315" i="1"/>
  <c r="BH315" i="1"/>
  <c r="BI315" i="1"/>
  <c r="AY316" i="1"/>
  <c r="AZ316" i="1"/>
  <c r="BH316" i="1"/>
  <c r="BI316" i="1"/>
  <c r="AY317" i="1"/>
  <c r="AZ317" i="1"/>
  <c r="BH317" i="1"/>
  <c r="BI317" i="1"/>
  <c r="AY318" i="1"/>
  <c r="AZ318" i="1"/>
  <c r="BH318" i="1"/>
  <c r="BI318" i="1"/>
  <c r="AY319" i="1"/>
  <c r="AZ319" i="1"/>
  <c r="BH319" i="1"/>
  <c r="BI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Y426" i="1"/>
  <c r="AY426" i="1"/>
  <c r="AZ426" i="1" s="1"/>
  <c r="BH426" i="1"/>
  <c r="BI426" i="1"/>
  <c r="BM426" i="1"/>
  <c r="BN426" i="1"/>
  <c r="BR426" i="1"/>
  <c r="DZ426" i="1"/>
  <c r="EA426" i="1"/>
  <c r="Y427" i="1"/>
  <c r="AY427" i="1"/>
  <c r="AZ427" i="1" s="1"/>
  <c r="BH427" i="1"/>
  <c r="BI427" i="1"/>
  <c r="BR427" i="1"/>
  <c r="Y428" i="1"/>
  <c r="AY428" i="1"/>
  <c r="AZ428" i="1" s="1"/>
  <c r="BH428" i="1"/>
  <c r="BI428" i="1"/>
  <c r="BR428" i="1"/>
  <c r="Y429" i="1"/>
  <c r="AY429" i="1"/>
  <c r="AZ429" i="1" s="1"/>
  <c r="BH429" i="1"/>
  <c r="BI429" i="1"/>
  <c r="DZ429" i="1"/>
  <c r="EA429" i="1"/>
  <c r="Y430" i="1"/>
  <c r="AY430" i="1"/>
  <c r="AZ430" i="1" s="1"/>
  <c r="BH430" i="1"/>
  <c r="BI430" i="1"/>
  <c r="Y431" i="1"/>
  <c r="AY431" i="1"/>
  <c r="AZ431" i="1" s="1"/>
  <c r="BH431" i="1"/>
  <c r="BI431" i="1"/>
  <c r="Y432" i="1"/>
  <c r="AY432" i="1"/>
  <c r="AZ432" i="1" s="1"/>
  <c r="BH432" i="1"/>
  <c r="BI432" i="1"/>
  <c r="DZ432" i="1"/>
  <c r="EA432" i="1"/>
  <c r="Y433" i="1"/>
  <c r="AY433" i="1"/>
  <c r="AZ433" i="1" s="1"/>
  <c r="BH433" i="1"/>
  <c r="BI433" i="1"/>
  <c r="Y434" i="1"/>
  <c r="AY434" i="1"/>
  <c r="AZ434" i="1" s="1"/>
  <c r="BH434" i="1"/>
  <c r="BI434" i="1"/>
  <c r="I435" i="1"/>
  <c r="J435" i="1"/>
  <c r="Z435" i="1"/>
  <c r="AA435" i="1"/>
  <c r="BR435" i="1"/>
  <c r="DF435" i="1"/>
  <c r="I436" i="1"/>
  <c r="J436" i="1"/>
  <c r="Z436" i="1"/>
  <c r="AA436" i="1"/>
  <c r="DF436" i="1"/>
  <c r="I437" i="1"/>
  <c r="J437" i="1"/>
  <c r="Z437" i="1"/>
  <c r="AA437" i="1"/>
  <c r="DF437" i="1"/>
  <c r="I438" i="1"/>
  <c r="J438" i="1"/>
  <c r="Z438" i="1"/>
  <c r="AA438" i="1"/>
  <c r="DF438" i="1"/>
  <c r="I439" i="1"/>
  <c r="J439" i="1"/>
  <c r="AY439" i="1"/>
  <c r="AZ439" i="1" s="1"/>
  <c r="I440" i="1"/>
  <c r="J440" i="1"/>
  <c r="AY440" i="1"/>
  <c r="AZ440" i="1" s="1"/>
  <c r="I441" i="1"/>
  <c r="J441" i="1"/>
  <c r="AY441" i="1"/>
  <c r="AZ441" i="1" s="1"/>
  <c r="I442" i="1"/>
  <c r="J442" i="1"/>
  <c r="AY442" i="1"/>
  <c r="AZ442" i="1" s="1"/>
  <c r="I443" i="1"/>
  <c r="J443" i="1"/>
  <c r="AY443" i="1"/>
  <c r="AZ443" i="1" s="1"/>
  <c r="I444" i="1"/>
  <c r="J444" i="1"/>
  <c r="AY444" i="1"/>
  <c r="AZ444" i="1" s="1"/>
  <c r="I445" i="1"/>
  <c r="J445" i="1"/>
  <c r="AY445" i="1"/>
  <c r="AZ445" i="1" s="1"/>
  <c r="I446" i="1"/>
  <c r="J446" i="1"/>
  <c r="AY446" i="1"/>
  <c r="AZ446" i="1" s="1"/>
  <c r="I447" i="1"/>
  <c r="J447" i="1"/>
  <c r="AY447" i="1"/>
  <c r="AZ447" i="1" s="1"/>
  <c r="I448" i="1"/>
  <c r="J448" i="1"/>
  <c r="AY448" i="1"/>
  <c r="AZ448" i="1" s="1"/>
  <c r="I449" i="1"/>
  <c r="J449" i="1"/>
  <c r="AY449" i="1"/>
  <c r="AZ449" i="1" s="1"/>
  <c r="I450" i="1"/>
  <c r="J450" i="1"/>
  <c r="AY450" i="1"/>
  <c r="AZ450" i="1" s="1"/>
  <c r="I451" i="1"/>
  <c r="J451" i="1"/>
  <c r="AY451" i="1"/>
  <c r="AZ451" i="1" s="1"/>
  <c r="I452" i="1"/>
  <c r="J452" i="1"/>
  <c r="AY452" i="1"/>
  <c r="AZ452" i="1" s="1"/>
  <c r="I453" i="1"/>
  <c r="J453" i="1"/>
  <c r="AY453" i="1"/>
  <c r="AZ453" i="1" s="1"/>
  <c r="I454" i="1"/>
  <c r="J454" i="1"/>
  <c r="AY454" i="1"/>
  <c r="AZ454" i="1" s="1"/>
  <c r="I455" i="1"/>
  <c r="J455" i="1"/>
  <c r="AY455" i="1"/>
  <c r="AZ455" i="1" s="1"/>
  <c r="I456" i="1"/>
  <c r="J456" i="1"/>
  <c r="AY456" i="1"/>
  <c r="AZ456" i="1" s="1"/>
  <c r="I457" i="1"/>
  <c r="J457" i="1"/>
  <c r="AY457" i="1"/>
  <c r="AZ457" i="1" s="1"/>
  <c r="I458" i="1"/>
  <c r="J458" i="1"/>
  <c r="AY458" i="1"/>
  <c r="AZ458" i="1" s="1"/>
  <c r="I459" i="1"/>
  <c r="J459" i="1"/>
  <c r="AY459" i="1"/>
  <c r="AZ459" i="1" s="1"/>
  <c r="I460" i="1"/>
  <c r="J460" i="1"/>
  <c r="AY460" i="1"/>
  <c r="AZ460" i="1" s="1"/>
  <c r="I461" i="1"/>
  <c r="J461" i="1"/>
  <c r="AY461" i="1"/>
  <c r="AZ461" i="1" s="1"/>
  <c r="I462" i="1"/>
  <c r="J462" i="1"/>
  <c r="AY462" i="1"/>
  <c r="AZ462" i="1" s="1"/>
  <c r="I463" i="1"/>
  <c r="J463" i="1"/>
  <c r="AY463" i="1"/>
  <c r="AZ463" i="1" s="1"/>
  <c r="I464" i="1"/>
  <c r="J464" i="1"/>
  <c r="AY464" i="1"/>
  <c r="AZ464" i="1" s="1"/>
  <c r="I465" i="1"/>
  <c r="J465" i="1"/>
  <c r="AY465" i="1"/>
  <c r="AZ465" i="1" s="1"/>
  <c r="I466" i="1"/>
  <c r="J466" i="1"/>
  <c r="AY466" i="1"/>
  <c r="AZ466" i="1" s="1"/>
  <c r="I467" i="1"/>
  <c r="J467" i="1"/>
  <c r="AY467" i="1"/>
  <c r="AZ467" i="1" s="1"/>
  <c r="I468" i="1"/>
  <c r="J468" i="1"/>
  <c r="AY468" i="1"/>
  <c r="AZ468" i="1" s="1"/>
  <c r="I469" i="1"/>
  <c r="J469" i="1"/>
  <c r="AY469" i="1"/>
  <c r="AZ469" i="1" s="1"/>
  <c r="I470" i="1"/>
  <c r="J470" i="1"/>
  <c r="AY470" i="1"/>
  <c r="AZ470" i="1" s="1"/>
  <c r="I471" i="1"/>
  <c r="J471" i="1"/>
  <c r="AY471" i="1"/>
  <c r="AZ471" i="1" s="1"/>
  <c r="I472" i="1"/>
  <c r="J472" i="1"/>
  <c r="AY472" i="1"/>
  <c r="AZ472" i="1" s="1"/>
  <c r="I473" i="1"/>
  <c r="J473" i="1"/>
  <c r="AY473" i="1"/>
  <c r="AZ473" i="1" s="1"/>
  <c r="I474" i="1"/>
  <c r="J474" i="1"/>
  <c r="AY474" i="1"/>
  <c r="AZ474" i="1" s="1"/>
  <c r="I475" i="1"/>
  <c r="J475" i="1"/>
  <c r="AY475" i="1"/>
  <c r="AZ475" i="1" s="1"/>
  <c r="I476" i="1"/>
  <c r="J476" i="1"/>
  <c r="AY476" i="1"/>
  <c r="AZ476" i="1" s="1"/>
  <c r="I477" i="1"/>
  <c r="J477" i="1"/>
  <c r="AY477" i="1"/>
  <c r="AZ477" i="1" s="1"/>
  <c r="I478" i="1"/>
  <c r="J478" i="1"/>
  <c r="AY478" i="1"/>
  <c r="AZ478" i="1" s="1"/>
  <c r="I479" i="1"/>
  <c r="J479" i="1"/>
  <c r="AY479" i="1"/>
  <c r="AZ479" i="1" s="1"/>
  <c r="I480" i="1"/>
  <c r="J480" i="1"/>
  <c r="AY480" i="1"/>
  <c r="AZ480" i="1" s="1"/>
  <c r="I481" i="1"/>
  <c r="J481" i="1"/>
  <c r="AY481" i="1"/>
  <c r="AZ481" i="1" s="1"/>
  <c r="I482" i="1"/>
  <c r="J482" i="1"/>
  <c r="AY482" i="1"/>
  <c r="AZ482" i="1" s="1"/>
  <c r="I483" i="1"/>
  <c r="J483" i="1"/>
  <c r="AY483" i="1"/>
  <c r="AZ483" i="1" s="1"/>
  <c r="I484" i="1"/>
  <c r="J484" i="1"/>
  <c r="AY484" i="1"/>
  <c r="AZ484" i="1" s="1"/>
  <c r="I485" i="1"/>
  <c r="J485" i="1"/>
  <c r="AY485" i="1"/>
  <c r="AZ485" i="1" s="1"/>
  <c r="I486" i="1"/>
  <c r="J486" i="1"/>
  <c r="AY486" i="1"/>
  <c r="AZ486" i="1" s="1"/>
  <c r="I487" i="1"/>
  <c r="J487" i="1"/>
  <c r="AY487" i="1"/>
  <c r="AZ487" i="1" s="1"/>
  <c r="I488" i="1"/>
  <c r="J488" i="1"/>
  <c r="AY488" i="1"/>
  <c r="AZ488" i="1" s="1"/>
  <c r="I489" i="1"/>
  <c r="J489" i="1"/>
  <c r="AY489" i="1"/>
  <c r="AZ489" i="1" s="1"/>
  <c r="I490" i="1"/>
  <c r="J490" i="1"/>
  <c r="AY490" i="1"/>
  <c r="AZ490" i="1" s="1"/>
  <c r="I491" i="1"/>
  <c r="J491" i="1"/>
  <c r="AY491" i="1"/>
  <c r="AZ491" i="1" s="1"/>
  <c r="I492" i="1"/>
  <c r="J492" i="1"/>
  <c r="AY492" i="1"/>
  <c r="AZ492" i="1" s="1"/>
  <c r="I493" i="1"/>
  <c r="J493" i="1"/>
  <c r="AY493" i="1"/>
  <c r="AZ493" i="1" s="1"/>
  <c r="I494" i="1"/>
  <c r="J494" i="1"/>
  <c r="AY494" i="1"/>
  <c r="AZ494" i="1" s="1"/>
  <c r="I495" i="1"/>
  <c r="J495" i="1"/>
  <c r="AY495" i="1"/>
  <c r="AZ495" i="1" s="1"/>
  <c r="I496" i="1"/>
  <c r="J496" i="1"/>
  <c r="AY496" i="1"/>
  <c r="AZ496" i="1" s="1"/>
  <c r="I497" i="1"/>
  <c r="J497" i="1"/>
  <c r="AY497" i="1"/>
  <c r="AZ497" i="1" s="1"/>
  <c r="I498" i="1"/>
  <c r="J498" i="1"/>
  <c r="AY498" i="1"/>
  <c r="AZ498" i="1" s="1"/>
  <c r="I499" i="1"/>
  <c r="J499" i="1"/>
  <c r="AY499" i="1"/>
  <c r="AZ499" i="1" s="1"/>
  <c r="I500" i="1"/>
  <c r="J500" i="1"/>
  <c r="AY500" i="1"/>
  <c r="AZ500" i="1" s="1"/>
  <c r="I501" i="1"/>
  <c r="J501" i="1"/>
  <c r="AY501" i="1"/>
  <c r="AZ501" i="1" s="1"/>
  <c r="I502" i="1"/>
  <c r="J502" i="1"/>
  <c r="AY502" i="1"/>
  <c r="AZ502" i="1" s="1"/>
  <c r="I503" i="1"/>
  <c r="J503" i="1"/>
  <c r="AY503" i="1"/>
  <c r="AZ503" i="1" s="1"/>
  <c r="I504" i="1"/>
  <c r="J504" i="1"/>
  <c r="AY504" i="1"/>
  <c r="AZ504" i="1" s="1"/>
  <c r="I505" i="1"/>
  <c r="J505" i="1"/>
  <c r="AY505" i="1"/>
  <c r="AZ505" i="1" s="1"/>
  <c r="I506" i="1"/>
  <c r="J506" i="1"/>
  <c r="AY506" i="1"/>
  <c r="AZ506" i="1" s="1"/>
  <c r="I507" i="1"/>
  <c r="J507" i="1"/>
  <c r="AY507" i="1"/>
  <c r="AZ507" i="1" s="1"/>
  <c r="I508" i="1"/>
  <c r="J508" i="1"/>
  <c r="AY508" i="1"/>
  <c r="AZ508" i="1" s="1"/>
  <c r="I509" i="1"/>
  <c r="J509" i="1"/>
  <c r="AY509" i="1"/>
  <c r="AZ509" i="1" s="1"/>
  <c r="I510" i="1"/>
  <c r="J510" i="1"/>
  <c r="AY510" i="1"/>
  <c r="AZ510" i="1" s="1"/>
  <c r="I511" i="1"/>
  <c r="J511" i="1"/>
  <c r="AY511" i="1"/>
  <c r="AZ511" i="1" s="1"/>
  <c r="I512" i="1"/>
  <c r="J512" i="1"/>
  <c r="AY512" i="1"/>
  <c r="AZ512" i="1" s="1"/>
  <c r="I513" i="1"/>
  <c r="J513" i="1"/>
  <c r="AY513" i="1"/>
  <c r="AZ513" i="1" s="1"/>
  <c r="I514" i="1"/>
  <c r="J514" i="1"/>
  <c r="AY514" i="1"/>
  <c r="AZ514" i="1" s="1"/>
  <c r="I515" i="1"/>
  <c r="J515" i="1"/>
  <c r="AY515" i="1"/>
  <c r="AZ515" i="1" s="1"/>
  <c r="I516" i="1"/>
  <c r="J516" i="1"/>
  <c r="AY516" i="1"/>
  <c r="AZ516" i="1" s="1"/>
  <c r="I517" i="1"/>
  <c r="J517" i="1"/>
  <c r="AY517" i="1"/>
  <c r="AZ517" i="1" s="1"/>
  <c r="I518" i="1"/>
  <c r="J518" i="1"/>
  <c r="AY518" i="1"/>
  <c r="AZ518" i="1" s="1"/>
  <c r="I519" i="1"/>
  <c r="J519" i="1"/>
  <c r="AY519" i="1"/>
  <c r="AZ519" i="1" s="1"/>
  <c r="I520" i="1"/>
  <c r="J520" i="1"/>
  <c r="AY520" i="1"/>
  <c r="AZ520" i="1" s="1"/>
  <c r="I521" i="1"/>
  <c r="J521" i="1"/>
  <c r="AY521" i="1"/>
  <c r="AZ521" i="1" s="1"/>
  <c r="I522" i="1"/>
  <c r="J522" i="1"/>
  <c r="AY522" i="1"/>
  <c r="AZ522" i="1" s="1"/>
  <c r="I523" i="1"/>
  <c r="J523" i="1"/>
  <c r="FI523" i="1"/>
  <c r="I524" i="1"/>
  <c r="J524" i="1"/>
  <c r="FI524" i="1"/>
  <c r="I525" i="1"/>
  <c r="J525" i="1"/>
  <c r="FI525" i="1"/>
  <c r="I526" i="1"/>
  <c r="J526" i="1"/>
  <c r="I527" i="1"/>
  <c r="J527" i="1"/>
  <c r="I528" i="1"/>
  <c r="J528" i="1"/>
  <c r="I529" i="1"/>
  <c r="J529" i="1"/>
  <c r="AA529" i="1"/>
  <c r="Z529" i="1" s="1"/>
  <c r="AC529" i="1"/>
  <c r="AD529" i="1"/>
  <c r="DZ529" i="1"/>
  <c r="EA529" i="1"/>
  <c r="I530" i="1"/>
  <c r="J530" i="1"/>
  <c r="AA530" i="1"/>
  <c r="Z530" i="1" s="1"/>
  <c r="AC530" i="1"/>
  <c r="AD530" i="1"/>
  <c r="DZ530" i="1"/>
  <c r="EA530" i="1"/>
  <c r="I531" i="1"/>
  <c r="J531" i="1"/>
  <c r="AA531" i="1"/>
  <c r="Z531" i="1" s="1"/>
  <c r="AC531" i="1"/>
  <c r="AD531" i="1"/>
  <c r="DZ531" i="1"/>
  <c r="EA531" i="1"/>
  <c r="I532" i="1"/>
  <c r="J532" i="1"/>
  <c r="Y532" i="1"/>
  <c r="AC532" i="1"/>
  <c r="IA532" i="1"/>
  <c r="IB532" i="1"/>
  <c r="I533" i="1"/>
  <c r="J533" i="1"/>
  <c r="Y533" i="1"/>
  <c r="AC533" i="1"/>
  <c r="IA533" i="1"/>
  <c r="IB533" i="1"/>
  <c r="I534" i="1"/>
  <c r="J534" i="1"/>
  <c r="Y534" i="1"/>
  <c r="AC534" i="1"/>
  <c r="IA534" i="1"/>
  <c r="IB534" i="1"/>
  <c r="I535" i="1"/>
  <c r="J535" i="1"/>
  <c r="Y535" i="1"/>
  <c r="AC535" i="1"/>
  <c r="IA535" i="1"/>
  <c r="IB535" i="1"/>
  <c r="I536" i="1"/>
  <c r="J536" i="1"/>
  <c r="Y536" i="1"/>
  <c r="AC536" i="1"/>
  <c r="IA536" i="1"/>
  <c r="IB536" i="1"/>
  <c r="I537" i="1"/>
  <c r="J537" i="1"/>
  <c r="Y537" i="1"/>
  <c r="AC537" i="1"/>
  <c r="IA537" i="1"/>
  <c r="IB537" i="1"/>
  <c r="I538" i="1"/>
  <c r="J538" i="1"/>
  <c r="Y538" i="1"/>
  <c r="AC538" i="1"/>
  <c r="IA538" i="1"/>
  <c r="IB538" i="1"/>
  <c r="I539" i="1"/>
  <c r="J539" i="1"/>
  <c r="Y539" i="1"/>
  <c r="AC539" i="1"/>
  <c r="IA539" i="1"/>
  <c r="IB539" i="1"/>
  <c r="I540" i="1"/>
  <c r="J540" i="1"/>
  <c r="Y540" i="1"/>
  <c r="AC540" i="1"/>
  <c r="IA540" i="1"/>
  <c r="IB540" i="1"/>
  <c r="I541" i="1"/>
  <c r="J541" i="1"/>
  <c r="Y541" i="1"/>
  <c r="AC541" i="1"/>
  <c r="IA541" i="1"/>
  <c r="IB541" i="1"/>
  <c r="I542" i="1"/>
  <c r="J542" i="1"/>
  <c r="Y542" i="1"/>
  <c r="AC542" i="1"/>
  <c r="IA542" i="1"/>
  <c r="IB542" i="1"/>
  <c r="I543" i="1"/>
  <c r="J543" i="1"/>
  <c r="Y543" i="1"/>
  <c r="AC543" i="1"/>
  <c r="IA543" i="1"/>
  <c r="IB543" i="1"/>
  <c r="I544" i="1"/>
  <c r="J544" i="1"/>
  <c r="Y544" i="1"/>
  <c r="AC544" i="1"/>
  <c r="IA544" i="1"/>
  <c r="IB544" i="1"/>
  <c r="I545" i="1"/>
  <c r="J545" i="1"/>
  <c r="Y545" i="1"/>
  <c r="AC545" i="1"/>
  <c r="IA545" i="1"/>
  <c r="IB545" i="1"/>
  <c r="I546" i="1"/>
  <c r="J546" i="1"/>
  <c r="Y546" i="1"/>
  <c r="AC546" i="1"/>
  <c r="IA546" i="1"/>
  <c r="IB546" i="1"/>
  <c r="I547" i="1"/>
  <c r="J547" i="1"/>
  <c r="Y547" i="1"/>
  <c r="AC547" i="1"/>
  <c r="IA547" i="1"/>
  <c r="IB547" i="1"/>
  <c r="I548" i="1"/>
  <c r="J548" i="1"/>
  <c r="Y548" i="1"/>
  <c r="AC548" i="1"/>
  <c r="IA548" i="1"/>
  <c r="IB548" i="1"/>
  <c r="I549" i="1"/>
  <c r="J549" i="1"/>
  <c r="Y549" i="1"/>
  <c r="AC549" i="1"/>
  <c r="IA549" i="1"/>
  <c r="IB549" i="1"/>
  <c r="I550" i="1"/>
  <c r="J550" i="1"/>
  <c r="Y550" i="1"/>
  <c r="AC550" i="1"/>
  <c r="IA550" i="1"/>
  <c r="IB550" i="1"/>
  <c r="I551" i="1"/>
  <c r="J551" i="1"/>
  <c r="Y551" i="1"/>
  <c r="AC551" i="1"/>
  <c r="IA551" i="1"/>
  <c r="IB551" i="1"/>
  <c r="I552" i="1"/>
  <c r="J552" i="1"/>
  <c r="Y552" i="1"/>
  <c r="AC552" i="1"/>
  <c r="IA552" i="1"/>
  <c r="IB552" i="1"/>
  <c r="I553" i="1"/>
  <c r="J553" i="1"/>
  <c r="Y553" i="1"/>
  <c r="AC553" i="1"/>
  <c r="IA553" i="1"/>
  <c r="IB553" i="1"/>
  <c r="I554" i="1"/>
  <c r="J554" i="1"/>
  <c r="Y554" i="1"/>
  <c r="AC554" i="1"/>
  <c r="IA554" i="1"/>
  <c r="IB554" i="1"/>
  <c r="I555" i="1"/>
  <c r="J555" i="1"/>
  <c r="Y555" i="1"/>
  <c r="AC555" i="1"/>
  <c r="IA555" i="1"/>
  <c r="IB555" i="1"/>
  <c r="I556" i="1"/>
  <c r="J556" i="1"/>
  <c r="Y556" i="1"/>
  <c r="AC556" i="1"/>
  <c r="I557" i="1"/>
  <c r="J557" i="1"/>
  <c r="Y557" i="1"/>
  <c r="AC557" i="1"/>
  <c r="I558" i="1"/>
  <c r="J558" i="1"/>
  <c r="Y558" i="1"/>
  <c r="AC558" i="1"/>
  <c r="I559" i="1"/>
  <c r="J559" i="1"/>
  <c r="Y559" i="1"/>
  <c r="AC559" i="1"/>
  <c r="I560" i="1"/>
  <c r="J560" i="1"/>
  <c r="Y560" i="1"/>
  <c r="AC560" i="1"/>
  <c r="I561" i="1"/>
  <c r="J561" i="1"/>
  <c r="Y561" i="1"/>
  <c r="AC561" i="1"/>
  <c r="I562" i="1"/>
  <c r="J562" i="1"/>
  <c r="Y562" i="1"/>
  <c r="AC562" i="1"/>
  <c r="I563" i="1"/>
  <c r="J563" i="1"/>
  <c r="Y563" i="1"/>
  <c r="AC563" i="1"/>
  <c r="I564" i="1"/>
  <c r="J564" i="1"/>
  <c r="Y564" i="1"/>
  <c r="AC564" i="1"/>
  <c r="I565" i="1"/>
  <c r="J565" i="1"/>
  <c r="Y565" i="1"/>
  <c r="AC565" i="1"/>
  <c r="I566" i="1"/>
  <c r="J566" i="1"/>
  <c r="Y566" i="1"/>
  <c r="AC566" i="1"/>
  <c r="I567" i="1"/>
  <c r="J567" i="1"/>
  <c r="Y567" i="1"/>
  <c r="AC567" i="1"/>
  <c r="I568" i="1"/>
  <c r="J568" i="1"/>
  <c r="EJ568" i="1"/>
  <c r="EK568" i="1"/>
  <c r="I569" i="1"/>
  <c r="J569" i="1"/>
  <c r="EJ569" i="1"/>
  <c r="EK569" i="1"/>
  <c r="I570" i="1"/>
  <c r="J570" i="1"/>
  <c r="EJ570" i="1"/>
  <c r="EK570" i="1"/>
  <c r="I571" i="1"/>
  <c r="J571" i="1"/>
  <c r="EJ571" i="1"/>
  <c r="EK571" i="1"/>
  <c r="I572" i="1"/>
  <c r="J572" i="1"/>
  <c r="EK572" i="1"/>
  <c r="I573" i="1"/>
  <c r="J573" i="1"/>
  <c r="EK573" i="1"/>
  <c r="I574" i="1"/>
  <c r="J574" i="1"/>
  <c r="EJ574" i="1"/>
  <c r="EK574" i="1"/>
  <c r="I575" i="1"/>
  <c r="J575" i="1"/>
  <c r="EJ575" i="1"/>
  <c r="EK575" i="1"/>
  <c r="I576" i="1"/>
  <c r="J576" i="1"/>
  <c r="EJ576" i="1"/>
  <c r="EK576" i="1"/>
  <c r="I577" i="1"/>
  <c r="J577" i="1"/>
  <c r="EJ577" i="1"/>
  <c r="EK577" i="1"/>
  <c r="I578" i="1"/>
  <c r="J578" i="1"/>
  <c r="I579" i="1"/>
  <c r="J579" i="1"/>
  <c r="I580" i="1"/>
  <c r="J580" i="1"/>
  <c r="EJ580" i="1"/>
  <c r="EK580" i="1"/>
  <c r="I581" i="1"/>
  <c r="J581" i="1"/>
  <c r="EJ581" i="1"/>
  <c r="EK581" i="1"/>
  <c r="I582" i="1"/>
  <c r="J582" i="1"/>
  <c r="EJ582" i="1"/>
  <c r="EK582" i="1"/>
  <c r="I583" i="1"/>
  <c r="J583" i="1"/>
  <c r="EJ583" i="1"/>
  <c r="EK583" i="1"/>
  <c r="I584" i="1"/>
  <c r="J584" i="1"/>
  <c r="EJ584" i="1"/>
  <c r="EK584" i="1"/>
  <c r="I585" i="1"/>
  <c r="J585" i="1"/>
  <c r="EJ585" i="1"/>
  <c r="EK585" i="1"/>
  <c r="I586" i="1"/>
  <c r="J586" i="1"/>
  <c r="EJ586" i="1"/>
  <c r="EK586" i="1"/>
  <c r="I587" i="1"/>
  <c r="J587" i="1"/>
  <c r="EJ587" i="1"/>
  <c r="EK587" i="1"/>
  <c r="I588" i="1"/>
  <c r="J588" i="1"/>
  <c r="EJ588" i="1"/>
  <c r="EK588" i="1"/>
  <c r="I589" i="1"/>
  <c r="J589" i="1"/>
  <c r="EJ589" i="1"/>
  <c r="EK589" i="1"/>
  <c r="I590" i="1"/>
  <c r="J590" i="1"/>
  <c r="EJ590" i="1"/>
  <c r="EK590" i="1"/>
  <c r="I591" i="1"/>
  <c r="J591" i="1"/>
  <c r="EJ591" i="1"/>
  <c r="EK591" i="1"/>
  <c r="I592" i="1"/>
  <c r="J592" i="1"/>
  <c r="EJ592" i="1"/>
  <c r="EK592" i="1"/>
  <c r="I593" i="1"/>
  <c r="J593" i="1"/>
  <c r="EJ593" i="1"/>
  <c r="EK593" i="1"/>
  <c r="I594" i="1"/>
  <c r="J594" i="1"/>
  <c r="EJ594" i="1"/>
  <c r="EK594" i="1"/>
  <c r="I595" i="1"/>
  <c r="J595" i="1"/>
  <c r="EJ595" i="1"/>
  <c r="EK595" i="1"/>
  <c r="I596" i="1"/>
  <c r="J596" i="1"/>
  <c r="EJ596" i="1"/>
  <c r="EK596" i="1"/>
  <c r="I597" i="1"/>
  <c r="J597" i="1"/>
  <c r="EJ597" i="1"/>
  <c r="EK597" i="1"/>
  <c r="I598" i="1"/>
  <c r="J598" i="1"/>
  <c r="EJ598" i="1"/>
  <c r="EK598" i="1"/>
  <c r="I599" i="1"/>
  <c r="J599" i="1"/>
  <c r="EJ599" i="1"/>
  <c r="EK599" i="1"/>
  <c r="I600" i="1"/>
  <c r="J600" i="1"/>
  <c r="EJ600" i="1"/>
  <c r="EK600" i="1"/>
  <c r="I601" i="1"/>
  <c r="J601" i="1"/>
  <c r="EJ601" i="1"/>
  <c r="EK601" i="1"/>
  <c r="I602" i="1"/>
  <c r="J602" i="1"/>
  <c r="EJ602" i="1"/>
  <c r="EK602" i="1"/>
  <c r="I603" i="1"/>
  <c r="J603" i="1"/>
  <c r="EJ603" i="1"/>
  <c r="EK603" i="1"/>
  <c r="I604" i="1"/>
  <c r="J604" i="1"/>
  <c r="EJ604" i="1"/>
  <c r="EK604" i="1"/>
  <c r="I605" i="1"/>
  <c r="J605" i="1"/>
  <c r="EJ605" i="1"/>
  <c r="EK605" i="1"/>
  <c r="I606" i="1"/>
  <c r="J606" i="1"/>
  <c r="EJ606" i="1"/>
  <c r="EK606" i="1"/>
  <c r="I607" i="1"/>
  <c r="J607" i="1"/>
  <c r="EJ607" i="1"/>
  <c r="EK607" i="1"/>
  <c r="I608" i="1"/>
  <c r="J608" i="1"/>
  <c r="EJ608" i="1"/>
  <c r="EK608" i="1"/>
  <c r="I609" i="1"/>
  <c r="J609" i="1"/>
  <c r="EJ609" i="1"/>
  <c r="EK609" i="1"/>
  <c r="I610" i="1"/>
  <c r="J610" i="1"/>
  <c r="I611" i="1"/>
  <c r="J611" i="1"/>
  <c r="I612" i="1"/>
  <c r="J612" i="1"/>
  <c r="I613" i="1"/>
  <c r="J613" i="1"/>
  <c r="I614" i="1"/>
  <c r="J614" i="1"/>
  <c r="I615" i="1"/>
  <c r="J615" i="1"/>
  <c r="I616" i="1"/>
  <c r="J616" i="1"/>
  <c r="I617" i="1"/>
  <c r="J617" i="1"/>
  <c r="I618" i="1"/>
  <c r="J618" i="1"/>
  <c r="I619" i="1"/>
  <c r="J619" i="1"/>
  <c r="I620" i="1"/>
  <c r="J620" i="1"/>
  <c r="I621" i="1"/>
  <c r="J621" i="1"/>
  <c r="I622" i="1"/>
  <c r="J622" i="1"/>
  <c r="I623" i="1"/>
  <c r="J623" i="1"/>
  <c r="I624" i="1"/>
  <c r="J624" i="1"/>
  <c r="I625" i="1"/>
  <c r="J625" i="1"/>
  <c r="I626" i="1"/>
  <c r="J626" i="1"/>
  <c r="I627" i="1"/>
  <c r="J627" i="1"/>
  <c r="I628" i="1"/>
  <c r="J628" i="1"/>
  <c r="I629" i="1"/>
  <c r="J629" i="1"/>
  <c r="I630" i="1"/>
  <c r="J630" i="1"/>
  <c r="I631" i="1"/>
  <c r="J631" i="1"/>
  <c r="I632" i="1"/>
  <c r="J632" i="1"/>
  <c r="I633" i="1"/>
  <c r="J633" i="1"/>
  <c r="I634" i="1"/>
  <c r="J634" i="1"/>
  <c r="I635" i="1"/>
  <c r="J635" i="1"/>
  <c r="I636" i="1"/>
  <c r="J636" i="1"/>
  <c r="I637" i="1"/>
  <c r="J637" i="1"/>
  <c r="I638" i="1"/>
  <c r="J638" i="1"/>
  <c r="I639" i="1"/>
  <c r="J639" i="1"/>
  <c r="I640" i="1"/>
  <c r="J640" i="1"/>
  <c r="I641" i="1"/>
  <c r="J641" i="1"/>
  <c r="I642" i="1"/>
  <c r="J642" i="1"/>
  <c r="I643" i="1"/>
  <c r="J643" i="1"/>
  <c r="I644" i="1"/>
  <c r="J644" i="1"/>
  <c r="I645" i="1"/>
  <c r="J645" i="1"/>
  <c r="I646" i="1"/>
  <c r="J646" i="1"/>
  <c r="I647" i="1"/>
  <c r="J647" i="1"/>
  <c r="I648" i="1"/>
  <c r="J648" i="1"/>
  <c r="I649" i="1"/>
  <c r="J649" i="1"/>
  <c r="I650" i="1"/>
  <c r="J650" i="1"/>
  <c r="I651" i="1"/>
  <c r="J651" i="1"/>
  <c r="I652" i="1"/>
  <c r="J652" i="1"/>
  <c r="I653" i="1"/>
  <c r="J653" i="1"/>
  <c r="I654" i="1"/>
  <c r="J654" i="1"/>
  <c r="I655" i="1"/>
  <c r="J655" i="1"/>
  <c r="I656" i="1"/>
  <c r="J656" i="1"/>
  <c r="I657" i="1"/>
  <c r="J657" i="1"/>
  <c r="I658" i="1"/>
  <c r="J658" i="1"/>
  <c r="I659" i="1"/>
  <c r="J659" i="1"/>
  <c r="I660" i="1"/>
  <c r="J660" i="1"/>
  <c r="I661" i="1"/>
  <c r="J661" i="1"/>
  <c r="I662" i="1"/>
  <c r="J662" i="1"/>
  <c r="I663" i="1"/>
  <c r="J663" i="1"/>
  <c r="I664" i="1"/>
  <c r="J664" i="1"/>
  <c r="I665" i="1"/>
  <c r="J665" i="1"/>
  <c r="I666" i="1"/>
  <c r="J666" i="1"/>
  <c r="I667" i="1"/>
  <c r="J667" i="1"/>
  <c r="I668" i="1"/>
  <c r="J668" i="1"/>
  <c r="I669" i="1"/>
  <c r="J669" i="1"/>
  <c r="I670" i="1"/>
  <c r="J670" i="1"/>
  <c r="I671" i="1"/>
  <c r="J671" i="1"/>
  <c r="I672" i="1"/>
  <c r="J672" i="1"/>
  <c r="I673" i="1"/>
  <c r="J673" i="1"/>
  <c r="I674" i="1"/>
  <c r="J674" i="1"/>
  <c r="I675" i="1"/>
  <c r="J675" i="1"/>
  <c r="I676" i="1"/>
  <c r="J676" i="1"/>
  <c r="I677" i="1"/>
  <c r="J677" i="1"/>
  <c r="I678" i="1"/>
  <c r="J678" i="1"/>
  <c r="I679" i="1"/>
  <c r="J679" i="1"/>
  <c r="I680" i="1"/>
  <c r="J680" i="1"/>
  <c r="I681" i="1"/>
  <c r="J681" i="1"/>
  <c r="I682" i="1"/>
  <c r="J682" i="1"/>
  <c r="I683" i="1"/>
  <c r="J683" i="1"/>
  <c r="I684" i="1"/>
  <c r="J684" i="1"/>
  <c r="I685" i="1"/>
  <c r="J685" i="1"/>
  <c r="I686" i="1"/>
  <c r="J686" i="1"/>
  <c r="I687" i="1"/>
  <c r="J687" i="1"/>
  <c r="I688" i="1"/>
  <c r="J688" i="1"/>
  <c r="I689" i="1"/>
  <c r="J689" i="1"/>
  <c r="I690" i="1"/>
  <c r="J690" i="1"/>
  <c r="I691" i="1"/>
  <c r="J691" i="1"/>
  <c r="I692" i="1"/>
  <c r="J692" i="1"/>
  <c r="I693" i="1"/>
  <c r="J693" i="1"/>
  <c r="I694" i="1"/>
  <c r="J694" i="1"/>
  <c r="I695" i="1"/>
  <c r="J695" i="1"/>
  <c r="BH696" i="1"/>
  <c r="BI696" i="1"/>
  <c r="BH697" i="1"/>
  <c r="BI697" i="1"/>
  <c r="I702" i="1"/>
  <c r="J702" i="1"/>
  <c r="BW702" i="1"/>
  <c r="BX702" i="1"/>
  <c r="I703" i="1"/>
  <c r="J703" i="1"/>
  <c r="BW703" i="1"/>
  <c r="BX703" i="1"/>
  <c r="I704" i="1"/>
  <c r="J704" i="1"/>
  <c r="BH704" i="1"/>
  <c r="BI704" i="1"/>
  <c r="BW704" i="1"/>
  <c r="BX704" i="1"/>
  <c r="I705" i="1"/>
  <c r="J705" i="1"/>
  <c r="AY705" i="1"/>
  <c r="AZ705" i="1" s="1"/>
  <c r="BH705" i="1"/>
  <c r="BI705" i="1"/>
  <c r="BW705" i="1"/>
  <c r="BX705" i="1"/>
  <c r="I706" i="1"/>
  <c r="J706" i="1"/>
  <c r="AY706" i="1"/>
  <c r="AZ706" i="1" s="1"/>
  <c r="BH706" i="1"/>
  <c r="BI706" i="1"/>
  <c r="BW706" i="1"/>
  <c r="BX706" i="1"/>
  <c r="I707" i="1"/>
  <c r="J707" i="1"/>
  <c r="AY707" i="1"/>
  <c r="AZ707" i="1" s="1"/>
  <c r="BH707" i="1"/>
  <c r="BI707" i="1"/>
  <c r="BW707" i="1"/>
  <c r="BX707" i="1"/>
  <c r="I708" i="1"/>
  <c r="J708" i="1"/>
  <c r="AY708" i="1"/>
  <c r="AZ708" i="1" s="1"/>
  <c r="BH708" i="1"/>
  <c r="BI708" i="1"/>
  <c r="BW708" i="1"/>
  <c r="BX708" i="1"/>
  <c r="I709" i="1"/>
  <c r="J709" i="1"/>
  <c r="AY709" i="1"/>
  <c r="AZ709" i="1" s="1"/>
  <c r="BH709" i="1"/>
  <c r="BI709" i="1"/>
  <c r="BW709" i="1"/>
  <c r="BX709" i="1"/>
  <c r="I710" i="1"/>
  <c r="J710" i="1"/>
  <c r="AY710" i="1"/>
  <c r="AZ710" i="1" s="1"/>
  <c r="BH710" i="1"/>
  <c r="BI710" i="1"/>
  <c r="BW710" i="1"/>
  <c r="BX710" i="1"/>
  <c r="I711" i="1"/>
  <c r="J711" i="1"/>
  <c r="AY711" i="1"/>
  <c r="AZ711" i="1" s="1"/>
  <c r="BH711" i="1"/>
  <c r="BI711" i="1"/>
  <c r="BW711" i="1"/>
  <c r="BX711" i="1"/>
  <c r="BH712" i="1"/>
  <c r="BI712" i="1"/>
  <c r="BH713" i="1"/>
  <c r="BI713" i="1"/>
  <c r="BH714" i="1"/>
  <c r="BI714" i="1"/>
  <c r="BH715" i="1"/>
  <c r="BI715" i="1"/>
  <c r="BH716" i="1"/>
  <c r="BI716" i="1"/>
  <c r="BH717" i="1"/>
  <c r="BI717" i="1"/>
  <c r="BH718" i="1"/>
  <c r="BI718" i="1"/>
  <c r="BH719" i="1"/>
  <c r="BI719" i="1"/>
  <c r="BH720" i="1"/>
  <c r="BI720" i="1"/>
  <c r="BH721" i="1"/>
  <c r="BI721" i="1"/>
  <c r="BH722" i="1"/>
  <c r="BI722" i="1"/>
  <c r="BH723" i="1"/>
  <c r="BI723" i="1"/>
  <c r="BH724" i="1"/>
  <c r="BI724" i="1"/>
  <c r="BH725" i="1"/>
  <c r="BI725" i="1"/>
  <c r="BH726" i="1"/>
  <c r="BI726" i="1"/>
  <c r="BH727" i="1"/>
  <c r="BI727" i="1"/>
  <c r="BH728" i="1"/>
  <c r="BI728" i="1"/>
  <c r="BH729" i="1"/>
  <c r="BI729" i="1"/>
  <c r="BH731" i="1"/>
  <c r="BI731" i="1"/>
  <c r="I736" i="1"/>
  <c r="J736" i="1"/>
  <c r="BH736" i="1"/>
  <c r="BI736" i="1"/>
  <c r="EP736" i="1"/>
  <c r="I737" i="1"/>
  <c r="J737" i="1"/>
  <c r="BH737" i="1"/>
  <c r="BI737" i="1"/>
  <c r="EP737" i="1"/>
  <c r="I738" i="1"/>
  <c r="J738" i="1"/>
  <c r="BH738" i="1"/>
  <c r="BI738" i="1"/>
  <c r="EP738" i="1"/>
  <c r="I739" i="1"/>
  <c r="J739" i="1"/>
  <c r="GH739" i="1"/>
  <c r="GI739" i="1"/>
  <c r="HL739" i="1"/>
  <c r="HM739" i="1"/>
  <c r="I740" i="1"/>
  <c r="J740" i="1"/>
  <c r="GH740" i="1"/>
  <c r="GI740" i="1"/>
  <c r="HL740" i="1"/>
  <c r="HM740" i="1"/>
  <c r="I741" i="1"/>
  <c r="J741" i="1"/>
  <c r="GH741" i="1"/>
  <c r="GI741" i="1"/>
  <c r="HL741" i="1"/>
  <c r="HM741" i="1"/>
  <c r="I742" i="1"/>
  <c r="J742" i="1"/>
  <c r="GH742" i="1"/>
  <c r="GI742" i="1"/>
  <c r="HL742" i="1"/>
  <c r="HM742" i="1"/>
  <c r="I743" i="1"/>
  <c r="J743" i="1"/>
  <c r="HL743" i="1"/>
  <c r="HM743" i="1"/>
  <c r="I744" i="1"/>
  <c r="J744" i="1"/>
  <c r="HL744" i="1"/>
  <c r="HM744" i="1"/>
  <c r="I745" i="1"/>
  <c r="J745" i="1"/>
  <c r="I746" i="1"/>
  <c r="J746" i="1"/>
  <c r="HL746" i="1"/>
  <c r="HM746" i="1"/>
  <c r="I747" i="1"/>
  <c r="J747" i="1"/>
  <c r="BH747" i="1"/>
  <c r="BI747" i="1"/>
  <c r="BW747" i="1"/>
  <c r="DF747" i="1"/>
  <c r="DG747" i="1"/>
  <c r="I748" i="1"/>
  <c r="J748" i="1"/>
  <c r="BH748" i="1"/>
  <c r="BI748" i="1"/>
  <c r="DF748" i="1"/>
  <c r="DG748" i="1"/>
  <c r="I749" i="1"/>
  <c r="J749" i="1"/>
  <c r="BH749" i="1"/>
  <c r="BI749" i="1"/>
  <c r="DF749" i="1"/>
  <c r="DG749" i="1"/>
  <c r="I750" i="1"/>
  <c r="J750" i="1"/>
  <c r="BH750" i="1"/>
  <c r="BI750" i="1"/>
  <c r="BW750" i="1"/>
  <c r="DF750" i="1"/>
  <c r="DG750" i="1"/>
  <c r="I751" i="1"/>
  <c r="J751" i="1"/>
  <c r="BH751" i="1"/>
  <c r="BI751" i="1"/>
  <c r="DF751" i="1"/>
  <c r="I752" i="1"/>
  <c r="J752" i="1"/>
  <c r="BH752" i="1"/>
  <c r="BI752" i="1"/>
  <c r="DF752" i="1"/>
  <c r="I753" i="1"/>
  <c r="J753" i="1"/>
  <c r="AA753" i="1"/>
  <c r="I754" i="1"/>
  <c r="J754" i="1"/>
  <c r="AA754" i="1"/>
  <c r="I755" i="1"/>
  <c r="J755" i="1"/>
  <c r="AA755" i="1"/>
  <c r="I756" i="1"/>
  <c r="J756" i="1"/>
  <c r="AA756" i="1"/>
  <c r="I757" i="1"/>
  <c r="J757" i="1"/>
  <c r="AA757" i="1"/>
  <c r="I758" i="1"/>
  <c r="J758" i="1"/>
  <c r="AA758" i="1"/>
  <c r="I759" i="1"/>
  <c r="J759" i="1"/>
  <c r="AA759" i="1"/>
  <c r="I760" i="1"/>
  <c r="J760" i="1"/>
  <c r="AA760" i="1"/>
  <c r="I761" i="1"/>
  <c r="J761" i="1"/>
  <c r="AA761" i="1"/>
  <c r="I762" i="1"/>
  <c r="J762" i="1"/>
  <c r="AA762" i="1"/>
  <c r="I763" i="1"/>
  <c r="J763" i="1"/>
  <c r="AA763" i="1"/>
  <c r="I764" i="1"/>
  <c r="J764" i="1"/>
  <c r="AA764" i="1"/>
  <c r="I765" i="1"/>
  <c r="J765" i="1"/>
  <c r="AA765" i="1"/>
  <c r="I766" i="1"/>
  <c r="J766" i="1"/>
  <c r="AA766" i="1"/>
  <c r="HL767" i="1"/>
  <c r="IA767" i="1"/>
  <c r="IB767" i="1"/>
  <c r="IF767" i="1"/>
  <c r="IG767" i="1"/>
  <c r="HL768" i="1"/>
  <c r="IA768" i="1"/>
  <c r="IB768" i="1"/>
  <c r="IF768" i="1"/>
  <c r="IG768" i="1"/>
  <c r="HL769" i="1"/>
  <c r="IA769" i="1"/>
  <c r="IB769" i="1"/>
  <c r="IF769" i="1"/>
  <c r="IG769" i="1"/>
  <c r="HL770" i="1"/>
  <c r="IA770" i="1"/>
  <c r="IB770" i="1"/>
  <c r="IF770" i="1"/>
  <c r="IG770" i="1"/>
  <c r="HL771" i="1"/>
  <c r="IA771" i="1"/>
  <c r="IB771" i="1"/>
  <c r="IF771" i="1"/>
  <c r="IG771" i="1"/>
  <c r="IA772" i="1"/>
  <c r="IB772" i="1"/>
  <c r="IF772" i="1"/>
  <c r="IG772" i="1"/>
  <c r="IA773" i="1"/>
  <c r="IB773" i="1"/>
  <c r="IF773" i="1"/>
  <c r="IG773" i="1"/>
  <c r="IA774" i="1"/>
  <c r="IB774" i="1"/>
  <c r="IF774" i="1"/>
  <c r="IG774" i="1"/>
  <c r="IA775" i="1"/>
  <c r="IB775" i="1"/>
  <c r="IF775" i="1"/>
  <c r="IG775" i="1"/>
  <c r="IA776" i="1"/>
  <c r="IB776" i="1"/>
  <c r="IF776" i="1"/>
  <c r="IG776" i="1"/>
  <c r="IA777" i="1"/>
  <c r="IB777" i="1"/>
  <c r="IF777" i="1"/>
  <c r="IG777" i="1"/>
  <c r="IA778" i="1"/>
  <c r="IB778" i="1"/>
  <c r="IF778" i="1"/>
  <c r="IG778" i="1"/>
  <c r="IA779" i="1"/>
  <c r="IB779" i="1"/>
  <c r="IF779" i="1"/>
  <c r="IG779" i="1"/>
  <c r="IA780" i="1"/>
  <c r="IB780" i="1"/>
  <c r="IF780" i="1"/>
  <c r="IG780" i="1"/>
  <c r="IA781" i="1"/>
  <c r="IB781" i="1"/>
  <c r="IF781" i="1"/>
  <c r="IG781" i="1"/>
  <c r="IA782" i="1"/>
  <c r="IB782" i="1"/>
  <c r="IF782" i="1"/>
  <c r="IG782" i="1"/>
  <c r="IA783" i="1"/>
  <c r="IB783" i="1"/>
  <c r="IF783" i="1"/>
  <c r="IG783" i="1"/>
  <c r="IA784" i="1"/>
  <c r="IB784" i="1"/>
  <c r="IF784" i="1"/>
  <c r="IG784" i="1"/>
  <c r="IF785" i="1"/>
  <c r="IG785" i="1"/>
  <c r="IA786" i="1"/>
  <c r="IB786" i="1"/>
  <c r="IF786" i="1"/>
  <c r="IG786" i="1"/>
  <c r="IA787" i="1"/>
  <c r="IB787" i="1"/>
  <c r="IF787" i="1"/>
  <c r="IG787" i="1"/>
  <c r="IA788" i="1"/>
  <c r="IB788" i="1"/>
  <c r="IF788" i="1"/>
  <c r="IG788" i="1"/>
  <c r="IA789" i="1"/>
  <c r="IB789" i="1"/>
  <c r="IF789" i="1"/>
  <c r="IG789" i="1"/>
  <c r="IA790" i="1"/>
  <c r="IB790" i="1"/>
  <c r="IF790" i="1"/>
  <c r="IG790" i="1"/>
  <c r="I791" i="1"/>
  <c r="J791" i="1"/>
  <c r="I792" i="1"/>
  <c r="J792" i="1"/>
  <c r="Y793" i="1"/>
  <c r="HL793" i="1"/>
  <c r="HM793" i="1"/>
  <c r="Y794" i="1"/>
  <c r="HL794" i="1"/>
  <c r="HM794" i="1"/>
  <c r="Y795" i="1"/>
  <c r="BS795" i="1"/>
  <c r="Y796" i="1"/>
  <c r="BR796" i="1"/>
  <c r="BS796" i="1"/>
  <c r="Y797" i="1"/>
  <c r="BR797" i="1"/>
  <c r="BS797" i="1"/>
  <c r="Y798" i="1"/>
  <c r="BR798" i="1"/>
  <c r="BS798" i="1"/>
  <c r="Y799" i="1"/>
  <c r="BR799" i="1"/>
  <c r="BS799" i="1"/>
  <c r="Y800" i="1"/>
  <c r="BR800" i="1"/>
  <c r="BS800" i="1"/>
  <c r="Y801" i="1"/>
  <c r="BR801" i="1"/>
  <c r="BS801" i="1"/>
  <c r="Y802" i="1"/>
  <c r="BR802" i="1"/>
  <c r="BS802" i="1"/>
  <c r="Y803" i="1"/>
  <c r="BR803" i="1"/>
  <c r="BS803" i="1"/>
  <c r="Y804" i="1"/>
  <c r="BR804" i="1"/>
  <c r="BS804" i="1"/>
  <c r="Y805" i="1"/>
  <c r="BR805" i="1"/>
  <c r="BS805" i="1"/>
  <c r="Y806" i="1"/>
  <c r="BR806" i="1"/>
  <c r="BS806" i="1"/>
  <c r="Y807" i="1"/>
  <c r="BR807" i="1"/>
  <c r="BS807" i="1"/>
  <c r="Y808" i="1"/>
  <c r="BR808" i="1"/>
  <c r="BS808" i="1"/>
  <c r="Y809" i="1"/>
  <c r="BR809" i="1"/>
  <c r="BS809" i="1"/>
  <c r="Y810" i="1"/>
  <c r="BR810" i="1"/>
  <c r="BS810" i="1"/>
  <c r="AD885" i="1"/>
  <c r="AZ885" i="1"/>
  <c r="AD886" i="1"/>
  <c r="AZ886" i="1"/>
  <c r="AD887" i="1"/>
  <c r="AZ887" i="1"/>
  <c r="AD888" i="1"/>
  <c r="AZ888" i="1"/>
  <c r="AD889" i="1"/>
  <c r="AZ889" i="1"/>
  <c r="AD890" i="1"/>
  <c r="AZ890" i="1"/>
  <c r="AD891" i="1"/>
  <c r="AZ891" i="1"/>
  <c r="AD892" i="1"/>
  <c r="AZ892" i="1"/>
  <c r="AD893" i="1"/>
  <c r="AZ893" i="1"/>
  <c r="BR894" i="1"/>
  <c r="BW894" i="1"/>
  <c r="BX894" i="1"/>
  <c r="BR895" i="1"/>
  <c r="BW895" i="1"/>
  <c r="BR896" i="1"/>
  <c r="BW896" i="1"/>
  <c r="BR897" i="1"/>
  <c r="BR898" i="1"/>
  <c r="BR899" i="1"/>
  <c r="BR903" i="1"/>
  <c r="BR904" i="1"/>
  <c r="BW909" i="1"/>
  <c r="CG909" i="1"/>
  <c r="CH909" i="1"/>
  <c r="CG913" i="1"/>
  <c r="CH913" i="1"/>
  <c r="CG914" i="1"/>
  <c r="CH914" i="1"/>
  <c r="BW943" i="1"/>
  <c r="BX943" i="1"/>
  <c r="BW944" i="1"/>
  <c r="BX944" i="1"/>
  <c r="BW945" i="1"/>
  <c r="BX945" i="1"/>
  <c r="BW947" i="1"/>
  <c r="BX947" i="1"/>
  <c r="BW948" i="1"/>
  <c r="BX948" i="1"/>
  <c r="BW949" i="1"/>
  <c r="BX949" i="1"/>
  <c r="BW951" i="1"/>
  <c r="BX951" i="1"/>
  <c r="BW952" i="1"/>
  <c r="BX952" i="1"/>
  <c r="BW953" i="1"/>
  <c r="BX953" i="1"/>
  <c r="BW955" i="1"/>
  <c r="BX955" i="1"/>
  <c r="BW956" i="1"/>
  <c r="BX956" i="1"/>
  <c r="BW958" i="1"/>
  <c r="BX958" i="1"/>
  <c r="BW959" i="1"/>
  <c r="BX959" i="1"/>
  <c r="BW960" i="1"/>
  <c r="BX960" i="1"/>
  <c r="BW962" i="1"/>
  <c r="BX962" i="1"/>
  <c r="BW963" i="1"/>
  <c r="BX963" i="1"/>
  <c r="BW964" i="1"/>
  <c r="BX964" i="1"/>
  <c r="BW966" i="1"/>
  <c r="BX966" i="1"/>
  <c r="I967" i="1"/>
  <c r="J967" i="1"/>
  <c r="AY967" i="1"/>
  <c r="AZ967" i="1" s="1"/>
  <c r="BW967" i="1"/>
  <c r="BX967" i="1"/>
  <c r="EY967" i="1"/>
  <c r="EZ967" i="1"/>
  <c r="I968" i="1"/>
  <c r="J968" i="1"/>
  <c r="AZ968" i="1"/>
  <c r="BW968" i="1"/>
  <c r="BX968" i="1"/>
  <c r="EY968" i="1"/>
  <c r="EZ968" i="1"/>
  <c r="I969" i="1"/>
  <c r="J969" i="1"/>
  <c r="AY969" i="1"/>
  <c r="AZ969" i="1" s="1"/>
  <c r="BW969" i="1"/>
  <c r="BX969" i="1"/>
  <c r="EY969" i="1"/>
  <c r="EZ969" i="1"/>
  <c r="I970" i="1"/>
  <c r="J970" i="1"/>
  <c r="AZ970" i="1"/>
  <c r="BW970" i="1"/>
  <c r="BX970" i="1"/>
  <c r="EY970" i="1"/>
  <c r="EZ970" i="1"/>
  <c r="I971" i="1"/>
  <c r="J971" i="1"/>
  <c r="AZ971" i="1"/>
  <c r="BW971" i="1"/>
  <c r="BX971" i="1"/>
  <c r="EY971" i="1"/>
  <c r="EZ971" i="1"/>
  <c r="I972" i="1"/>
  <c r="J972" i="1"/>
  <c r="AY972" i="1"/>
  <c r="AZ972" i="1" s="1"/>
  <c r="BW972" i="1"/>
  <c r="BX972" i="1"/>
  <c r="EY972" i="1"/>
  <c r="EZ972" i="1"/>
  <c r="I973" i="1"/>
  <c r="J973" i="1"/>
  <c r="AZ973" i="1"/>
  <c r="BW973" i="1"/>
  <c r="BX973" i="1"/>
  <c r="EY973" i="1"/>
  <c r="EZ973" i="1"/>
  <c r="I974" i="1"/>
  <c r="J974" i="1"/>
  <c r="AY974" i="1"/>
  <c r="AZ974" i="1" s="1"/>
  <c r="BW974" i="1"/>
  <c r="BX974" i="1"/>
  <c r="EY974" i="1"/>
  <c r="EZ974" i="1"/>
  <c r="I975" i="1"/>
  <c r="J975" i="1"/>
  <c r="AZ975" i="1"/>
  <c r="BW975" i="1"/>
  <c r="BX975" i="1"/>
  <c r="EY975" i="1"/>
  <c r="EZ975" i="1"/>
  <c r="I976" i="1"/>
  <c r="J976" i="1"/>
  <c r="AZ976" i="1"/>
  <c r="BW976" i="1"/>
  <c r="EY976" i="1"/>
  <c r="EZ976" i="1"/>
  <c r="I977" i="1"/>
  <c r="J977" i="1"/>
  <c r="AY977" i="1"/>
  <c r="AZ977" i="1" s="1"/>
  <c r="EY977" i="1"/>
  <c r="EZ977" i="1"/>
  <c r="I978" i="1"/>
  <c r="J978" i="1"/>
  <c r="AZ978" i="1"/>
  <c r="EY978" i="1"/>
  <c r="EZ978" i="1"/>
  <c r="I979" i="1"/>
  <c r="J979" i="1"/>
  <c r="AY979" i="1"/>
  <c r="AZ979" i="1" s="1"/>
  <c r="EY979" i="1"/>
  <c r="EZ979" i="1"/>
  <c r="I980" i="1"/>
  <c r="J980" i="1"/>
  <c r="AZ980" i="1"/>
  <c r="EY980" i="1"/>
  <c r="EZ980" i="1"/>
  <c r="I981" i="1"/>
  <c r="J981" i="1"/>
  <c r="AZ981" i="1"/>
  <c r="EY981" i="1"/>
  <c r="EZ981" i="1"/>
  <c r="I982" i="1"/>
  <c r="J982" i="1"/>
  <c r="AY982" i="1"/>
  <c r="AZ982" i="1" s="1"/>
  <c r="EY982" i="1"/>
  <c r="EZ982" i="1"/>
  <c r="I983" i="1"/>
  <c r="J983" i="1"/>
  <c r="AZ983" i="1"/>
  <c r="EY983" i="1"/>
  <c r="EZ983" i="1"/>
  <c r="I984" i="1"/>
  <c r="J984" i="1"/>
  <c r="AY984" i="1"/>
  <c r="AZ984" i="1" s="1"/>
  <c r="EY984" i="1"/>
  <c r="EZ984" i="1"/>
  <c r="I985" i="1"/>
  <c r="J985" i="1"/>
  <c r="AZ985" i="1"/>
  <c r="EY985" i="1"/>
  <c r="EZ985" i="1"/>
  <c r="I986" i="1"/>
  <c r="J986" i="1"/>
  <c r="AZ986" i="1"/>
  <c r="EY986" i="1"/>
  <c r="EZ986" i="1"/>
  <c r="I987" i="1"/>
  <c r="J987" i="1"/>
  <c r="AY987" i="1"/>
  <c r="AZ987" i="1" s="1"/>
  <c r="EY987" i="1"/>
  <c r="EZ987" i="1"/>
  <c r="I988" i="1"/>
  <c r="J988" i="1"/>
  <c r="AZ988" i="1"/>
  <c r="EY988" i="1"/>
  <c r="EZ988" i="1"/>
  <c r="I989" i="1"/>
  <c r="J989" i="1"/>
  <c r="AY989" i="1"/>
  <c r="AZ989" i="1" s="1"/>
  <c r="EY989" i="1"/>
  <c r="EZ989" i="1"/>
  <c r="I990" i="1"/>
  <c r="J990" i="1"/>
  <c r="AZ990" i="1"/>
  <c r="EY990" i="1"/>
  <c r="EZ990" i="1"/>
  <c r="I991" i="1"/>
  <c r="J991" i="1"/>
  <c r="AZ991" i="1"/>
  <c r="EY991" i="1"/>
  <c r="EZ991" i="1"/>
  <c r="I992" i="1"/>
  <c r="J992" i="1"/>
  <c r="AY992" i="1"/>
  <c r="AZ992" i="1" s="1"/>
  <c r="EY992" i="1"/>
  <c r="EZ992" i="1"/>
  <c r="I993" i="1"/>
  <c r="J993" i="1"/>
  <c r="AZ993" i="1"/>
  <c r="EY993" i="1"/>
  <c r="EZ993" i="1"/>
  <c r="I994" i="1"/>
  <c r="J994" i="1"/>
  <c r="AY994" i="1"/>
  <c r="AZ994" i="1" s="1"/>
  <c r="EY994" i="1"/>
  <c r="EZ994" i="1"/>
  <c r="I995" i="1"/>
  <c r="J995" i="1"/>
  <c r="AZ995" i="1"/>
  <c r="EY995" i="1"/>
  <c r="EZ995" i="1"/>
  <c r="I996" i="1"/>
  <c r="J996" i="1"/>
  <c r="AZ996" i="1"/>
  <c r="EY996" i="1"/>
  <c r="EZ996" i="1"/>
  <c r="BR997" i="1"/>
  <c r="BS997" i="1"/>
  <c r="DF997" i="1"/>
  <c r="DG997" i="1"/>
  <c r="EE997" i="1"/>
  <c r="EF997" i="1"/>
  <c r="BR998" i="1"/>
  <c r="BS998" i="1"/>
  <c r="DF998" i="1"/>
  <c r="DG998" i="1"/>
  <c r="EE998" i="1"/>
  <c r="EF998" i="1"/>
  <c r="BR999" i="1"/>
  <c r="BS999" i="1"/>
  <c r="DF999" i="1"/>
  <c r="DG999" i="1"/>
  <c r="EE999" i="1"/>
  <c r="EF999" i="1"/>
  <c r="I1000" i="1"/>
  <c r="J1000" i="1"/>
  <c r="FX1000" i="1"/>
  <c r="FY1000" i="1"/>
  <c r="I1001" i="1"/>
  <c r="J1001" i="1"/>
  <c r="FX1001" i="1"/>
  <c r="FY1001" i="1"/>
  <c r="I1002" i="1"/>
  <c r="J1002" i="1"/>
  <c r="FX1002" i="1"/>
  <c r="FY1002" i="1"/>
  <c r="I1003" i="1"/>
  <c r="J1003" i="1"/>
  <c r="FX1003" i="1"/>
  <c r="FY1003" i="1"/>
  <c r="I1004" i="1"/>
  <c r="J1004" i="1"/>
  <c r="FX1004" i="1"/>
  <c r="FY1004" i="1"/>
  <c r="I1005" i="1"/>
  <c r="J1005" i="1"/>
  <c r="FX1005" i="1"/>
  <c r="FY1005" i="1"/>
  <c r="I1006" i="1"/>
  <c r="J1006" i="1"/>
  <c r="FX1006" i="1"/>
  <c r="FY1006" i="1"/>
  <c r="I1007" i="1"/>
  <c r="J1007" i="1"/>
  <c r="FX1007" i="1"/>
  <c r="FY1007" i="1"/>
  <c r="I1008" i="1"/>
  <c r="J1008" i="1"/>
  <c r="FX1008" i="1"/>
  <c r="FY1008" i="1"/>
  <c r="I1009" i="1"/>
  <c r="J1009" i="1"/>
  <c r="FX1009" i="1"/>
  <c r="FY1009" i="1"/>
  <c r="I1010" i="1"/>
  <c r="J1010" i="1"/>
  <c r="FX1010" i="1"/>
  <c r="FY1010" i="1"/>
  <c r="I1011" i="1"/>
  <c r="J1011" i="1"/>
  <c r="FX1011" i="1"/>
  <c r="FY1011" i="1"/>
  <c r="I1012" i="1"/>
  <c r="J1012" i="1"/>
  <c r="FX1012" i="1"/>
  <c r="FY1012" i="1"/>
  <c r="I1013" i="1"/>
  <c r="J1013" i="1"/>
  <c r="FX1013" i="1"/>
  <c r="FY1013" i="1"/>
  <c r="I1014" i="1"/>
  <c r="J1014" i="1"/>
  <c r="FX1014" i="1"/>
  <c r="FY1014" i="1"/>
  <c r="I1015" i="1"/>
  <c r="J1015" i="1"/>
  <c r="FX1015" i="1"/>
  <c r="FY1015" i="1"/>
  <c r="AZ1042" i="1"/>
  <c r="AZ1043" i="1"/>
  <c r="AZ1044" i="1"/>
  <c r="AZ1045" i="1"/>
  <c r="AZ1048" i="1"/>
  <c r="AZ1049" i="1"/>
  <c r="AZ1050" i="1"/>
  <c r="AZ1051" i="1"/>
  <c r="AZ1054" i="1"/>
  <c r="AZ1055" i="1"/>
  <c r="AZ1056" i="1"/>
  <c r="AZ1057" i="1"/>
  <c r="AZ1060" i="1"/>
  <c r="AZ1061" i="1"/>
  <c r="AZ1062" i="1"/>
  <c r="AZ1063" i="1"/>
  <c r="BW1066" i="1"/>
  <c r="BX1066" i="1"/>
  <c r="BW1067" i="1"/>
  <c r="BX1067" i="1"/>
  <c r="BW1070" i="1"/>
  <c r="BX1070" i="1"/>
  <c r="BW1071" i="1"/>
  <c r="BX1071" i="1"/>
  <c r="BW1074" i="1"/>
  <c r="BX1074" i="1"/>
  <c r="BW1078" i="1"/>
  <c r="BX1078" i="1"/>
  <c r="BW1082" i="1"/>
  <c r="BX1082" i="1"/>
  <c r="BW1085" i="1"/>
  <c r="BX1085" i="1"/>
  <c r="N1088" i="1"/>
  <c r="O1088" i="1"/>
  <c r="Z1088" i="1"/>
  <c r="AA1088" i="1"/>
  <c r="AY1088" i="1"/>
  <c r="BW1088" i="1"/>
  <c r="BX1088" i="1"/>
  <c r="N1089" i="1"/>
  <c r="O1089" i="1"/>
  <c r="Z1089" i="1"/>
  <c r="AA1089" i="1"/>
  <c r="AY1089" i="1"/>
  <c r="BW1089" i="1"/>
  <c r="BX1089" i="1"/>
  <c r="N1090" i="1"/>
  <c r="O1090" i="1"/>
  <c r="Z1090" i="1"/>
  <c r="AA1090" i="1"/>
  <c r="AY1090" i="1"/>
  <c r="BW1090" i="1"/>
  <c r="BX1090" i="1"/>
  <c r="N1091" i="1"/>
  <c r="O1091" i="1"/>
  <c r="Z1091" i="1"/>
  <c r="AA1091" i="1"/>
  <c r="AY1091" i="1"/>
  <c r="BX1091" i="1"/>
  <c r="N1092" i="1"/>
  <c r="O1092" i="1"/>
  <c r="Z1092" i="1"/>
  <c r="AA1092" i="1"/>
  <c r="AY1092" i="1"/>
  <c r="BX1092" i="1"/>
  <c r="N1093" i="1"/>
  <c r="O1093" i="1"/>
  <c r="Z1093" i="1"/>
  <c r="AA1093" i="1"/>
  <c r="AY1093" i="1"/>
  <c r="BX1093" i="1"/>
  <c r="N1094" i="1"/>
  <c r="O1094" i="1"/>
  <c r="Z1094" i="1"/>
  <c r="AA1094" i="1"/>
  <c r="AY1094" i="1"/>
  <c r="BW1094" i="1"/>
  <c r="BX1094" i="1"/>
  <c r="N1095" i="1"/>
  <c r="O1095" i="1"/>
  <c r="Z1095" i="1"/>
  <c r="AA1095" i="1"/>
  <c r="AY1095" i="1"/>
  <c r="BW1095" i="1"/>
  <c r="BX1095" i="1"/>
  <c r="N1096" i="1"/>
  <c r="O1096" i="1"/>
  <c r="Z1096" i="1"/>
  <c r="AA1096" i="1"/>
  <c r="AY1096" i="1"/>
  <c r="BW1096" i="1"/>
  <c r="BX1096" i="1"/>
  <c r="N1097" i="1"/>
  <c r="O1097" i="1"/>
  <c r="Z1097" i="1"/>
  <c r="AA1097" i="1"/>
  <c r="AY1097" i="1"/>
  <c r="BW1097" i="1"/>
  <c r="BX1097" i="1"/>
  <c r="N1098" i="1"/>
  <c r="O1098" i="1"/>
  <c r="Z1098" i="1"/>
  <c r="AA1098" i="1"/>
  <c r="AY1098" i="1"/>
  <c r="N1099" i="1"/>
  <c r="O1099" i="1"/>
  <c r="Z1099" i="1"/>
  <c r="AA1099" i="1"/>
  <c r="AY1099" i="1"/>
  <c r="N1100" i="1"/>
  <c r="O1100" i="1"/>
  <c r="Z1100" i="1"/>
  <c r="AA1100" i="1"/>
  <c r="AY1100" i="1"/>
  <c r="BW1100" i="1"/>
  <c r="BX1100" i="1"/>
  <c r="N1101" i="1"/>
  <c r="O1101" i="1"/>
  <c r="Z1101" i="1"/>
  <c r="AA1101" i="1"/>
  <c r="AY1101" i="1"/>
  <c r="N1102" i="1"/>
  <c r="O1102" i="1"/>
  <c r="Z1102" i="1"/>
  <c r="AA1102" i="1"/>
  <c r="AY1102" i="1"/>
  <c r="N1103" i="1"/>
  <c r="O1103" i="1"/>
  <c r="Z1103" i="1"/>
  <c r="AA1103" i="1"/>
  <c r="N1104" i="1"/>
  <c r="O1104" i="1"/>
  <c r="Z1104" i="1"/>
  <c r="AA1104" i="1"/>
  <c r="N1105" i="1"/>
  <c r="O1105" i="1"/>
  <c r="Z1105" i="1"/>
  <c r="AA1105" i="1"/>
  <c r="N1106" i="1"/>
  <c r="O1106" i="1"/>
  <c r="Z1106" i="1"/>
  <c r="AA1106" i="1"/>
  <c r="N1107" i="1"/>
  <c r="O1107" i="1"/>
  <c r="Z1107" i="1"/>
  <c r="AA1107" i="1"/>
  <c r="N1108" i="1"/>
  <c r="O1108" i="1"/>
  <c r="Z1108" i="1"/>
  <c r="AA1108" i="1"/>
  <c r="N1109" i="1"/>
  <c r="O1109" i="1"/>
  <c r="Z1109" i="1"/>
  <c r="AA1109" i="1"/>
  <c r="N1110" i="1"/>
  <c r="O1110" i="1"/>
  <c r="Z1110" i="1"/>
  <c r="AA1110" i="1"/>
  <c r="N1111" i="1"/>
  <c r="O1111" i="1"/>
  <c r="Z1111" i="1"/>
  <c r="AA1111" i="1"/>
  <c r="O1112" i="1"/>
  <c r="Z1112" i="1"/>
  <c r="AA1112" i="1"/>
  <c r="O1113" i="1"/>
  <c r="Z1113" i="1"/>
  <c r="AA1113" i="1"/>
  <c r="O1114" i="1"/>
  <c r="Z1114" i="1"/>
  <c r="AA1114" i="1"/>
  <c r="O1115" i="1"/>
  <c r="Z1115" i="1"/>
  <c r="AA1115" i="1"/>
  <c r="O1116" i="1"/>
  <c r="Z1116" i="1"/>
  <c r="AA1116" i="1"/>
  <c r="O1117" i="1"/>
  <c r="Z1117" i="1"/>
  <c r="AA1117" i="1"/>
  <c r="O1118" i="1"/>
  <c r="Z1118" i="1"/>
  <c r="AA1118" i="1"/>
  <c r="O1119" i="1"/>
  <c r="Z1119" i="1"/>
  <c r="AA1119" i="1"/>
  <c r="O1120" i="1"/>
  <c r="Z1120" i="1"/>
  <c r="AA1120" i="1"/>
  <c r="N1121" i="1"/>
  <c r="O1121" i="1"/>
  <c r="Z1121" i="1"/>
  <c r="AA1121" i="1"/>
  <c r="AY1121" i="1"/>
  <c r="N1122" i="1"/>
  <c r="O1122" i="1"/>
  <c r="Z1122" i="1"/>
  <c r="AA1122" i="1"/>
  <c r="N1123" i="1"/>
  <c r="O1123" i="1"/>
  <c r="Z1123" i="1"/>
  <c r="AA1123" i="1"/>
  <c r="N1124" i="1"/>
  <c r="O1124" i="1"/>
  <c r="Z1124" i="1"/>
  <c r="AA1124" i="1"/>
  <c r="N1125" i="1"/>
  <c r="O1125" i="1"/>
  <c r="Z1125" i="1"/>
  <c r="AA1125" i="1"/>
  <c r="N1126" i="1"/>
  <c r="O1126" i="1"/>
  <c r="Z1126" i="1"/>
  <c r="AA1126" i="1"/>
  <c r="O1127" i="1"/>
  <c r="Z1127" i="1"/>
  <c r="AA1127" i="1"/>
  <c r="O1128" i="1"/>
  <c r="Z1128" i="1"/>
  <c r="AA1128" i="1"/>
  <c r="O1129" i="1"/>
  <c r="Z1129" i="1"/>
  <c r="AA1129" i="1"/>
  <c r="O1130" i="1"/>
  <c r="Z1130" i="1"/>
  <c r="AA1130" i="1"/>
  <c r="O1131" i="1"/>
  <c r="Z1131" i="1"/>
  <c r="AA1131" i="1"/>
  <c r="O1132" i="1"/>
  <c r="Z1132" i="1"/>
  <c r="AA1132" i="1"/>
  <c r="O1133" i="1"/>
  <c r="Z1133" i="1"/>
  <c r="AA1133" i="1"/>
  <c r="O1134" i="1"/>
  <c r="Z1134" i="1"/>
  <c r="AA1134" i="1"/>
  <c r="O1135" i="1"/>
  <c r="Z1135" i="1"/>
  <c r="AA1135" i="1"/>
  <c r="O1136" i="1"/>
  <c r="Z1136" i="1"/>
  <c r="AA1136" i="1"/>
  <c r="O1137" i="1"/>
  <c r="Z1137" i="1"/>
  <c r="AA1137" i="1"/>
  <c r="O1138" i="1"/>
  <c r="Z1138" i="1"/>
  <c r="AA1138" i="1"/>
  <c r="N1139" i="1"/>
  <c r="O1139" i="1"/>
  <c r="Z1139" i="1"/>
  <c r="AA1139" i="1"/>
  <c r="AY1139" i="1"/>
  <c r="N1140" i="1"/>
  <c r="O1140" i="1"/>
  <c r="Z1140" i="1"/>
  <c r="AA1140" i="1"/>
  <c r="N1141" i="1"/>
  <c r="O1141" i="1"/>
  <c r="Z1141" i="1"/>
  <c r="AA1141" i="1"/>
  <c r="N1142" i="1"/>
  <c r="O1142" i="1"/>
  <c r="Z1142" i="1"/>
  <c r="AA1142" i="1"/>
  <c r="N1143" i="1"/>
  <c r="O1143" i="1"/>
  <c r="Z1143" i="1"/>
  <c r="AA1143" i="1"/>
  <c r="N1144" i="1"/>
  <c r="O1144" i="1"/>
  <c r="Z1144" i="1"/>
  <c r="AA1144" i="1"/>
  <c r="O1145" i="1"/>
  <c r="Z1145" i="1"/>
  <c r="AA1145" i="1"/>
  <c r="O1146" i="1"/>
  <c r="Z1146" i="1"/>
  <c r="AA1146" i="1"/>
  <c r="O1147" i="1"/>
  <c r="Z1147" i="1"/>
  <c r="AA1147" i="1"/>
  <c r="O1148" i="1"/>
  <c r="Z1148" i="1"/>
  <c r="AA1148" i="1"/>
  <c r="O1149" i="1"/>
  <c r="Z1149" i="1"/>
  <c r="AA1149" i="1"/>
  <c r="O1150" i="1"/>
  <c r="Z1150" i="1"/>
  <c r="AA1150" i="1"/>
  <c r="O1151" i="1"/>
  <c r="Z1151" i="1"/>
  <c r="AA1151" i="1"/>
  <c r="O1152" i="1"/>
  <c r="Z1152" i="1"/>
  <c r="AA1152" i="1"/>
  <c r="O1153" i="1"/>
  <c r="Z1153" i="1"/>
  <c r="AA1153" i="1"/>
  <c r="O1154" i="1"/>
  <c r="Z1154" i="1"/>
  <c r="AA1154" i="1"/>
  <c r="O1155" i="1"/>
  <c r="Z1155" i="1"/>
  <c r="AA1155" i="1"/>
  <c r="O1156" i="1"/>
  <c r="Z1156" i="1"/>
  <c r="AA1156" i="1"/>
  <c r="GW1186" i="1"/>
  <c r="GX1186" i="1"/>
  <c r="HL1186" i="1"/>
  <c r="GW1187" i="1"/>
  <c r="GX1187" i="1"/>
  <c r="GW1188" i="1"/>
  <c r="GX1188" i="1"/>
  <c r="GW1189" i="1"/>
  <c r="GX1189" i="1"/>
  <c r="FD1206" i="1"/>
  <c r="FE1206" i="1"/>
  <c r="FD1209" i="1"/>
  <c r="FE1209" i="1"/>
  <c r="FD1212" i="1"/>
  <c r="FE1212" i="1"/>
  <c r="AZ1247" i="1"/>
  <c r="AZ1248" i="1"/>
  <c r="AZ1249" i="1"/>
  <c r="AZ1250" i="1"/>
  <c r="AZ1251" i="1"/>
  <c r="AZ1296" i="1"/>
  <c r="AZ1297" i="1"/>
  <c r="AZ1298" i="1"/>
  <c r="AZ1299" i="1"/>
  <c r="AZ1300" i="1"/>
  <c r="AZ1301" i="1"/>
  <c r="AZ1302" i="1"/>
  <c r="AZ1303" i="1"/>
  <c r="AZ1304" i="1"/>
  <c r="AZ1305" i="1"/>
  <c r="AZ1308" i="1"/>
  <c r="AZ1309" i="1"/>
  <c r="AZ1310" i="1"/>
  <c r="AZ1311" i="1"/>
  <c r="AZ1312" i="1"/>
  <c r="AZ1313" i="1"/>
  <c r="AZ1314" i="1"/>
  <c r="AZ1315" i="1"/>
  <c r="AZ1316" i="1"/>
  <c r="AZ1317" i="1"/>
  <c r="I1318" i="1"/>
  <c r="J1318" i="1"/>
  <c r="DU1318" i="1"/>
  <c r="DV1318" i="1"/>
  <c r="DZ1318" i="1"/>
  <c r="EA1318" i="1"/>
  <c r="I1319" i="1"/>
  <c r="J1319" i="1"/>
  <c r="DU1319" i="1"/>
  <c r="DV1319" i="1"/>
  <c r="DZ1319" i="1"/>
  <c r="EA1319" i="1"/>
  <c r="I1320" i="1"/>
  <c r="J1320" i="1"/>
  <c r="DU1320" i="1"/>
  <c r="DV1320" i="1"/>
  <c r="DZ1320" i="1"/>
  <c r="EA1320" i="1"/>
  <c r="I1321" i="1"/>
  <c r="J1321" i="1"/>
  <c r="I1322" i="1"/>
  <c r="J1322" i="1"/>
  <c r="BR1322" i="1"/>
  <c r="BS1322" i="1"/>
  <c r="DV1322" i="1"/>
  <c r="DZ1322" i="1"/>
  <c r="EA1322" i="1"/>
  <c r="I1323" i="1"/>
  <c r="J1323" i="1"/>
  <c r="BR1323" i="1"/>
  <c r="BS1323" i="1"/>
  <c r="DU1323" i="1"/>
  <c r="DV1323" i="1"/>
  <c r="DZ1323" i="1"/>
  <c r="EA1323" i="1"/>
  <c r="I1324" i="1"/>
  <c r="J1324" i="1"/>
  <c r="BR1324" i="1"/>
  <c r="BS1324" i="1"/>
  <c r="DU1324" i="1"/>
  <c r="DV1324" i="1"/>
  <c r="DZ1324" i="1"/>
  <c r="EA1324" i="1"/>
  <c r="I1325" i="1"/>
  <c r="J1325" i="1"/>
  <c r="BR1325" i="1"/>
  <c r="BS1325" i="1"/>
  <c r="I1326" i="1"/>
  <c r="J1326" i="1"/>
  <c r="DU1326" i="1"/>
  <c r="DV1326" i="1"/>
  <c r="DZ1326" i="1"/>
  <c r="EA1326" i="1"/>
  <c r="I1327" i="1"/>
  <c r="J1327" i="1"/>
  <c r="DU1327" i="1"/>
  <c r="DV1327" i="1"/>
  <c r="DZ1327" i="1"/>
  <c r="EA1327" i="1"/>
  <c r="I1328" i="1"/>
  <c r="J1328" i="1"/>
  <c r="I1329" i="1"/>
  <c r="J1329" i="1"/>
  <c r="BR1329" i="1"/>
  <c r="BS1329" i="1"/>
  <c r="I1330" i="1"/>
  <c r="J1330" i="1"/>
  <c r="BR1330" i="1"/>
  <c r="BS1330" i="1"/>
  <c r="I1331" i="1"/>
  <c r="J1331" i="1"/>
  <c r="BR1331" i="1"/>
  <c r="BS1331" i="1"/>
  <c r="EY1332" i="1"/>
  <c r="EZ1332" i="1"/>
  <c r="EY1333" i="1"/>
  <c r="EZ1333" i="1"/>
  <c r="EY1334" i="1"/>
  <c r="EZ1334" i="1"/>
  <c r="EY1335" i="1"/>
  <c r="EZ1335" i="1"/>
  <c r="EY1336" i="1"/>
  <c r="EZ1336" i="1"/>
  <c r="EY1337" i="1"/>
  <c r="EZ1337" i="1"/>
  <c r="EY1338" i="1"/>
  <c r="EZ1338" i="1"/>
  <c r="EY1339" i="1"/>
  <c r="EZ1339" i="1"/>
  <c r="EY1340" i="1"/>
  <c r="EZ1340" i="1"/>
  <c r="EY1341" i="1"/>
  <c r="EZ1341" i="1"/>
  <c r="EY1342" i="1"/>
  <c r="EZ1342" i="1"/>
  <c r="EY1343" i="1"/>
  <c r="EZ1343" i="1"/>
  <c r="EY1344" i="1"/>
  <c r="EZ1344" i="1"/>
  <c r="EY1345" i="1"/>
  <c r="EZ1345" i="1"/>
  <c r="EY1346" i="1"/>
  <c r="EZ1346" i="1"/>
  <c r="EY1347" i="1"/>
  <c r="EZ1347" i="1"/>
  <c r="EY1352" i="1"/>
  <c r="EZ1352" i="1"/>
  <c r="EY1353" i="1"/>
  <c r="EZ1353" i="1"/>
  <c r="EY1354" i="1"/>
  <c r="EZ1354" i="1"/>
  <c r="EY1355" i="1"/>
  <c r="EZ1355" i="1"/>
  <c r="EY1356" i="1"/>
  <c r="EZ1356" i="1"/>
  <c r="EY1357" i="1"/>
  <c r="EZ1357" i="1"/>
  <c r="EY1358" i="1"/>
  <c r="EZ1358" i="1"/>
  <c r="EY1359" i="1"/>
  <c r="EZ1359" i="1"/>
  <c r="EY1360" i="1"/>
  <c r="EZ1360" i="1"/>
  <c r="EY1361" i="1"/>
  <c r="EZ1361" i="1"/>
  <c r="EY1362" i="1"/>
  <c r="EZ1362" i="1"/>
  <c r="EY1363" i="1"/>
  <c r="EZ1363" i="1"/>
  <c r="EY1364" i="1"/>
  <c r="EZ1364" i="1"/>
  <c r="EY1365" i="1"/>
  <c r="EZ1365" i="1"/>
  <c r="EY1366" i="1"/>
  <c r="EZ1366" i="1"/>
  <c r="EY1367" i="1"/>
  <c r="EZ1367" i="1"/>
  <c r="EY1368" i="1"/>
  <c r="EZ1368" i="1"/>
  <c r="EY1369" i="1"/>
  <c r="EZ1369" i="1"/>
  <c r="EY1370" i="1"/>
  <c r="EZ1370" i="1"/>
  <c r="EY1371" i="1"/>
  <c r="EZ1371" i="1"/>
  <c r="EY1372" i="1"/>
  <c r="EZ1372" i="1"/>
  <c r="EY1373" i="1"/>
  <c r="EZ1373" i="1"/>
  <c r="EY1374" i="1"/>
  <c r="EZ1374" i="1"/>
  <c r="EY1375" i="1"/>
  <c r="EZ1375" i="1"/>
  <c r="EY1376" i="1"/>
  <c r="EZ1376" i="1"/>
  <c r="EY1377" i="1"/>
  <c r="EZ1377" i="1"/>
  <c r="EY1378" i="1"/>
  <c r="EZ1378" i="1"/>
  <c r="EY1379" i="1"/>
  <c r="EZ1379" i="1"/>
  <c r="AZ1380" i="1"/>
  <c r="AZ1381" i="1"/>
  <c r="AZ1382" i="1"/>
  <c r="AZ1383" i="1"/>
  <c r="AZ1384" i="1"/>
  <c r="AZ1385" i="1"/>
  <c r="AZ1386" i="1"/>
  <c r="AZ1387" i="1"/>
  <c r="ET1388" i="1"/>
  <c r="EU1388" i="1"/>
  <c r="ET1389" i="1"/>
  <c r="EU1389" i="1"/>
  <c r="ET1390" i="1"/>
  <c r="EU1390" i="1"/>
  <c r="ET1391" i="1"/>
  <c r="EU1391" i="1"/>
  <c r="I1414" i="1"/>
  <c r="J1414" i="1"/>
  <c r="K1414" i="1"/>
  <c r="Z1414" i="1"/>
  <c r="AA1414" i="1" s="1"/>
  <c r="AD1414" i="1"/>
  <c r="I1415" i="1"/>
  <c r="J1415" i="1"/>
  <c r="K1415" i="1"/>
  <c r="Z1415" i="1"/>
  <c r="AA1415" i="1" s="1"/>
  <c r="AD1415" i="1"/>
  <c r="I1416" i="1"/>
  <c r="J1416" i="1"/>
  <c r="K1416" i="1"/>
  <c r="Z1416" i="1"/>
  <c r="AA1416" i="1" s="1"/>
  <c r="AD1416" i="1"/>
  <c r="BR1416" i="1"/>
  <c r="BS1416" i="1"/>
  <c r="I1417" i="1"/>
  <c r="J1417" i="1"/>
  <c r="K1417" i="1"/>
  <c r="Z1417" i="1"/>
  <c r="AA1417" i="1" s="1"/>
  <c r="AD1417" i="1"/>
  <c r="BR1417" i="1"/>
  <c r="BS1417" i="1"/>
  <c r="I1418" i="1"/>
  <c r="J1418" i="1"/>
  <c r="K1418" i="1"/>
  <c r="Z1418" i="1"/>
  <c r="AA1418" i="1" s="1"/>
  <c r="AD1418" i="1"/>
  <c r="BR1418" i="1"/>
  <c r="BS1418" i="1"/>
  <c r="I1419" i="1"/>
  <c r="J1419" i="1"/>
  <c r="I1420" i="1"/>
  <c r="J1420" i="1"/>
  <c r="I1421" i="1"/>
  <c r="J1421" i="1"/>
  <c r="BR1421" i="1"/>
  <c r="BS1421" i="1"/>
  <c r="I1422" i="1"/>
  <c r="J1422" i="1"/>
  <c r="BR1422" i="1"/>
  <c r="BS1422" i="1"/>
  <c r="I1423" i="1"/>
  <c r="J1423" i="1"/>
  <c r="BR1423" i="1"/>
  <c r="BS1423" i="1"/>
  <c r="BW1451" i="1"/>
  <c r="BX1451" i="1"/>
  <c r="GR1451" i="1"/>
  <c r="GS1451" i="1"/>
  <c r="Y1453" i="1"/>
  <c r="BR1453" i="1"/>
  <c r="BS1453" i="1"/>
  <c r="Y1454" i="1"/>
  <c r="I1479" i="1"/>
  <c r="J1479" i="1"/>
  <c r="IA1479" i="1"/>
  <c r="IB1479" i="1"/>
  <c r="I1480" i="1"/>
  <c r="J1480" i="1"/>
  <c r="IA1480" i="1"/>
  <c r="IB1480" i="1"/>
  <c r="I1481" i="1"/>
  <c r="J1481" i="1"/>
  <c r="IA1481" i="1"/>
  <c r="IB1481" i="1"/>
  <c r="I1482" i="1"/>
  <c r="J1482" i="1"/>
  <c r="IA1482" i="1"/>
  <c r="IB1482" i="1"/>
  <c r="I1483" i="1"/>
  <c r="J1483" i="1"/>
  <c r="IA1483" i="1"/>
  <c r="IB1483" i="1"/>
  <c r="I1484" i="1"/>
  <c r="J1484" i="1"/>
  <c r="IA1484" i="1"/>
  <c r="IB1484" i="1"/>
  <c r="I1485" i="1"/>
  <c r="J1485" i="1"/>
  <c r="IA1485" i="1"/>
  <c r="IB1485" i="1"/>
  <c r="I1486" i="1"/>
  <c r="J1486" i="1"/>
  <c r="IA1486" i="1"/>
  <c r="IB1486" i="1"/>
  <c r="I1487" i="1"/>
  <c r="J1487" i="1"/>
  <c r="IA1487" i="1"/>
  <c r="IB1487" i="1"/>
  <c r="I1488" i="1"/>
  <c r="J1488" i="1"/>
  <c r="IA1488" i="1"/>
  <c r="IB1488" i="1"/>
  <c r="I1489" i="1"/>
  <c r="J1489" i="1"/>
  <c r="IA1489" i="1"/>
  <c r="IB1489" i="1"/>
  <c r="I1490" i="1"/>
  <c r="J1490" i="1"/>
  <c r="IA1490" i="1"/>
  <c r="IB1490" i="1"/>
  <c r="I1491" i="1"/>
  <c r="J1491" i="1"/>
  <c r="IA1491" i="1"/>
  <c r="IB1491" i="1"/>
  <c r="I1492" i="1"/>
  <c r="J1492" i="1"/>
  <c r="IA1492" i="1"/>
  <c r="IB1492" i="1"/>
  <c r="I1493" i="1"/>
  <c r="J1493" i="1"/>
  <c r="IA1493" i="1"/>
  <c r="IB1493" i="1"/>
  <c r="I1494" i="1"/>
  <c r="J1494" i="1"/>
  <c r="IA1494" i="1"/>
  <c r="IB1494" i="1"/>
  <c r="I1495" i="1"/>
  <c r="J1495" i="1"/>
  <c r="IA1495" i="1"/>
  <c r="IB1495" i="1"/>
  <c r="I1496" i="1"/>
  <c r="J1496" i="1"/>
  <c r="IA1496" i="1"/>
  <c r="IB1496" i="1"/>
  <c r="I1497" i="1"/>
  <c r="J1497" i="1"/>
  <c r="IA1497" i="1"/>
  <c r="I1498" i="1"/>
  <c r="J1498" i="1"/>
  <c r="IA1498" i="1"/>
  <c r="I1499" i="1"/>
  <c r="J1499" i="1"/>
  <c r="IA1499" i="1"/>
  <c r="I1500" i="1"/>
  <c r="J1500" i="1"/>
  <c r="IA1500" i="1"/>
  <c r="I1501" i="1"/>
  <c r="J1501" i="1"/>
  <c r="IA1501" i="1"/>
  <c r="I1502" i="1"/>
  <c r="J1502" i="1"/>
  <c r="EY1507" i="1"/>
  <c r="EZ1507" i="1"/>
  <c r="EY1508" i="1"/>
  <c r="EZ1508" i="1"/>
  <c r="EY1509" i="1"/>
  <c r="EZ1509" i="1"/>
  <c r="EY1510" i="1"/>
  <c r="EZ1510" i="1"/>
  <c r="EY1511" i="1"/>
  <c r="EZ1511" i="1"/>
  <c r="EY1512" i="1"/>
  <c r="EZ1512" i="1"/>
  <c r="EY1513" i="1"/>
  <c r="EZ1513" i="1"/>
  <c r="EY1514" i="1"/>
  <c r="EZ1514" i="1"/>
  <c r="EY1515" i="1"/>
  <c r="EZ1515" i="1"/>
  <c r="EY1516" i="1"/>
  <c r="EZ1516" i="1"/>
  <c r="EY1517" i="1"/>
  <c r="EZ1517" i="1"/>
  <c r="EY1518" i="1"/>
  <c r="EZ1518" i="1"/>
  <c r="EY1519" i="1"/>
  <c r="EZ1519" i="1"/>
  <c r="AZ1520" i="1"/>
  <c r="AZ1521" i="1"/>
  <c r="AZ1522" i="1"/>
  <c r="AZ1523" i="1"/>
  <c r="AZ1524" i="1"/>
  <c r="AZ1525" i="1"/>
  <c r="AZ1526" i="1"/>
  <c r="AZ1527" i="1"/>
  <c r="AZ1528" i="1"/>
  <c r="AZ1529" i="1"/>
  <c r="AZ1530" i="1"/>
  <c r="AZ1531" i="1"/>
  <c r="AZ1532" i="1"/>
  <c r="AZ1533" i="1"/>
  <c r="AZ1534" i="1"/>
  <c r="AZ1535" i="1"/>
  <c r="AZ1536" i="1"/>
  <c r="AZ1537" i="1"/>
  <c r="AZ1538" i="1"/>
  <c r="AZ1539" i="1"/>
  <c r="Z1544" i="1"/>
  <c r="Z1545" i="1"/>
  <c r="Y1546" i="1"/>
  <c r="BW1546" i="1"/>
  <c r="BX1546" i="1"/>
  <c r="Y1547" i="1"/>
  <c r="BW1547" i="1"/>
  <c r="BX1547" i="1"/>
  <c r="Y1548" i="1"/>
  <c r="BW1548" i="1"/>
  <c r="BX1548" i="1"/>
  <c r="Y1549" i="1"/>
  <c r="BW1549" i="1"/>
  <c r="BX1549" i="1"/>
  <c r="Y1550" i="1"/>
  <c r="BW1550" i="1"/>
  <c r="BX1550" i="1"/>
  <c r="Y1551" i="1"/>
  <c r="BW1551" i="1"/>
  <c r="BX1551" i="1"/>
  <c r="Y1552" i="1"/>
  <c r="BW1552" i="1"/>
  <c r="BX1552" i="1"/>
  <c r="Y1553" i="1"/>
  <c r="BW1553" i="1"/>
  <c r="BX1553" i="1"/>
  <c r="Y1554" i="1"/>
  <c r="BW1554" i="1"/>
  <c r="BX1554" i="1"/>
  <c r="Y1555" i="1"/>
  <c r="BW1555" i="1"/>
  <c r="BX1555" i="1"/>
  <c r="Y1556" i="1"/>
  <c r="BW1556" i="1"/>
  <c r="BX1556" i="1"/>
  <c r="Y1557" i="1"/>
  <c r="BW1557" i="1"/>
  <c r="BX1557" i="1"/>
  <c r="BW1570" i="1"/>
  <c r="BX1570" i="1"/>
  <c r="BW1571" i="1"/>
  <c r="BX1571" i="1"/>
  <c r="BW1572" i="1"/>
  <c r="BX1572" i="1"/>
  <c r="BW1573" i="1"/>
  <c r="BX1573" i="1"/>
  <c r="BW1574" i="1"/>
  <c r="BX1574" i="1"/>
  <c r="BW1575" i="1"/>
  <c r="BX1575" i="1"/>
  <c r="BW1576" i="1"/>
  <c r="BX1576" i="1"/>
  <c r="BW1577" i="1"/>
  <c r="BX1577" i="1"/>
  <c r="BW1578" i="1"/>
  <c r="BX1578" i="1"/>
  <c r="BW1579" i="1"/>
  <c r="BX1579" i="1"/>
  <c r="BW1580" i="1"/>
  <c r="BX1580" i="1"/>
  <c r="BW1581" i="1"/>
  <c r="BX1581" i="1"/>
  <c r="BW1582" i="1"/>
  <c r="BX1582" i="1"/>
  <c r="BW1583" i="1"/>
  <c r="BX1583" i="1"/>
  <c r="BW1584" i="1"/>
  <c r="BX1584" i="1"/>
  <c r="BW1585" i="1"/>
  <c r="BX1585" i="1"/>
  <c r="BW1586" i="1"/>
  <c r="BX1586" i="1"/>
  <c r="BW1587" i="1"/>
  <c r="BX1587" i="1"/>
  <c r="BW1588" i="1"/>
  <c r="BX1588" i="1"/>
  <c r="BW1589" i="1"/>
  <c r="BX1589" i="1"/>
  <c r="BW1590" i="1"/>
  <c r="BX1590" i="1"/>
  <c r="BW1591" i="1"/>
  <c r="BX1591" i="1"/>
  <c r="BW1592" i="1"/>
  <c r="BX1592" i="1"/>
  <c r="BW1593" i="1"/>
  <c r="BX1593" i="1"/>
  <c r="BW1594" i="1"/>
  <c r="BX1594" i="1"/>
  <c r="BW1595" i="1"/>
  <c r="BX1595" i="1"/>
  <c r="BW1596" i="1"/>
  <c r="BX1596" i="1"/>
  <c r="BW1597" i="1"/>
  <c r="BX1597" i="1"/>
  <c r="BW1598" i="1"/>
  <c r="BX1598" i="1"/>
  <c r="BW1599" i="1"/>
  <c r="BX1599" i="1"/>
  <c r="BW1600" i="1"/>
  <c r="BX1600" i="1"/>
  <c r="BW1601" i="1"/>
  <c r="BX1601" i="1"/>
  <c r="BW1602" i="1"/>
  <c r="BX1602" i="1"/>
  <c r="BW1603" i="1"/>
  <c r="BX1603" i="1"/>
  <c r="BW1604" i="1"/>
  <c r="BX1604" i="1"/>
  <c r="BW1605" i="1"/>
  <c r="BX1605" i="1"/>
  <c r="BW1606" i="1"/>
  <c r="BX1606" i="1"/>
  <c r="BW1607" i="1"/>
  <c r="BX1607" i="1"/>
  <c r="BW1608" i="1"/>
  <c r="BX1608" i="1"/>
  <c r="BW1609" i="1"/>
  <c r="BX1609" i="1"/>
  <c r="BW1610" i="1"/>
  <c r="BX1610" i="1"/>
  <c r="BW1611" i="1"/>
  <c r="BX1611" i="1"/>
  <c r="BW1612" i="1"/>
  <c r="BX1612" i="1"/>
  <c r="BW1613" i="1"/>
  <c r="BX1613" i="1"/>
  <c r="BW1614" i="1"/>
  <c r="BX1614" i="1"/>
  <c r="BW1615" i="1"/>
  <c r="BX1615" i="1"/>
  <c r="BW1616" i="1"/>
  <c r="BX1616" i="1"/>
  <c r="BW1617" i="1"/>
  <c r="BX1617" i="1"/>
  <c r="GR1668" i="1"/>
  <c r="GS1668" i="1"/>
  <c r="IA1668" i="1"/>
  <c r="IB1668" i="1"/>
  <c r="GR1669" i="1"/>
  <c r="GS1669" i="1"/>
  <c r="IA1669" i="1"/>
  <c r="IB1669" i="1"/>
  <c r="I1670" i="1"/>
  <c r="J1670" i="1"/>
  <c r="AA1670" i="1"/>
  <c r="Z1670" i="1" s="1"/>
  <c r="AD1670" i="1"/>
  <c r="BR1670" i="1"/>
  <c r="BS1670" i="1"/>
  <c r="DF1670" i="1"/>
  <c r="DG1670" i="1"/>
  <c r="DU1670" i="1"/>
  <c r="I1671" i="1"/>
  <c r="AA1671" i="1"/>
  <c r="I1672" i="1"/>
  <c r="AA1672" i="1"/>
  <c r="I1673" i="1"/>
  <c r="AA1673" i="1"/>
  <c r="I1674" i="1"/>
  <c r="AA1674" i="1"/>
  <c r="DQ58" i="1"/>
  <c r="BW1503" i="1"/>
  <c r="BX1503" i="1"/>
  <c r="BW1504" i="1"/>
  <c r="BX1504" i="1"/>
  <c r="I1783" i="1"/>
  <c r="J1783" i="1"/>
  <c r="I1784" i="1"/>
  <c r="J1784" i="1"/>
  <c r="I1785" i="1"/>
  <c r="J1785" i="1"/>
  <c r="I1786" i="1"/>
  <c r="J1786" i="1"/>
  <c r="I1787" i="1"/>
  <c r="J1787" i="1"/>
  <c r="I1788" i="1"/>
  <c r="J1788" i="1"/>
  <c r="I1789" i="1"/>
  <c r="J1789" i="1"/>
  <c r="I1790" i="1"/>
  <c r="J1790" i="1"/>
  <c r="I1791" i="1"/>
  <c r="J1791" i="1"/>
  <c r="I1792" i="1"/>
  <c r="J1792" i="1"/>
  <c r="I1793" i="1"/>
  <c r="J1793" i="1"/>
  <c r="I1794" i="1"/>
  <c r="J1794" i="1"/>
  <c r="BH1795" i="1"/>
  <c r="BI1795" i="1"/>
  <c r="BH1796" i="1"/>
  <c r="BI1796" i="1"/>
  <c r="BH1797" i="1"/>
  <c r="BI1797" i="1"/>
  <c r="BH1798" i="1"/>
  <c r="BI1798" i="1"/>
  <c r="Y1799" i="1"/>
  <c r="BW1799" i="1"/>
  <c r="BX1799" i="1"/>
  <c r="Y1800" i="1"/>
  <c r="BW1800" i="1"/>
  <c r="BX1800" i="1"/>
  <c r="Y1801" i="1"/>
  <c r="BW1801" i="1"/>
  <c r="BX1801" i="1"/>
  <c r="Y1802" i="1"/>
  <c r="BW1802" i="1"/>
  <c r="BX1802" i="1"/>
  <c r="Y1803" i="1"/>
  <c r="BW1803" i="1"/>
  <c r="BX1803" i="1"/>
  <c r="Y1804" i="1"/>
  <c r="BW1804" i="1"/>
  <c r="BX1804" i="1"/>
  <c r="Y1805" i="1"/>
  <c r="BW1805" i="1"/>
  <c r="BX1805" i="1"/>
  <c r="Y1806" i="1"/>
  <c r="BW1806" i="1"/>
  <c r="BX1806" i="1"/>
  <c r="Y1807" i="1"/>
  <c r="BW1807" i="1"/>
  <c r="BX1807" i="1"/>
  <c r="Y1808" i="1"/>
  <c r="BW1808" i="1"/>
  <c r="BX1808" i="1"/>
  <c r="Y1809" i="1"/>
  <c r="BW1809" i="1"/>
  <c r="BX1809" i="1"/>
  <c r="Y1810" i="1"/>
  <c r="BW1810" i="1"/>
  <c r="BX1810" i="1"/>
  <c r="Y1811" i="1"/>
  <c r="BW1811" i="1"/>
  <c r="BX1811" i="1"/>
  <c r="Y1812" i="1"/>
  <c r="BW1812" i="1"/>
  <c r="BX1812" i="1"/>
  <c r="Y1813" i="1"/>
  <c r="BW1813" i="1"/>
  <c r="BX1813" i="1"/>
  <c r="Y1814" i="1"/>
  <c r="BW1814" i="1"/>
  <c r="BX1814" i="1"/>
  <c r="Y1815" i="1"/>
  <c r="BW1815" i="1"/>
  <c r="BX1815" i="1"/>
  <c r="Y1816" i="1"/>
  <c r="BW1816" i="1"/>
  <c r="BX1816" i="1"/>
  <c r="Y1817" i="1"/>
  <c r="BW1817" i="1"/>
  <c r="BX1817" i="1"/>
  <c r="Y1818" i="1"/>
  <c r="BW1818" i="1"/>
  <c r="BX1818" i="1"/>
  <c r="Y1819" i="1"/>
  <c r="BW1819" i="1"/>
  <c r="BX1819" i="1"/>
  <c r="Y1820" i="1"/>
  <c r="BW1820" i="1"/>
  <c r="BX1820" i="1"/>
  <c r="Y1821" i="1"/>
  <c r="BW1821" i="1"/>
  <c r="BX1821" i="1"/>
  <c r="Y1822" i="1"/>
  <c r="BW1822" i="1"/>
  <c r="BX1822" i="1"/>
  <c r="K43" i="3" l="1"/>
  <c r="C43" i="3" s="1"/>
  <c r="C26" i="3"/>
  <c r="E34" i="3"/>
  <c r="C35" i="3"/>
  <c r="E35" i="3" s="1"/>
  <c r="C65" i="3" l="1"/>
  <c r="E65" i="3" s="1"/>
  <c r="F119" i="2" l="1"/>
  <c r="E119" i="2"/>
  <c r="C64" i="3" l="1"/>
  <c r="C37" i="3" l="1"/>
  <c r="E37" i="3" s="1"/>
  <c r="G48" i="3"/>
  <c r="C48" i="3" s="1"/>
  <c r="E48" i="3" s="1"/>
  <c r="E38" i="3" l="1"/>
  <c r="C62" i="3" l="1"/>
  <c r="M37" i="3"/>
  <c r="O38" i="3"/>
  <c r="N38" i="3"/>
  <c r="M38" i="3"/>
  <c r="O37" i="3"/>
  <c r="N37" i="3"/>
  <c r="C80" i="3" l="1"/>
  <c r="E80" i="3" s="1"/>
  <c r="E36" i="3"/>
  <c r="I43" i="3"/>
  <c r="C7" i="3" l="1"/>
  <c r="J43" i="3" l="1"/>
  <c r="C71" i="3" l="1"/>
  <c r="C72" i="3" s="1"/>
  <c r="G71" i="3"/>
  <c r="C56" i="3"/>
  <c r="E56" i="3" s="1"/>
  <c r="E54" i="3"/>
  <c r="I54" i="3"/>
  <c r="C53" i="3"/>
  <c r="I53" i="3"/>
  <c r="H64" i="3"/>
  <c r="C63" i="3"/>
  <c r="E63" i="3" s="1"/>
  <c r="E62" i="3"/>
  <c r="H15" i="4"/>
  <c r="E71" i="3" l="1"/>
  <c r="T10" i="4" l="1"/>
  <c r="T11" i="4"/>
  <c r="T12" i="4"/>
  <c r="T13" i="4"/>
  <c r="T9" i="4"/>
  <c r="E47" i="3" l="1"/>
  <c r="E46" i="3" l="1"/>
  <c r="E44" i="3"/>
  <c r="E45" i="3"/>
  <c r="E64" i="3"/>
  <c r="L55" i="3"/>
  <c r="C55" i="3" s="1"/>
  <c r="E55" i="3" s="1"/>
  <c r="E43" i="3" l="1"/>
  <c r="E20" i="4" l="1"/>
  <c r="C19" i="4"/>
  <c r="E19" i="4" s="1"/>
  <c r="C18" i="4"/>
  <c r="E18" i="4" s="1"/>
  <c r="C17" i="4"/>
  <c r="E17" i="4" s="1"/>
  <c r="C16" i="4"/>
  <c r="E16" i="4" s="1"/>
  <c r="C15" i="4"/>
  <c r="E15" i="4" s="1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7" i="4"/>
  <c r="E7" i="4" s="1"/>
  <c r="C6" i="4"/>
  <c r="E6" i="4" s="1"/>
  <c r="E25" i="3" l="1"/>
  <c r="E53" i="3" l="1"/>
  <c r="E24" i="3" l="1"/>
  <c r="E23" i="3"/>
</calcChain>
</file>

<file path=xl/sharedStrings.xml><?xml version="1.0" encoding="utf-8"?>
<sst xmlns="http://schemas.openxmlformats.org/spreadsheetml/2006/main" count="73221" uniqueCount="3013">
  <si>
    <t>CoverCrop</t>
  </si>
  <si>
    <t>GrainCrop</t>
  </si>
  <si>
    <t>Longitude</t>
  </si>
  <si>
    <t>Latitude</t>
  </si>
  <si>
    <t>SiteInfor</t>
  </si>
  <si>
    <t>Meta information</t>
  </si>
  <si>
    <t>YearPublication</t>
  </si>
  <si>
    <t>SoilDepthOfSample</t>
  </si>
  <si>
    <t>YearsAfterCoverCrop</t>
  </si>
  <si>
    <t>OC_T</t>
  </si>
  <si>
    <t>OC_C</t>
  </si>
  <si>
    <t>pH_T</t>
  </si>
  <si>
    <t>pH_C</t>
  </si>
  <si>
    <t>yield_T</t>
  </si>
  <si>
    <t>yield_C</t>
  </si>
  <si>
    <t>Texture</t>
  </si>
  <si>
    <t>MAT</t>
  </si>
  <si>
    <t>MAP</t>
  </si>
  <si>
    <t>ClimateType</t>
  </si>
  <si>
    <t>P_T</t>
  </si>
  <si>
    <t>P_C</t>
  </si>
  <si>
    <t>K_T</t>
  </si>
  <si>
    <t>K_C</t>
  </si>
  <si>
    <t>BD_T</t>
  </si>
  <si>
    <t>BD_C</t>
  </si>
  <si>
    <t>Aggre_T</t>
  </si>
  <si>
    <t>Aggre_C</t>
  </si>
  <si>
    <t>Penetration_T</t>
  </si>
  <si>
    <t>Penetration_C</t>
  </si>
  <si>
    <t>CEC_T</t>
  </si>
  <si>
    <t>CEC_C</t>
  </si>
  <si>
    <t>EC_T</t>
  </si>
  <si>
    <t>EC_C</t>
  </si>
  <si>
    <t>BS_T</t>
  </si>
  <si>
    <t>BS_C</t>
  </si>
  <si>
    <t>Tannual</t>
  </si>
  <si>
    <t>Pannual</t>
  </si>
  <si>
    <t>AWHC_T</t>
  </si>
  <si>
    <t>AWHC_C</t>
  </si>
  <si>
    <t>Infiltration_T</t>
  </si>
  <si>
    <t>Infiltration_C</t>
  </si>
  <si>
    <t>Notes</t>
  </si>
  <si>
    <t>Target data</t>
  </si>
  <si>
    <t>Author_F</t>
  </si>
  <si>
    <t>Author_G</t>
  </si>
  <si>
    <t>First author's Given name</t>
  </si>
  <si>
    <t>Paper publication year</t>
  </si>
  <si>
    <t>Site information</t>
  </si>
  <si>
    <t>Annual average precipitation</t>
  </si>
  <si>
    <t>Soil texture</t>
  </si>
  <si>
    <t>Phosphorus of treatment (mean value)</t>
  </si>
  <si>
    <t>Phosphorus of control (mean value)</t>
  </si>
  <si>
    <t>Potassium of treatment (mean value)</t>
  </si>
  <si>
    <t>Potassium of control (mean value)</t>
  </si>
  <si>
    <t>pH of treatment (mean value)</t>
  </si>
  <si>
    <t>pH of control (mean value)</t>
  </si>
  <si>
    <t>CEC of treatment (mean value)</t>
  </si>
  <si>
    <t>CEC of control (mean value)</t>
  </si>
  <si>
    <t>Available water hold capacity of treatment (mean value)</t>
  </si>
  <si>
    <t>Available water hold capacity of control (mean value)</t>
  </si>
  <si>
    <t>ST_C</t>
  </si>
  <si>
    <t>ST_T</t>
  </si>
  <si>
    <t>SWC_C</t>
  </si>
  <si>
    <t>SWC_T</t>
  </si>
  <si>
    <t>Soil temperature of control (mean value)</t>
  </si>
  <si>
    <t>Soil temperature of treatment (mean value)</t>
  </si>
  <si>
    <t>ControlDescription</t>
  </si>
  <si>
    <t>Units: %</t>
  </si>
  <si>
    <t>CCDryBiomass</t>
  </si>
  <si>
    <t>CCFreshBiomass</t>
  </si>
  <si>
    <t xml:space="preserve">Fresh biomass (and to be manure) of cover crop </t>
  </si>
  <si>
    <t xml:space="preserve">Dry biomass (and to be manure) of cover crop </t>
  </si>
  <si>
    <t>Conversion_factor</t>
  </si>
  <si>
    <t>Sample_土壤含水量</t>
  </si>
  <si>
    <t>cm3/cm3</t>
  </si>
  <si>
    <t>g/cm3</t>
  </si>
  <si>
    <t>BD</t>
  </si>
  <si>
    <t>1*BD</t>
  </si>
  <si>
    <t>g/g</t>
  </si>
  <si>
    <t>Sample_土壤容重</t>
  </si>
  <si>
    <t>Unit</t>
    <phoneticPr fontId="0" type="noConversion"/>
  </si>
  <si>
    <t>Mg/m3</t>
  </si>
  <si>
    <t>1 Mg/m3 = 1 g/cm3 (1Mg = 1 million g = 10^6 g)</t>
  </si>
  <si>
    <t>Soil water content (SWC) units conversion</t>
  </si>
  <si>
    <t>Soil bulk density units conversion</t>
  </si>
  <si>
    <t>VWC=GWC*BD</t>
  </si>
  <si>
    <t>need update</t>
  </si>
  <si>
    <t>Elevation</t>
  </si>
  <si>
    <t>Journal</t>
  </si>
  <si>
    <t>Journal name of paper</t>
  </si>
  <si>
    <t>Base Satuation of treatment (mean value)</t>
  </si>
  <si>
    <t>g/g=cm3/cm3 * BD</t>
  </si>
  <si>
    <t>Family author's Family name</t>
  </si>
  <si>
    <t>Cmina_T</t>
  </si>
  <si>
    <t>Cmina_C</t>
  </si>
  <si>
    <t>Nmina_T</t>
  </si>
  <si>
    <t>Nmina_C</t>
  </si>
  <si>
    <t>SIR_T</t>
  </si>
  <si>
    <t>SIR_C</t>
  </si>
  <si>
    <t>CO2BTest_T</t>
  </si>
  <si>
    <t>CO2BTest_C</t>
  </si>
  <si>
    <t>MBC_T</t>
  </si>
  <si>
    <t>Substract induced respiration of treatment (mean value)</t>
  </si>
  <si>
    <t>Substract induced respiration of control (mean value)</t>
  </si>
  <si>
    <t>CO2 burst test respiration of treatment (mean value)</t>
  </si>
  <si>
    <t>CO2 burst test respiration respiration of control (mean value)</t>
  </si>
  <si>
    <t>Microbe Biomass Carbon of treatment (mean value)</t>
  </si>
  <si>
    <t>Microbe Biomass Carbon of control (mean value)</t>
  </si>
  <si>
    <t>Field satuted hydrolic conductivity of treatment (mean value)</t>
  </si>
  <si>
    <t>Field satuted hydrolic conductivity of control (mean value)</t>
  </si>
  <si>
    <t>StudyID</t>
  </si>
  <si>
    <t>Abawi</t>
  </si>
  <si>
    <t>G.S.</t>
  </si>
  <si>
    <t>Applied Soil Ecology</t>
  </si>
  <si>
    <t>New York</t>
  </si>
  <si>
    <t>Alfalfa</t>
  </si>
  <si>
    <t>Ryegrass</t>
  </si>
  <si>
    <t>Wheat</t>
  </si>
  <si>
    <t>Rapeseed</t>
  </si>
  <si>
    <t>TimeAfterCoverCrop</t>
  </si>
  <si>
    <t>Fallow</t>
  </si>
  <si>
    <t>Root diseases determined by root rot, ranged from 1(no root rot observed) to 9 (80% roots infected)</t>
  </si>
  <si>
    <t>SandPerc</t>
  </si>
  <si>
    <t>SiltPerc</t>
  </si>
  <si>
    <t>Percentage of sand</t>
  </si>
  <si>
    <t>Percentage of silt</t>
  </si>
  <si>
    <t>Bandic</t>
  </si>
  <si>
    <t>Anna</t>
  </si>
  <si>
    <t>Soil Biology and Biochemistry</t>
  </si>
  <si>
    <t xml:space="preserve">North  Willamette  Research  and Extension  Center,  Aurora,  Oregon </t>
  </si>
  <si>
    <t>Units: m</t>
  </si>
  <si>
    <t>Vegetable crop rotation</t>
  </si>
  <si>
    <t>Rye</t>
  </si>
  <si>
    <t>Corn</t>
  </si>
  <si>
    <t xml:space="preserve"> Mediterranean</t>
  </si>
  <si>
    <t>Units: mm</t>
  </si>
  <si>
    <t>Blackshaw</t>
  </si>
  <si>
    <t>R.E.</t>
  </si>
  <si>
    <t xml:space="preserve">Crop Protection </t>
  </si>
  <si>
    <t>Lethbridge, AB, Canada</t>
  </si>
  <si>
    <t>Loam</t>
  </si>
  <si>
    <t>ExperimentDesign</t>
  </si>
  <si>
    <t>RCBD</t>
  </si>
  <si>
    <t>Others</t>
  </si>
  <si>
    <t>No herbicide</t>
  </si>
  <si>
    <t>With herbicide</t>
  </si>
  <si>
    <t>Weed_T</t>
  </si>
  <si>
    <t>Weed_C</t>
  </si>
  <si>
    <t>Weed of treatment (mean value)</t>
  </si>
  <si>
    <t>Weed of control (mean value)</t>
  </si>
  <si>
    <t>Blanco-Canqui</t>
  </si>
  <si>
    <t>Humberto</t>
  </si>
  <si>
    <t>Soil and Water Management and Conservation</t>
  </si>
  <si>
    <t>Hesston,  KS</t>
  </si>
  <si>
    <t>MBC_C</t>
  </si>
  <si>
    <t>Organic Matter</t>
  </si>
  <si>
    <t>cm</t>
  </si>
  <si>
    <t>No tillage</t>
  </si>
  <si>
    <t>Wheat-grain sorghum rotation</t>
  </si>
  <si>
    <t>Soybean</t>
  </si>
  <si>
    <t>Hemp</t>
  </si>
  <si>
    <t>No cover crop</t>
  </si>
  <si>
    <t>0 kg N per ha</t>
  </si>
  <si>
    <t>66 kg N per ha</t>
  </si>
  <si>
    <t>SOC</t>
  </si>
  <si>
    <t>%</t>
  </si>
  <si>
    <t>g/kg</t>
  </si>
  <si>
    <t xml:space="preserve"> Garden City, KS</t>
  </si>
  <si>
    <t>Subplot, Cover</t>
  </si>
  <si>
    <t>Subplot, Hayed</t>
  </si>
  <si>
    <t>1 g/kg = 0.1 %</t>
  </si>
  <si>
    <t>Sediment loess</t>
  </si>
  <si>
    <t>Bloszies</t>
  </si>
  <si>
    <t>Sean Alaric</t>
  </si>
  <si>
    <t>PhD Dissertation</t>
  </si>
  <si>
    <t xml:space="preserve"> Split-split-plot RCBD</t>
  </si>
  <si>
    <t>Loamy sand</t>
  </si>
  <si>
    <t>Conventional disk tillage</t>
  </si>
  <si>
    <t>No</t>
  </si>
  <si>
    <t>g/m2</t>
  </si>
  <si>
    <t>kg/ha</t>
  </si>
  <si>
    <t>1 g/m² x 1 kg/1000 g x 10000 m²/ha = 10 kg/ha = 10 kg/hm2</t>
  </si>
  <si>
    <t>Mg / ha</t>
  </si>
  <si>
    <t>1 Mg = 1000000 g = 1000 kg/ha</t>
  </si>
  <si>
    <t>more</t>
  </si>
  <si>
    <t>Aggregate mean weight diameter (mm)</t>
  </si>
  <si>
    <t>SamplingYear</t>
  </si>
  <si>
    <t>Bottomley</t>
  </si>
  <si>
    <t>P.J.</t>
  </si>
  <si>
    <t>Aurora, OR</t>
  </si>
  <si>
    <t>SoilpH</t>
  </si>
  <si>
    <t>SoilTC</t>
  </si>
  <si>
    <t>SoilKsat</t>
  </si>
  <si>
    <t>Soil pH</t>
  </si>
  <si>
    <t>Soil Ksat</t>
  </si>
  <si>
    <t>Unit</t>
  </si>
  <si>
    <t>mg CO2 kg−1 soil d−1</t>
  </si>
  <si>
    <t>1 mg = 22.7273 mu mol</t>
  </si>
  <si>
    <t>Brainard</t>
  </si>
  <si>
    <t>D.C.</t>
  </si>
  <si>
    <t>Agriculture, Ecosystems and Environment</t>
  </si>
  <si>
    <t>Benton Harbor MI USA</t>
  </si>
  <si>
    <t>May</t>
  </si>
  <si>
    <t>Sand</t>
  </si>
  <si>
    <t>Sweet corn ratation with broccoli</t>
  </si>
  <si>
    <t>NPK fertilization</t>
  </si>
  <si>
    <t>Hiniker1 Model 6000 two-row strip-tiller tillage</t>
  </si>
  <si>
    <t>Rotation with sweet corn</t>
  </si>
  <si>
    <t>t/ha</t>
  </si>
  <si>
    <t>Bruce</t>
  </si>
  <si>
    <t>R.R.</t>
  </si>
  <si>
    <t>Watkinsville, GA</t>
  </si>
  <si>
    <r>
      <t>Soil Science Society of America Journal</t>
    </r>
    <r>
      <rPr>
        <sz val="10"/>
        <color rgb="FFFF0000"/>
        <rFont val="Arial"/>
        <family val="2"/>
      </rPr>
      <t> </t>
    </r>
  </si>
  <si>
    <t>March</t>
  </si>
  <si>
    <t>E1, slightly erosion</t>
  </si>
  <si>
    <t>E2, Moderately erosion</t>
  </si>
  <si>
    <t>E3, Severely erosion</t>
  </si>
  <si>
    <t>Fertilization_T</t>
  </si>
  <si>
    <t>Fertilization_C</t>
  </si>
  <si>
    <t>No-tillage</t>
  </si>
  <si>
    <t xml:space="preserve"> Disk-harrowed seedbed</t>
  </si>
  <si>
    <t>Sorghum</t>
  </si>
  <si>
    <t>Bulan</t>
  </si>
  <si>
    <t>Mary T. Saunders</t>
  </si>
  <si>
    <t>Weed Science</t>
  </si>
  <si>
    <t xml:space="preserve"> University of Wisconsin West Madison Agricultural Research Station</t>
  </si>
  <si>
    <t xml:space="preserve"> University of Wisconsin Arlington Agricultural Research Station</t>
  </si>
  <si>
    <t>July</t>
  </si>
  <si>
    <t>August</t>
  </si>
  <si>
    <t>September</t>
  </si>
  <si>
    <t>Vegetable</t>
  </si>
  <si>
    <t>Buckwheat</t>
  </si>
  <si>
    <t>Conventional tillage</t>
  </si>
  <si>
    <t>N_C</t>
  </si>
  <si>
    <t>N_T</t>
  </si>
  <si>
    <t>TN</t>
  </si>
  <si>
    <t>Weed-free and weedy aggregated</t>
  </si>
  <si>
    <t>Buyer</t>
  </si>
  <si>
    <t>Jeffrey S.</t>
  </si>
  <si>
    <t>Bare</t>
  </si>
  <si>
    <t xml:space="preserve"> Beltsville, Maryland</t>
  </si>
  <si>
    <t>Sandy loam</t>
  </si>
  <si>
    <t>Lime and nutrients were applied</t>
  </si>
  <si>
    <t>Tomato</t>
  </si>
  <si>
    <t>Vetch</t>
  </si>
  <si>
    <t>n mol / g</t>
  </si>
  <si>
    <t xml:space="preserve">SIR or CO2 Burst Test </t>
  </si>
  <si>
    <t>mg kg-1 soil</t>
  </si>
  <si>
    <t>Conversions from these units to umol CO2/m2/s:</t>
  </si>
  <si>
    <t>Conversion_factor</t>
    <phoneticPr fontId="0" type="noConversion"/>
  </si>
  <si>
    <t>Sample_flux</t>
    <phoneticPr fontId="0" type="noConversion"/>
  </si>
  <si>
    <t>Flux_umol CO2/m2/s</t>
  </si>
  <si>
    <t>g C/m2/day</t>
    <phoneticPr fontId="0" type="noConversion"/>
  </si>
  <si>
    <t>g C/m2/hr</t>
    <phoneticPr fontId="0" type="noConversion"/>
  </si>
  <si>
    <t>g C/m2/yr</t>
    <phoneticPr fontId="0" type="noConversion"/>
  </si>
  <si>
    <t>g CO2/m2/day</t>
    <phoneticPr fontId="0" type="noConversion"/>
  </si>
  <si>
    <t>g CO2/m2/hr</t>
    <phoneticPr fontId="0" type="noConversion"/>
  </si>
  <si>
    <t>mg C/m2/day</t>
    <phoneticPr fontId="0" type="noConversion"/>
  </si>
  <si>
    <t>mg C/m2/hr</t>
    <phoneticPr fontId="0" type="noConversion"/>
  </si>
  <si>
    <t>mg CO2/m2/day</t>
    <phoneticPr fontId="0" type="noConversion"/>
  </si>
  <si>
    <t>mg CO2/m2/hr</t>
    <phoneticPr fontId="0" type="noConversion"/>
  </si>
  <si>
    <t>mmol CO2/m2/day</t>
    <phoneticPr fontId="0" type="noConversion"/>
  </si>
  <si>
    <t>mmol CO2/m2/hr</t>
    <phoneticPr fontId="0" type="noConversion"/>
  </si>
  <si>
    <t>mmol CO2/m2/s</t>
    <phoneticPr fontId="0" type="noConversion"/>
  </si>
  <si>
    <t>mol C/m2/yr</t>
    <phoneticPr fontId="0" type="noConversion"/>
  </si>
  <si>
    <t>umol CO2/m2/s</t>
    <phoneticPr fontId="0" type="noConversion"/>
  </si>
  <si>
    <t>Campbell</t>
  </si>
  <si>
    <t>R.B.</t>
  </si>
  <si>
    <t>Soil and tillage research</t>
  </si>
  <si>
    <t xml:space="preserve">Standing residues </t>
  </si>
  <si>
    <t>76-cm row spacing</t>
  </si>
  <si>
    <t>97-cm row spacing</t>
  </si>
  <si>
    <t>DE vs HE</t>
  </si>
  <si>
    <t>DL vs HL</t>
  </si>
  <si>
    <t>Darlington  County  South  Carolina</t>
  </si>
  <si>
    <t>Florence  of  South  Carolina</t>
  </si>
  <si>
    <t>C.A.</t>
  </si>
  <si>
    <t>Canadian  Journal Of Soil Science</t>
  </si>
  <si>
    <t>Indian Head,  Saskatchewan</t>
  </si>
  <si>
    <t>Sweetclover</t>
  </si>
  <si>
    <t>6 kg N per ha</t>
  </si>
  <si>
    <t>Fallow-Wheat at spring</t>
  </si>
  <si>
    <t>24 kg N per ha</t>
  </si>
  <si>
    <t>kg/ha/day</t>
  </si>
  <si>
    <t>SoilBD</t>
  </si>
  <si>
    <t>Bulk density</t>
  </si>
  <si>
    <t>1 kg=10^6 mg</t>
  </si>
  <si>
    <t>1627500 Kg when BD = 1.085 (Study No. 13)</t>
  </si>
  <si>
    <t>GM-(W)-W</t>
  </si>
  <si>
    <t>(GM)-W-W</t>
  </si>
  <si>
    <t>(F)-W-W-H-H-H</t>
  </si>
  <si>
    <t>F-W-W-(H)-H-H</t>
  </si>
  <si>
    <t>1 ha = 100*100*0.15*BD*1000 kg</t>
  </si>
  <si>
    <t>Microbial biomass N available</t>
  </si>
  <si>
    <t>Carr</t>
  </si>
  <si>
    <t>Patrick M.</t>
  </si>
  <si>
    <t>Dickinson, North Dakota</t>
  </si>
  <si>
    <t>Renewable Agriculture and Food Systems</t>
  </si>
  <si>
    <t>Disk</t>
  </si>
  <si>
    <t>Sweep</t>
  </si>
  <si>
    <t>Roller</t>
  </si>
  <si>
    <t>Duiker</t>
  </si>
  <si>
    <t>Sjoerd</t>
  </si>
  <si>
    <t>Agronomy Journal</t>
  </si>
  <si>
    <t>Rock Springs, Center County, PA</t>
  </si>
  <si>
    <t>71 kg N per ha</t>
  </si>
  <si>
    <t>Early plant</t>
  </si>
  <si>
    <t>Late plant</t>
  </si>
  <si>
    <t>Ess</t>
  </si>
  <si>
    <t>D.R.</t>
  </si>
  <si>
    <t>American Society of Agricultural Engineers</t>
  </si>
  <si>
    <t xml:space="preserve">Virginia Tech Whitethorne Research Farm </t>
  </si>
  <si>
    <t>Tilled to 0.3m</t>
  </si>
  <si>
    <t>Fertilized</t>
  </si>
  <si>
    <t>Fallow with herbicide</t>
  </si>
  <si>
    <t>Noncapillary porosity (%)</t>
  </si>
  <si>
    <t>Maximum dry density</t>
  </si>
  <si>
    <t>Finney</t>
  </si>
  <si>
    <t>Denise M.</t>
  </si>
  <si>
    <t>Larson Agricultural Research Center, Rock Springs, PA</t>
  </si>
  <si>
    <t>Oat–corn</t>
  </si>
  <si>
    <t xml:space="preserve"> 150 kg N per ha</t>
  </si>
  <si>
    <t>8CCa</t>
  </si>
  <si>
    <t>8CCb</t>
  </si>
  <si>
    <t>Potential leachable nitrate: kg No3-n per ha</t>
  </si>
  <si>
    <t>1 ha = Mg</t>
  </si>
  <si>
    <t>1 ha = Kg</t>
  </si>
  <si>
    <t>Chloroform fumigation±extraction method</t>
  </si>
  <si>
    <t>Sno.13</t>
  </si>
  <si>
    <t>Potentially mineralizable C</t>
  </si>
  <si>
    <t>Journal Of Soil And Water Conservation</t>
  </si>
  <si>
    <t>Other 6 microbial indicators available, fungal to bacterial available</t>
  </si>
  <si>
    <t>mu g C per g per day</t>
  </si>
  <si>
    <t>Hargrove</t>
  </si>
  <si>
    <t>W.L.</t>
  </si>
  <si>
    <t>Bledsoe Research Farm near Griffin, GA</t>
  </si>
  <si>
    <t>Split-split-plot RCBD</t>
  </si>
  <si>
    <t>0 N fertilization</t>
  </si>
  <si>
    <t>112 N fertilization</t>
  </si>
  <si>
    <t>0 Kg N per ha</t>
  </si>
  <si>
    <t>112 Kg N per ha</t>
  </si>
  <si>
    <t>Year and soil depth interaction not valid</t>
  </si>
  <si>
    <t>1 dag = 0.1 g</t>
  </si>
  <si>
    <t>%=0.01g/g</t>
  </si>
  <si>
    <t>10mg/g</t>
  </si>
  <si>
    <t>10000 mg / kg</t>
  </si>
  <si>
    <t>Nitrate-nitrogen in ppm</t>
  </si>
  <si>
    <t>PPM</t>
  </si>
  <si>
    <t>ppm=0.0001%</t>
  </si>
  <si>
    <t>Soil inorganic N</t>
  </si>
  <si>
    <t>Units of N need check</t>
  </si>
  <si>
    <t>Inorganic N available</t>
  </si>
  <si>
    <t>Michigan State University Horticulture Teaching and Research Center in Holt, MI</t>
  </si>
  <si>
    <t>Hayden</t>
  </si>
  <si>
    <t>Zachary</t>
  </si>
  <si>
    <t>Crop Ecology and Physiology</t>
  </si>
  <si>
    <t>Control set as 100, no units</t>
  </si>
  <si>
    <t>Hinds</t>
  </si>
  <si>
    <t>Jermaine</t>
  </si>
  <si>
    <t>Crop Protection</t>
  </si>
  <si>
    <t>5-10-10(N-P-K)</t>
  </si>
  <si>
    <t>UM, Research and Education Center in Upper Marlboro, MD</t>
  </si>
  <si>
    <t>QT, Research and Education Center in Upper Marlboro, MD</t>
  </si>
  <si>
    <t>Diseases_T</t>
  </si>
  <si>
    <t>Diseases_C</t>
  </si>
  <si>
    <t>Beetles per plant</t>
  </si>
  <si>
    <t>Spots cucumber beetles, spider number available</t>
  </si>
  <si>
    <t>Zucchini</t>
  </si>
  <si>
    <t>Organic fertilizer</t>
  </si>
  <si>
    <t>Synthetic fertilizer</t>
  </si>
  <si>
    <t>Nematode enrichment</t>
  </si>
  <si>
    <t>Other nematode indicators available</t>
  </si>
  <si>
    <t>Biological Agriculture and Horticulture</t>
  </si>
  <si>
    <t>29 days</t>
  </si>
  <si>
    <t>Journal of Nematology</t>
  </si>
  <si>
    <t>Hubbard</t>
  </si>
  <si>
    <t>Robert K.</t>
  </si>
  <si>
    <t>Tifton, GA</t>
  </si>
  <si>
    <t>Conservation tillage</t>
  </si>
  <si>
    <t>Rotation with cover crop</t>
  </si>
  <si>
    <t>133 Kg N per ha</t>
  </si>
  <si>
    <t>67 Kg N per ha</t>
  </si>
  <si>
    <t>mg/g</t>
  </si>
  <si>
    <t>Idowu</t>
  </si>
  <si>
    <t>Q.J.</t>
  </si>
  <si>
    <t>Bean–beet–sweet corn–cabbage–bean</t>
  </si>
  <si>
    <t>Bean–ﬁeld corn–clover/grain–sweet corn–bean</t>
  </si>
  <si>
    <t>Four sites averaged</t>
  </si>
  <si>
    <t>No tillage, plow-till, and zone tillage</t>
  </si>
  <si>
    <t>AWC</t>
  </si>
  <si>
    <t>Active carbon</t>
  </si>
  <si>
    <t>Mg, Fe, Zn, CSHI available</t>
  </si>
  <si>
    <t>Jani</t>
  </si>
  <si>
    <t>Arun D.</t>
  </si>
  <si>
    <t>Goldsboro</t>
  </si>
  <si>
    <t xml:space="preserve">Kinston </t>
  </si>
  <si>
    <t>Conventional tillage,Disked</t>
  </si>
  <si>
    <t>Pea</t>
  </si>
  <si>
    <t>Clover</t>
  </si>
  <si>
    <t>0 week</t>
  </si>
  <si>
    <t>2 week</t>
  </si>
  <si>
    <t>4 week</t>
  </si>
  <si>
    <t>6 week</t>
  </si>
  <si>
    <t>8 week</t>
  </si>
  <si>
    <t>12 week</t>
  </si>
  <si>
    <t>16 week</t>
  </si>
  <si>
    <t>Conventional tillage,Roller Crimped</t>
  </si>
  <si>
    <t>NH4-NO3</t>
  </si>
  <si>
    <t>Disked</t>
  </si>
  <si>
    <t>Roller Crimping</t>
  </si>
  <si>
    <t>N release dynamic indicator available</t>
  </si>
  <si>
    <t>Jernigan</t>
  </si>
  <si>
    <t>Ashley B.</t>
  </si>
  <si>
    <t>Weed Science Society of America</t>
  </si>
  <si>
    <t>Freeville, NY</t>
  </si>
  <si>
    <t>Rotated with 6 cash crops</t>
  </si>
  <si>
    <t>Compost</t>
  </si>
  <si>
    <t>Jiang</t>
  </si>
  <si>
    <t>P.</t>
  </si>
  <si>
    <t>SSSA</t>
  </si>
  <si>
    <t>Centrralia in Missouri</t>
  </si>
  <si>
    <t>Silt</t>
  </si>
  <si>
    <t>Corn-soybean-wheat rotation</t>
  </si>
  <si>
    <t>multch tillage</t>
  </si>
  <si>
    <t>150 kg N per ha</t>
  </si>
  <si>
    <t>190 kg N per ha</t>
  </si>
  <si>
    <t>0.01  Kpa</t>
  </si>
  <si>
    <t>Macro porse</t>
  </si>
  <si>
    <t>William E.</t>
  </si>
  <si>
    <t>Prairie du Sac, WI</t>
  </si>
  <si>
    <t>Forage</t>
  </si>
  <si>
    <t>No-cover, manured</t>
  </si>
  <si>
    <t>No-cover, N ferterlized</t>
  </si>
  <si>
    <t>Active C</t>
  </si>
  <si>
    <t>Water-stable macroaggregates</t>
  </si>
  <si>
    <t>SQI available</t>
  </si>
  <si>
    <t>Total microbial Biomass</t>
  </si>
  <si>
    <t>Diff</t>
  </si>
  <si>
    <t>Joyce</t>
  </si>
  <si>
    <t>B.A.</t>
  </si>
  <si>
    <t xml:space="preserve">American Society of Agricultural Engineers </t>
  </si>
  <si>
    <t>Agronomy Farm at the University of California</t>
  </si>
  <si>
    <t>Tomato-Safflower-Corn-Bean Rotation</t>
  </si>
  <si>
    <t>Low input</t>
  </si>
  <si>
    <t>Organic</t>
  </si>
  <si>
    <t>VMW</t>
  </si>
  <si>
    <t>Runoff of precipitation (%)</t>
  </si>
  <si>
    <t>Hydrolic conductivity</t>
  </si>
  <si>
    <t>Kabir</t>
  </si>
  <si>
    <t>Z.</t>
  </si>
  <si>
    <t xml:space="preserve">Agriculture, Ecosystems and Environment </t>
  </si>
  <si>
    <t>Silty loam</t>
  </si>
  <si>
    <t>Dandelion</t>
  </si>
  <si>
    <t>8 days</t>
  </si>
  <si>
    <t>25 days</t>
  </si>
  <si>
    <t>54 days</t>
  </si>
  <si>
    <t>% root affected by Mycorrhizal</t>
  </si>
  <si>
    <t>Shoot biomass:g per plant</t>
  </si>
  <si>
    <t>450 kg N per ha</t>
  </si>
  <si>
    <t>Kaspar</t>
  </si>
  <si>
    <t>T.C.</t>
  </si>
  <si>
    <t>Boone County, IA</t>
  </si>
  <si>
    <t>Corn, Soy bean Rotation</t>
  </si>
  <si>
    <t>Light tillage</t>
  </si>
  <si>
    <t>Gamagrass</t>
  </si>
  <si>
    <t>Plant N indicator available</t>
  </si>
  <si>
    <t>Inorganic N</t>
  </si>
  <si>
    <t>N concentration in runoff (mg N per L)</t>
  </si>
  <si>
    <t>Keene</t>
  </si>
  <si>
    <t>C.L.</t>
  </si>
  <si>
    <t>Crop Economics, Production and Management</t>
  </si>
  <si>
    <t>Reduced or no tillage</t>
  </si>
  <si>
    <t>Kladivko</t>
  </si>
  <si>
    <t>E.J.</t>
  </si>
  <si>
    <t>Journal of environmental quality</t>
  </si>
  <si>
    <t>SouthEastern Purdue Agricultural, Indiana</t>
  </si>
  <si>
    <t>285 kg N per ha</t>
  </si>
  <si>
    <t>177 kg N per ha</t>
  </si>
  <si>
    <t>Chisel</t>
  </si>
  <si>
    <t>5 m drain space</t>
  </si>
  <si>
    <t>10 m drain space</t>
  </si>
  <si>
    <t>20 m drain space</t>
  </si>
  <si>
    <t>Kong</t>
  </si>
  <si>
    <t xml:space="preserve">Angela Y.Y. </t>
  </si>
  <si>
    <t>Long-term Research on Agricultural Systems</t>
  </si>
  <si>
    <t>Mediterranean</t>
  </si>
  <si>
    <t>CRD</t>
  </si>
  <si>
    <t>170 kg N, 51 kg N-P-K per ha</t>
  </si>
  <si>
    <t>Conventional</t>
  </si>
  <si>
    <t>Root C release</t>
  </si>
  <si>
    <t>373 kg composed N per ha</t>
  </si>
  <si>
    <t>69 days</t>
  </si>
  <si>
    <t>100 days</t>
  </si>
  <si>
    <t>154 days</t>
  </si>
  <si>
    <t>Langdale</t>
  </si>
  <si>
    <t>G.W.</t>
  </si>
  <si>
    <t>Soil Technology</t>
  </si>
  <si>
    <t xml:space="preserve"> Watkinsville, Georgia</t>
  </si>
  <si>
    <t>No-tilling</t>
  </si>
  <si>
    <t>70 Kg N per ha</t>
  </si>
  <si>
    <t>115 Kg N per ha</t>
  </si>
  <si>
    <t>45 Kg N per ha</t>
  </si>
  <si>
    <t>Fert_Diff</t>
  </si>
  <si>
    <t>Yes</t>
  </si>
  <si>
    <t>Rainfed, sligh erosion level</t>
  </si>
  <si>
    <t>Rainfed, moderate erosion level</t>
  </si>
  <si>
    <t>Rainfed, severe erosion level</t>
  </si>
  <si>
    <t>Irrigated, sligh erosion level</t>
  </si>
  <si>
    <t>Irrigated, moderate erosion level</t>
  </si>
  <si>
    <t>Irrigated, severe erosion level</t>
  </si>
  <si>
    <t>Sligh erosion level</t>
  </si>
  <si>
    <t>Moderate erosion level</t>
  </si>
  <si>
    <t>Severe erosion level</t>
  </si>
  <si>
    <t>Total Kjeldahl Nitrogen</t>
  </si>
  <si>
    <t>Air dry soil pass sieve</t>
  </si>
  <si>
    <t>Runoff(%)</t>
  </si>
  <si>
    <t>Lehman</t>
  </si>
  <si>
    <t>R.Michael</t>
  </si>
  <si>
    <t>Brookings, South Dakota</t>
  </si>
  <si>
    <t>Sandy clay loam</t>
  </si>
  <si>
    <t>November</t>
  </si>
  <si>
    <t>Oat</t>
  </si>
  <si>
    <t>Slit tillage</t>
  </si>
  <si>
    <t>Arbuscular mycorrrhizal fungi (AMF)</t>
  </si>
  <si>
    <t>Canola</t>
  </si>
  <si>
    <t>Liebig</t>
  </si>
  <si>
    <t>M.</t>
  </si>
  <si>
    <t>Akron, CO</t>
  </si>
  <si>
    <t>Millet</t>
  </si>
  <si>
    <t>Varied N</t>
  </si>
  <si>
    <t>Brookings, SD</t>
  </si>
  <si>
    <t>Chisel plow and disk</t>
  </si>
  <si>
    <t>Rotation_T</t>
  </si>
  <si>
    <t>Rotation_C</t>
  </si>
  <si>
    <t>Rotation_Diff</t>
  </si>
  <si>
    <t>Tillage_T</t>
  </si>
  <si>
    <t>Tillage_C</t>
  </si>
  <si>
    <t>Tillage_Diff</t>
  </si>
  <si>
    <t>Type of tillage for cover crop</t>
  </si>
  <si>
    <t>Type of tillage for control</t>
  </si>
  <si>
    <t>High N</t>
  </si>
  <si>
    <t>Bushland, TX</t>
  </si>
  <si>
    <t>WW-C-M</t>
  </si>
  <si>
    <t>C-SB-SW</t>
  </si>
  <si>
    <t>C-C</t>
  </si>
  <si>
    <t>WW-SO-F</t>
  </si>
  <si>
    <t>WW-WW</t>
  </si>
  <si>
    <t>Fargo, ND</t>
  </si>
  <si>
    <t>Silty clay</t>
  </si>
  <si>
    <t>DW-P</t>
  </si>
  <si>
    <t>Fall plow</t>
  </si>
  <si>
    <t>Mandan, ND</t>
  </si>
  <si>
    <t>Sunflower</t>
  </si>
  <si>
    <t>SW-F</t>
  </si>
  <si>
    <t>SW-WW-SU</t>
  </si>
  <si>
    <t>Medium</t>
  </si>
  <si>
    <t>Mead, NE</t>
  </si>
  <si>
    <t>C-SB-SO-OCL</t>
  </si>
  <si>
    <t>High</t>
  </si>
  <si>
    <t>Sidney, MT</t>
  </si>
  <si>
    <t>SW-SW</t>
  </si>
  <si>
    <t>Tandem disk</t>
  </si>
  <si>
    <t>Swift Current, SK</t>
  </si>
  <si>
    <t>Lentil</t>
  </si>
  <si>
    <t>SW-L</t>
  </si>
  <si>
    <t>Chisel plow and harrow</t>
  </si>
  <si>
    <t>Type of rotation/crop sequence for cover crop treatment</t>
  </si>
  <si>
    <t>Type of rotation/crop sequence for control</t>
  </si>
  <si>
    <t>WW-F</t>
  </si>
  <si>
    <t>qCO2,mg CO2 per mg MBC</t>
  </si>
  <si>
    <t>kg per ha</t>
  </si>
  <si>
    <t>Marriott</t>
  </si>
  <si>
    <t xml:space="preserve">Emily E. </t>
  </si>
  <si>
    <t>Composed mannure 4480 kg per ha</t>
  </si>
  <si>
    <t>170 Kg N per ha</t>
  </si>
  <si>
    <t>Chisel plow</t>
  </si>
  <si>
    <t>C-CC-C-AR-SB-W-RC</t>
  </si>
  <si>
    <t>CC-SB-W</t>
  </si>
  <si>
    <t>Legume</t>
  </si>
  <si>
    <t>Control vs M</t>
  </si>
  <si>
    <t>Control vs L</t>
  </si>
  <si>
    <t>Paper's ID number</t>
  </si>
  <si>
    <t>Mbuthia</t>
  </si>
  <si>
    <t>Lilian Wanjiru</t>
  </si>
  <si>
    <t>Everage of 31 years data</t>
  </si>
  <si>
    <t>Cotton</t>
  </si>
  <si>
    <t>Total bacterial</t>
  </si>
  <si>
    <t>Tillage</t>
  </si>
  <si>
    <t>1 ha = 100*100*0.075*1.4Mg</t>
  </si>
  <si>
    <t>No40</t>
  </si>
  <si>
    <t>MG</t>
  </si>
  <si>
    <t>kg</t>
  </si>
  <si>
    <t>McCracken</t>
  </si>
  <si>
    <t xml:space="preserve">Daniel V.  </t>
  </si>
  <si>
    <t xml:space="preserve">West Tennessee Research and Education Center </t>
  </si>
  <si>
    <t>Kentucky Agricultural Experiment  Station  Farm near Lexington</t>
  </si>
  <si>
    <t>NH4-N discharge (%)</t>
  </si>
  <si>
    <t>June</t>
  </si>
  <si>
    <t>Augest</t>
  </si>
  <si>
    <t>October</t>
  </si>
  <si>
    <t>December</t>
  </si>
  <si>
    <t xml:space="preserve">April </t>
  </si>
  <si>
    <t>Suptember</t>
  </si>
  <si>
    <t>January</t>
  </si>
  <si>
    <t>February</t>
  </si>
  <si>
    <t>McVay</t>
  </si>
  <si>
    <t xml:space="preserve">K. A. </t>
  </si>
  <si>
    <t>Clay Loam</t>
  </si>
  <si>
    <t>Valley  location, Georgia</t>
  </si>
  <si>
    <t>Coastal  Plain, Altamaha, upper Coastal  Plain of Georgia</t>
  </si>
  <si>
    <t>&gt;250 mum (%)</t>
  </si>
  <si>
    <t>SQI, Ca, Mg, MBN and MBC/N indicators available</t>
  </si>
  <si>
    <t>Ca,Mg,Al,Mn available</t>
  </si>
  <si>
    <t>Varied</t>
  </si>
  <si>
    <t>CCTermination</t>
  </si>
  <si>
    <t>Mendes</t>
  </si>
  <si>
    <t xml:space="preserve">I. C. </t>
  </si>
  <si>
    <t>Sweet corn and broccoli</t>
  </si>
  <si>
    <t>Cereal</t>
  </si>
  <si>
    <t>TC</t>
  </si>
  <si>
    <t>Kjeldahl N (TKN)</t>
  </si>
  <si>
    <t>SMBC</t>
  </si>
  <si>
    <t>mu g n gdw soil per week?</t>
  </si>
  <si>
    <t>beta-Glucoside activity</t>
  </si>
  <si>
    <t>Fluorescein diacetate hydrolysis (FDA),distribution of TOC,TNC,and emzyme activity indicator available</t>
  </si>
  <si>
    <t>Ndiaye</t>
  </si>
  <si>
    <t xml:space="preserve">E.L. </t>
  </si>
  <si>
    <t>American Journal of Alternative Agriculture</t>
  </si>
  <si>
    <t>Silverton(OF), Oregon</t>
  </si>
  <si>
    <t>Salem(OF), Oregon</t>
  </si>
  <si>
    <t>Gervais(OF), Oregon</t>
  </si>
  <si>
    <t>Molalla(OF), Oregon-122.577</t>
  </si>
  <si>
    <t>NWREC(R), Oregon</t>
  </si>
  <si>
    <t>Southern Willamette Valley, VF(R), Oregon</t>
  </si>
  <si>
    <t>Cauliflower</t>
  </si>
  <si>
    <t>Broccoli</t>
  </si>
  <si>
    <t>Mixed</t>
  </si>
  <si>
    <t>Corn-Cauliflower</t>
  </si>
  <si>
    <t>Corn-corn</t>
  </si>
  <si>
    <t>Corn-grass</t>
  </si>
  <si>
    <t>Broccoli-Corn</t>
  </si>
  <si>
    <t>Corn-Bean</t>
  </si>
  <si>
    <t>Ca</t>
  </si>
  <si>
    <t>c mol / kg</t>
  </si>
  <si>
    <t>mg CO2/m2/s</t>
  </si>
  <si>
    <t>1mg=0.001 g</t>
  </si>
  <si>
    <t>1 mu mol = 1/1000000 mol</t>
  </si>
  <si>
    <t>K need *39</t>
  </si>
  <si>
    <t>1 nmol = 1/1000000000 mol</t>
  </si>
  <si>
    <t>1mol=12g</t>
  </si>
  <si>
    <t>1 cmol = 0.01 mol</t>
  </si>
  <si>
    <t>No29</t>
  </si>
  <si>
    <t>1 ha = 1627.5Mg</t>
  </si>
  <si>
    <t>mu mol CO2 /kg soil/ d</t>
  </si>
  <si>
    <t>1 mu mol=1/1000000 mol</t>
  </si>
  <si>
    <t>1 nmol=1/1000000000 mol * 44 g/mol</t>
  </si>
  <si>
    <t>Canopy closure</t>
  </si>
  <si>
    <t>Spring</t>
  </si>
  <si>
    <t>Harvest</t>
  </si>
  <si>
    <t>mu g g-1 soil</t>
  </si>
  <si>
    <t>Cotton stip decomposition indicator available</t>
  </si>
  <si>
    <t>Nielsen</t>
  </si>
  <si>
    <t>David C.</t>
  </si>
  <si>
    <t>Sweep tillage</t>
  </si>
  <si>
    <t>1.1 Kg N-P per ha</t>
  </si>
  <si>
    <t>mm</t>
  </si>
  <si>
    <t>J.K.</t>
  </si>
  <si>
    <t>ODea</t>
  </si>
  <si>
    <t>Big Sandy site, north-central Montan</t>
  </si>
  <si>
    <t>Box elder site, north-central Montan</t>
  </si>
  <si>
    <t>Joplin, north-central Montan</t>
  </si>
  <si>
    <t>Sunburst site, north-central Montan</t>
  </si>
  <si>
    <t>Oilmont site, north-central Montan</t>
  </si>
  <si>
    <t>Clay loam</t>
  </si>
  <si>
    <t>Herbicide, June_18</t>
  </si>
  <si>
    <t>Herbicide, June_23</t>
  </si>
  <si>
    <t>Herbicide, June_26</t>
  </si>
  <si>
    <t>Herbicide, June_27</t>
  </si>
  <si>
    <t>Herbicide, July_9</t>
  </si>
  <si>
    <t>NO3-N+NH4-N, kg/ha</t>
  </si>
  <si>
    <t>NO3-N, kg/ha</t>
  </si>
  <si>
    <t>1/(Available Nitrogen Use Efficiency)</t>
  </si>
  <si>
    <t>Residue C, N returned available</t>
  </si>
  <si>
    <t>Osborne</t>
  </si>
  <si>
    <t xml:space="preserve">Shannon L. </t>
  </si>
  <si>
    <t>Bioenerg. Res.</t>
  </si>
  <si>
    <t>Corn-soybean</t>
  </si>
  <si>
    <t>Low residue romoval</t>
  </si>
  <si>
    <t>Medium residue romoval</t>
  </si>
  <si>
    <t>High residue romoval</t>
  </si>
  <si>
    <t>Quinn</t>
  </si>
  <si>
    <t>N.F.</t>
  </si>
  <si>
    <t>Environmental Entomology</t>
  </si>
  <si>
    <t>Harbor, MI</t>
  </si>
  <si>
    <t xml:space="preserve"> 86.25 N-P-K- kg per ha</t>
  </si>
  <si>
    <t>Herbicide, Glyphosate, clomazone etc</t>
  </si>
  <si>
    <t>Strip-tilled</t>
  </si>
  <si>
    <t>full-tilled</t>
  </si>
  <si>
    <t>a</t>
  </si>
  <si>
    <t>b</t>
  </si>
  <si>
    <t>c</t>
  </si>
  <si>
    <t>d</t>
  </si>
  <si>
    <t>e</t>
  </si>
  <si>
    <t>f</t>
  </si>
  <si>
    <t>g</t>
  </si>
  <si>
    <t>h</t>
  </si>
  <si>
    <t>Number of arthropods (density activity)</t>
  </si>
  <si>
    <t>No. 46</t>
  </si>
  <si>
    <t>mm to VMW</t>
  </si>
  <si>
    <t>Notes2</t>
  </si>
  <si>
    <t>Microbe activity/Enzyme/nematode/earthwarm</t>
  </si>
  <si>
    <t>Termination</t>
  </si>
  <si>
    <t>Beetles as diseases</t>
  </si>
  <si>
    <t>Multiple rotation, tillage and fertilization</t>
  </si>
  <si>
    <t>Root infected by rot</t>
  </si>
  <si>
    <t>Disk vs crimping</t>
  </si>
  <si>
    <t>Runoff to erosion, hydrolic conductivity to Ks</t>
  </si>
  <si>
    <t>Other notes, comments 2</t>
  </si>
  <si>
    <t>Earthwarm, 4.75-2 mm water stable aggregates, percentage of soil remaining in sieves, other 5 indicator available</t>
  </si>
  <si>
    <t>Geometric mean Diameter of dry aggregates, water-stable, available</t>
  </si>
  <si>
    <t>Weed density, averaged from 5</t>
  </si>
  <si>
    <t>pests</t>
  </si>
  <si>
    <t>Active C to Cmin, root health to microAnimal, units for Nmin need check</t>
  </si>
  <si>
    <t>Root C release to CO2BTest</t>
  </si>
  <si>
    <t>Runoff (%)</t>
  </si>
  <si>
    <t>AMF as total microAnimal indicator</t>
  </si>
  <si>
    <t>MBN and MBC/SOC available, qCO2 as CO2 burst test indicator</t>
  </si>
  <si>
    <t>CF,OPOM,FPOM,CHF methods for Nmin, Cmin</t>
  </si>
  <si>
    <t>NH4-N discharg as erosion indicator</t>
  </si>
  <si>
    <t>mm for AWHC</t>
  </si>
  <si>
    <t xml:space="preserve">Authopods number to MicroAnimal </t>
  </si>
  <si>
    <t>Raper</t>
  </si>
  <si>
    <t>R.L.</t>
  </si>
  <si>
    <t>Applied Engineering in Agriculture</t>
  </si>
  <si>
    <t>Spring shallow</t>
  </si>
  <si>
    <t>Spring deep</t>
  </si>
  <si>
    <t>Autumn shallow</t>
  </si>
  <si>
    <t>Autumn deep</t>
  </si>
  <si>
    <t>Cone index for root penetration</t>
  </si>
  <si>
    <t>Rasse</t>
  </si>
  <si>
    <t>Daniel P.</t>
  </si>
  <si>
    <t>Environmental Quality</t>
  </si>
  <si>
    <t>Tennessee Valley Substation in Belle Mina, Alabama</t>
  </si>
  <si>
    <t>101 Kg N per ha</t>
  </si>
  <si>
    <t>202 Kg N per ha</t>
  </si>
  <si>
    <t>Ap</t>
  </si>
  <si>
    <t>Ap, Bt, C1 and C2</t>
  </si>
  <si>
    <t>Inorganic N, NH4-N</t>
  </si>
  <si>
    <t>Bt</t>
  </si>
  <si>
    <t>C1</t>
  </si>
  <si>
    <t>C2</t>
  </si>
  <si>
    <t>Total NO3-N leaching (kg per ha)</t>
  </si>
  <si>
    <t>Rivers</t>
  </si>
  <si>
    <t xml:space="preserve">Ariel </t>
  </si>
  <si>
    <t>Carabidae community species richness</t>
  </si>
  <si>
    <t>Ritter</t>
  </si>
  <si>
    <t xml:space="preserve">W.F. </t>
  </si>
  <si>
    <t>Journal of Contaminant Hydrology</t>
  </si>
  <si>
    <t>Poultry manure</t>
  </si>
  <si>
    <t>Composted poultry manure</t>
  </si>
  <si>
    <t>Commercial fertilizer</t>
  </si>
  <si>
    <t>OC_Comments</t>
  </si>
  <si>
    <t>N_Comments</t>
  </si>
  <si>
    <t>P_Comments</t>
  </si>
  <si>
    <t>Aggre_Comments</t>
  </si>
  <si>
    <t>EC_Comments</t>
  </si>
  <si>
    <t>Infiltration_Comments</t>
  </si>
  <si>
    <t>Mass of N leached on lage plots (kg per ha)</t>
  </si>
  <si>
    <t>N concentration in drainage as prevent_erosion due to multiple erosion indicator available</t>
  </si>
  <si>
    <t>Sainju</t>
  </si>
  <si>
    <t>Upendra M.</t>
  </si>
  <si>
    <t>Europ. J. Agronomy</t>
  </si>
  <si>
    <t>Agricultural Research Station Farm, Georgia</t>
  </si>
  <si>
    <t>Strip tillage</t>
  </si>
  <si>
    <t>Chisel tillage</t>
  </si>
  <si>
    <t>60 Kg N per ha</t>
  </si>
  <si>
    <t>120 Kg N per ha</t>
  </si>
  <si>
    <t>65 Kg N per ha</t>
  </si>
  <si>
    <t>130 Kg N per ha</t>
  </si>
  <si>
    <t>Cotton-Sorghum</t>
  </si>
  <si>
    <t>Fallow and winter weeds</t>
  </si>
  <si>
    <t>Apr</t>
  </si>
  <si>
    <t>Nov</t>
  </si>
  <si>
    <t>Schipanski</t>
  </si>
  <si>
    <t>Meagan E.</t>
  </si>
  <si>
    <t>Agricultural Systems</t>
  </si>
  <si>
    <t>Soybean-wheat-corn</t>
  </si>
  <si>
    <t>Simulated 30-year period</t>
  </si>
  <si>
    <t>Ecosystem services, Simulated 30-year period</t>
  </si>
  <si>
    <t>Schutter</t>
  </si>
  <si>
    <t xml:space="preserve">M.E. </t>
  </si>
  <si>
    <t>NWREC</t>
  </si>
  <si>
    <t>Triticale</t>
  </si>
  <si>
    <t>Salem</t>
  </si>
  <si>
    <t>Silverton</t>
  </si>
  <si>
    <t>Biol Fertil Soils</t>
  </si>
  <si>
    <t>VRS, Vegetable Research Station, Corvallis,  Oregon</t>
  </si>
  <si>
    <t>Clay</t>
  </si>
  <si>
    <t>Sweetcorn</t>
  </si>
  <si>
    <t>Broccoli-Sweetcorn-Green bean</t>
  </si>
  <si>
    <t>Oat-common vetch-Green bean-Green bean</t>
  </si>
  <si>
    <t>Sweet corn and CC</t>
  </si>
  <si>
    <t>Cauliflower-Sweetcorn</t>
  </si>
  <si>
    <t>Nematodes biomass (mu g per g soil)</t>
  </si>
  <si>
    <t>Bacterial, fungal biomass available</t>
  </si>
  <si>
    <t>Greenbean</t>
  </si>
  <si>
    <t>Microbial fatty acid methyl esters (FAMEs)</t>
  </si>
  <si>
    <t>mg C per kg soil per 10 day</t>
  </si>
  <si>
    <t>Incubation in tube for 10 days at 25 C</t>
  </si>
  <si>
    <t>BiomassCashCrop_C</t>
  </si>
  <si>
    <t>BiomassCashCrop_T</t>
  </si>
  <si>
    <t>Yield_C</t>
  </si>
  <si>
    <t>Yield_T</t>
  </si>
  <si>
    <t>BD_Comments</t>
  </si>
  <si>
    <t>From CN ratio, t per ha of 15 cm soil</t>
  </si>
  <si>
    <t>pH_Comments</t>
  </si>
  <si>
    <t>Units (%), &lt; 0.84 mm aggregates</t>
  </si>
  <si>
    <t>Penetration_Comments</t>
  </si>
  <si>
    <t>CEC_Comments</t>
  </si>
  <si>
    <t>BS_Comments</t>
  </si>
  <si>
    <t>AWHC_Comments</t>
  </si>
  <si>
    <t>ST_Comments</t>
  </si>
  <si>
    <t>SWC_Comments</t>
  </si>
  <si>
    <t>Weed_Comments</t>
  </si>
  <si>
    <t>Diseases_Comments</t>
  </si>
  <si>
    <t>Cmina_Comments</t>
  </si>
  <si>
    <t>SIR_Comments</t>
  </si>
  <si>
    <t>CO2BTest_Comments</t>
  </si>
  <si>
    <t>MBC_Comments</t>
  </si>
  <si>
    <t>Nmina_Comments</t>
  </si>
  <si>
    <t>yield_Comments</t>
  </si>
  <si>
    <t>K_Coments</t>
  </si>
  <si>
    <t>Notes1</t>
  </si>
  <si>
    <t>Other notes, comments 1</t>
  </si>
  <si>
    <t>BiomassCashCrop_Comments</t>
  </si>
  <si>
    <t>Shoot dry weight (g)</t>
  </si>
  <si>
    <t>Scott</t>
  </si>
  <si>
    <t>H.D.</t>
  </si>
  <si>
    <t>Delta branch experiment station clarkedale</t>
  </si>
  <si>
    <t>Dubba-Dundee soil</t>
  </si>
  <si>
    <t>Lupine</t>
  </si>
  <si>
    <t>Arkansas agriculture experiment station bulletin</t>
  </si>
  <si>
    <t>448 (13-13-13)+112 NH4NO3 Kg per ha</t>
  </si>
  <si>
    <t>112 (13-13-13) Kg per ha</t>
  </si>
  <si>
    <t>336 (13-13-13) Kg per ha</t>
  </si>
  <si>
    <t>280 NH4NO3 Kg per ha</t>
  </si>
  <si>
    <t>280 (13-13-13)+112 NH4NO3 Kg per ha</t>
  </si>
  <si>
    <t>308 (13-13-13) Kg per ha</t>
  </si>
  <si>
    <t>140 NH4NO3+4 urea Kg per ha</t>
  </si>
  <si>
    <t>336 (13-13-13)+112 NH4NO3 Kg per ha</t>
  </si>
  <si>
    <t>190 (0-0-60)+112 NH4NO3 Kg per ha</t>
  </si>
  <si>
    <t>Soil properties indicator were 16 years average (set as 8)</t>
  </si>
  <si>
    <t>SWC(33)-SWC(1500)</t>
  </si>
  <si>
    <t>SWC(30)-SWC(1500)</t>
  </si>
  <si>
    <t>Infiltration rate of control (mean value), water</t>
  </si>
  <si>
    <t>Infiltration rate of treatment (mean value), water</t>
  </si>
  <si>
    <t>Penetration resistance of control (mean value), root</t>
  </si>
  <si>
    <t>Penetration resistance of treatment (mean value), root</t>
  </si>
  <si>
    <t>Active C as Cmin, MBC to small, units convert?, We determined penetration resistance using a constant rate recording cone penetrometer with a cone base of 129 mm2 and a penetration rate of 8 mm s–1 (Lowery, 1986).</t>
  </si>
  <si>
    <t>Penetrometer resisteance (Fig 2)</t>
  </si>
  <si>
    <t>Cone index (Mpa), similar as studyID 29</t>
  </si>
  <si>
    <t>Capillary porosity as root penetration indicator</t>
  </si>
  <si>
    <t>Micro and macro porse, Macro porse as penetration indicator</t>
  </si>
  <si>
    <t>Staver</t>
  </si>
  <si>
    <t>K.W.</t>
  </si>
  <si>
    <t>Journal of  Soil  and Water  Conservation</t>
  </si>
  <si>
    <t>Winter CC</t>
  </si>
  <si>
    <t>TimeCC</t>
  </si>
  <si>
    <t>Time_CC</t>
  </si>
  <si>
    <t>OCT-10, Winter CC</t>
  </si>
  <si>
    <t>Time_Comments</t>
  </si>
  <si>
    <t>OCT-22, Winter CC</t>
  </si>
  <si>
    <t>Time of cover crop planted, winter or summer CC</t>
  </si>
  <si>
    <t>OCT-28, Winter CC</t>
  </si>
  <si>
    <t>OCT-6, Winter CC</t>
  </si>
  <si>
    <t>Sep-22, Winter CC</t>
  </si>
  <si>
    <t>Sep-28, Winter CC</t>
  </si>
  <si>
    <t>OCT-8, Winter CC</t>
  </si>
  <si>
    <t>OCT-7, Winter CC</t>
  </si>
  <si>
    <t>OCT-13, Winter CC</t>
  </si>
  <si>
    <t>OCT-1, Winter CC</t>
  </si>
  <si>
    <t>OCT-2, Winter CC</t>
  </si>
  <si>
    <t>OCT-27, Winter CC</t>
  </si>
  <si>
    <t>OCT</t>
  </si>
  <si>
    <t>DEC</t>
  </si>
  <si>
    <t>Jan</t>
  </si>
  <si>
    <t>Jun</t>
  </si>
  <si>
    <t>Sep</t>
  </si>
  <si>
    <t>Oct</t>
  </si>
  <si>
    <t>Aug</t>
  </si>
  <si>
    <t>Soil-nitrate-N</t>
  </si>
  <si>
    <t>Queen Annes County, Maryland</t>
  </si>
  <si>
    <t>Stover (kg per ha)</t>
  </si>
  <si>
    <t>156 kg N per ha</t>
  </si>
  <si>
    <t>Units varied</t>
  </si>
  <si>
    <t>Leachate Nitrate-N (mg per l)</t>
  </si>
  <si>
    <t>Steele</t>
  </si>
  <si>
    <t>M.K.</t>
  </si>
  <si>
    <t>Coastal  Plain, Maryland (Site 2)</t>
  </si>
  <si>
    <t>Piedmont, Maryland (Site 3)</t>
  </si>
  <si>
    <t>According to University of Maryland extension recommendation</t>
  </si>
  <si>
    <t>Season</t>
  </si>
  <si>
    <t>Off-season</t>
  </si>
  <si>
    <t>Water stable aggregates (WSA) &lt; 2 but &gt; 0.5</t>
  </si>
  <si>
    <t>Water stable aggregates (WSA) &gt; 2 ( g per g to %)</t>
  </si>
  <si>
    <t>Mg/ha</t>
  </si>
  <si>
    <t>Units for OC need double check</t>
  </si>
  <si>
    <t>TOC, Mg per ha = 0.073 %</t>
  </si>
  <si>
    <t>Labile C</t>
  </si>
  <si>
    <t>Site1, mm/s = mm/h*3600</t>
  </si>
  <si>
    <t>Site2, mm/s = mm/h*3600</t>
  </si>
  <si>
    <t>Site3, mm/s = mm/h*3600</t>
  </si>
  <si>
    <t>Ks, Hydrulic conductivity</t>
  </si>
  <si>
    <t>mm / s</t>
  </si>
  <si>
    <t>mm/s=360cm/h</t>
  </si>
  <si>
    <t>Air permeability (mu m2)</t>
  </si>
  <si>
    <t>Porosity_C</t>
  </si>
  <si>
    <t>Porosity_T</t>
  </si>
  <si>
    <t>Porosity_Comments</t>
  </si>
  <si>
    <t>Porosity, air permeability of control (mean value)</t>
  </si>
  <si>
    <t>Porosity, air permeability of treatment (mean value)</t>
  </si>
  <si>
    <t>Stipesevic</t>
  </si>
  <si>
    <t>Bojan</t>
  </si>
  <si>
    <t>Purdue University PhD dissertation</t>
  </si>
  <si>
    <t>Southeast Purdue Agricultural Center (SEPAC)</t>
  </si>
  <si>
    <t xml:space="preserve">Throckmorton Purdue Agricultural Center (TPAC) </t>
  </si>
  <si>
    <t>Early desccation</t>
  </si>
  <si>
    <t>Regular desiccation</t>
  </si>
  <si>
    <t>Before corn plant</t>
  </si>
  <si>
    <t>After corn plant</t>
  </si>
  <si>
    <t>% vol/vol (total)</t>
  </si>
  <si>
    <t>Air fill porosity</t>
  </si>
  <si>
    <t>Mean weight diameter (mm)</t>
  </si>
  <si>
    <t>cm/h to mm per h</t>
  </si>
  <si>
    <t>cm/h</t>
  </si>
  <si>
    <t>5-31 VMW to GMW</t>
  </si>
  <si>
    <t>6-5 VWM to GMW</t>
  </si>
  <si>
    <t>4-26 VMW</t>
  </si>
  <si>
    <t>5-15 VMW</t>
  </si>
  <si>
    <t>6-20 VMW</t>
  </si>
  <si>
    <t>5-10 VMW</t>
  </si>
  <si>
    <t>5-14 VMW</t>
  </si>
  <si>
    <t>5-24 VMW</t>
  </si>
  <si>
    <t>Other indicators in fig</t>
  </si>
  <si>
    <t>Soybean-corn</t>
  </si>
  <si>
    <t>Vane shear strength measurement of soil compaction (Mpa)</t>
  </si>
  <si>
    <t>Strock</t>
  </si>
  <si>
    <t>J.S.</t>
  </si>
  <si>
    <t>Journal of Environmental Quality</t>
  </si>
  <si>
    <t>Southwest research and outreach center</t>
  </si>
  <si>
    <t>Urea, P and K</t>
  </si>
  <si>
    <t>Disk cultivation</t>
  </si>
  <si>
    <t>Teasdale</t>
  </si>
  <si>
    <t xml:space="preserve">J.R.  </t>
  </si>
  <si>
    <t>Beltsville, MD</t>
  </si>
  <si>
    <t>Bare soil</t>
  </si>
  <si>
    <t>DOY 220</t>
  </si>
  <si>
    <t>DOY 224</t>
  </si>
  <si>
    <t>DOY 228</t>
  </si>
  <si>
    <t>DOY 232</t>
  </si>
  <si>
    <t>DOY 236</t>
  </si>
  <si>
    <t>DOY 240</t>
  </si>
  <si>
    <t>DOY 244</t>
  </si>
  <si>
    <t>DOY 248</t>
  </si>
  <si>
    <t>DOY 252</t>
  </si>
  <si>
    <t>DOY 256</t>
  </si>
  <si>
    <t>DOY 260</t>
  </si>
  <si>
    <t>Transmittance, hotosynthetically active radiation at indicators available</t>
  </si>
  <si>
    <t>Terra</t>
  </si>
  <si>
    <t>J.A.</t>
  </si>
  <si>
    <t>Ithaca, NY</t>
  </si>
  <si>
    <t>Agricultural Experiment Station, Alabama</t>
  </si>
  <si>
    <t>No manure</t>
  </si>
  <si>
    <t>Conservation</t>
  </si>
  <si>
    <t>With manure</t>
  </si>
  <si>
    <t>CNOfCoverCrop</t>
  </si>
  <si>
    <t>Corn-cotton</t>
  </si>
  <si>
    <t>Dairy manure</t>
  </si>
  <si>
    <t>Coton</t>
  </si>
  <si>
    <t>Total microbial Biomass, measurement of phospholipid fatty acids</t>
  </si>
  <si>
    <t>Using Cover Crops In Oregon</t>
  </si>
  <si>
    <t xml:space="preserve">Richard </t>
  </si>
  <si>
    <t>Dick</t>
  </si>
  <si>
    <t>North Willamette Research and Extension Center</t>
  </si>
  <si>
    <t>NOV</t>
  </si>
  <si>
    <t>Feb</t>
  </si>
  <si>
    <t>Mar</t>
  </si>
  <si>
    <t>Dec</t>
  </si>
  <si>
    <t>Veum</t>
  </si>
  <si>
    <t xml:space="preserve">K.S. </t>
  </si>
  <si>
    <t>Salt River Basin Central Claypan Region,Missouri</t>
  </si>
  <si>
    <t>Corn–soybean</t>
  </si>
  <si>
    <t>Corn–soybean–wheat</t>
  </si>
  <si>
    <t xml:space="preserve">Water stable aggregates (%) </t>
  </si>
  <si>
    <t>OC</t>
  </si>
  <si>
    <t>β-glucosidase (mg PNP kg–1 h–1)</t>
  </si>
  <si>
    <t>mg/kg</t>
  </si>
  <si>
    <t>dS m–1</t>
  </si>
  <si>
    <t xml:space="preserve">Extractable P (mg kg–1) </t>
  </si>
  <si>
    <t xml:space="preserve">Extractable K (mg kg–1) </t>
  </si>
  <si>
    <t>Ca,Mg,Cu,Fe,Mg,Zn,SQI or SMAF available</t>
  </si>
  <si>
    <t>NTCS-17 vs NTCSW14</t>
  </si>
  <si>
    <t>NTCS-4 vs NTCSWM5</t>
  </si>
  <si>
    <t>Mulch tillage</t>
  </si>
  <si>
    <t>Beef livestock manure of 11 Mg N per ha</t>
  </si>
  <si>
    <t>Villamil</t>
  </si>
  <si>
    <t>M.B.</t>
  </si>
  <si>
    <t>Urbana, IL, USA</t>
  </si>
  <si>
    <t>135 kg N per ha</t>
  </si>
  <si>
    <t>SOM</t>
  </si>
  <si>
    <t>Kg/Mg</t>
  </si>
  <si>
    <t>NO3-N</t>
  </si>
  <si>
    <t>Increase PR (MPa) means closer contact between particles</t>
  </si>
  <si>
    <t>Erosion_C</t>
  </si>
  <si>
    <t>Erosion_T</t>
  </si>
  <si>
    <t>Erosion_Comments</t>
  </si>
  <si>
    <t xml:space="preserve">Water erosion, wind erosion of control </t>
  </si>
  <si>
    <t>Water erosion, wind erosion of cover crop</t>
  </si>
  <si>
    <t>Comments on water erosion, wind erosion</t>
  </si>
  <si>
    <t>Total porosity</t>
  </si>
  <si>
    <t>Plant available water (PAW, %)</t>
  </si>
  <si>
    <t>Jokela</t>
  </si>
  <si>
    <t>William</t>
  </si>
  <si>
    <t>1990 to 2008</t>
  </si>
  <si>
    <t xml:space="preserve"> Wisconsin Integrated Cropping Systems Trial</t>
  </si>
  <si>
    <t>CS3-C vs CS1-C</t>
  </si>
  <si>
    <t>CS4-C vs CS1-C</t>
  </si>
  <si>
    <t>CS4-A vs CS1-C</t>
  </si>
  <si>
    <t>CS5-C vs CS1-C</t>
  </si>
  <si>
    <t>CS5-A vs CS1-C</t>
  </si>
  <si>
    <t>CS6-P vs CS1-C</t>
  </si>
  <si>
    <t>Chisel and none</t>
  </si>
  <si>
    <t>145-5-20 kg N per ha</t>
  </si>
  <si>
    <t>146 kg N per ha</t>
  </si>
  <si>
    <t>241-23-160 kg N per ha</t>
  </si>
  <si>
    <t>240-24-160 kg N per ha</t>
  </si>
  <si>
    <t>182-17-120 kg N per ha</t>
  </si>
  <si>
    <t>176-16-117 kg N per ha</t>
  </si>
  <si>
    <t>52-5-31 kg N per ha</t>
  </si>
  <si>
    <t>n mol / kg</t>
  </si>
  <si>
    <t xml:space="preserve">nmol per kg to mgkg-1 </t>
  </si>
  <si>
    <t>CS3-C vs CS2-C</t>
  </si>
  <si>
    <t>CS4-C vs CS2-C</t>
  </si>
  <si>
    <t>CS4-A vs CS2-C</t>
  </si>
  <si>
    <t>CS5-C vs CS2-C</t>
  </si>
  <si>
    <t>CS5-A vs CS2-C</t>
  </si>
  <si>
    <t>CS6-P vs CS2-C</t>
  </si>
  <si>
    <t>136-4-19 kg N per ha</t>
  </si>
  <si>
    <t>no tillage</t>
  </si>
  <si>
    <t>nmol per kg to mgkg-1</t>
  </si>
  <si>
    <t>Water-stable aggregates (g/kg)</t>
  </si>
  <si>
    <t>Williams</t>
  </si>
  <si>
    <t>M.M.</t>
  </si>
  <si>
    <t>Agricultural Research Development Center, Ithaca</t>
  </si>
  <si>
    <t>Silty clay loam</t>
  </si>
  <si>
    <t>Barley</t>
  </si>
  <si>
    <t>Irrigated</t>
  </si>
  <si>
    <t>Rainfed</t>
  </si>
  <si>
    <t>Spray at June 6</t>
  </si>
  <si>
    <t>Spray at May 23</t>
  </si>
  <si>
    <t>Spray at May 13</t>
  </si>
  <si>
    <t>Canopy volume available</t>
  </si>
  <si>
    <t>Wyland</t>
  </si>
  <si>
    <t xml:space="preserve">L.J. </t>
  </si>
  <si>
    <t xml:space="preserve"> Agriculture,  Ecosystems and Environment </t>
  </si>
  <si>
    <t>Salinas Valley of California</t>
  </si>
  <si>
    <t>Phacelia</t>
  </si>
  <si>
    <t>5-17-1993</t>
  </si>
  <si>
    <t>6-1-1993</t>
  </si>
  <si>
    <t>6-24-1993</t>
  </si>
  <si>
    <t>7-13-1993</t>
  </si>
  <si>
    <t>7-27-1993</t>
  </si>
  <si>
    <t>No.70</t>
  </si>
  <si>
    <t>NO3-N (g/m2 to mg/kg)</t>
  </si>
  <si>
    <t>1m2=657kg</t>
  </si>
  <si>
    <t>Jul</t>
  </si>
  <si>
    <t>MBN available</t>
  </si>
  <si>
    <t>VMW to GMW</t>
  </si>
  <si>
    <t>Springtails(No. Per sample)</t>
  </si>
  <si>
    <t>Mites (No. per sample)</t>
  </si>
  <si>
    <t>Yoo</t>
  </si>
  <si>
    <t>K.H.</t>
  </si>
  <si>
    <t>Soil and Tillage Research</t>
  </si>
  <si>
    <t>101 kg N per ha</t>
  </si>
  <si>
    <t>Belle Mina,  Alabama</t>
  </si>
  <si>
    <t>Soil N (TN, Inorganic N, NO3-N, NH4-N, Nox, NHx, Nox+NHx)</t>
  </si>
  <si>
    <t>Electric Conductivity of control (mean value)</t>
  </si>
  <si>
    <t>Electric Conductivity of treatment (mean value)</t>
  </si>
  <si>
    <t>Base Satuation of control (mean value)</t>
  </si>
  <si>
    <t>MBN_C</t>
  </si>
  <si>
    <t>MBN_T</t>
  </si>
  <si>
    <t>MBN_Comments</t>
  </si>
  <si>
    <t>Microbe Biomass Nitrogen of control (mean value)</t>
  </si>
  <si>
    <t>Microbe Biomass Nitrogen of treatment (mean value)</t>
  </si>
  <si>
    <t>sediment loss (kg per ha)</t>
  </si>
  <si>
    <t>% of rainoff</t>
  </si>
  <si>
    <t>Zelles</t>
  </si>
  <si>
    <t>L.</t>
  </si>
  <si>
    <t>Potatoes</t>
  </si>
  <si>
    <t>No rotation</t>
  </si>
  <si>
    <t>Winter wheat-oats-potatoes-barley-red clover</t>
  </si>
  <si>
    <t>110-105-140 N/P/K</t>
  </si>
  <si>
    <t>130-130-185 N/P/K</t>
  </si>
  <si>
    <t>150-130-215 N/P/K</t>
  </si>
  <si>
    <t>Lipid phosphate (mu g g-1)</t>
  </si>
  <si>
    <t>beta-glucosidase</t>
  </si>
  <si>
    <t>Several  enzymatic indicators</t>
  </si>
  <si>
    <t>Summer CC</t>
  </si>
  <si>
    <t>Zentner</t>
  </si>
  <si>
    <t xml:space="preserve">R.P. </t>
  </si>
  <si>
    <t>Canadian Journal Of Plant Science</t>
  </si>
  <si>
    <t>Germany</t>
  </si>
  <si>
    <t>Summer fallow</t>
  </si>
  <si>
    <t>28 kg N per ha</t>
  </si>
  <si>
    <t>389 kg N per ha</t>
  </si>
  <si>
    <t>1987-1998</t>
  </si>
  <si>
    <t>F-(W)-W vs Leg-(W)-W</t>
  </si>
  <si>
    <t>Straw</t>
  </si>
  <si>
    <t>BiomassCash_C</t>
  </si>
  <si>
    <t>BiomassCash_T</t>
  </si>
  <si>
    <t>N yield and N concentration available</t>
  </si>
  <si>
    <t>Available spring soil water (AvSpSW) = SpSW minus lower limit of available water (mm/120 cm).</t>
  </si>
  <si>
    <t>spSW(mm/120 cm)</t>
  </si>
  <si>
    <t>F-W-(W) vs Leg-W-(W)</t>
  </si>
  <si>
    <t>No.17,D=1.2, BS=1.25</t>
  </si>
  <si>
    <t>No.73</t>
  </si>
  <si>
    <t>Zhou</t>
  </si>
  <si>
    <t>X.G.</t>
  </si>
  <si>
    <t>Plant Disease Management Reports</t>
  </si>
  <si>
    <t>Texas A&amp;M University System’s Agrilife Research and Extension Center, Beaumont, TX.</t>
  </si>
  <si>
    <t>Rice</t>
  </si>
  <si>
    <t>Brassica</t>
  </si>
  <si>
    <t>Sheath blight severity (0-9)</t>
  </si>
  <si>
    <t>Unsprayed control</t>
  </si>
  <si>
    <t>MBI-600 (108 cfu/ml)</t>
  </si>
  <si>
    <t>MBI-600 (108 cfu/ml) plus Quadris (4.5 fl oz/A)</t>
  </si>
  <si>
    <t>Quadris (9 fl oz/A)</t>
  </si>
  <si>
    <t>Quadris (4.5 fl oz/A)</t>
  </si>
  <si>
    <t>Swift  Current,  Saskatchewan, Canada</t>
  </si>
  <si>
    <t>Zhu</t>
  </si>
  <si>
    <t>J.C.</t>
  </si>
  <si>
    <t>Kingdom City, MO</t>
  </si>
  <si>
    <t>Estblishment period</t>
  </si>
  <si>
    <t>Maturing crop period</t>
  </si>
  <si>
    <t>Residue or stubble period</t>
  </si>
  <si>
    <t>Annual</t>
  </si>
  <si>
    <t>Seed bed</t>
  </si>
  <si>
    <t xml:space="preserve"> 6-10-20 N-P-K</t>
  </si>
  <si>
    <t>Run off (mm)</t>
  </si>
  <si>
    <t>Soil losses (kg/ha)</t>
  </si>
  <si>
    <t>Microelement</t>
  </si>
  <si>
    <t>MBC/K/MBN</t>
  </si>
  <si>
    <t>&gt; 19.2 mm aggregates</t>
  </si>
  <si>
    <t>Labile C, g per ha to 100 g per ha</t>
  </si>
  <si>
    <t>soybean</t>
  </si>
  <si>
    <t>ItalianRyegrass</t>
  </si>
  <si>
    <t>WinterRye</t>
  </si>
  <si>
    <t>Summer</t>
  </si>
  <si>
    <t>Maize-tomato</t>
  </si>
  <si>
    <t>Harrowed</t>
  </si>
  <si>
    <t>Cut with disk</t>
  </si>
  <si>
    <t>MgFe</t>
  </si>
  <si>
    <t>CaMgAl</t>
  </si>
  <si>
    <t>CaMg</t>
  </si>
  <si>
    <t>SOIL ORDER</t>
  </si>
  <si>
    <t>SOIL</t>
  </si>
  <si>
    <t>DESCRIPTION</t>
  </si>
  <si>
    <t>SOIL FAMILY</t>
  </si>
  <si>
    <t>ALFISOLS</t>
  </si>
  <si>
    <t>Soil 1</t>
  </si>
  <si>
    <t>Fine_loamy, mixed</t>
  </si>
  <si>
    <t>Typic Cryoboralfs</t>
  </si>
  <si>
    <t>Soil 2 (Santa Series)</t>
  </si>
  <si>
    <t>Coarse-silty, mixed, frigid</t>
  </si>
  <si>
    <t>Ochreptic Fragixeralfs</t>
  </si>
  <si>
    <t>Soil 3 (Porthill Series)</t>
  </si>
  <si>
    <t>Fine, mixed, frigid Typic</t>
  </si>
  <si>
    <t>Hapioxeralfs</t>
  </si>
  <si>
    <t>ARIDISOLS</t>
  </si>
  <si>
    <t>Soil 4 (Chilcott Series)</t>
  </si>
  <si>
    <t>Fine, montmorillonitic, mesic</t>
  </si>
  <si>
    <t>Abruptic Xerollic Durargids</t>
  </si>
  <si>
    <t>Soil 5 (Colthorp Series)</t>
  </si>
  <si>
    <t>Loamy, mixed, mesic, shallow</t>
  </si>
  <si>
    <t>Xerollic Durargids</t>
  </si>
  <si>
    <t>Soil 6 (Sebree Series)</t>
  </si>
  <si>
    <t>Fine-silty, mixed, mesic</t>
  </si>
  <si>
    <t>Xerollic Nadurargids</t>
  </si>
  <si>
    <t>Soil 7 (Gooding Series)</t>
  </si>
  <si>
    <t>Xerollic Paleargids</t>
  </si>
  <si>
    <t>Soil 8 (Portneuf Series)</t>
  </si>
  <si>
    <t>Coarse-silty, mixed, mesic</t>
  </si>
  <si>
    <t>Durixerollic Calciorthids</t>
  </si>
  <si>
    <t>Soil 9 (Trevino Series</t>
  </si>
  <si>
    <t>Loamy, mixed, mesic Lithic</t>
  </si>
  <si>
    <t>Xerollic Camborthids</t>
  </si>
  <si>
    <t>Soil IO (Owhyee Series)</t>
  </si>
  <si>
    <t>Soil 11 (Minidoka Series)</t>
  </si>
  <si>
    <t>Xerollic Durorthids</t>
  </si>
  <si>
    <t>Soil 12</t>
  </si>
  <si>
    <t>Loamy, mixed, frigid</t>
  </si>
  <si>
    <t>ENTISOLS</t>
  </si>
  <si>
    <t>Soil 13 (Garbutt Series)</t>
  </si>
  <si>
    <t>Coarse-silty, mixed (calcareous), mesic</t>
  </si>
  <si>
    <t>Typic Torriorthents</t>
  </si>
  <si>
    <t>Soil 14 (Flybow Series)</t>
  </si>
  <si>
    <t>Loamy-skeletal, mixed, monacid, mesic</t>
  </si>
  <si>
    <t>Lithic Xerorthents</t>
  </si>
  <si>
    <t>Soil 15 (Pyle Series)</t>
  </si>
  <si>
    <t>Alfic Cryopsamments</t>
  </si>
  <si>
    <t>Soil 16 (Gruincy Series)</t>
  </si>
  <si>
    <t>Mixed, mesic</t>
  </si>
  <si>
    <t>Xeric Torripsamments</t>
  </si>
  <si>
    <t>Soil 17 (Shollrock Series)</t>
  </si>
  <si>
    <t>Mixed, frigid</t>
  </si>
  <si>
    <t>Typic Xeropsamments</t>
  </si>
  <si>
    <t>HISTISOLS</t>
  </si>
  <si>
    <t>Soil 18 (Pywell Series)</t>
  </si>
  <si>
    <t>Euic Typic Borosaprists</t>
  </si>
  <si>
    <t>INCEPTISOLS</t>
  </si>
  <si>
    <t>Soil 19 (Vay Series)</t>
  </si>
  <si>
    <t>Medial over loamy-skeletal, mixed</t>
  </si>
  <si>
    <t>Entic Cryandepts</t>
  </si>
  <si>
    <t>Soil 20 (Bluehill Series)</t>
  </si>
  <si>
    <t>Ashy, mesic</t>
  </si>
  <si>
    <t>Typic Vitrandepts</t>
  </si>
  <si>
    <t>Soil 21</t>
  </si>
  <si>
    <t>Medial over loamy, mixed, frigid</t>
  </si>
  <si>
    <t>Soil 22 (Moonville Series)</t>
  </si>
  <si>
    <t>Cindery, frigid</t>
  </si>
  <si>
    <t>Mollic Vitrandepts</t>
  </si>
  <si>
    <t>Soil 23 (Roseberry Series)</t>
  </si>
  <si>
    <t>Sandy, mixed</t>
  </si>
  <si>
    <t>Humic Cryaquepts</t>
  </si>
  <si>
    <t>Soil 24</t>
  </si>
  <si>
    <t>Loamy-skeletal, mixed</t>
  </si>
  <si>
    <t>Andic Cryochrepts</t>
  </si>
  <si>
    <t>Soil 25</t>
  </si>
  <si>
    <t>Dystric Cryochrepts</t>
  </si>
  <si>
    <t>Soil 26</t>
  </si>
  <si>
    <t>Fine-loamy, mixed</t>
  </si>
  <si>
    <t>Soil 27</t>
  </si>
  <si>
    <t>Coarse-loamy, mixed, frigid</t>
  </si>
  <si>
    <t>Andic Dystrochrepts</t>
  </si>
  <si>
    <t>Soil 28 (Moonville Variant)</t>
  </si>
  <si>
    <t>Andic Xerochrepts</t>
  </si>
  <si>
    <t>Soil 29 (Bonner Series)</t>
  </si>
  <si>
    <t>Coarse-loamy over sandy or sandy skeletal, mixed, frigid</t>
  </si>
  <si>
    <t>Soil 30 (Oxford Series)</t>
  </si>
  <si>
    <t>Fine, montmorillonitic, frigid</t>
  </si>
  <si>
    <t>Vertic Xerochrepts</t>
  </si>
  <si>
    <t>Soil 31 (McCall Series)</t>
  </si>
  <si>
    <t>Typic Cryumbrepts</t>
  </si>
  <si>
    <t>Soil 32</t>
  </si>
  <si>
    <t>Coarse-loamy, mixed</t>
  </si>
  <si>
    <t>Andic Cryumbrepts</t>
  </si>
  <si>
    <t>MOLLISOLS</t>
  </si>
  <si>
    <t>Soil 33 (Southwick Series)</t>
  </si>
  <si>
    <t>Argiaquic Xeric Argialbolls</t>
  </si>
  <si>
    <t>Soil 34 (Houk Series)</t>
  </si>
  <si>
    <t>Soil 35 (Nez Perce Series)</t>
  </si>
  <si>
    <t>Xeric Argialbolls</t>
  </si>
  <si>
    <t>Soil 36 (Drigge Variant)</t>
  </si>
  <si>
    <t>Argic Cryoborrolls</t>
  </si>
  <si>
    <t>Soil 37</t>
  </si>
  <si>
    <t>Argic Pachic Cryoborolls</t>
  </si>
  <si>
    <t>Soil 38 (Greys Series)</t>
  </si>
  <si>
    <t>Fine-silty, mixed</t>
  </si>
  <si>
    <t>Boralfic Cryoboroils</t>
  </si>
  <si>
    <t>Soil 39</t>
  </si>
  <si>
    <t>Very fine, mixed</t>
  </si>
  <si>
    <t>Duric Cryoborolls</t>
  </si>
  <si>
    <t>Soil 40 (Pavohroo Series)</t>
  </si>
  <si>
    <t>Pacfic Cryoborolls</t>
  </si>
  <si>
    <t>Soil 41 (Tannehill Series)</t>
  </si>
  <si>
    <t>Loamy-skeletal, mixed mesic</t>
  </si>
  <si>
    <t>Calcic Argixerolis</t>
  </si>
  <si>
    <t>Soil 42 (Gem Series)</t>
  </si>
  <si>
    <t>Calcic Argixerolls</t>
  </si>
  <si>
    <t>Soil 43 (Gwin Series)</t>
  </si>
  <si>
    <t>Loamy-skeletal, mixed, mesic</t>
  </si>
  <si>
    <t>Lithic Argixerolls</t>
  </si>
  <si>
    <t>Soil 44 (Kilckson Series)</t>
  </si>
  <si>
    <t>Loamy-skeletal, mixed, frigid</t>
  </si>
  <si>
    <t>Ultic Argixerolis</t>
  </si>
  <si>
    <t>Soil 45 (Little Wood Series)</t>
  </si>
  <si>
    <t>Soil 46 (Rexburg Series)</t>
  </si>
  <si>
    <t>Calcic Haploxerolls</t>
  </si>
  <si>
    <t>Soil 47 (Westlake Series)</t>
  </si>
  <si>
    <t>Fine-silty, mixed, frigid</t>
  </si>
  <si>
    <t>Cumulic Ultic Haploxerolls</t>
  </si>
  <si>
    <t>Soil 48 (Hymas Series)</t>
  </si>
  <si>
    <t>Loamy-skeletal, carbonantic, frigid</t>
  </si>
  <si>
    <t>Lithic Haploxerolls</t>
  </si>
  <si>
    <t>Soil 49 (Ola Series)</t>
  </si>
  <si>
    <t>Pachic Haploxerolls</t>
  </si>
  <si>
    <t>Soil 50 (Palouse Series)</t>
  </si>
  <si>
    <t>Pachic Ultic Haploxerolls</t>
  </si>
  <si>
    <t>SPODOSOLS</t>
  </si>
  <si>
    <t>Soil 51</t>
  </si>
  <si>
    <t>Entic Cryorthods</t>
  </si>
  <si>
    <t>VERTISOLS</t>
  </si>
  <si>
    <t>Soil 52 (Magic Series)</t>
  </si>
  <si>
    <t>Entic Chromoxererts</t>
  </si>
  <si>
    <t>Soil 53 (Agar Series)</t>
  </si>
  <si>
    <t>Very fine, montmorillonitic, mesic</t>
  </si>
  <si>
    <t>Soil 54 (Boulder Lake Series)</t>
  </si>
  <si>
    <t>Very fine, montmorillonitic, frigid</t>
  </si>
  <si>
    <t>Chromic Pelloxererts</t>
  </si>
  <si>
    <t>Pachic Ultic Argixeroll</t>
  </si>
  <si>
    <t>SoilFamily</t>
  </si>
  <si>
    <t>Haplustoll</t>
  </si>
  <si>
    <t>Udic Argiustoll</t>
  </si>
  <si>
    <t>Aridic  Haplustolls</t>
  </si>
  <si>
    <t>Wickham</t>
  </si>
  <si>
    <t>Udipsamment</t>
  </si>
  <si>
    <t>Kanhapludults</t>
  </si>
  <si>
    <t>Kegonsa</t>
  </si>
  <si>
    <t xml:space="preserve">Hapludults and Endoaquults </t>
  </si>
  <si>
    <t>Typic Paleudults</t>
  </si>
  <si>
    <t>Chernozem</t>
  </si>
  <si>
    <t>Hagerstown</t>
  </si>
  <si>
    <t>Aquic Argiudolls</t>
  </si>
  <si>
    <t>Typic Hapludalf</t>
  </si>
  <si>
    <t>Typic Hapludults</t>
  </si>
  <si>
    <t>Mesic Lamellic Hapludalf</t>
  </si>
  <si>
    <t>Kandiudult</t>
  </si>
  <si>
    <t>Kingsbury</t>
  </si>
  <si>
    <t>Typic Hapludult</t>
  </si>
  <si>
    <t>Mesic Glossic Hapludulfs</t>
  </si>
  <si>
    <t>Mesic vertic albaqualfs</t>
  </si>
  <si>
    <t>Mesic Typic Hapludalfs</t>
  </si>
  <si>
    <t>Mollic Xerofluvents</t>
  </si>
  <si>
    <t>Mesic Typic Endoaquolls</t>
  </si>
  <si>
    <t>Mesic Typic Hapludalf</t>
  </si>
  <si>
    <t>Thermic Typic Xerorthent</t>
  </si>
  <si>
    <t>Typic Kandhapludults</t>
  </si>
  <si>
    <t>Mesic Typic Glossaquaf</t>
  </si>
  <si>
    <t>Calcic Hapludoll</t>
  </si>
  <si>
    <t>Ultic Hapludalf</t>
  </si>
  <si>
    <t>Mesic Typic Paleudalf</t>
  </si>
  <si>
    <t>Pachic Ultic Argixerolls</t>
  </si>
  <si>
    <t>Mesic Aridic Argiustols</t>
  </si>
  <si>
    <t>Aridic Argiborolls</t>
  </si>
  <si>
    <t>Mesic Typic Udipsamments</t>
  </si>
  <si>
    <t>Thermic  Rhodic  Paleudult</t>
  </si>
  <si>
    <t>Mesic Typic Argiudolls</t>
  </si>
  <si>
    <t>Typic quartzipssaments</t>
  </si>
  <si>
    <t>Plinthic Paleudults</t>
  </si>
  <si>
    <t>Mesic Pachic Ultic Argixeroll</t>
  </si>
  <si>
    <t>Typic Hapludulfs</t>
  </si>
  <si>
    <t>Aquic Hapludults</t>
  </si>
  <si>
    <t>Agriudolls</t>
  </si>
  <si>
    <t>Typic Fragiochrepts</t>
  </si>
  <si>
    <t>Aquic Paleudults</t>
  </si>
  <si>
    <t>Mesic Vertic Albaqualfs</t>
  </si>
  <si>
    <t>Typic Argiudoll</t>
  </si>
  <si>
    <t>Thermic Typic Argixeroll</t>
  </si>
  <si>
    <t>Rhodic Paleudults</t>
  </si>
  <si>
    <t>Loess</t>
  </si>
  <si>
    <t>Orthic Brown Chernozem</t>
  </si>
  <si>
    <t>League-type soil</t>
  </si>
  <si>
    <t>Typic Hapludolls</t>
  </si>
  <si>
    <t>NxO_C</t>
  </si>
  <si>
    <t>NxO_T</t>
  </si>
  <si>
    <t>CO2_C</t>
  </si>
  <si>
    <t>CO2_T</t>
  </si>
  <si>
    <t>CH4_C</t>
  </si>
  <si>
    <t>CH4_T</t>
  </si>
  <si>
    <t>ESS</t>
  </si>
  <si>
    <t>SQI</t>
  </si>
  <si>
    <t>Greenhouse gas N2O of control</t>
  </si>
  <si>
    <t>Greenhouse gas N2O of treatment</t>
  </si>
  <si>
    <t>NxO_Comments</t>
  </si>
  <si>
    <t>Greenhouse gas N2O of comments</t>
  </si>
  <si>
    <t>CO2_Comments</t>
  </si>
  <si>
    <t>Comments on soil respiration</t>
  </si>
  <si>
    <t>CH4 emission of control</t>
  </si>
  <si>
    <t>CH4 emission of treatment</t>
  </si>
  <si>
    <t>CH4_Comments</t>
  </si>
  <si>
    <t>Comments on CH4 emission</t>
  </si>
  <si>
    <t>Not-available</t>
  </si>
  <si>
    <t>Fallow-Wheat at spring-Wheat at spring</t>
  </si>
  <si>
    <t>0-to-20</t>
  </si>
  <si>
    <t>0-to-7.5</t>
  </si>
  <si>
    <t>7.5-to-15</t>
  </si>
  <si>
    <t>0-to-15</t>
  </si>
  <si>
    <t>20-to-40</t>
  </si>
  <si>
    <t>40-to-60</t>
  </si>
  <si>
    <t>60-to-80</t>
  </si>
  <si>
    <t>80-to-100</t>
  </si>
  <si>
    <t>0-to-1.5</t>
  </si>
  <si>
    <t>0-to-10</t>
  </si>
  <si>
    <t>0-to-30</t>
  </si>
  <si>
    <t>15-to-30</t>
  </si>
  <si>
    <t>0-to-18</t>
  </si>
  <si>
    <t>10-to-20</t>
  </si>
  <si>
    <t>20-to-30</t>
  </si>
  <si>
    <t>0-to-5</t>
  </si>
  <si>
    <t>0-to-45</t>
  </si>
  <si>
    <t>45-to-105</t>
  </si>
  <si>
    <t>105-to-195</t>
  </si>
  <si>
    <t>195-to-285</t>
  </si>
  <si>
    <t>0-to-120</t>
  </si>
  <si>
    <t>0-to-25</t>
  </si>
  <si>
    <t>5-to-10</t>
  </si>
  <si>
    <t>30-to-60</t>
  </si>
  <si>
    <t>60-to-90</t>
  </si>
  <si>
    <t>0-to-3</t>
  </si>
  <si>
    <t>25-to-50</t>
  </si>
  <si>
    <t>50-to-80</t>
  </si>
  <si>
    <t>80-to-125</t>
  </si>
  <si>
    <t>10-to-30</t>
  </si>
  <si>
    <t>10-to-15</t>
  </si>
  <si>
    <t>30-to-90</t>
  </si>
  <si>
    <t>0-to-150</t>
  </si>
  <si>
    <t>5-to-15</t>
  </si>
  <si>
    <t>0-to-122</t>
  </si>
  <si>
    <t>5-to-20</t>
  </si>
  <si>
    <t>90-to-120</t>
  </si>
  <si>
    <t>TopLayer</t>
  </si>
  <si>
    <t>0-to-60</t>
  </si>
  <si>
    <t>ID</t>
  </si>
  <si>
    <t>Description</t>
  </si>
  <si>
    <t>Sign</t>
  </si>
  <si>
    <t>Angers</t>
  </si>
  <si>
    <t>D.A.</t>
  </si>
  <si>
    <t>Agron. Sustain</t>
  </si>
  <si>
    <t xml:space="preserve">La PocatiEre, Quebec </t>
  </si>
  <si>
    <t>Orthic Humic Gleysol</t>
  </si>
  <si>
    <t>Barley-Red Clover</t>
  </si>
  <si>
    <t>Water soluble  carbohydrates</t>
  </si>
  <si>
    <t>Acid-hydrolyzable carbohydratis available</t>
  </si>
  <si>
    <t>Beare</t>
  </si>
  <si>
    <t>Michael H.</t>
  </si>
  <si>
    <t>Geoderma</t>
  </si>
  <si>
    <t>Athens, GA, USA</t>
  </si>
  <si>
    <t>Cecil</t>
  </si>
  <si>
    <t xml:space="preserve">No </t>
  </si>
  <si>
    <t>Benjamin</t>
  </si>
  <si>
    <t>J.G.</t>
  </si>
  <si>
    <t>30-to-40</t>
  </si>
  <si>
    <t>0-to-40</t>
  </si>
  <si>
    <t>Mesic Aridic Paleustolls</t>
  </si>
  <si>
    <t>Macro-aggregates</t>
  </si>
  <si>
    <t>Not use</t>
  </si>
  <si>
    <t>Winter CC (planed in the fall)</t>
  </si>
  <si>
    <t>Penetration resistance</t>
  </si>
  <si>
    <t>0.5-0.25 mm agg</t>
  </si>
  <si>
    <t>Brill</t>
  </si>
  <si>
    <t>G.D.</t>
  </si>
  <si>
    <t>New jersey agriculture experiment station</t>
  </si>
  <si>
    <t>Yield/weed/biomass/erosion</t>
  </si>
  <si>
    <t>pounds/acre</t>
  </si>
  <si>
    <t>1 acre = 0.4047 ha</t>
  </si>
  <si>
    <t>1pound=0.4536kg</t>
  </si>
  <si>
    <t>Inches to cm</t>
  </si>
  <si>
    <t>Chu</t>
  </si>
  <si>
    <t>Bei</t>
  </si>
  <si>
    <t>Communications in Soil Science and Plant Analysis</t>
  </si>
  <si>
    <t>Timothy</t>
  </si>
  <si>
    <t>W-C-RC as treatment</t>
  </si>
  <si>
    <t>Enzyme activity-Phenol oxidase</t>
  </si>
  <si>
    <t>Jewett</t>
  </si>
  <si>
    <t xml:space="preserve">M.R. </t>
  </si>
  <si>
    <t>Journal of Sustainable Agriculture</t>
  </si>
  <si>
    <t>East Lansing, MI</t>
  </si>
  <si>
    <t>Arlington, WI</t>
  </si>
  <si>
    <t>ALL</t>
  </si>
  <si>
    <t>Average</t>
  </si>
  <si>
    <t>Yield is measured but not reported, use average represent</t>
  </si>
  <si>
    <t>Lupwayi</t>
  </si>
  <si>
    <t>N.Z.</t>
  </si>
  <si>
    <t>SBB</t>
  </si>
  <si>
    <t>Fort Vermilion</t>
  </si>
  <si>
    <t>Shannon index</t>
  </si>
  <si>
    <t>Substrate richness</t>
  </si>
  <si>
    <t>Substrate eveness</t>
  </si>
  <si>
    <t>Many other microbial activity index available</t>
  </si>
  <si>
    <t>Robb</t>
  </si>
  <si>
    <t>David</t>
  </si>
  <si>
    <t>Clemson University Student Organic Farm</t>
  </si>
  <si>
    <t>Plant available N</t>
  </si>
  <si>
    <t>Yield per unit of effort</t>
  </si>
  <si>
    <t>Squash</t>
  </si>
  <si>
    <t>TN(kg per ha)</t>
  </si>
  <si>
    <t>58 kg per ha</t>
  </si>
  <si>
    <t xml:space="preserve"> Urbana, IL</t>
  </si>
  <si>
    <t>Smectitic, mesic, Aquic Argiudolls</t>
  </si>
  <si>
    <t>Corn-Soybean</t>
  </si>
  <si>
    <t>Corn-Rye-Soybean-Rye</t>
  </si>
  <si>
    <t>Corn-Rye-Soybean-Vetch</t>
  </si>
  <si>
    <t>Corn-Rye-Soybean-Vetch-Rye</t>
  </si>
  <si>
    <t>Affect on soil texture available</t>
  </si>
  <si>
    <t>NO3-N, NH4-N == Nmin?</t>
  </si>
  <si>
    <t>plant availabel watre</t>
  </si>
  <si>
    <t>water retained at low tension</t>
  </si>
  <si>
    <t>Texture_C</t>
  </si>
  <si>
    <t>Runof_T</t>
  </si>
  <si>
    <t>Runoff_C</t>
  </si>
  <si>
    <t>Leaching_Comments</t>
  </si>
  <si>
    <t>Runoff_Comments</t>
  </si>
  <si>
    <t>Leaching_C</t>
  </si>
  <si>
    <t>Leaching_T</t>
  </si>
  <si>
    <t>GrainCropGroup</t>
  </si>
  <si>
    <t>CoverCropGroup</t>
  </si>
  <si>
    <t>FR/OA/FM/SS</t>
  </si>
  <si>
    <t>CA/CR/BA/RG</t>
  </si>
  <si>
    <t>FR/OA/CA/CR</t>
  </si>
  <si>
    <t>SH/SB/FR/OA</t>
  </si>
  <si>
    <t>RC/HV/CA/CR</t>
  </si>
  <si>
    <t>SH/SB/CA/CR</t>
  </si>
  <si>
    <t>RC/HV/FR/OA</t>
  </si>
  <si>
    <t>Rye/Rye</t>
  </si>
  <si>
    <t>White_clover</t>
  </si>
  <si>
    <t>White_mustard</t>
  </si>
  <si>
    <t>Trudan_8</t>
  </si>
  <si>
    <t>Rye_grain</t>
  </si>
  <si>
    <t>Crown_Vetch</t>
  </si>
  <si>
    <t>Red_clover</t>
  </si>
  <si>
    <t>Rye/Desiccated</t>
  </si>
  <si>
    <t>Oat/clover</t>
  </si>
  <si>
    <t>Rye/Vetch</t>
  </si>
  <si>
    <t>Rye/Clover</t>
  </si>
  <si>
    <t>Continus_wheat</t>
  </si>
  <si>
    <t>Crimson_clover</t>
  </si>
  <si>
    <t>Tartary_Buckwheat</t>
  </si>
  <si>
    <t>Rye_roots</t>
  </si>
  <si>
    <t>Rye_shoots</t>
  </si>
  <si>
    <t>Vetch_roots</t>
  </si>
  <si>
    <t>Vetch_shoots</t>
  </si>
  <si>
    <t>Winter_wheat</t>
  </si>
  <si>
    <t>Rye/Live_crop</t>
  </si>
  <si>
    <t>Rye/Residue_removed</t>
  </si>
  <si>
    <t>Sunn_hemp</t>
  </si>
  <si>
    <t>red_clover</t>
  </si>
  <si>
    <t>Subterranean_clover</t>
  </si>
  <si>
    <t>Common_Vetch</t>
  </si>
  <si>
    <t>Red_colver</t>
  </si>
  <si>
    <t>Kura_clover</t>
  </si>
  <si>
    <t>Spring_wheat</t>
  </si>
  <si>
    <t>Austrian_winter_pea</t>
  </si>
  <si>
    <t>Field_pea</t>
  </si>
  <si>
    <t>Semileafless_pea</t>
  </si>
  <si>
    <t>Forage_pea</t>
  </si>
  <si>
    <t>Common_chickweed</t>
  </si>
  <si>
    <t>Canada_bluegrass</t>
  </si>
  <si>
    <t>Downy_brome</t>
  </si>
  <si>
    <t>Hairy_vetch</t>
  </si>
  <si>
    <t>Rye_forage</t>
  </si>
  <si>
    <t>Wheat_early_forage</t>
  </si>
  <si>
    <t>Wheat_late_forage</t>
  </si>
  <si>
    <t>Wheat_early_grain</t>
  </si>
  <si>
    <t>Wheat_late_grain</t>
  </si>
  <si>
    <t>Sunn_hemp/Crimson_clover</t>
  </si>
  <si>
    <t>HV83/Rye17</t>
  </si>
  <si>
    <t>HV67/Rye33</t>
  </si>
  <si>
    <t>HV50/Rye50</t>
  </si>
  <si>
    <t>HV33/Rye67</t>
  </si>
  <si>
    <t>HV17/Rye83</t>
  </si>
  <si>
    <t>Oat/Canola/Vetch</t>
  </si>
  <si>
    <t>Oat/canola</t>
  </si>
  <si>
    <t>Canola/Vetch</t>
  </si>
  <si>
    <t>Oat/Vetch</t>
  </si>
  <si>
    <t>Rye_Spring_seeded_spring</t>
  </si>
  <si>
    <t>Rye_Fall_seeded_winter</t>
  </si>
  <si>
    <t>Rye_Fall_seeded_spring</t>
  </si>
  <si>
    <t>Rye_Winter</t>
  </si>
  <si>
    <t>Lentil_Winter</t>
  </si>
  <si>
    <t>Triticale_Winter</t>
  </si>
  <si>
    <t>Barley_Spring_seeded</t>
  </si>
  <si>
    <t>Oat_Spring_seeded</t>
  </si>
  <si>
    <t>Pea_Spring</t>
  </si>
  <si>
    <t>Lentil_Spring</t>
  </si>
  <si>
    <t>Barley_Fall_seeded</t>
  </si>
  <si>
    <t>Oat_Fall_seeded</t>
  </si>
  <si>
    <t>Triticale_Spring</t>
  </si>
  <si>
    <t>Alfalfa/bromegrass</t>
  </si>
  <si>
    <t>Vetch/Rye</t>
  </si>
  <si>
    <t>Triticale/Austrian_winter_pea</t>
  </si>
  <si>
    <t>Barley/Vetch</t>
  </si>
  <si>
    <t>Forage_radish</t>
  </si>
  <si>
    <t>Triticale/Winter_pea</t>
  </si>
  <si>
    <t>Rye/Vetch/Rye</t>
  </si>
  <si>
    <t>CerealRye/CrimsonClover</t>
  </si>
  <si>
    <t>Grass</t>
  </si>
  <si>
    <t>LG</t>
  </si>
  <si>
    <t>LL</t>
  </si>
  <si>
    <t>Weeds</t>
  </si>
  <si>
    <t>LB</t>
  </si>
  <si>
    <t>Broadleaf</t>
  </si>
  <si>
    <t>Corn/soybean/wheat</t>
  </si>
  <si>
    <t>Tomato/Safflower/Corn/Bean</t>
  </si>
  <si>
    <t>Corn/soybean</t>
  </si>
  <si>
    <t>Winter_wheat/Sorghum</t>
  </si>
  <si>
    <t>Pea/Bean/Tomatto/SweetCorn</t>
  </si>
  <si>
    <t>Conventional_Dairy_Corn</t>
  </si>
  <si>
    <t>Organic_Dairy_Corn</t>
  </si>
  <si>
    <t>Corn/Soybean</t>
  </si>
  <si>
    <t>Dry_bean</t>
  </si>
  <si>
    <t>Soybean_Coker</t>
  </si>
  <si>
    <t>Soybean_Bragg</t>
  </si>
  <si>
    <t>Soybean_Ransom</t>
  </si>
  <si>
    <t>Summer_wheat</t>
  </si>
  <si>
    <t>Acorn_Squash</t>
  </si>
  <si>
    <t>Not_available</t>
  </si>
  <si>
    <t>Continuous_Wheat</t>
  </si>
  <si>
    <t>Sweetcorn/broccoli</t>
  </si>
  <si>
    <t>NSF-Living Field Lab, Hickory Corners, MI chosed, Mixed of nine</t>
  </si>
  <si>
    <t>Mixed of four OF sites and two commertial sites</t>
  </si>
  <si>
    <t>Mixed of four OF sites</t>
  </si>
  <si>
    <t>Mixed pasture</t>
  </si>
  <si>
    <t>NotAvailable</t>
  </si>
  <si>
    <t>Corn/Wheat/Broccoli</t>
  </si>
  <si>
    <t>Bean/Beet/Corn/Bean</t>
  </si>
  <si>
    <t>CS</t>
  </si>
  <si>
    <t>CW</t>
  </si>
  <si>
    <t>MTT</t>
  </si>
  <si>
    <t>Winter_wheat/Crop</t>
  </si>
  <si>
    <t>Wheat-Crop-Fallow</t>
  </si>
  <si>
    <t>CV</t>
  </si>
  <si>
    <t>O</t>
  </si>
  <si>
    <t>Snap_bean/Sweetcorn</t>
  </si>
  <si>
    <t>Crop-Rotations</t>
  </si>
  <si>
    <t>WO</t>
  </si>
  <si>
    <t>CO</t>
  </si>
  <si>
    <t>CSW</t>
  </si>
  <si>
    <t>small grains–corn–soybean</t>
  </si>
  <si>
    <t>CWO</t>
  </si>
  <si>
    <t>CSO</t>
  </si>
  <si>
    <t>CVO</t>
  </si>
  <si>
    <t>Legume-wheat rotation</t>
  </si>
  <si>
    <t>OO</t>
  </si>
  <si>
    <t>WV</t>
  </si>
  <si>
    <t>Corn-wheat-millet</t>
  </si>
  <si>
    <t>SurfaceLayer</t>
  </si>
  <si>
    <t>TopGroup</t>
  </si>
  <si>
    <t>MiddleGroup</t>
  </si>
  <si>
    <t>Comments</t>
  </si>
  <si>
    <t>Single cover crop</t>
  </si>
  <si>
    <t>Trudan</t>
  </si>
  <si>
    <t>Italian_Rye_grass</t>
  </si>
  <si>
    <t>Rye_grass</t>
  </si>
  <si>
    <t>Mixed of legume and brassica</t>
  </si>
  <si>
    <t>Mixed of legume and grass</t>
  </si>
  <si>
    <t>Mixed of legume and legume</t>
  </si>
  <si>
    <t>MMT</t>
  </si>
  <si>
    <t>Mixed of more than three</t>
  </si>
  <si>
    <t>GrainrCrop</t>
  </si>
  <si>
    <t>Monoculture</t>
  </si>
  <si>
    <t>Maize</t>
  </si>
  <si>
    <t>Other</t>
  </si>
  <si>
    <t>Rotation of two</t>
  </si>
  <si>
    <t>Rotation of two or more</t>
  </si>
  <si>
    <t>Corn-wheat</t>
  </si>
  <si>
    <t>Wheat_soybean</t>
  </si>
  <si>
    <t>Rotation of other two</t>
  </si>
  <si>
    <t>Corn-soybean-wheat</t>
  </si>
  <si>
    <t>Rotation of three or more</t>
  </si>
  <si>
    <t>Rotation of other three</t>
  </si>
  <si>
    <t>Rotation of more than three</t>
  </si>
  <si>
    <t>Number of earthwarm</t>
  </si>
  <si>
    <t>PFLA, Average of four, microaggregate treatment</t>
  </si>
  <si>
    <t>PFLA, Average of four, Silt and clay treatment</t>
  </si>
  <si>
    <t>Microbial functional diversity evaluated by Shannon's diversity index (H)</t>
  </si>
  <si>
    <t>Microbial functional diversity evaluated by Substrate richness (S)</t>
  </si>
  <si>
    <t>Microbial functional diversity evaluated by Substrate evenness (E)</t>
  </si>
  <si>
    <t>Carbon minierazation of control (mean value), also inlcude active C</t>
  </si>
  <si>
    <t>Carbon minierazation of treatment (mean value), also inlcude active C</t>
  </si>
  <si>
    <t>Nitrogen minierazation of control (mean value), also inlcudeplant available N</t>
  </si>
  <si>
    <t>Nitrogen minierazation of treatment (mean value), also inlcudeplant available N</t>
  </si>
  <si>
    <t>Stems + leaves, Units: kg per ha</t>
  </si>
  <si>
    <t>Organic carbon of control (mean value), SOC if without comments</t>
  </si>
  <si>
    <t>Organic carbon of treatment (mean value), SOC if without comments</t>
  </si>
  <si>
    <t>SOC, Units in Mg per Ha available</t>
  </si>
  <si>
    <t>TOC</t>
  </si>
  <si>
    <t>OM</t>
  </si>
  <si>
    <t>SOM, g per kg = 0.1%</t>
  </si>
  <si>
    <t>TC, g per kg = 0.1%</t>
  </si>
  <si>
    <t>OM, Number of year is 8</t>
  </si>
  <si>
    <t>SOC, Units Mg/ha to %</t>
  </si>
  <si>
    <t>Nitrate-N</t>
  </si>
  <si>
    <t>Nitrate-N, kg/ha to mg/kg</t>
  </si>
  <si>
    <t>Nitrate-N, kg per ha = 0.11 mg per kg</t>
  </si>
  <si>
    <t>Total Nitragen (g/kg to mg/kg)</t>
  </si>
  <si>
    <t>Total nitrogen, kg/ha</t>
  </si>
  <si>
    <t>Inorganic-N</t>
  </si>
  <si>
    <t>Aggregate of Field moist treatment</t>
  </si>
  <si>
    <t>infiltration defined as Rate (%) of rainfull</t>
  </si>
  <si>
    <t>Wind erosion defined as &lt; 0.84 mm aggregates</t>
  </si>
  <si>
    <t>N Concentration in drainage</t>
  </si>
  <si>
    <t>NO3 loss in drainage (mg per L)</t>
  </si>
  <si>
    <t>NO3-N loss in drainage</t>
  </si>
  <si>
    <t>se = sd / sqrt(N)</t>
  </si>
  <si>
    <t>sd = se * sqrt(N)</t>
  </si>
  <si>
    <t>Equation</t>
  </si>
  <si>
    <t>N = replication if without explaination</t>
  </si>
  <si>
    <t>Weeds dry biomass, Post</t>
  </si>
  <si>
    <t>Pests_C</t>
  </si>
  <si>
    <t>Pests_T</t>
  </si>
  <si>
    <t>Pests_Comments</t>
  </si>
  <si>
    <t>Fungal_C</t>
  </si>
  <si>
    <t>Fungal_T</t>
  </si>
  <si>
    <t>Fungal_Comments</t>
  </si>
  <si>
    <t>Pest , natural enemies as pests control</t>
  </si>
  <si>
    <t>Palnt available N defined as cotton lint N uptake (kg per ha)</t>
  </si>
  <si>
    <t>See CoverCropGroup for more information</t>
  </si>
  <si>
    <t>See GrainCropGroup for more information</t>
  </si>
  <si>
    <t>Enzyme activity (b-glucosidase, b-glucosaminidase, and Phosphodiesterase)</t>
  </si>
  <si>
    <t>PLFA was used as a measure of microbial biomass.</t>
  </si>
  <si>
    <t>Microbial activity defined as Alkaline phosphatase activity</t>
  </si>
  <si>
    <t>Fungi</t>
  </si>
  <si>
    <t>Mycorrhiza</t>
  </si>
  <si>
    <t>Fungi to bacterial ratio</t>
  </si>
  <si>
    <t>Root disease potential defined as root health index (range from 1-9)</t>
  </si>
  <si>
    <t>SoilFauna_C</t>
  </si>
  <si>
    <t>SoilFauna_T</t>
  </si>
  <si>
    <t>SoilFauna_Comments</t>
  </si>
  <si>
    <t>OtherMicrobial_C</t>
  </si>
  <si>
    <t>OtherMicrobial_T</t>
  </si>
  <si>
    <t>OtherMicrobial_Comments</t>
  </si>
  <si>
    <t>SamplingDepth</t>
  </si>
  <si>
    <t>20</t>
  </si>
  <si>
    <t>7.5</t>
  </si>
  <si>
    <t>15</t>
  </si>
  <si>
    <t>1.5</t>
  </si>
  <si>
    <t>10</t>
  </si>
  <si>
    <t>30</t>
  </si>
  <si>
    <t>18</t>
  </si>
  <si>
    <t>5</t>
  </si>
  <si>
    <t>45</t>
  </si>
  <si>
    <t>60</t>
  </si>
  <si>
    <t>90</t>
  </si>
  <si>
    <t>120</t>
  </si>
  <si>
    <t>25</t>
  </si>
  <si>
    <t>3</t>
  </si>
  <si>
    <t>150</t>
  </si>
  <si>
    <t>122</t>
  </si>
  <si>
    <t>Enzyme_C</t>
  </si>
  <si>
    <t>Enzyme_T</t>
  </si>
  <si>
    <t>Enzyme_Comments</t>
  </si>
  <si>
    <t>7</t>
  </si>
  <si>
    <t>Cummulative water infiltration (cm) Figure 7 panel A</t>
  </si>
  <si>
    <t>Cummulative water infiltration (cm) Figure 7 panel B</t>
  </si>
  <si>
    <t>4.75-2 mm</t>
  </si>
  <si>
    <t>1991 to 2008</t>
  </si>
  <si>
    <t>1992 to 2008</t>
  </si>
  <si>
    <t>1993 to 2008</t>
  </si>
  <si>
    <t>nmol per kg to mgkg-2</t>
  </si>
  <si>
    <t>nmol per kg to mgkg-3</t>
  </si>
  <si>
    <t>nmol per kg to mgkg-4</t>
  </si>
  <si>
    <t>Drinkwater</t>
  </si>
  <si>
    <t>Nature</t>
  </si>
  <si>
    <t>Pennsylvania?</t>
  </si>
  <si>
    <t>NPP</t>
  </si>
  <si>
    <t>Kg N per ha of 15 years</t>
  </si>
  <si>
    <t>Soil &amp; Tillage Research</t>
  </si>
  <si>
    <t>Nyakatawa</t>
  </si>
  <si>
    <t>Alabama Agricultural  Experiment Station, Belle Mina, AL</t>
  </si>
  <si>
    <t>Silt loam</t>
  </si>
  <si>
    <t>Dicatur silt loam (clayey, kaolinitic, thermic, Typic Paleudults)</t>
  </si>
  <si>
    <t>rye (Secale cereale L.)</t>
  </si>
  <si>
    <t>continuous cotton (Gossypium hirsutum L.)</t>
  </si>
  <si>
    <t>67,2 kg P/ha; 67,2 kg K/ha</t>
  </si>
  <si>
    <t>E. Z.</t>
  </si>
  <si>
    <t>0-15</t>
  </si>
  <si>
    <t>NH4 panel 1997</t>
  </si>
  <si>
    <t>Duration</t>
  </si>
  <si>
    <t>How many years the whole experiment last for, e.g., experiement started at 1990 and end at 2000, duration is 11 years</t>
  </si>
  <si>
    <t>1/Natural enimies (average of 5)</t>
  </si>
  <si>
    <t>Yield_C_SD</t>
  </si>
  <si>
    <t>Yield_T_SD</t>
  </si>
  <si>
    <t>BiomCash_C_SD</t>
  </si>
  <si>
    <t>BiomCash_T_SD</t>
  </si>
  <si>
    <t>BD_C_SD</t>
  </si>
  <si>
    <t>BD_T_SD</t>
  </si>
  <si>
    <t>OC_C_SD</t>
  </si>
  <si>
    <t>OC_T_SD</t>
  </si>
  <si>
    <t>N_C_SD</t>
  </si>
  <si>
    <t>N_T_SD</t>
  </si>
  <si>
    <t>P_C_SD</t>
  </si>
  <si>
    <t>P_T_SD</t>
  </si>
  <si>
    <t>K_C_SD</t>
  </si>
  <si>
    <t>K_T_SD</t>
  </si>
  <si>
    <t>pH_C_SD</t>
  </si>
  <si>
    <t>pH_T_SD</t>
  </si>
  <si>
    <t>CEC_C_SD</t>
  </si>
  <si>
    <t>CEC_T_SD</t>
  </si>
  <si>
    <t>EC_C_SD</t>
  </si>
  <si>
    <t>EC_T_SD</t>
  </si>
  <si>
    <t>BS_C_SD</t>
  </si>
  <si>
    <t>BS_T_SD</t>
  </si>
  <si>
    <t>Aggre_C_SD</t>
  </si>
  <si>
    <t>Aggre_T_SD</t>
  </si>
  <si>
    <t>Porosity_C_SD</t>
  </si>
  <si>
    <t>Porosity_T_SD</t>
  </si>
  <si>
    <t>Penetration_C_SD</t>
  </si>
  <si>
    <t>Penetration_T_SD</t>
  </si>
  <si>
    <t>Infiltration_C_SD</t>
  </si>
  <si>
    <t>Infiltration_T_SD</t>
  </si>
  <si>
    <t>Ksat_C</t>
  </si>
  <si>
    <t>Ksat_T</t>
  </si>
  <si>
    <t>Ksat_C_SD</t>
  </si>
  <si>
    <t>Ksat_T_SD</t>
  </si>
  <si>
    <t>Ksat_Comments</t>
  </si>
  <si>
    <t>Erosion_C_SD</t>
  </si>
  <si>
    <t>Erosion_T_SD</t>
  </si>
  <si>
    <t>Runoff_C_SD</t>
  </si>
  <si>
    <t>Runof_T_SD</t>
  </si>
  <si>
    <t>Leaching_C_SD</t>
  </si>
  <si>
    <t>Leaching_T_SD</t>
  </si>
  <si>
    <t>ST_C_SD</t>
  </si>
  <si>
    <t>ST_T_SD</t>
  </si>
  <si>
    <t>SWC_C_SD</t>
  </si>
  <si>
    <t>SWC_T_SD</t>
  </si>
  <si>
    <t>AWHC_C_SD</t>
  </si>
  <si>
    <t>AWHC_T_SD</t>
  </si>
  <si>
    <t>Weed_C_SD</t>
  </si>
  <si>
    <t>Weed_T_SD</t>
  </si>
  <si>
    <t>Diseases_C_SD</t>
  </si>
  <si>
    <t>Diseases_T_SD</t>
  </si>
  <si>
    <t>Pests_C_SD</t>
  </si>
  <si>
    <t>Pests_T_SD</t>
  </si>
  <si>
    <t>SoilFauna_C_SD</t>
  </si>
  <si>
    <t>SoilFauna_T_SD</t>
  </si>
  <si>
    <t>Fungal_C_SD</t>
  </si>
  <si>
    <t>Fungal_T_SD</t>
  </si>
  <si>
    <t>OtherMicrobial_C_SD</t>
  </si>
  <si>
    <t>OtherMicrobial_T_SD</t>
  </si>
  <si>
    <t>Enzyme_C_SD</t>
  </si>
  <si>
    <t>Enzyme_T_SD</t>
  </si>
  <si>
    <t>Cmina_C_SD</t>
  </si>
  <si>
    <t>Cmina_T_SD</t>
  </si>
  <si>
    <t>Nmina_C_SD</t>
  </si>
  <si>
    <t>Nmina_T_SD</t>
  </si>
  <si>
    <t>NxO_C_SD</t>
  </si>
  <si>
    <t>NxO_T_SD</t>
  </si>
  <si>
    <t>SIR_C_SD</t>
  </si>
  <si>
    <t>SIR_T_SD</t>
  </si>
  <si>
    <t>CO2BTest_C_SD</t>
  </si>
  <si>
    <t>CO2BTest_T_SD</t>
  </si>
  <si>
    <t>CO2_C_SD</t>
  </si>
  <si>
    <t>CO2_T_SD</t>
  </si>
  <si>
    <t>CH4_C_SD</t>
  </si>
  <si>
    <t>CH4_T_SD</t>
  </si>
  <si>
    <t>MBC_C_SD</t>
  </si>
  <si>
    <t>MBC_T_SD</t>
  </si>
  <si>
    <t>MBN_C_SD</t>
  </si>
  <si>
    <t>MBN_T_SD</t>
  </si>
  <si>
    <t>fill with 9999 if reported, do not need record the actual data</t>
  </si>
  <si>
    <t>Cover crop effect on soil texture compare with control</t>
  </si>
  <si>
    <t>SD available</t>
  </si>
  <si>
    <t>6</t>
  </si>
  <si>
    <t>1989-1994, Fall, before planting of cover crop</t>
  </si>
  <si>
    <t>2003-2005</t>
  </si>
  <si>
    <t>2007-2012</t>
  </si>
  <si>
    <t>2</t>
  </si>
  <si>
    <t>1995-2009</t>
  </si>
  <si>
    <t>2012-2013</t>
  </si>
  <si>
    <t>1989-1995</t>
  </si>
  <si>
    <t>2009-2011, May</t>
  </si>
  <si>
    <t>1983-1987, March</t>
  </si>
  <si>
    <t>2010-2011, July</t>
  </si>
  <si>
    <t>2010-2011, August</t>
  </si>
  <si>
    <t>2010-2011, September</t>
  </si>
  <si>
    <t>2005-2007, August</t>
  </si>
  <si>
    <t>1978-1981</t>
  </si>
  <si>
    <t>4</t>
  </si>
  <si>
    <t>1977-1987</t>
  </si>
  <si>
    <t>11</t>
  </si>
  <si>
    <t>1985-2010</t>
  </si>
  <si>
    <t>26</t>
  </si>
  <si>
    <t>24</t>
  </si>
  <si>
    <t>2001-2003</t>
  </si>
  <si>
    <t>2011-2012</t>
  </si>
  <si>
    <t>2011-2013, Fall, two months after cover crop</t>
  </si>
  <si>
    <t>1981-1983</t>
  </si>
  <si>
    <t>2009-2010</t>
  </si>
  <si>
    <t>2009-2011, 14 Days</t>
  </si>
  <si>
    <t>2009-2011, 21 Days</t>
  </si>
  <si>
    <t>2009-2011, 28 Days</t>
  </si>
  <si>
    <t>2009-2011, 35 Days</t>
  </si>
  <si>
    <t>2009-2011, 42 Days</t>
  </si>
  <si>
    <t>2009-2011, 49 Days</t>
  </si>
  <si>
    <t>2009-2011, September</t>
  </si>
  <si>
    <t>2009-2011, August</t>
  </si>
  <si>
    <t>2009-2011, September 1ST</t>
  </si>
  <si>
    <t>2009-2011, September 21ST</t>
  </si>
  <si>
    <t>2009-2011, 26 days</t>
  </si>
  <si>
    <t>2009-2011, 28 days</t>
  </si>
  <si>
    <t>2009-2011, 30 days</t>
  </si>
  <si>
    <t>2009-2011, 31 days</t>
  </si>
  <si>
    <t>2009-2011, 33 days</t>
  </si>
  <si>
    <t>2009-2011, 35 days</t>
  </si>
  <si>
    <t>2009-2011, 37 days</t>
  </si>
  <si>
    <t>2009-2011, 39 days</t>
  </si>
  <si>
    <t>2009-2011, 41 days</t>
  </si>
  <si>
    <t>2009-2011, 43 days</t>
  </si>
  <si>
    <t>2009-2011, 45 days</t>
  </si>
  <si>
    <t>2009-2011, 46 days</t>
  </si>
  <si>
    <t>2009-2011, 34 days</t>
  </si>
  <si>
    <t>2009-2011, 36 days</t>
  </si>
  <si>
    <t>2009-2011, 48 days</t>
  </si>
  <si>
    <t>2009-2011, 51 days</t>
  </si>
  <si>
    <t>2009-2011, 29 days</t>
  </si>
  <si>
    <t>2009-2011, 32 days</t>
  </si>
  <si>
    <t>2009-2011, 38 days</t>
  </si>
  <si>
    <t>2009-2011, 40 days</t>
  </si>
  <si>
    <t>2009-2011, 42 days</t>
  </si>
  <si>
    <t>2009-2011, 44 days</t>
  </si>
  <si>
    <t>2009-2011, 49 days</t>
  </si>
  <si>
    <t>2009-2011, 50 days</t>
  </si>
  <si>
    <t>2009-2011, 47 days</t>
  </si>
  <si>
    <t>2002-2005</t>
  </si>
  <si>
    <t>2004-2007</t>
  </si>
  <si>
    <t>2004-2013, April</t>
  </si>
  <si>
    <t>1991-2005, May</t>
  </si>
  <si>
    <t>2003-2006</t>
  </si>
  <si>
    <t>1999-2005</t>
  </si>
  <si>
    <t>2010-2013, 4 wap</t>
  </si>
  <si>
    <t>2010-2013, 5 wap</t>
  </si>
  <si>
    <t>2010-2013, 6 wap</t>
  </si>
  <si>
    <t>2010-2013, 4+5+6 wap</t>
  </si>
  <si>
    <t>1986-1999</t>
  </si>
  <si>
    <t>1979-1982</t>
  </si>
  <si>
    <t>2009-2010, November</t>
  </si>
  <si>
    <t>13</t>
  </si>
  <si>
    <t>19</t>
  </si>
  <si>
    <t>32</t>
  </si>
  <si>
    <t>1990-2000</t>
  </si>
  <si>
    <t>1983-2000</t>
  </si>
  <si>
    <t>1977-2000</t>
  </si>
  <si>
    <t>1984-2000</t>
  </si>
  <si>
    <t>1982-2000</t>
  </si>
  <si>
    <t>1967-2000</t>
  </si>
  <si>
    <t>23</t>
  </si>
  <si>
    <t>17</t>
  </si>
  <si>
    <t>22</t>
  </si>
  <si>
    <t>16</t>
  </si>
  <si>
    <t>31</t>
  </si>
  <si>
    <t>12</t>
  </si>
  <si>
    <t>1993-2002</t>
  </si>
  <si>
    <t>1983-2013</t>
  </si>
  <si>
    <t>1985-1989, May</t>
  </si>
  <si>
    <t>1985-1989, June</t>
  </si>
  <si>
    <t>1985-1989, July</t>
  </si>
  <si>
    <t>1985-1989, Augest</t>
  </si>
  <si>
    <t>1985-1989, October</t>
  </si>
  <si>
    <t>1985-1989, November</t>
  </si>
  <si>
    <t>1985-1989, January</t>
  </si>
  <si>
    <t>1985-1989, February</t>
  </si>
  <si>
    <t>1985-1989, March</t>
  </si>
  <si>
    <t xml:space="preserve">1985-1989, April </t>
  </si>
  <si>
    <t>1985-1989, Suptember</t>
  </si>
  <si>
    <t>1985-1989, December</t>
  </si>
  <si>
    <t>1985-1987</t>
  </si>
  <si>
    <t>1983-1998</t>
  </si>
  <si>
    <t>1989-1998, Canopy closure</t>
  </si>
  <si>
    <t>1989-1998,Spring</t>
  </si>
  <si>
    <t>1989-1998,Canopy closure</t>
  </si>
  <si>
    <t>1989-1998,Harvest</t>
  </si>
  <si>
    <t>1989-1998</t>
  </si>
  <si>
    <t>1995-1996</t>
  </si>
  <si>
    <t>14</t>
  </si>
  <si>
    <t>1993-1998, Canopy closure</t>
  </si>
  <si>
    <t>1993-1998, Spring</t>
  </si>
  <si>
    <t>1993-1998, Harvest</t>
  </si>
  <si>
    <t>1994-1999</t>
  </si>
  <si>
    <t>2009-2010, At GLM termination</t>
  </si>
  <si>
    <t>2000-2012, July</t>
  </si>
  <si>
    <t>2014-2015</t>
  </si>
  <si>
    <t>1995-1998</t>
  </si>
  <si>
    <t>2011-2013</t>
  </si>
  <si>
    <t>1989-1991</t>
  </si>
  <si>
    <t>1999-2001</t>
  </si>
  <si>
    <t>2010-2012</t>
  </si>
  <si>
    <t>1993-1999</t>
  </si>
  <si>
    <t>1993-1999, Spring</t>
  </si>
  <si>
    <t>1993-1999, Canopy closure</t>
  </si>
  <si>
    <t>1993-1999, Harvest</t>
  </si>
  <si>
    <t>1989-1999</t>
  </si>
  <si>
    <t>1989-1999, Spring</t>
  </si>
  <si>
    <t>1989-1999, Canopy closure</t>
  </si>
  <si>
    <t>1989-1999, Harvest</t>
  </si>
  <si>
    <t>9</t>
  </si>
  <si>
    <t>1997</t>
  </si>
  <si>
    <t>1</t>
  </si>
  <si>
    <t>1993-1999, March</t>
  </si>
  <si>
    <t>1993-1999, July</t>
  </si>
  <si>
    <t>1993-1999, Auguest</t>
  </si>
  <si>
    <t>1972-1988</t>
  </si>
  <si>
    <t>8</t>
  </si>
  <si>
    <t>1986-1996</t>
  </si>
  <si>
    <t>1986-1996, Post-plant</t>
  </si>
  <si>
    <t>1986-1996, Pre-plant</t>
  </si>
  <si>
    <t>1994-2006, OCT-8</t>
  </si>
  <si>
    <t>1994-2006,OCT-8</t>
  </si>
  <si>
    <t>1994-2006,NOV-7</t>
  </si>
  <si>
    <t>1998-2002</t>
  </si>
  <si>
    <t>Winter CC, Rye plant at Oct-1</t>
  </si>
  <si>
    <t>1988-1990</t>
  </si>
  <si>
    <t>Winter CC, Vtech plant at Suptember</t>
  </si>
  <si>
    <t>Winter CC, Rye plant at Suptember</t>
  </si>
  <si>
    <t>2000-2003</t>
  </si>
  <si>
    <t>1993-2008</t>
  </si>
  <si>
    <t>2002-2003</t>
  </si>
  <si>
    <t>Winter CC, Period 1 Corn</t>
  </si>
  <si>
    <t>Winter CC, Period 2 Soybean</t>
  </si>
  <si>
    <t>1994-1996</t>
  </si>
  <si>
    <t>1992-1993</t>
  </si>
  <si>
    <t>Winter CC, Before June 21</t>
  </si>
  <si>
    <t>Winter CC, After June 21</t>
  </si>
  <si>
    <t>1984</t>
  </si>
  <si>
    <t>1953-1991</t>
  </si>
  <si>
    <t>39</t>
  </si>
  <si>
    <t>1984-1987</t>
  </si>
  <si>
    <t>1987-1990</t>
  </si>
  <si>
    <t>1990-2005</t>
  </si>
  <si>
    <t>1981-1995</t>
  </si>
  <si>
    <t>1938-1948</t>
  </si>
  <si>
    <t>1950-1998</t>
  </si>
  <si>
    <t>49</t>
  </si>
  <si>
    <t>1996-1998</t>
  </si>
  <si>
    <t>1992-1996</t>
  </si>
  <si>
    <t>2013-2015</t>
  </si>
  <si>
    <t>1998-2003</t>
  </si>
  <si>
    <t>TC, kg per ha to 10 kg per ha, data not in the right magnitude after unit convertion</t>
  </si>
  <si>
    <t>170 kg N/ha as (prilled) NH4NO3 (33% N)</t>
  </si>
  <si>
    <t>conventional tillage</t>
  </si>
  <si>
    <t>continuous corn (Zea mays L.)</t>
  </si>
  <si>
    <t>Maury silt loam, dep, well-drained</t>
  </si>
  <si>
    <t>Kentucky Agricultural Experiment Station research farm at Lexington, Kentucky</t>
  </si>
  <si>
    <t>Utomo</t>
  </si>
  <si>
    <t>0 kg N/ha</t>
  </si>
  <si>
    <t>hairy vetch (Vicia villosa Roth.)</t>
  </si>
  <si>
    <t>appropriate' rates N, P and K fertiliser</t>
  </si>
  <si>
    <t>120-130  kg N per ha</t>
  </si>
  <si>
    <t>continuous cotton (G. hirsutum L.)</t>
  </si>
  <si>
    <t>Rye/Vtech</t>
  </si>
  <si>
    <t>Dothan sandy loam (fine-loamy, siliceous, thermic, Plinthic, Kandiudults)</t>
  </si>
  <si>
    <t>Williams, Evans and Harrison farms, Bartow, Central Georgia, USA</t>
  </si>
  <si>
    <t>60-65  kg N per ha</t>
  </si>
  <si>
    <t>Agricultural Research Station farm, Fort Valley State University, Fort Valley, Georgia</t>
  </si>
  <si>
    <t>hairy vetch (Vicia villosa Roth)</t>
  </si>
  <si>
    <t>180 kg N/ha; [tomato only: 56 kg P/ha as superphosphate, 56 kg K/ha as KCl]; [corn only: 67 kg P/ha as superphosphate, 84 kg K/ha as KCl]</t>
  </si>
  <si>
    <t>continuous tomato (Lycopersicum esculentum Mill) [3 years]; continuous silage corn (Zea mays L.) [2 years]</t>
  </si>
  <si>
    <t>Norfolk sandy loam (fine-loamy, siliceous, thermic, Typic Kandiudults)(FAO classification: Orthic Luvisols)</t>
  </si>
  <si>
    <t>90 kg N/ha; [tomato only: 56 kg P/ha as superphosphate, 56 kg K/ha as KCl]; [corn only: 67 kg P/ha as superphosphate, 84 kg K/ha as KCl]</t>
  </si>
  <si>
    <t>0 kg N/ha; [tomato only: 56 kg P/ha as superphosphate, 56 kg K/ha as KCl]; [corn only: 67 kg P/ha as superphosphate, 84 kg K/ha as KCl]</t>
  </si>
  <si>
    <t>chisel plowing</t>
  </si>
  <si>
    <t>last 2 years only: 56 kg P/ha as superphosphate, 56 kg K/ha as KCl, no N</t>
  </si>
  <si>
    <t>continuous tomato (Lycopersicum esculentum Mill)</t>
  </si>
  <si>
    <t>crimson clover (Trifolium incarnatum L.)</t>
  </si>
  <si>
    <t>Greenville fine sandy loam (fine-loamy, kaolinitc, thermic, Rhodic Kandiupults)</t>
  </si>
  <si>
    <t>Fort Valley, Georgia</t>
  </si>
  <si>
    <t>Canadian Journal of Soil Sciences</t>
  </si>
  <si>
    <t>38,8 kg P/ha as P2O5; 55,8 kg K/ha as K2O</t>
  </si>
  <si>
    <t>continuous cotton</t>
  </si>
  <si>
    <t>vetch; crimson clover</t>
  </si>
  <si>
    <t>Pacolet fine sandy loam (clayay, kaolinitic, thermic Typic Hapludult)</t>
  </si>
  <si>
    <t>Juncture of the southern Piedmont Plateau and the Gulf Coastal Plain, Alabama</t>
  </si>
  <si>
    <t>1996 Proceedings Beltwide Cotton Conferences</t>
  </si>
  <si>
    <t>Mitchell</t>
  </si>
  <si>
    <t>Sultan silt loam soil (fine-silty, mesic Aquic Xerofluvent)</t>
  </si>
  <si>
    <t>Sultan, Washington, USA</t>
  </si>
  <si>
    <t>Soil Science Society of America Journal</t>
  </si>
  <si>
    <t>Kuo</t>
  </si>
  <si>
    <t>30 kg/ha K as KCl, 18 kg/ha P as triple superphosphate in 1991 and 1992; 223 kg/ha K as KCl in 1993; no N fertiliser</t>
  </si>
  <si>
    <t>continuous shepherd's-purse (Captella bursa pastoris (L.) Medikus)</t>
  </si>
  <si>
    <t>canola (Brassica napus L.)</t>
  </si>
  <si>
    <t>ryegrass (Lolium mulitflorum Lam.)</t>
  </si>
  <si>
    <t>Austrian winter pea (Lathyrus hirsutus L.)</t>
  </si>
  <si>
    <t>no fertilisation</t>
  </si>
  <si>
    <t>spring tillage</t>
  </si>
  <si>
    <t>Annual crop</t>
  </si>
  <si>
    <t>silty clay loam Westham soil (Rego Humic Gleysol)</t>
  </si>
  <si>
    <t>a lowland soil, Fraser River Delta, British Columbia, Canada</t>
  </si>
  <si>
    <t>Hermawan</t>
  </si>
  <si>
    <t>fall rye (Secale cereale L.)</t>
  </si>
  <si>
    <t>barley (Hordeum vulgare L.)</t>
  </si>
  <si>
    <t>Canfield silt loam (fine-loamy, mixed mesic Aquic Fragiudalf)</t>
  </si>
  <si>
    <t>Wooster, Ohio</t>
  </si>
  <si>
    <t>Eckert</t>
  </si>
  <si>
    <t>[corn only: 224 kg N/ha as either UAN (urea-ammonium nitrate solution) at 224 kg N/ha or UAN at 196 kg N/ha and AA (anhydrous ammonia) at 28 kg N/ha]; 26 kg P/ha; 48 kg K/ha</t>
  </si>
  <si>
    <t>rotation corn (Zea Mays L.) - soybean (Glycine max L. Merr.)</t>
  </si>
  <si>
    <t>Hoytville silty clay (fine, illitic, mesic Mollic Ochraqualf)</t>
  </si>
  <si>
    <t>15-to-20</t>
  </si>
  <si>
    <t>Hoytville, Ohio</t>
  </si>
  <si>
    <t>[corn only: 224 kg N/ha as either UAN (urea-ammonium nitrate solution) at 224 kg N/ha or UAN at 196 kg N/ha and AA (anhydrous ammonia) at 28 kg N/ha]; 38 kg P/ha; 72 kg K/ha; 4500 kg dolomitic limestone/ha one-time prior to study inception</t>
  </si>
  <si>
    <t>38 kg P/ha; 72 kg K/ha; 4500 kg dolomitic limestone/ha one-time prior to study inception</t>
  </si>
  <si>
    <t>continuous soybean (Glycine max L. Merr.)</t>
  </si>
  <si>
    <t>224 kg N/ha as either UAN (urea-ammonium nitrate solution) at 224 kg N/ha or UAN at 196 kg N/ha and AA (anhydrous ammonia) at 28 kg N/ha; 38 kg P/ha; 72 kg K/ha; 4500 kg dolomitic limestone/ha one-time prior to study inception</t>
  </si>
  <si>
    <t>elevation, temperature and precipitation taken from weatherbase.com -Lexington, Kentucky; soil C values averaged over two sampling dates (18.05.1985, 30.09.1985); grain yield averaged over two harvest years (1984, 1985)</t>
  </si>
  <si>
    <t>elevation taken fromhttp://www.autospur.de/Staumeldungen/wie-hoch.html -Bartow</t>
  </si>
  <si>
    <t>elevation, temperature and precipitation taken from weatherbase.com -Fort Valley, Georgia, USA</t>
  </si>
  <si>
    <t>elevation taken from weatherbase.com -Auburn, Alabama, USA; SOC calculated from SOM with factor 1:1,9 (taken from reference); texture calculated as mean of both plots (no CC and CC); P and K rates converted from lbs/acre to kg/ha</t>
  </si>
  <si>
    <t>elevation, temperature and precipitation taken from weatherbase.com -Startup, Washington, USA - near Sultan, Washington, USA</t>
  </si>
  <si>
    <t>elevation, temperature and precipitation taken from weatherbase.com -Wooster, Ohio</t>
  </si>
  <si>
    <t>1982-1985</t>
  </si>
  <si>
    <t>1993</t>
  </si>
  <si>
    <t>38</t>
  </si>
  <si>
    <t>1987-1994</t>
  </si>
  <si>
    <t>No till June 1994</t>
  </si>
  <si>
    <t>No till August 1994</t>
  </si>
  <si>
    <t>Eggplant</t>
  </si>
  <si>
    <t>Mg c per ha</t>
  </si>
  <si>
    <t>Kg per ha</t>
  </si>
  <si>
    <t>Mean-weight diameter (mm)</t>
  </si>
  <si>
    <t>Othre Aggregation indicator available</t>
  </si>
  <si>
    <t>Potential Cmin</t>
  </si>
  <si>
    <t>Potential Nmin</t>
  </si>
  <si>
    <t>1994-2001</t>
  </si>
  <si>
    <t>1995-2003</t>
  </si>
  <si>
    <t>NoPlot</t>
  </si>
  <si>
    <t>NoSupsample</t>
  </si>
  <si>
    <t>NoSubsample</t>
  </si>
  <si>
    <t>Corn (Zea mays L.) [2 years]</t>
  </si>
  <si>
    <t>continuous tomato (Lycopersicum esculentum Mill) [3 years]</t>
  </si>
  <si>
    <t>Only cover crop vs no cover crop data used</t>
  </si>
  <si>
    <t>Second site is same as study 92</t>
  </si>
  <si>
    <t>CCDryBiomass from Study 93</t>
  </si>
  <si>
    <t>no tillage/chisel plowing/moldboard plowing mixed</t>
  </si>
  <si>
    <t>moldboard plowing mixed</t>
  </si>
  <si>
    <t>1994-2000</t>
  </si>
  <si>
    <t>Mg c per ha, from table 6 study ID 93</t>
  </si>
  <si>
    <t>NO</t>
  </si>
  <si>
    <t>Rye/Blend</t>
  </si>
  <si>
    <t>Mixture of legume cover crops containing balansa clover, crimson clover, and hairy vetch</t>
  </si>
  <si>
    <t>U. M.</t>
  </si>
  <si>
    <t>Havre, MT, USA</t>
  </si>
  <si>
    <t>1998-2004</t>
  </si>
  <si>
    <t>Split-plot design</t>
  </si>
  <si>
    <t>Crop residue production (Mg per ha)</t>
  </si>
  <si>
    <t>Fig 1, kg/ha to mg per kg</t>
  </si>
  <si>
    <t>mg per ha</t>
  </si>
  <si>
    <t>CT</t>
  </si>
  <si>
    <t>NT</t>
  </si>
  <si>
    <t>1 kg N/ha</t>
  </si>
  <si>
    <t>171 kg N/ha as (prilled) NH4NO3 (33% N)</t>
  </si>
  <si>
    <t>1984-1985</t>
  </si>
  <si>
    <t>Abdallahi</t>
  </si>
  <si>
    <t>ferme expérimentale du Ministère de l'Agriculture, des Pêcheries et de l'Alimentation du Québec (MAPAQ), Saint-Lambert de Lévis, Québec, Canada</t>
  </si>
  <si>
    <t>humic Gleysol</t>
  </si>
  <si>
    <t>clover (Trifolium pratense L.)</t>
  </si>
  <si>
    <t>continuous wheat (Triticum aestivum L.)</t>
  </si>
  <si>
    <t>no data</t>
  </si>
  <si>
    <t>millet (Sorghum sudanensis L.)</t>
  </si>
  <si>
    <t>buckwheat (Fagapyrum esculentum L.)</t>
  </si>
  <si>
    <t>mustard (Brassica hirta Moench)</t>
  </si>
  <si>
    <t>colza (Brassica campestris L.)</t>
  </si>
  <si>
    <t>Amado</t>
  </si>
  <si>
    <t>Santa Maria, Brasil</t>
  </si>
  <si>
    <t>Paleudulf</t>
  </si>
  <si>
    <t>maize</t>
  </si>
  <si>
    <t>144 kg N</t>
  </si>
  <si>
    <t>Paleudalf, sandy clay loam</t>
  </si>
  <si>
    <t>Baumecker</t>
  </si>
  <si>
    <t>Schriftenreihe des Landesamtes für Verbraucherschutz, Landwirtschaft und Flurneuordnung</t>
  </si>
  <si>
    <t>Thyrow, Brandenburg, Germany</t>
  </si>
  <si>
    <t>Su2 / Fahlerde-Braunerde</t>
  </si>
  <si>
    <t>60 kg N/ha</t>
  </si>
  <si>
    <t>120 kg N/ha</t>
  </si>
  <si>
    <t>Bayer</t>
  </si>
  <si>
    <t>Experimental Station of the Federal University of Rio Grande do Sul, Eldorado do Sul, Rio Grande do Sul State, Brazil</t>
  </si>
  <si>
    <t>sand clay loam Acrisol</t>
  </si>
  <si>
    <t>common vetch and cowpea</t>
  </si>
  <si>
    <t>rotation Oat (Avena strigosa)+common vetch (Vicia sativa L.) cover crop / Maize (Zea mays L.)+cowpea (Vigna unguiculata) cover crop</t>
  </si>
  <si>
    <t>Constantin</t>
  </si>
  <si>
    <t>Agriculture, Ecosystems &amp; Environment</t>
  </si>
  <si>
    <t>Boigneville, Île-de-France</t>
  </si>
  <si>
    <t>Haplic luvisol on calcareous bedrock</t>
  </si>
  <si>
    <t>white mustard</t>
  </si>
  <si>
    <t>rotation winter wheat - spring barley - spring pea</t>
  </si>
  <si>
    <t>103 kg solid ammonium-nitrate</t>
  </si>
  <si>
    <t>0-to-28</t>
  </si>
  <si>
    <t>Kerlavic, Bretagne, France</t>
  </si>
  <si>
    <t>Dystric cambisol on granite bedrock</t>
  </si>
  <si>
    <t>Italian Ryegrass</t>
  </si>
  <si>
    <t>125 kg solid ammonium-nitrate</t>
  </si>
  <si>
    <t>Thibie, Champagne-Ardenne, France</t>
  </si>
  <si>
    <t xml:space="preserve">Rendzina with a loam texture lying on chalk </t>
  </si>
  <si>
    <t>radish or winter cereal</t>
  </si>
  <si>
    <t>rotation spring pea - winter wheat - sugar beet; last 4 years winter wheat - spring barley - sugar beet</t>
  </si>
  <si>
    <t>123 kg liquid urea ammonium-nitrate</t>
  </si>
  <si>
    <t>0-to-23.5</t>
  </si>
  <si>
    <t>rotation spring pea - winter wheat - sugar beet</t>
  </si>
  <si>
    <t>84 kg liquid urea ammonium-nitrate</t>
  </si>
  <si>
    <t>Curtin</t>
  </si>
  <si>
    <t>Semiarid Prairie Agricultural Research Centre, Swift Current, Saskatchewan, Canada</t>
  </si>
  <si>
    <t>Swinton loam (Orthic Brown Chernozem)</t>
  </si>
  <si>
    <t>Indianhead black lentil (Lens culinaris Medikus)</t>
  </si>
  <si>
    <t>continuous wheat (Triticum aestivum L.) * 2 each year</t>
  </si>
  <si>
    <t>17-63 kg N/ha ; 9,5 kg P/ha as monoammonium phophate</t>
  </si>
  <si>
    <t>Mazzoncini</t>
  </si>
  <si>
    <t>Interdepartmental Centre for Agro-Environmental Research (CIRAA) 'Enrico Avanci', University of Pisa, Central Italy</t>
  </si>
  <si>
    <t xml:space="preserve">Typic Xerofluvent loam soil </t>
  </si>
  <si>
    <t xml:space="preserve">continuous maize </t>
  </si>
  <si>
    <t>CT / NT (not clear which one, influence found to be not significant)</t>
  </si>
  <si>
    <t>20 kg P/ha as superphosphate; 42 kg K/ha as potassium sulphate</t>
  </si>
  <si>
    <t>rye (Secale cereale L.) (11 years); brown mustard (Brassica luncea L.) (4 years)</t>
  </si>
  <si>
    <t>continuous maize (5 years);  rotation wheat - maize (6 years); rotation wheat - maize - wheat - sunflower (4 years)</t>
  </si>
  <si>
    <t>subterranean clover (Trifolium subterraneum L.)</t>
  </si>
  <si>
    <t>Metay</t>
  </si>
  <si>
    <t>Goiania, Brasil</t>
  </si>
  <si>
    <t>Clayey Oxisol</t>
  </si>
  <si>
    <t>111 Kg N</t>
  </si>
  <si>
    <t>Nascente</t>
  </si>
  <si>
    <t>Sadat-Dastegheibi</t>
  </si>
  <si>
    <t>Dissertation</t>
  </si>
  <si>
    <t>Sandgrenzweg, Versuchsgut Rauisch-Holzhausen, Institut für Pflanzenbau und Pflanzenzüchtung, Justus-Liebig Universität Gießen, Germany</t>
  </si>
  <si>
    <t>Parabraunerde mit deutlicher Tonverlagerung und ausgeprägtem B-Horizont</t>
  </si>
  <si>
    <t>oilseed radish (Raphanus sativus oleiferus)</t>
  </si>
  <si>
    <t>0 kg N/ha; [apparently only last year: 130 kg K2O/ha; 70 kg P2O5/ha]</t>
  </si>
  <si>
    <t>20 kg N/ha; [apparently only last year: 130 kg K2O/ha; 70 kg P2O5/ha]</t>
  </si>
  <si>
    <t>40 kg N/ha; [apparently only last year: 130 kg K2O/ha; 70 kg P2O5/ha]</t>
  </si>
  <si>
    <t>60 kg N/ha; [apparently only last year: 130 kg K2O/ha; 70 kg P2O5/ha]</t>
  </si>
  <si>
    <t>0 kg N/ha; 5000 kg straw/ha; [apparently only last year: 130 kg K2O/ha; 70 kg P2O5/ha]</t>
  </si>
  <si>
    <t>20 kg N/ha; 5000 kg straw/ha; [apparently only last year: 130 kg K2O/ha; 70 kg P2O5/ha]</t>
  </si>
  <si>
    <t>40 kg N/ha; 5000 kg straw/ha; [apparently only last year: 130 kg K2O/ha; 70 kg P2O5/ha]</t>
  </si>
  <si>
    <t>60 kg N/ha; 5000 kg straw/ha; [apparently only last year: 130 kg K2O/ha; 70 kg P2O5/ha]</t>
  </si>
  <si>
    <t>Thomsen</t>
  </si>
  <si>
    <t>Soil Use and Management</t>
  </si>
  <si>
    <t>Askov Experimental Station, Denmark</t>
  </si>
  <si>
    <t>light sandy loam (Alfisol (Typic Hapludalf))</t>
  </si>
  <si>
    <t>perennial ryegrass (Lolium perenne L.)</t>
  </si>
  <si>
    <t>continuous spring barley (Hordeum vulgare L.)</t>
  </si>
  <si>
    <t>mouldboard ploughing</t>
  </si>
  <si>
    <t>14 kg P/ha as mineral fertiliser; 48 kg K/ha as mineral fertiliser</t>
  </si>
  <si>
    <t>Wilson</t>
  </si>
  <si>
    <t>Witter</t>
  </si>
  <si>
    <t>Biology and Fertility of Soils</t>
  </si>
  <si>
    <t>Ultuna, Uppsala, Sweden</t>
  </si>
  <si>
    <t>clay loam</t>
  </si>
  <si>
    <t>20 kg P/ha; 35-38 kg K/ha</t>
  </si>
  <si>
    <t>Zimmer</t>
  </si>
  <si>
    <t>Dauerfeldversuche in Brandenburg und Berlin</t>
  </si>
  <si>
    <t>Gemeinde Groß Kreutz, Brandenburg, Deutschland, Germany</t>
  </si>
  <si>
    <t>Tieflehm-Fahlerde/Bändersand-Braunerde; FAO: Albic Luvisol/ Luvic Arenosol; anlehmiger Sand (Sl, AZ 33/31)</t>
  </si>
  <si>
    <t>rotation silage maize - autumn-sown rye - autumn-sown rye</t>
  </si>
  <si>
    <t>120 - 90 - 90 kg N/ha (in rotation); 5000 kg straw;15-50 kg P/ha; 40-160 kg K/ha</t>
  </si>
  <si>
    <t>Colza</t>
  </si>
  <si>
    <t>1991-2001</t>
  </si>
  <si>
    <t>1985-2001</t>
  </si>
  <si>
    <t>Eldorado sul, Brasil</t>
  </si>
  <si>
    <t>Cruz Alta, Brasil</t>
  </si>
  <si>
    <t>1985-2004</t>
  </si>
  <si>
    <t>Velvet beans</t>
  </si>
  <si>
    <t>Tropical legume</t>
  </si>
  <si>
    <t>Common vetch or Cowpea</t>
  </si>
  <si>
    <t>Black oat-maize</t>
  </si>
  <si>
    <t>Soybean_Maize</t>
  </si>
  <si>
    <t>Black oat or vetch or radish</t>
  </si>
  <si>
    <t>130 kg N</t>
  </si>
  <si>
    <t>73 kg N</t>
  </si>
  <si>
    <t>48 kg N</t>
  </si>
  <si>
    <t>Winter turnips every 2nd year after culmination</t>
  </si>
  <si>
    <t>Rotation Potatoes - Winter rye - Silo maize - Winter rye</t>
  </si>
  <si>
    <t>C.</t>
  </si>
  <si>
    <t>Rotation Oat (Avena strigosa)+common vetch (Vicia sativa L.) cover crop / Maize (Zea mays L.)+cowpea (Vigna unguiculata) cover crop</t>
  </si>
  <si>
    <t>Oat (Avena strigosa)+Maize (Zea mays L.)</t>
  </si>
  <si>
    <t>1985-1994</t>
  </si>
  <si>
    <t>ka per ha</t>
  </si>
  <si>
    <t>0-to-2.5</t>
  </si>
  <si>
    <t>2.5-to-5</t>
  </si>
  <si>
    <t>5-to-7.5</t>
  </si>
  <si>
    <t>7.5-to-10</t>
  </si>
  <si>
    <t>kg c per m3</t>
  </si>
  <si>
    <t>1990-2006</t>
  </si>
  <si>
    <t>1987-2005</t>
  </si>
  <si>
    <t>t per ha</t>
  </si>
  <si>
    <t>rotation winter wheat - silage maize</t>
  </si>
  <si>
    <t>Winter wheat - silage maize</t>
  </si>
  <si>
    <t>BG</t>
  </si>
  <si>
    <t>Mixed of  brassica and grass</t>
  </si>
  <si>
    <t>Winter wheat - spring pea - barly</t>
  </si>
  <si>
    <t>Winter wheat - sugar beet - pea</t>
  </si>
  <si>
    <t>Winter wheat</t>
  </si>
  <si>
    <t>Spring barley</t>
  </si>
  <si>
    <t>Spring pea</t>
  </si>
  <si>
    <t>Silage maize</t>
  </si>
  <si>
    <t>Sugar beet</t>
  </si>
  <si>
    <t>t dry matter / ha to kg per ha</t>
  </si>
  <si>
    <t>Drainage</t>
  </si>
  <si>
    <t>kg per ha per yr</t>
  </si>
  <si>
    <t>1993-1995</t>
  </si>
  <si>
    <t>30 kg N/ha</t>
  </si>
  <si>
    <t>90 kg N/ha</t>
  </si>
  <si>
    <t>Total mineralized nitrogen, mg NO3 per kg soil</t>
  </si>
  <si>
    <t>Potential mineralized nitrogen, mg NO3 per kg soil</t>
  </si>
  <si>
    <t>DMP</t>
  </si>
  <si>
    <t>mu g PNP per g soil</t>
  </si>
  <si>
    <t>mg c per kg soil to %</t>
  </si>
  <si>
    <t>mg NH4 per h</t>
  </si>
  <si>
    <t>1987-1996</t>
  </si>
  <si>
    <t>g/kg to %</t>
  </si>
  <si>
    <t>g per kg to mg per kg</t>
  </si>
  <si>
    <t>mg per kg</t>
  </si>
  <si>
    <t>1995, kg per ha</t>
  </si>
  <si>
    <t>1996, kg per ha</t>
  </si>
  <si>
    <t>Corm</t>
  </si>
  <si>
    <t>rotation wheat - maize (6 years); rotation wheat - maize - wheat - sunflower (4 years)</t>
  </si>
  <si>
    <t>Main crop residues, Mg per ha to kg per ha per yr</t>
  </si>
  <si>
    <t>Brachiaria (grass) and Crotalaria (leguminous plant)</t>
  </si>
  <si>
    <t>Disc till</t>
  </si>
  <si>
    <t>No till</t>
  </si>
  <si>
    <t>2001-2010</t>
  </si>
  <si>
    <t>A. S.</t>
  </si>
  <si>
    <t>Crop Science</t>
  </si>
  <si>
    <t>Cerrado Region, Brazil</t>
  </si>
  <si>
    <t xml:space="preserve">Kaolinitic, thermic Typic Haplorthox </t>
  </si>
  <si>
    <t>Guinea grass</t>
  </si>
  <si>
    <t>Weedy fallow</t>
  </si>
  <si>
    <t>Signal grass</t>
  </si>
  <si>
    <t>Palisade grass</t>
  </si>
  <si>
    <t>Wheat -summer wheat - summer barley</t>
  </si>
  <si>
    <t>Rotation winter wheat -summer wheat - summer barley</t>
  </si>
  <si>
    <t>Harrowing</t>
  </si>
  <si>
    <t>I. K.</t>
  </si>
  <si>
    <t>1981-2002</t>
  </si>
  <si>
    <t>G. F.</t>
  </si>
  <si>
    <t>Ibadan,  Nigeria</t>
  </si>
  <si>
    <t>1975-1978</t>
  </si>
  <si>
    <t>Clayey, skeletal, kaolinitic, isohyperthermic oxic paleustalf</t>
  </si>
  <si>
    <t>Grasses</t>
  </si>
  <si>
    <t>Legumes</t>
  </si>
  <si>
    <t>Ca and Mg</t>
  </si>
  <si>
    <t>Brachiaria</t>
  </si>
  <si>
    <t xml:space="preserve">Paspalum </t>
  </si>
  <si>
    <t>Cynodon</t>
  </si>
  <si>
    <t>Pueraria</t>
  </si>
  <si>
    <t>Stylosanthes</t>
  </si>
  <si>
    <t>Stizolobium</t>
  </si>
  <si>
    <t>Psophocarpus</t>
  </si>
  <si>
    <t>Centrosema</t>
  </si>
  <si>
    <t>Sprayed</t>
  </si>
  <si>
    <t>Mowed</t>
  </si>
  <si>
    <t>Maize stove</t>
  </si>
  <si>
    <t>Cowpea</t>
  </si>
  <si>
    <t>Cassava</t>
  </si>
  <si>
    <t>Table VIII</t>
  </si>
  <si>
    <t>Table VII</t>
  </si>
  <si>
    <t>Buenos Aires</t>
  </si>
  <si>
    <t>TA</t>
  </si>
  <si>
    <t>Triticosecale/Common_vetch</t>
  </si>
  <si>
    <t>Flowering of triticosecale</t>
  </si>
  <si>
    <t>Soybean-soybean</t>
  </si>
  <si>
    <t>TH</t>
  </si>
  <si>
    <t>Triticosecale</t>
  </si>
  <si>
    <t>Tillering</t>
  </si>
  <si>
    <t>Stem elongation</t>
  </si>
  <si>
    <t>Maturity</t>
  </si>
  <si>
    <t>EH</t>
  </si>
  <si>
    <t>Oat/Raygrass</t>
  </si>
  <si>
    <t>TU</t>
  </si>
  <si>
    <t>Centeno</t>
  </si>
  <si>
    <t>Early september</t>
  </si>
  <si>
    <t>No application</t>
  </si>
  <si>
    <t>P and S to soybean</t>
  </si>
  <si>
    <t>Sepetember</t>
  </si>
  <si>
    <t>Raigrass</t>
  </si>
  <si>
    <t>Corn-wheat/soybean-soybean</t>
  </si>
  <si>
    <t>End september to early november</t>
  </si>
  <si>
    <t>Cordoba</t>
  </si>
  <si>
    <t>Wheat-soybean</t>
  </si>
  <si>
    <t>Early August</t>
  </si>
  <si>
    <t>Cover crop deciccation</t>
  </si>
  <si>
    <t>Corn harvest</t>
  </si>
  <si>
    <t>Middle August</t>
  </si>
  <si>
    <t>Soybean harvest</t>
  </si>
  <si>
    <t>Oat/Common_vetch</t>
  </si>
  <si>
    <t>Wheat-corn-soybean</t>
  </si>
  <si>
    <t>Cebada</t>
  </si>
  <si>
    <t>Cebadilla</t>
  </si>
  <si>
    <t>Nabo forrajero</t>
  </si>
  <si>
    <t>Common_vetch</t>
  </si>
  <si>
    <t>EHI</t>
  </si>
  <si>
    <t>La Pampa</t>
  </si>
  <si>
    <t>Trigo</t>
  </si>
  <si>
    <t>Corn-Soybean/Wheat-soybean</t>
  </si>
  <si>
    <t>Beginning of heading</t>
  </si>
  <si>
    <t>Sepiga embuchada</t>
  </si>
  <si>
    <t xml:space="preserve">Alessandria  </t>
  </si>
  <si>
    <t xml:space="preserve">Alvarez  </t>
  </si>
  <si>
    <t xml:space="preserve">Barraco  </t>
  </si>
  <si>
    <t xml:space="preserve">Beltran  </t>
  </si>
  <si>
    <t xml:space="preserve">Brambilla  </t>
  </si>
  <si>
    <t xml:space="preserve">Cazorla  </t>
  </si>
  <si>
    <t xml:space="preserve">Giron  </t>
  </si>
  <si>
    <t xml:space="preserve">Lardone  </t>
  </si>
  <si>
    <t xml:space="preserve">Restovich  </t>
  </si>
  <si>
    <t xml:space="preserve">Rillo  </t>
  </si>
  <si>
    <t xml:space="preserve">Salvagiotti  </t>
  </si>
  <si>
    <t xml:space="preserve">Scianca  </t>
  </si>
  <si>
    <t>GG</t>
  </si>
  <si>
    <t>5,29</t>
  </si>
  <si>
    <t>3,10</t>
  </si>
  <si>
    <t>14,16,17</t>
  </si>
  <si>
    <t>18,27</t>
  </si>
  <si>
    <t>26,30,56,60</t>
  </si>
  <si>
    <t>40,41</t>
  </si>
  <si>
    <t>Typic Hapludoll</t>
  </si>
  <si>
    <t>Entic Haplustoll</t>
  </si>
  <si>
    <t>Typic Ustisament</t>
  </si>
  <si>
    <t>Thapto Argic Hapludoll</t>
  </si>
  <si>
    <t>Entic Hapludoll</t>
  </si>
  <si>
    <t>Author_G represent experiment ID</t>
  </si>
  <si>
    <t>Journal represent Journal ID</t>
  </si>
  <si>
    <t>Abdollahi</t>
  </si>
  <si>
    <t>Lotfollah</t>
  </si>
  <si>
    <t>Research  Centre  Foulum,  Denmark</t>
  </si>
  <si>
    <t xml:space="preserve">Hapludalf </t>
  </si>
  <si>
    <t>Split plot</t>
  </si>
  <si>
    <t>Direct drilling</t>
  </si>
  <si>
    <t>Moldboard plowing</t>
  </si>
  <si>
    <t>Biomass of cach crop (biomass of grain crop such as stem, leave, root, but not include yield) of control</t>
  </si>
  <si>
    <t>Biomass of cach crop (biomass of grain crop such as stem, leave, root, but not include yield) of cover crop</t>
  </si>
  <si>
    <t>Fodder radish</t>
  </si>
  <si>
    <t>Visual evaluation of soil structire available</t>
  </si>
  <si>
    <t>Average of direct, harrowing, and moldboard tillage</t>
  </si>
  <si>
    <t>Always add comments, units, whether have units convert, etc.</t>
  </si>
  <si>
    <t>SOC, g/kg to %</t>
  </si>
  <si>
    <t>Do not mix up control and treatment</t>
  </si>
  <si>
    <t>Backgroud information and response data should always match</t>
  </si>
  <si>
    <t>TN, g/kg to mg/kg</t>
  </si>
  <si>
    <t>g/kg to mg/kg</t>
  </si>
  <si>
    <t>Mpa</t>
  </si>
  <si>
    <t>MPa</t>
  </si>
  <si>
    <t>Soil depth, top layer, surface layer, need see soil sampling description</t>
  </si>
  <si>
    <t>15-to-25</t>
  </si>
  <si>
    <t>cm per day, at 4 cm surface</t>
  </si>
  <si>
    <t>4-to-8</t>
  </si>
  <si>
    <t>12-to-16</t>
  </si>
  <si>
    <t>18-to-27</t>
  </si>
  <si>
    <t>Air permeability at -3 kPa, mu m2</t>
  </si>
  <si>
    <t>Air permeability at -3 kPa, mu m3</t>
  </si>
  <si>
    <t>Air permeability at -3 kPa, mu m4</t>
  </si>
  <si>
    <t>Units for OC is % or Mg per ha</t>
  </si>
  <si>
    <t>Ward</t>
  </si>
  <si>
    <t>P. R.</t>
  </si>
  <si>
    <t>Field Crops Research</t>
  </si>
  <si>
    <t>2007-2009</t>
  </si>
  <si>
    <t>Sandy</t>
  </si>
  <si>
    <t>Cunderdin, Australia</t>
  </si>
  <si>
    <t>Mingenew, Perth, Australia</t>
  </si>
  <si>
    <t>Saia</t>
  </si>
  <si>
    <t>Oilseed</t>
  </si>
  <si>
    <t>Oat/ Saia oat</t>
  </si>
  <si>
    <t>Saia CC/Wheat</t>
  </si>
  <si>
    <t>Oilseed/Wheat</t>
  </si>
  <si>
    <t>Annual drainage (mm)</t>
  </si>
  <si>
    <t>1.BiomassCash_Comments</t>
  </si>
  <si>
    <t>2.Yield_Comments</t>
  </si>
  <si>
    <t>3.BD_Comments</t>
  </si>
  <si>
    <t>4.OC_Comments</t>
  </si>
  <si>
    <t>5.N_Comments</t>
  </si>
  <si>
    <t>6.P_Comments</t>
  </si>
  <si>
    <t>7.K_Comments</t>
  </si>
  <si>
    <t>8.pH_Comments</t>
  </si>
  <si>
    <t>9.CEC_Comments</t>
  </si>
  <si>
    <t>10.EC_Comments</t>
  </si>
  <si>
    <t>11.BS_Comments</t>
  </si>
  <si>
    <t>12.Aggre_Comments</t>
  </si>
  <si>
    <t>13.Porosity_Comments</t>
  </si>
  <si>
    <t>14.Penetration_Comments</t>
  </si>
  <si>
    <t>15.Infiltration_Comments</t>
  </si>
  <si>
    <t>16.Ksat_Comments</t>
  </si>
  <si>
    <t>17.Erosion_Comments</t>
  </si>
  <si>
    <t>18.Runoff_Comments</t>
  </si>
  <si>
    <t>19.Leaching_Comments</t>
  </si>
  <si>
    <t>20.ST_Comments</t>
  </si>
  <si>
    <t>21.SWC_Comments</t>
  </si>
  <si>
    <t>22.AWHC_Comments</t>
  </si>
  <si>
    <t>23.Weed_Comments</t>
  </si>
  <si>
    <t>24.Diseases_Comments</t>
  </si>
  <si>
    <t>25.Pests_Comments</t>
  </si>
  <si>
    <t>26.SoilFauna_Comments</t>
  </si>
  <si>
    <t>27.Fungal_Comments</t>
  </si>
  <si>
    <t>28.OtherMicrobial_Comments</t>
  </si>
  <si>
    <t>29.Enzyme_Comments</t>
  </si>
  <si>
    <t>30.Cmina_Comments</t>
  </si>
  <si>
    <t>31.Nmina_Comments</t>
  </si>
  <si>
    <t>32.NxO_Comm</t>
  </si>
  <si>
    <t>33.SIR_Comments</t>
  </si>
  <si>
    <t>34.CO2BTest_Comments</t>
  </si>
  <si>
    <t>35.CO2_Comm</t>
  </si>
  <si>
    <t>36.CH4_Comm</t>
  </si>
  <si>
    <t>37.MBC_Comments</t>
  </si>
  <si>
    <t>38.MBN_Comments</t>
  </si>
  <si>
    <t>Sampling year, should be earlier than publication year</t>
  </si>
  <si>
    <t>Latitude of site</t>
  </si>
  <si>
    <t>Longitude of site</t>
  </si>
  <si>
    <t>Elevation of site</t>
  </si>
  <si>
    <t>Annual average air temperature</t>
  </si>
  <si>
    <t>Mean annual air temperature within study period (1960-2017?)</t>
  </si>
  <si>
    <t>Mean annual precipitation within study period (1960-2017?)</t>
  </si>
  <si>
    <t>Study site's climate type, can be obtain from climate koeppon</t>
  </si>
  <si>
    <t>How many years cover crop applied before samples taken , e.g., experiment initiated at 1991, sample take at 1995, then fill with 5</t>
  </si>
  <si>
    <t>Detail as possible</t>
  </si>
  <si>
    <t>℃</t>
  </si>
  <si>
    <t>A, B, C, D, E five first climate classification, 18? Second classification</t>
  </si>
  <si>
    <t>Cover crop experiment period, also record comments about sampling time and others</t>
  </si>
  <si>
    <t>Difference between bottom and top, e.g., 10-to-20, fill with 10, and so on</t>
  </si>
  <si>
    <t>Soil sampling depth from top to bottom, formated as: top-to-botton, e.g., 10-to-20, and so on</t>
  </si>
  <si>
    <t>Within a study, what is the top-layer of their soil sampling method, e.g., one study take soil samples from 0-to-10, 10-to-30, and 30-to-60 cm, then toplayer will be 0-to-10</t>
  </si>
  <si>
    <t>Within a study, to define the surface-laye: if soil sampling depth less than 60cm then fill as 0-to-the-very-bottom, if soil sampling deeper than 60cm, set as 0-to-60, e.g., one study take soil sample, 0-to-10, 10-to-30, and 30-to-50 cm, then surface-layer will be 0-to-50, one study take soil sample, 0-to-10, 10-to-30, and 30-to-120 cm, then surface-layer will be 0-to-60</t>
  </si>
  <si>
    <t>Soil total C, this is the background soil carbon information, discriminate this column and OC_C, OC_T in the response</t>
  </si>
  <si>
    <t>Soil family or soil group information, should be note that there are may soil classification system in the word</t>
  </si>
  <si>
    <t>Cover crop grouped by function or family, please see more details in the CoverCropGroup sheet</t>
  </si>
  <si>
    <t>Grain crop grouped by function or family, please see more details in the GrainCropGroup sheet</t>
  </si>
  <si>
    <t>Grain crop type, also called cash crop</t>
  </si>
  <si>
    <t>Cover crop type, some literature called catch crop, green manure</t>
  </si>
  <si>
    <t>Applied fertilization information for control</t>
  </si>
  <si>
    <t>Applied fertilization information for cover crop</t>
  </si>
  <si>
    <t>Whether control and cover crop applied fifferent fertilizer level, yes or no</t>
  </si>
  <si>
    <t>Whether type of tillage differ between control and cover crop, yes or no</t>
  </si>
  <si>
    <t>Whether type of rotation/crop sequence differ between control and cover crop, yes or no</t>
  </si>
  <si>
    <t>Control description, winter fallow, summer fallow, no cover crop</t>
  </si>
  <si>
    <t>Number of plot</t>
  </si>
  <si>
    <t>Number of replication or subsamples</t>
  </si>
  <si>
    <t>CRD,RCBD, split-design etc.</t>
  </si>
  <si>
    <t>Carbon to nitrogen ratio from the dry biomass of cover crop (determine manure quality)</t>
  </si>
  <si>
    <t>Method of killing cover crop</t>
  </si>
  <si>
    <t>Other meta information need to make comments</t>
  </si>
  <si>
    <t xml:space="preserve">Comments on biomass of cach crop (note that this biomass not include yield) </t>
  </si>
  <si>
    <t xml:space="preserve">Yield of grain(cash) crop from control </t>
  </si>
  <si>
    <t>Yield of grain(cash) crop from treatment</t>
  </si>
  <si>
    <t>Comments on Yield of control</t>
  </si>
  <si>
    <t>° (degree)</t>
  </si>
  <si>
    <t>Bulk density of control</t>
  </si>
  <si>
    <t>Bulk density of treatment</t>
  </si>
  <si>
    <t>Comments on bulk density of treatment</t>
  </si>
  <si>
    <t>Units: %, if without explaination in the comments</t>
  </si>
  <si>
    <t>Comments on organic carbon of treatment</t>
  </si>
  <si>
    <t>Nitrogen of treatment (mean value), total nitrogen if without comments</t>
  </si>
  <si>
    <t>Nitrogen of control (mean value), total nitrogen if without comments</t>
  </si>
  <si>
    <t>Comments on nitrogen of treatment</t>
  </si>
  <si>
    <t>Comments on phosphorus of treatment</t>
  </si>
  <si>
    <t>Comments on potassium of treatment</t>
  </si>
  <si>
    <t xml:space="preserve">Comments on pH of treatment </t>
  </si>
  <si>
    <t xml:space="preserve">Comments on CEC of treatment </t>
  </si>
  <si>
    <t xml:space="preserve">Comments on EC of treatment </t>
  </si>
  <si>
    <t>Comments on Base Satuatio of treatment</t>
  </si>
  <si>
    <t>Soil aggregation of control (mean value), there are multiple indicators of soil aggregation, always make notes</t>
  </si>
  <si>
    <t>Soil aggregation of treatment (mean value), there are multiple indicators of soil aggregation, always make notes</t>
  </si>
  <si>
    <t>Comments on Soil aggregation of treatment, there are multiple indicators of soil aggregation, always make notes</t>
  </si>
  <si>
    <t xml:space="preserve">Comments on Porosity, air permeability of treatment </t>
  </si>
  <si>
    <t>Comments on Penetration resistance of treatment, root</t>
  </si>
  <si>
    <t>Infiltration rate of treatment, water</t>
  </si>
  <si>
    <t>Comments on Field satuted hydrolic conductivity of treatment</t>
  </si>
  <si>
    <t>Runoff_T</t>
  </si>
  <si>
    <t>Runoff, drainage of control</t>
  </si>
  <si>
    <t>Runoff, drainage of treatment (mean value)</t>
  </si>
  <si>
    <t>Comments on runoff, drainage</t>
  </si>
  <si>
    <t xml:space="preserve">Nitrogen loss, nitrate concentration in the runoff, in the drainage of control </t>
  </si>
  <si>
    <t>Nitrogen loss, nitrate concentration in the runoff, in the drainage of ccover crop</t>
  </si>
  <si>
    <t>Comments on Nitrogen loss, nitrate concentration in the runoff, in the drainage</t>
  </si>
  <si>
    <t>Comments on Soil temperature of treatment</t>
  </si>
  <si>
    <t>Soil water content of treatment (mean value), Field capacity, Permanent wilting point of cover crop treatment</t>
  </si>
  <si>
    <t>Soil water content of control (mean value), Field capacity, Permanent wilting point of control</t>
  </si>
  <si>
    <t>Comments on Soil water content of treatment</t>
  </si>
  <si>
    <t>Comments on Available water hold capacity of treatment</t>
  </si>
  <si>
    <t>Comments on Weed of treatment</t>
  </si>
  <si>
    <t>Diseases of grain(cash) crop from control</t>
  </si>
  <si>
    <t>Diseases of grain(cash) crop from cover crop treatment</t>
  </si>
  <si>
    <t>Comments on Diseases</t>
  </si>
  <si>
    <t>Comments on pests</t>
  </si>
  <si>
    <t>Pests of grain(cash) crop from control</t>
  </si>
  <si>
    <t>Pests of grain(cash) crop from cover crop treatment</t>
  </si>
  <si>
    <t>Earthwarm, authpods, nematode (soil should benefit from their exists) of soil from control</t>
  </si>
  <si>
    <t>Earthwarm, authpods, nematode (soil should benefit from their exists) of soil from cover crop</t>
  </si>
  <si>
    <t>Comments on soil fauna</t>
  </si>
  <si>
    <t>bacterial, fungual, microrrizal of soil from control</t>
  </si>
  <si>
    <t>bacterial, fungual, microrrizal of soil from cover crop</t>
  </si>
  <si>
    <t>Comments on soil fungual</t>
  </si>
  <si>
    <t>PLFA, Microbial fatty acid methyl esters (FAMEs), other Microbial functional diversity evaluated by Shannon's diversity index etc of soil from control</t>
  </si>
  <si>
    <t>PLFA, Microbial fatty acid methyl esters (FAMEs), other Microbial functional diversity evaluated by Shannon's diversity index etc of soil from cover crop</t>
  </si>
  <si>
    <t>Comments of other microbial indicator</t>
  </si>
  <si>
    <t>Enzyme activity such as Phenol oxidase, beta-glucosidase, b-glucosaminidase, and Phosphodiesterase of soil from control</t>
  </si>
  <si>
    <t>Enzyme activity such as Phenol oxidase, beta-glucosidase, b-glucosaminidase, and Phosphodiesterase of soil from cover crop</t>
  </si>
  <si>
    <t>Comments on enzyme indicator</t>
  </si>
  <si>
    <t>Comments on Carbon minierazation of treatment</t>
  </si>
  <si>
    <t>Comments on Nitrogen minierazation of treatment</t>
  </si>
  <si>
    <t xml:space="preserve">Substract induced respiration of treatment </t>
  </si>
  <si>
    <t>Comments on CO2 burst test respiration respiration of treatment</t>
  </si>
  <si>
    <t>Soil respiration (some literature called CO2 efflux, CO2 flux) of control</t>
  </si>
  <si>
    <t>Soil respiration (some literature called CO2 efflux, CO2 flux) of treatment</t>
  </si>
  <si>
    <t>Comments on Microbe Biomass Carbon of treatment</t>
  </si>
  <si>
    <t>Comments on Microbe Biomass Nitrogen of treatment</t>
  </si>
  <si>
    <t>Whether reported microelement (Mn, Zn, Cu etc.)</t>
  </si>
  <si>
    <t>Soil quality indicator, soil health indicator</t>
  </si>
  <si>
    <t xml:space="preserve">Ecosystem services indicator </t>
  </si>
  <si>
    <t>Units varied,unit is kg/hm2 if without explaination in the comments</t>
  </si>
  <si>
    <t>Units: kg/hm2 if without explaination in the comments</t>
  </si>
  <si>
    <t>Always make comments</t>
  </si>
  <si>
    <t>Always g/cm3</t>
  </si>
  <si>
    <t>Make comments if necessary</t>
  </si>
  <si>
    <t>No unit</t>
  </si>
  <si>
    <t>Unites varied</t>
  </si>
  <si>
    <t>Units: mg kg-1 soil if without explaination in the comments</t>
  </si>
  <si>
    <t>Units: cmolc kg-1 if without explaination in the comments</t>
  </si>
  <si>
    <t>Units: dS m–1 if without explaination in the comments</t>
  </si>
  <si>
    <t>Units varied: g/kg if without explaination in the comments</t>
  </si>
  <si>
    <t>% if without explaination in the comments</t>
  </si>
  <si>
    <t>Units:Mpa if without explaination in the comments</t>
  </si>
  <si>
    <t>Units: mm/h if without explaination in the comments</t>
  </si>
  <si>
    <t>Units: cm/h if without explaination in the comments</t>
  </si>
  <si>
    <t>kg/ha if without explaination in the comments</t>
  </si>
  <si>
    <t>Units: Mg per ha if without explaination in the comments</t>
  </si>
  <si>
    <t>Unites: kg per kg (gravimetric water content) if without explaination in the comments</t>
  </si>
  <si>
    <t>Units: g/g if without explaination in the comments</t>
  </si>
  <si>
    <t>Units varied: kg per ha if without explaination in the comments</t>
  </si>
  <si>
    <t>Units: mu_g per g soil if without explaination in the comments</t>
  </si>
  <si>
    <t>Unit varied</t>
  </si>
  <si>
    <t>Units: mg/kg if without explaination in the comments</t>
  </si>
  <si>
    <t>mg NO3-N / kg soil if without explaination in the comments</t>
  </si>
  <si>
    <t>mu g g-1 if without explaination in the comments</t>
  </si>
  <si>
    <t>Units:  mg CO2 kg−1 soil d−1 if without explaination in the comments</t>
  </si>
  <si>
    <t>kg per ha if without explaination in the comments</t>
  </si>
  <si>
    <t>FAO soil classification</t>
  </si>
  <si>
    <t xml:space="preserve">J. P. M. </t>
  </si>
  <si>
    <t>Whish</t>
  </si>
  <si>
    <t>2004-2006</t>
  </si>
  <si>
    <t>Queensland, New South Wales, Australia</t>
  </si>
  <si>
    <t>Crop and Pasture Science</t>
  </si>
  <si>
    <t>Spray out 1</t>
  </si>
  <si>
    <t>Spray out 2</t>
  </si>
  <si>
    <t>Spray out 3</t>
  </si>
  <si>
    <t>Average from 5 points from figure 3 (mm)</t>
  </si>
  <si>
    <t>Abunyewa</t>
  </si>
  <si>
    <t>A. A.</t>
  </si>
  <si>
    <t>Land Degredation and Development</t>
  </si>
  <si>
    <t>Nyankpala,  near  Tamale,  northern  Ghana</t>
  </si>
  <si>
    <t>1997-2000</t>
  </si>
  <si>
    <t>SET #1</t>
  </si>
  <si>
    <t>Organic soils</t>
  </si>
  <si>
    <t>HISTOSOLS</t>
  </si>
  <si>
    <t>SET #2</t>
  </si>
  <si>
    <r>
      <t>Mineral soils whose formation was conditioned by </t>
    </r>
    <r>
      <rPr>
        <i/>
        <sz val="12"/>
        <color theme="1"/>
        <rFont val="Garamond"/>
        <family val="1"/>
      </rPr>
      <t>human influences</t>
    </r>
    <r>
      <rPr>
        <sz val="12"/>
        <color theme="1"/>
        <rFont val="Garamond"/>
        <family val="1"/>
      </rPr>
      <t> (not confined to any particular region)</t>
    </r>
  </si>
  <si>
    <t>ANTHROSOLS</t>
  </si>
  <si>
    <t>SET #3</t>
  </si>
  <si>
    <r>
      <t>Mineral soils whose formation was conditioned by their </t>
    </r>
    <r>
      <rPr>
        <i/>
        <sz val="12"/>
        <color theme="1"/>
        <rFont val="Garamond"/>
        <family val="1"/>
      </rPr>
      <t>parent material</t>
    </r>
  </si>
  <si>
    <r>
      <t>- Soils developed in </t>
    </r>
    <r>
      <rPr>
        <i/>
        <sz val="12"/>
        <color theme="1"/>
        <rFont val="Garamond"/>
        <family val="1"/>
      </rPr>
      <t>volcanic material</t>
    </r>
  </si>
  <si>
    <r>
      <t>- Soils developed in </t>
    </r>
    <r>
      <rPr>
        <i/>
        <sz val="12"/>
        <color theme="1"/>
        <rFont val="Garamond"/>
        <family val="1"/>
      </rPr>
      <t>residual and shifting sands</t>
    </r>
  </si>
  <si>
    <r>
      <t>- Soils developed in </t>
    </r>
    <r>
      <rPr>
        <i/>
        <sz val="12"/>
        <color theme="1"/>
        <rFont val="Garamond"/>
        <family val="1"/>
      </rPr>
      <t>expanding clays</t>
    </r>
  </si>
  <si>
    <t>Andosols</t>
  </si>
  <si>
    <t>ARENOSOLS</t>
  </si>
  <si>
    <t>SET #4</t>
  </si>
  <si>
    <r>
      <t>Mineral soils whose formation was conditioned by the </t>
    </r>
    <r>
      <rPr>
        <i/>
        <sz val="12"/>
        <color theme="1"/>
        <rFont val="Garamond"/>
        <family val="1"/>
      </rPr>
      <t>topography/physiography</t>
    </r>
    <r>
      <rPr>
        <sz val="12"/>
        <color theme="1"/>
        <rFont val="Garamond"/>
        <family val="1"/>
      </rPr>
      <t> of the terrain</t>
    </r>
  </si>
  <si>
    <r>
      <t>- Soils in </t>
    </r>
    <r>
      <rPr>
        <i/>
        <sz val="12"/>
        <color theme="1"/>
        <rFont val="Garamond"/>
        <family val="1"/>
      </rPr>
      <t>lowlands (wetlands) with level topography</t>
    </r>
  </si>
  <si>
    <r>
      <t>- Soils in </t>
    </r>
    <r>
      <rPr>
        <i/>
        <sz val="12"/>
        <color theme="1"/>
        <rFont val="Garamond"/>
        <family val="1"/>
      </rPr>
      <t>elevated regions with non-level topography</t>
    </r>
  </si>
  <si>
    <t>FLUVISOLS</t>
  </si>
  <si>
    <t>GLEYSOLS</t>
  </si>
  <si>
    <t>LEPTOSOLS</t>
  </si>
  <si>
    <t>REGOSOLS</t>
  </si>
  <si>
    <t>SET #5</t>
  </si>
  <si>
    <r>
      <t>Mineral soils whose formation is conditioned by their</t>
    </r>
    <r>
      <rPr>
        <i/>
        <sz val="12"/>
        <color theme="1"/>
        <rFont val="Garamond"/>
        <family val="1"/>
      </rPr>
      <t> limited age</t>
    </r>
    <r>
      <rPr>
        <sz val="12"/>
        <color theme="1"/>
        <rFont val="Garamond"/>
        <family val="1"/>
      </rPr>
      <t> (not confined to any particular region)</t>
    </r>
  </si>
  <si>
    <t>CAMBISOLS</t>
  </si>
  <si>
    <t>SET #6</t>
  </si>
  <si>
    <r>
      <t>Mineral soils whose formation was conditioned by </t>
    </r>
    <r>
      <rPr>
        <i/>
        <sz val="12"/>
        <color theme="1"/>
        <rFont val="Garamond"/>
        <family val="1"/>
      </rPr>
      <t>climate:</t>
    </r>
    <r>
      <rPr>
        <sz val="12"/>
        <color theme="1"/>
        <rFont val="Garamond"/>
        <family val="1"/>
      </rPr>
      <t> </t>
    </r>
    <r>
      <rPr>
        <i/>
        <sz val="12"/>
        <color theme="1"/>
        <rFont val="Garamond"/>
        <family val="1"/>
      </rPr>
      <t>(sub-)humid tropics</t>
    </r>
  </si>
  <si>
    <t>PLINTHOSOLS</t>
  </si>
  <si>
    <t>FERRALSOLS</t>
  </si>
  <si>
    <t>NITISOLS</t>
  </si>
  <si>
    <t>ACRISOLS</t>
  </si>
  <si>
    <t>ALISOLS</t>
  </si>
  <si>
    <t>LIXISOLS</t>
  </si>
  <si>
    <t>SET #7</t>
  </si>
  <si>
    <r>
      <t>Mineral soils whose formation was conditioned by </t>
    </r>
    <r>
      <rPr>
        <i/>
        <sz val="12"/>
        <color theme="1"/>
        <rFont val="Garamond"/>
        <family val="1"/>
      </rPr>
      <t>climate: arid and semi-arid regions</t>
    </r>
  </si>
  <si>
    <t>SOLONCHAKS</t>
  </si>
  <si>
    <t>SOLONETZ</t>
  </si>
  <si>
    <t>GYPSISOLS</t>
  </si>
  <si>
    <t>DURISOLS</t>
  </si>
  <si>
    <t>CALCISOLS</t>
  </si>
  <si>
    <t>SET #8</t>
  </si>
  <si>
    <r>
      <t>Mineral soils whose formation was conditioned by </t>
    </r>
    <r>
      <rPr>
        <i/>
        <sz val="12"/>
        <color theme="1"/>
        <rFont val="Garamond"/>
        <family val="1"/>
      </rPr>
      <t>climate: steppes and steppic regions</t>
    </r>
  </si>
  <si>
    <t>KASTANOZEMS</t>
  </si>
  <si>
    <t>CHERNOZEMS</t>
  </si>
  <si>
    <t>PHAEOZEMS</t>
  </si>
  <si>
    <t>SET #9</t>
  </si>
  <si>
    <r>
      <t>Mineral soils whose formation was conditioned by </t>
    </r>
    <r>
      <rPr>
        <i/>
        <sz val="12"/>
        <color theme="1"/>
        <rFont val="Garamond"/>
        <family val="1"/>
      </rPr>
      <t>climate: (sub-)humid temperate regions</t>
    </r>
  </si>
  <si>
    <t>PODZOLS</t>
  </si>
  <si>
    <t>PLANOSOLS</t>
  </si>
  <si>
    <t>ALBELUVISOLS</t>
  </si>
  <si>
    <t>LUVISOLS</t>
  </si>
  <si>
    <t>UMBRISOLS</t>
  </si>
  <si>
    <t>SET #10</t>
  </si>
  <si>
    <r>
      <t>Mineral soils whose formation was conditioned by </t>
    </r>
    <r>
      <rPr>
        <i/>
        <sz val="12"/>
        <color theme="1"/>
        <rFont val="Garamond"/>
        <family val="1"/>
      </rPr>
      <t>climate: permafrost regions</t>
    </r>
  </si>
  <si>
    <t>http://www.fao.org/docrep/003/y1899e/y1899e02.htm</t>
  </si>
  <si>
    <t>Trail 1</t>
  </si>
  <si>
    <t>Trail 2</t>
  </si>
  <si>
    <t>Tingoli, Haplic Lixisol (FAO/UNESCO)</t>
  </si>
  <si>
    <t>Kumayili, Haplic Luvisol (FAO/UNESCO)</t>
  </si>
  <si>
    <t>Pigeon pea</t>
  </si>
  <si>
    <t>T4 vs T1</t>
  </si>
  <si>
    <t>T4 vs T2</t>
  </si>
  <si>
    <t>T4 vs T3</t>
  </si>
  <si>
    <t>% to mg/kg</t>
  </si>
  <si>
    <t>Cmol per kg</t>
  </si>
  <si>
    <t>Livestock manure</t>
  </si>
  <si>
    <t>Pigeon pea no pruning</t>
  </si>
  <si>
    <t>Pigeon pea pruned at 30 cm</t>
  </si>
  <si>
    <t>Pigeon pea pruned at 60 cm</t>
  </si>
  <si>
    <t>Pigeon pea pruned at 90 cm</t>
  </si>
  <si>
    <t>Organic carbon units correction, from 55g/kg to 5.5g/kg, see study 116</t>
  </si>
  <si>
    <t>g/kg to mg/kg, unit correction based on study 116</t>
  </si>
  <si>
    <t>Akinnifesi</t>
  </si>
  <si>
    <t>F. K.</t>
  </si>
  <si>
    <t>1991-2002</t>
  </si>
  <si>
    <t>Factorial design</t>
  </si>
  <si>
    <t>Southern Malawi</t>
  </si>
  <si>
    <t>Oxic Hapleustalf</t>
  </si>
  <si>
    <t>Sandy clay</t>
  </si>
  <si>
    <t>Experimental Agriculture</t>
  </si>
  <si>
    <t>Gliricidia</t>
  </si>
  <si>
    <t>Legume tree</t>
  </si>
  <si>
    <t>23 kg N per ha</t>
  </si>
  <si>
    <t>46 kg N per ha</t>
  </si>
  <si>
    <t>Ca + Mg + K</t>
  </si>
  <si>
    <t>0 kg N 0 kg P per ha</t>
  </si>
  <si>
    <t>0 kg N 20 kg P per ha</t>
  </si>
  <si>
    <t>0 kg N 40 kg P per ha</t>
  </si>
  <si>
    <t>24 kg N 0 kg P per ha</t>
  </si>
  <si>
    <t>48 kg N 0 kg P per ha</t>
  </si>
  <si>
    <t>24 kg N 20 kg P per ha</t>
  </si>
  <si>
    <t>24 kg N 40 kg P per ha</t>
  </si>
  <si>
    <t>48 kg N 20 kg P per ha</t>
  </si>
  <si>
    <t>48 kg N 40 kg P per ha</t>
  </si>
  <si>
    <t xml:space="preserve">Akinnifesi </t>
  </si>
  <si>
    <t>Festus Kehinde</t>
  </si>
  <si>
    <t>Plant Soil</t>
  </si>
  <si>
    <t>0 kg N 50 kg N per ha</t>
  </si>
  <si>
    <t>0 kg N 100 kg N per ha</t>
  </si>
  <si>
    <t>50 kg N 0 kg P per ha</t>
  </si>
  <si>
    <t>50 kg N 50 kg N per ha</t>
  </si>
  <si>
    <t>50 kg N 100 kg N per ha</t>
  </si>
  <si>
    <t>100 kg N 0 kg P per ha</t>
  </si>
  <si>
    <t>100 kg N 50 kg N per ha</t>
  </si>
  <si>
    <t>100 kg N 100 kg N per ha</t>
  </si>
  <si>
    <t>Mg+Ca+K</t>
  </si>
  <si>
    <t>Olsen P</t>
  </si>
  <si>
    <t>Stove</t>
  </si>
  <si>
    <t>1991-2006</t>
  </si>
  <si>
    <t>P uptake availabe</t>
  </si>
  <si>
    <t>1991-1993</t>
  </si>
  <si>
    <t>Bohringer</t>
  </si>
  <si>
    <t>A.</t>
  </si>
  <si>
    <t>Houeto, Southern BeÂnin</t>
  </si>
  <si>
    <t>Attotinga, Southern BeÂnin</t>
  </si>
  <si>
    <t>Ferrali-Haplic Acrisols</t>
  </si>
  <si>
    <t>Ferric  Lixisol</t>
  </si>
  <si>
    <t>Pigeonpea</t>
  </si>
  <si>
    <t>g/m2 to Mg/ha</t>
  </si>
  <si>
    <t>R.J.</t>
  </si>
  <si>
    <t>Carsky</t>
  </si>
  <si>
    <t>Nutrient Cycling in Agroecosystems</t>
  </si>
  <si>
    <t>Central Kaduna</t>
  </si>
  <si>
    <t>Bauchi</t>
  </si>
  <si>
    <t>Natural grass</t>
  </si>
  <si>
    <t>Mucuna</t>
  </si>
  <si>
    <t>Lablab</t>
  </si>
  <si>
    <t>Crotalaria</t>
  </si>
  <si>
    <t>91 DAP</t>
  </si>
  <si>
    <t>112 DAP</t>
  </si>
  <si>
    <t>70 DAP</t>
  </si>
  <si>
    <t>g per pot</t>
  </si>
  <si>
    <t>30 kg N per ha</t>
  </si>
  <si>
    <t>60 kg N per ha</t>
  </si>
  <si>
    <t>Table 6, kg per ha</t>
  </si>
  <si>
    <t>Chintu</t>
  </si>
  <si>
    <t>R.</t>
  </si>
  <si>
    <t>Msekera Research Station, Chipata, in eastern Zambia</t>
  </si>
  <si>
    <t>Ferric Luvisol (FAO)</t>
  </si>
  <si>
    <t>mg N per kg</t>
  </si>
  <si>
    <t>May cut trees, mg N per kg</t>
  </si>
  <si>
    <t>Nov cut trees, mg N per kg</t>
  </si>
  <si>
    <t>Potted</t>
  </si>
  <si>
    <t>Bare root</t>
  </si>
  <si>
    <t>Direct</t>
  </si>
  <si>
    <t>Cutting</t>
  </si>
  <si>
    <t>Gliricidia-Broadleaf</t>
  </si>
  <si>
    <t>T. S.</t>
  </si>
  <si>
    <t>Chirwa</t>
  </si>
  <si>
    <t>Agroforestry Systems</t>
  </si>
  <si>
    <t>Kagoro, Zambia</t>
  </si>
  <si>
    <t>1997-2002</t>
  </si>
  <si>
    <t>Chromi-haplic Acrisols  (FAO/UNESCO) OR kanhaplic  Haplustalfs (Soil Taxonomy)</t>
  </si>
  <si>
    <t>Sesbania</t>
  </si>
  <si>
    <t>Leucaena</t>
  </si>
  <si>
    <t>Leucaena/Sesbania</t>
  </si>
  <si>
    <t>Gliricidia/Sesbania</t>
  </si>
  <si>
    <t>Acacia</t>
  </si>
  <si>
    <t>Acacia/Sesbania</t>
  </si>
  <si>
    <t>Preseason</t>
  </si>
  <si>
    <t>Wet season</t>
  </si>
  <si>
    <t>No fertilizer</t>
  </si>
  <si>
    <t>Green manure</t>
  </si>
  <si>
    <t>Natural fallow</t>
  </si>
  <si>
    <t>Mg ha to Kg per ha</t>
  </si>
  <si>
    <t>Cajanus</t>
  </si>
  <si>
    <t>Total inorganic N</t>
  </si>
  <si>
    <t xml:space="preserve">P. J. M.  </t>
  </si>
  <si>
    <t>Cooper</t>
  </si>
  <si>
    <t>Senna spectabilis hedg</t>
  </si>
  <si>
    <t>100 Kg N per ha</t>
  </si>
  <si>
    <t>Gliricidia sepium hedg</t>
  </si>
  <si>
    <t>Yaounde, Cameroon</t>
  </si>
  <si>
    <t>Hedgerow  intercroppi/species not available</t>
  </si>
  <si>
    <t>Yurimaguas, Peru</t>
  </si>
  <si>
    <t>Citayan, Indonesia</t>
  </si>
  <si>
    <t>Los Banos, Philippines</t>
  </si>
  <si>
    <t>Ibadan, Nigeria</t>
  </si>
  <si>
    <t>Butare, Rwanda</t>
  </si>
  <si>
    <t>Ntcheu, Malawi</t>
  </si>
  <si>
    <t>Machakos, Kenya</t>
  </si>
  <si>
    <t>Flemingia congesta</t>
  </si>
  <si>
    <t xml:space="preserve">Inga edulis </t>
  </si>
  <si>
    <t xml:space="preserve">Desmanthus virgatus </t>
  </si>
  <si>
    <t>Leucaena leucocephala</t>
  </si>
  <si>
    <t>Calliandra calothyrsus/Leucaena leucocephala</t>
  </si>
  <si>
    <t>Senna siamea/Leucaena leucocephala</t>
  </si>
  <si>
    <t>Paleudult</t>
  </si>
  <si>
    <t>Hapludox</t>
  </si>
  <si>
    <t>Trapudult</t>
  </si>
  <si>
    <t>Paleustalf</t>
  </si>
  <si>
    <t>Ustropept</t>
  </si>
  <si>
    <t>Rhodustalf</t>
  </si>
  <si>
    <t>4.5</t>
  </si>
  <si>
    <t>4.6</t>
  </si>
  <si>
    <t>t per ha per year</t>
  </si>
  <si>
    <t>mm per year</t>
  </si>
  <si>
    <t>Country</t>
  </si>
  <si>
    <t>Country name</t>
  </si>
  <si>
    <t>USA</t>
  </si>
  <si>
    <t>Canada</t>
  </si>
  <si>
    <t>Columbia,  Missouri,  USA</t>
  </si>
  <si>
    <t>Brasil</t>
  </si>
  <si>
    <t>France</t>
  </si>
  <si>
    <t>Italy</t>
  </si>
  <si>
    <t>Sweden</t>
  </si>
  <si>
    <t>Denmark</t>
  </si>
  <si>
    <t>Nigeria</t>
  </si>
  <si>
    <t>Argentina</t>
  </si>
  <si>
    <t>Australia</t>
  </si>
  <si>
    <t>Ghana</t>
  </si>
  <si>
    <t>Malawi</t>
  </si>
  <si>
    <t>Benin</t>
  </si>
  <si>
    <t>Zambia</t>
  </si>
  <si>
    <t>Chitedze Research Station, Malawi</t>
  </si>
  <si>
    <t>Cameroon</t>
  </si>
  <si>
    <t>Peru</t>
  </si>
  <si>
    <t>Indonesia</t>
  </si>
  <si>
    <t>Philippines</t>
  </si>
  <si>
    <t>Rwanda</t>
  </si>
  <si>
    <t>Kenya</t>
  </si>
  <si>
    <t>As the textural composition of soils was not reported,  We grouped them into: ﬁne-textured (Argiudolls, Paleustolls, Peluderts) and coarse-textured (Hapludolls, Haplustolls, Ustisaments).</t>
  </si>
  <si>
    <r>
      <t>26,</t>
    </r>
    <r>
      <rPr>
        <sz val="11"/>
        <color rgb="FFFF0000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>,56,60</t>
    </r>
  </si>
  <si>
    <t>2005-2009</t>
  </si>
  <si>
    <t>2005-2010</t>
  </si>
  <si>
    <t>Banda</t>
  </si>
  <si>
    <t>A. Z.</t>
  </si>
  <si>
    <t>Nkhande, 3 km west of Ntcheu, Malawi</t>
  </si>
  <si>
    <t>Cambisols (FAO/UNESCO)</t>
  </si>
  <si>
    <t>1984-1991</t>
  </si>
  <si>
    <t>Peru Leucaena  leucocephala</t>
  </si>
  <si>
    <t>Hawaiian giant Leucaena  leucocephala</t>
  </si>
  <si>
    <t>Cunningham Leucaena  leucocephala</t>
  </si>
  <si>
    <t>Drechsel</t>
  </si>
  <si>
    <t>Rubona, Rwanda</t>
  </si>
  <si>
    <t>1988-1994</t>
  </si>
  <si>
    <t>Average of 4 (kg/ha)</t>
  </si>
  <si>
    <t>Tephrosia</t>
  </si>
  <si>
    <t>Sorghum straw</t>
  </si>
  <si>
    <t>Esilaba</t>
  </si>
  <si>
    <t xml:space="preserve">A.O. </t>
  </si>
  <si>
    <t>Uganda</t>
  </si>
  <si>
    <t>Orthic Ferralsols (FAO)</t>
  </si>
  <si>
    <t>2000-2001</t>
  </si>
  <si>
    <t>Mayuge, Imanyiro sub-county of Bunya County</t>
  </si>
  <si>
    <t>Buyemba, Imanyiro sub-county of Bunya County</t>
  </si>
  <si>
    <t>Magada, Imanyiro sub-county of Bunya County</t>
  </si>
  <si>
    <t>Feb-Jul</t>
  </si>
  <si>
    <t>Aug-Dec</t>
  </si>
  <si>
    <t>Canavalia</t>
  </si>
  <si>
    <t>Fischler</t>
  </si>
  <si>
    <t>Iganga District of eastern Uganda</t>
  </si>
  <si>
    <t>Bean</t>
  </si>
  <si>
    <t>1997-1998</t>
  </si>
  <si>
    <t>Table2</t>
  </si>
  <si>
    <t>Table3</t>
  </si>
  <si>
    <t>Weed incidence score</t>
  </si>
  <si>
    <t>Kawanda Agriculture Research Institute</t>
  </si>
  <si>
    <t>Isohyperthermic  kandiudal®c  eutrodox</t>
  </si>
  <si>
    <t>Early sowing</t>
  </si>
  <si>
    <t>Late sowing</t>
  </si>
  <si>
    <t>Table 3</t>
  </si>
  <si>
    <t>Table 6</t>
  </si>
  <si>
    <t>kg per ha, Fig 1</t>
  </si>
  <si>
    <t>Table 7</t>
  </si>
  <si>
    <t>1993-1996</t>
  </si>
  <si>
    <t>Early/mulched</t>
  </si>
  <si>
    <t>Late/incorporated</t>
  </si>
  <si>
    <t>Flowing of maize</t>
  </si>
  <si>
    <t>Harvest matureity of beans</t>
  </si>
  <si>
    <t>2-to-7</t>
  </si>
  <si>
    <t>Tbale 8</t>
  </si>
  <si>
    <t>mm per min</t>
  </si>
  <si>
    <t>Fofana</t>
  </si>
  <si>
    <t xml:space="preserve">B. </t>
  </si>
  <si>
    <t>Djaka Kopé</t>
  </si>
  <si>
    <t>Togo</t>
  </si>
  <si>
    <t>Rhodic Ferralsol</t>
  </si>
  <si>
    <t>N0P0</t>
  </si>
  <si>
    <t>N0P20</t>
  </si>
  <si>
    <t>N50P0</t>
  </si>
  <si>
    <t>N100P0</t>
  </si>
  <si>
    <t>N50P20</t>
  </si>
  <si>
    <t>N100P20</t>
  </si>
  <si>
    <t>N0P40</t>
  </si>
  <si>
    <t>N50P40</t>
  </si>
  <si>
    <t>N100P40</t>
  </si>
  <si>
    <t>1999-2000</t>
  </si>
  <si>
    <t>P uptake by plant available</t>
  </si>
  <si>
    <t xml:space="preserve">A. C. </t>
  </si>
  <si>
    <t>Franke</t>
  </si>
  <si>
    <t>Kasuwan Magani village</t>
  </si>
  <si>
    <t>Cowpea/Rice_Millet_Waste</t>
  </si>
  <si>
    <t>Gacheru</t>
  </si>
  <si>
    <t xml:space="preserve">E. </t>
  </si>
  <si>
    <t>International Journal of Pest Management</t>
  </si>
  <si>
    <t>Ondele, Striga-in-fested farm</t>
  </si>
  <si>
    <t>Etole Striga-in-fested farm</t>
  </si>
  <si>
    <t>Senna didymobotrya</t>
  </si>
  <si>
    <t>Senna occidentalis</t>
  </si>
  <si>
    <t>Tithonia diversifolia</t>
  </si>
  <si>
    <t>Cajanus cajan</t>
  </si>
  <si>
    <t>Sesbania sesban</t>
  </si>
  <si>
    <t>Sesbania cinerascens</t>
  </si>
  <si>
    <t>Tephrosia vogelii</t>
  </si>
  <si>
    <t>Crotalaria grahamiana</t>
  </si>
  <si>
    <t>Desmodium distortum</t>
  </si>
  <si>
    <t>Broadleaf/Brassica</t>
  </si>
  <si>
    <t>Striga shoots emerged on maize (no. per m2)</t>
  </si>
  <si>
    <t>Inorganic N, average of 3, kg N per ha</t>
  </si>
  <si>
    <t>Senna spectabilis</t>
  </si>
  <si>
    <t>1998</t>
  </si>
  <si>
    <t>Inorganic N, average of 4, kg N per ha</t>
  </si>
  <si>
    <t>Roots</t>
  </si>
  <si>
    <t>Foliage</t>
  </si>
  <si>
    <t>Foliage/Roods</t>
  </si>
  <si>
    <t>Mwenja</t>
  </si>
  <si>
    <t>Plant and Soil</t>
  </si>
  <si>
    <t xml:space="preserve">International Institute of Tropical Agriculture (IITA) </t>
  </si>
  <si>
    <t>1986-1988</t>
  </si>
  <si>
    <t>Isohyperthermic  Typic Paleudult</t>
  </si>
  <si>
    <t>Natural bush</t>
  </si>
  <si>
    <t xml:space="preserve">Cajanus cajan </t>
  </si>
  <si>
    <t xml:space="preserve">Tephrosia candida </t>
  </si>
  <si>
    <t>TN(%)</t>
  </si>
  <si>
    <t>Stover</t>
  </si>
  <si>
    <t>Sole maize</t>
  </si>
  <si>
    <t>Cassava/maize</t>
  </si>
  <si>
    <t>Harawa</t>
  </si>
  <si>
    <t xml:space="preserve">Rebbie </t>
  </si>
  <si>
    <t>2002-2004</t>
  </si>
  <si>
    <t>Domasi valley, Malawi</t>
  </si>
  <si>
    <t>Alﬁsols and Ultisols</t>
  </si>
  <si>
    <t>Bottom slope</t>
  </si>
  <si>
    <t>Mid-slope</t>
  </si>
  <si>
    <t>Upper slope</t>
  </si>
  <si>
    <t>Inorganic N kg per ha</t>
  </si>
  <si>
    <t>F.N.</t>
  </si>
  <si>
    <t>Ikpe</t>
  </si>
  <si>
    <t>Split plot design</t>
  </si>
  <si>
    <t>Kpite, southeastern Nigeria</t>
  </si>
  <si>
    <t>TN (%)</t>
  </si>
  <si>
    <t>OC (%)</t>
  </si>
  <si>
    <t>ppm</t>
  </si>
  <si>
    <t>c mol per kg</t>
  </si>
  <si>
    <t>ECEC c mol per kg</t>
  </si>
  <si>
    <t>1993-1994</t>
  </si>
  <si>
    <t>Cassava tuber yield</t>
  </si>
  <si>
    <t>Maize yield</t>
  </si>
  <si>
    <t>Weeds biomass</t>
  </si>
  <si>
    <t>Egbe</t>
  </si>
  <si>
    <t xml:space="preserve">E. A. </t>
  </si>
  <si>
    <t>Mbalmayo, Cameroon</t>
  </si>
  <si>
    <t>Kaolinitic clay isohyperthermic Typic kandiudult</t>
  </si>
  <si>
    <t>Ibadan</t>
  </si>
  <si>
    <t>Alfisol</t>
  </si>
  <si>
    <t>P. santalinoides.</t>
  </si>
  <si>
    <t>M. thonningii(Tree)</t>
  </si>
  <si>
    <t>Ca+Mg+K</t>
  </si>
  <si>
    <t>Maize grain yield</t>
  </si>
  <si>
    <t>Jama</t>
  </si>
  <si>
    <t xml:space="preserve">Bashir </t>
  </si>
  <si>
    <t>Agron. J.</t>
  </si>
  <si>
    <t>Kaolinitic, isohyperthermic Kandiudalf</t>
  </si>
  <si>
    <t>Julius, western Kenya</t>
  </si>
  <si>
    <t>Aduol, western Kenya</t>
  </si>
  <si>
    <t>Calliandra</t>
  </si>
  <si>
    <t>0 P 0 N</t>
  </si>
  <si>
    <t>10 kg / ha P + 230 kg / ha N</t>
  </si>
  <si>
    <t>1994</t>
  </si>
  <si>
    <t>Ochinga Kenya</t>
  </si>
  <si>
    <t>Muange Kenya</t>
  </si>
  <si>
    <t>Kandiudalfic Eutrudox</t>
  </si>
  <si>
    <t xml:space="preserve">Kandic Paleustalf </t>
  </si>
  <si>
    <t>Long rainy</t>
  </si>
  <si>
    <t>Short rainy</t>
  </si>
  <si>
    <t>Jeranyama</t>
  </si>
  <si>
    <t>Peter</t>
  </si>
  <si>
    <t>Typic Kandiustalf</t>
  </si>
  <si>
    <t>Domboshava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</si>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</sst>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"/>
    <numFmt numFmtId="166" formatCode="0.0000000"/>
    <numFmt numFmtId="167" formatCode="0.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252C2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9"/>
      <color rgb="FF000000"/>
      <name val="Arial"/>
      <family val="2"/>
    </font>
    <font>
      <sz val="11"/>
      <color theme="1" tint="0.499984740745262"/>
      <name val="Calibri"/>
      <family val="2"/>
      <scheme val="minor"/>
    </font>
    <font>
      <sz val="9"/>
      <color rgb="FFFF0000"/>
      <name val="Arial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rgb="FF8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8080"/>
      </left>
      <right/>
      <top style="double">
        <color rgb="FF008080"/>
      </top>
      <bottom/>
      <diagonal/>
    </border>
    <border>
      <left/>
      <right/>
      <top style="double">
        <color rgb="FF008080"/>
      </top>
      <bottom/>
      <diagonal/>
    </border>
    <border>
      <left/>
      <right style="double">
        <color rgb="FF008080"/>
      </right>
      <top style="double">
        <color rgb="FF008080"/>
      </top>
      <bottom/>
      <diagonal/>
    </border>
    <border>
      <left style="double">
        <color rgb="FF008080"/>
      </left>
      <right/>
      <top/>
      <bottom/>
      <diagonal/>
    </border>
    <border>
      <left/>
      <right style="double">
        <color rgb="FF008080"/>
      </right>
      <top/>
      <bottom/>
      <diagonal/>
    </border>
    <border>
      <left style="double">
        <color rgb="FF008080"/>
      </left>
      <right/>
      <top/>
      <bottom style="double">
        <color rgb="FF008080"/>
      </bottom>
      <diagonal/>
    </border>
    <border>
      <left/>
      <right/>
      <top/>
      <bottom style="double">
        <color rgb="FF008080"/>
      </bottom>
      <diagonal/>
    </border>
    <border>
      <left/>
      <right style="double">
        <color rgb="FF008080"/>
      </right>
      <top/>
      <bottom style="double">
        <color rgb="FF0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3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10" applyNumberFormat="0" applyAlignment="0" applyProtection="0"/>
    <xf numFmtId="0" fontId="32" fillId="0" borderId="0" applyNumberFormat="0" applyFill="0" applyBorder="0" applyAlignment="0" applyProtection="0"/>
  </cellStyleXfs>
  <cellXfs count="53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5" borderId="0" xfId="0" applyFill="1"/>
    <xf numFmtId="11" fontId="0" fillId="0" borderId="0" xfId="0" applyNumberFormat="1"/>
    <xf numFmtId="0" fontId="5" fillId="0" borderId="0" xfId="0" applyFont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4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8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65" fontId="0" fillId="0" borderId="1" xfId="0" applyNumberFormat="1" applyBorder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166" fontId="0" fillId="0" borderId="1" xfId="0" applyNumberFormat="1" applyBorder="1" applyAlignment="1">
      <alignment horizontal="left"/>
    </xf>
    <xf numFmtId="49" fontId="3" fillId="6" borderId="0" xfId="0" applyNumberFormat="1" applyFont="1" applyFill="1" applyAlignment="1">
      <alignment horizontal="left"/>
    </xf>
    <xf numFmtId="49" fontId="0" fillId="7" borderId="0" xfId="0" applyNumberForma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4" fillId="7" borderId="0" xfId="0" applyNumberFormat="1" applyFont="1" applyFill="1" applyAlignment="1">
      <alignment horizontal="left"/>
    </xf>
    <xf numFmtId="49" fontId="0" fillId="8" borderId="0" xfId="0" applyNumberFormat="1" applyFill="1" applyAlignment="1">
      <alignment horizontal="left"/>
    </xf>
    <xf numFmtId="49" fontId="0" fillId="10" borderId="0" xfId="0" applyNumberFormat="1" applyFill="1" applyAlignment="1">
      <alignment horizontal="left"/>
    </xf>
    <xf numFmtId="49" fontId="3" fillId="11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8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3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/>
    </xf>
    <xf numFmtId="17" fontId="0" fillId="0" borderId="0" xfId="0" applyNumberFormat="1"/>
    <xf numFmtId="16" fontId="0" fillId="10" borderId="0" xfId="0" applyNumberFormat="1" applyFill="1" applyAlignment="1">
      <alignment horizontal="left"/>
    </xf>
    <xf numFmtId="16" fontId="0" fillId="8" borderId="0" xfId="0" applyNumberFormat="1" applyFill="1" applyAlignment="1">
      <alignment horizontal="left"/>
    </xf>
    <xf numFmtId="0" fontId="9" fillId="10" borderId="0" xfId="0" applyFont="1" applyFill="1" applyAlignment="1">
      <alignment horizontal="left"/>
    </xf>
    <xf numFmtId="49" fontId="9" fillId="10" borderId="0" xfId="0" applyNumberFormat="1" applyFont="1" applyFill="1" applyAlignment="1">
      <alignment horizontal="left"/>
    </xf>
    <xf numFmtId="16" fontId="9" fillId="10" borderId="0" xfId="0" applyNumberFormat="1" applyFont="1" applyFill="1" applyAlignment="1">
      <alignment horizontal="left"/>
    </xf>
    <xf numFmtId="0" fontId="9" fillId="8" borderId="0" xfId="0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16" fontId="9" fillId="8" borderId="0" xfId="0" applyNumberFormat="1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0" fontId="11" fillId="10" borderId="0" xfId="0" applyFont="1" applyFill="1" applyAlignment="1">
      <alignment horizontal="left"/>
    </xf>
    <xf numFmtId="49" fontId="11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3" fillId="6" borderId="0" xfId="0" applyFont="1" applyFill="1" applyAlignment="1">
      <alignment horizontal="left"/>
    </xf>
    <xf numFmtId="49" fontId="13" fillId="6" borderId="0" xfId="0" applyNumberFormat="1" applyFont="1" applyFill="1" applyAlignment="1">
      <alignment horizontal="left"/>
    </xf>
    <xf numFmtId="0" fontId="14" fillId="6" borderId="0" xfId="0" applyFont="1" applyFill="1" applyAlignment="1">
      <alignment horizontal="left"/>
    </xf>
    <xf numFmtId="49" fontId="14" fillId="6" borderId="0" xfId="0" applyNumberFormat="1" applyFont="1" applyFill="1" applyAlignment="1">
      <alignment horizontal="left"/>
    </xf>
    <xf numFmtId="0" fontId="14" fillId="9" borderId="0" xfId="0" applyFont="1" applyFill="1" applyAlignment="1">
      <alignment horizontal="left"/>
    </xf>
    <xf numFmtId="49" fontId="14" fillId="9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49" fontId="13" fillId="0" borderId="0" xfId="0" applyNumberFormat="1" applyFont="1" applyFill="1" applyAlignment="1">
      <alignment horizontal="left"/>
    </xf>
    <xf numFmtId="0" fontId="13" fillId="9" borderId="0" xfId="0" applyFont="1" applyFill="1" applyAlignment="1">
      <alignment horizontal="left"/>
    </xf>
    <xf numFmtId="49" fontId="13" fillId="9" borderId="0" xfId="0" applyNumberFormat="1" applyFont="1" applyFill="1" applyAlignment="1">
      <alignment horizontal="left"/>
    </xf>
    <xf numFmtId="0" fontId="3" fillId="13" borderId="0" xfId="0" applyFont="1" applyFill="1" applyAlignment="1">
      <alignment horizontal="left"/>
    </xf>
    <xf numFmtId="49" fontId="3" fillId="13" borderId="0" xfId="0" applyNumberFormat="1" applyFont="1" applyFill="1" applyAlignment="1">
      <alignment horizontal="left"/>
    </xf>
    <xf numFmtId="0" fontId="3" fillId="8" borderId="0" xfId="0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3" fillId="10" borderId="0" xfId="0" applyFont="1" applyFill="1" applyAlignment="1">
      <alignment horizontal="left"/>
    </xf>
    <xf numFmtId="49" fontId="3" fillId="10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left"/>
    </xf>
    <xf numFmtId="49" fontId="15" fillId="0" borderId="0" xfId="0" applyNumberFormat="1" applyFont="1" applyFill="1" applyAlignment="1">
      <alignment horizontal="left"/>
    </xf>
    <xf numFmtId="0" fontId="15" fillId="8" borderId="0" xfId="0" applyFont="1" applyFill="1" applyAlignment="1">
      <alignment horizontal="left"/>
    </xf>
    <xf numFmtId="49" fontId="15" fillId="8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16" fontId="3" fillId="6" borderId="0" xfId="0" applyNumberFormat="1" applyFont="1" applyFill="1" applyAlignment="1">
      <alignment horizontal="left"/>
    </xf>
    <xf numFmtId="0" fontId="12" fillId="0" borderId="0" xfId="0" applyFont="1"/>
    <xf numFmtId="0" fontId="16" fillId="8" borderId="0" xfId="0" applyFont="1" applyFill="1" applyAlignment="1">
      <alignment horizontal="left"/>
    </xf>
    <xf numFmtId="49" fontId="16" fillId="8" borderId="0" xfId="0" applyNumberFormat="1" applyFont="1" applyFill="1" applyAlignment="1">
      <alignment horizontal="left"/>
    </xf>
    <xf numFmtId="0" fontId="16" fillId="10" borderId="0" xfId="0" applyFont="1" applyFill="1" applyAlignment="1">
      <alignment horizontal="left"/>
    </xf>
    <xf numFmtId="49" fontId="16" fillId="10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6" fillId="6" borderId="0" xfId="0" applyNumberFormat="1" applyFont="1" applyFill="1" applyAlignment="1">
      <alignment horizontal="left"/>
    </xf>
    <xf numFmtId="0" fontId="16" fillId="14" borderId="0" xfId="0" applyFont="1" applyFill="1" applyAlignment="1">
      <alignment horizontal="left"/>
    </xf>
    <xf numFmtId="49" fontId="16" fillId="14" borderId="0" xfId="0" applyNumberFormat="1" applyFont="1" applyFill="1" applyAlignment="1">
      <alignment horizontal="left"/>
    </xf>
    <xf numFmtId="0" fontId="16" fillId="9" borderId="0" xfId="0" applyFont="1" applyFill="1" applyAlignment="1">
      <alignment horizontal="left"/>
    </xf>
    <xf numFmtId="49" fontId="16" fillId="9" borderId="0" xfId="0" applyNumberFormat="1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7" fillId="15" borderId="0" xfId="0" applyFont="1" applyFill="1" applyAlignment="1">
      <alignment vertical="center" wrapText="1"/>
    </xf>
    <xf numFmtId="0" fontId="19" fillId="15" borderId="0" xfId="0" applyFont="1" applyFill="1" applyAlignment="1">
      <alignment horizontal="left" vertical="center" wrapText="1"/>
    </xf>
    <xf numFmtId="0" fontId="19" fillId="15" borderId="0" xfId="0" applyFont="1" applyFill="1" applyAlignment="1">
      <alignment vertical="center" wrapText="1"/>
    </xf>
    <xf numFmtId="0" fontId="18" fillId="16" borderId="2" xfId="0" applyFont="1" applyFill="1" applyBorder="1" applyAlignment="1">
      <alignment horizontal="left" vertical="center" wrapText="1"/>
    </xf>
    <xf numFmtId="0" fontId="18" fillId="16" borderId="3" xfId="0" applyFont="1" applyFill="1" applyBorder="1" applyAlignment="1">
      <alignment horizontal="left" vertical="center" wrapText="1"/>
    </xf>
    <xf numFmtId="0" fontId="18" fillId="16" borderId="3" xfId="0" applyFont="1" applyFill="1" applyBorder="1" applyAlignment="1">
      <alignment vertical="center" wrapText="1"/>
    </xf>
    <xf numFmtId="0" fontId="18" fillId="16" borderId="4" xfId="0" applyFont="1" applyFill="1" applyBorder="1" applyAlignment="1">
      <alignment horizontal="left" vertical="center" wrapText="1"/>
    </xf>
    <xf numFmtId="0" fontId="20" fillId="15" borderId="5" xfId="0" applyFont="1" applyFill="1" applyBorder="1" applyAlignment="1">
      <alignment horizontal="left" vertical="center" wrapText="1"/>
    </xf>
    <xf numFmtId="0" fontId="17" fillId="15" borderId="6" xfId="0" applyFont="1" applyFill="1" applyBorder="1" applyAlignment="1">
      <alignment vertical="center" wrapText="1"/>
    </xf>
    <xf numFmtId="0" fontId="17" fillId="15" borderId="5" xfId="0" applyFont="1" applyFill="1" applyBorder="1" applyAlignment="1">
      <alignment vertical="center" wrapText="1"/>
    </xf>
    <xf numFmtId="0" fontId="19" fillId="15" borderId="6" xfId="0" applyFont="1" applyFill="1" applyBorder="1" applyAlignment="1">
      <alignment horizontal="left" vertical="center" wrapText="1"/>
    </xf>
    <xf numFmtId="0" fontId="19" fillId="15" borderId="6" xfId="0" applyFont="1" applyFill="1" applyBorder="1" applyAlignment="1">
      <alignment vertical="center" wrapText="1"/>
    </xf>
    <xf numFmtId="0" fontId="17" fillId="15" borderId="7" xfId="0" applyFont="1" applyFill="1" applyBorder="1" applyAlignment="1">
      <alignment vertical="center" wrapText="1"/>
    </xf>
    <xf numFmtId="0" fontId="19" fillId="15" borderId="8" xfId="0" applyFont="1" applyFill="1" applyBorder="1" applyAlignment="1">
      <alignment horizontal="left" vertical="center" wrapText="1"/>
    </xf>
    <xf numFmtId="0" fontId="19" fillId="15" borderId="9" xfId="0" applyFont="1" applyFill="1" applyBorder="1" applyAlignment="1">
      <alignment horizontal="left" vertical="center" wrapText="1"/>
    </xf>
    <xf numFmtId="0" fontId="21" fillId="9" borderId="0" xfId="0" applyFont="1" applyFill="1" applyAlignment="1">
      <alignment horizontal="left"/>
    </xf>
    <xf numFmtId="49" fontId="21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4" fillId="10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15" fillId="9" borderId="0" xfId="0" applyFont="1" applyFill="1" applyAlignment="1">
      <alignment horizontal="left"/>
    </xf>
    <xf numFmtId="49" fontId="15" fillId="9" borderId="0" xfId="0" applyNumberFormat="1" applyFont="1" applyFill="1" applyAlignment="1">
      <alignment horizontal="left"/>
    </xf>
    <xf numFmtId="0" fontId="15" fillId="6" borderId="0" xfId="0" applyFont="1" applyFill="1" applyAlignment="1">
      <alignment horizontal="left"/>
    </xf>
    <xf numFmtId="49" fontId="15" fillId="6" borderId="0" xfId="0" applyNumberFormat="1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1" fillId="18" borderId="0" xfId="0" applyFont="1" applyFill="1"/>
    <xf numFmtId="0" fontId="3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4" fillId="18" borderId="0" xfId="0" applyFont="1" applyFill="1" applyAlignment="1">
      <alignment horizontal="left"/>
    </xf>
    <xf numFmtId="0" fontId="11" fillId="18" borderId="0" xfId="0" applyFont="1" applyFill="1" applyAlignment="1">
      <alignment horizontal="left"/>
    </xf>
    <xf numFmtId="0" fontId="15" fillId="18" borderId="0" xfId="0" applyFont="1" applyFill="1" applyAlignment="1">
      <alignment horizontal="left"/>
    </xf>
    <xf numFmtId="0" fontId="16" fillId="18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7" borderId="0" xfId="0" applyFill="1" applyAlignment="1">
      <alignment horizontal="center" vertical="top"/>
    </xf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 vertical="top"/>
    </xf>
    <xf numFmtId="0" fontId="0" fillId="20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49" fontId="4" fillId="21" borderId="0" xfId="0" applyNumberFormat="1" applyFont="1" applyFill="1" applyAlignment="1">
      <alignment horizontal="left"/>
    </xf>
    <xf numFmtId="0" fontId="3" fillId="21" borderId="0" xfId="0" applyFont="1" applyFill="1" applyAlignment="1">
      <alignment horizontal="left"/>
    </xf>
    <xf numFmtId="0" fontId="0" fillId="21" borderId="0" xfId="0" applyFill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3" fillId="17" borderId="0" xfId="0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12" borderId="0" xfId="1" applyNumberFormat="1" applyFont="1" applyFill="1" applyBorder="1" applyAlignment="1">
      <alignment horizontal="left"/>
    </xf>
    <xf numFmtId="0" fontId="3" fillId="12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22" fillId="0" borderId="0" xfId="3" applyFont="1" applyFill="1" applyBorder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0" fillId="21" borderId="0" xfId="0" applyFont="1" applyFill="1" applyAlignment="1">
      <alignment horizontal="left"/>
    </xf>
    <xf numFmtId="0" fontId="0" fillId="18" borderId="0" xfId="0" applyFill="1"/>
    <xf numFmtId="0" fontId="1" fillId="6" borderId="0" xfId="0" applyFont="1" applyFill="1"/>
    <xf numFmtId="0" fontId="4" fillId="6" borderId="0" xfId="0" applyFont="1" applyFill="1" applyAlignment="1">
      <alignment horizontal="left"/>
    </xf>
    <xf numFmtId="0" fontId="0" fillId="6" borderId="0" xfId="0" applyFill="1"/>
    <xf numFmtId="0" fontId="16" fillId="6" borderId="0" xfId="0" applyFont="1" applyFill="1"/>
    <xf numFmtId="0" fontId="1" fillId="25" borderId="0" xfId="0" applyFont="1" applyFill="1"/>
    <xf numFmtId="0" fontId="0" fillId="25" borderId="0" xfId="0" applyFill="1"/>
    <xf numFmtId="0" fontId="1" fillId="26" borderId="0" xfId="0" applyFont="1" applyFill="1"/>
    <xf numFmtId="0" fontId="0" fillId="26" borderId="0" xfId="0" applyFill="1"/>
    <xf numFmtId="0" fontId="0" fillId="18" borderId="0" xfId="0" applyFill="1" applyAlignment="1">
      <alignment horizontal="center"/>
    </xf>
    <xf numFmtId="0" fontId="16" fillId="18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0" applyFont="1" applyFill="1"/>
    <xf numFmtId="0" fontId="3" fillId="27" borderId="0" xfId="0" applyFont="1" applyFill="1" applyBorder="1" applyAlignment="1">
      <alignment horizontal="left"/>
    </xf>
    <xf numFmtId="49" fontId="3" fillId="27" borderId="0" xfId="0" applyNumberFormat="1" applyFont="1" applyFill="1" applyBorder="1" applyAlignment="1">
      <alignment horizontal="left"/>
    </xf>
    <xf numFmtId="0" fontId="3" fillId="27" borderId="0" xfId="0" applyNumberFormat="1" applyFont="1" applyFill="1" applyBorder="1" applyAlignment="1">
      <alignment horizontal="left"/>
    </xf>
    <xf numFmtId="165" fontId="3" fillId="27" borderId="0" xfId="0" applyNumberFormat="1" applyFont="1" applyFill="1" applyBorder="1" applyAlignment="1">
      <alignment horizontal="left"/>
    </xf>
    <xf numFmtId="0" fontId="3" fillId="27" borderId="0" xfId="0" applyFont="1" applyFill="1" applyAlignment="1">
      <alignment horizontal="left"/>
    </xf>
    <xf numFmtId="0" fontId="3" fillId="27" borderId="0" xfId="0" applyFont="1" applyFill="1"/>
    <xf numFmtId="2" fontId="22" fillId="2" borderId="0" xfId="0" applyNumberFormat="1" applyFont="1" applyFill="1" applyBorder="1" applyAlignment="1">
      <alignment horizontal="left"/>
    </xf>
    <xf numFmtId="0" fontId="22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2" fillId="19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3" fillId="6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8" fillId="8" borderId="0" xfId="0" applyFont="1" applyFill="1" applyAlignment="1">
      <alignment horizontal="left"/>
    </xf>
    <xf numFmtId="0" fontId="26" fillId="0" borderId="0" xfId="0" applyFont="1" applyFill="1" applyBorder="1" applyAlignment="1">
      <alignment horizontal="left"/>
    </xf>
    <xf numFmtId="0" fontId="26" fillId="0" borderId="0" xfId="2" applyFont="1" applyFill="1" applyBorder="1" applyAlignment="1">
      <alignment horizontal="left"/>
    </xf>
    <xf numFmtId="49" fontId="26" fillId="0" borderId="0" xfId="0" applyNumberFormat="1" applyFont="1" applyFill="1" applyBorder="1" applyAlignment="1">
      <alignment horizontal="left"/>
    </xf>
    <xf numFmtId="0" fontId="26" fillId="0" borderId="0" xfId="0" applyNumberFormat="1" applyFont="1" applyFill="1" applyBorder="1" applyAlignment="1">
      <alignment horizontal="left"/>
    </xf>
    <xf numFmtId="165" fontId="26" fillId="0" borderId="0" xfId="0" applyNumberFormat="1" applyFont="1" applyFill="1" applyBorder="1" applyAlignment="1">
      <alignment horizontal="left"/>
    </xf>
    <xf numFmtId="0" fontId="26" fillId="0" borderId="0" xfId="0" applyFont="1" applyFill="1" applyAlignment="1">
      <alignment horizontal="left"/>
    </xf>
    <xf numFmtId="0" fontId="26" fillId="0" borderId="0" xfId="0" applyFont="1" applyFill="1"/>
    <xf numFmtId="0" fontId="26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left"/>
    </xf>
    <xf numFmtId="165" fontId="16" fillId="0" borderId="0" xfId="0" applyNumberFormat="1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/>
    <xf numFmtId="0" fontId="4" fillId="8" borderId="0" xfId="1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4" fillId="8" borderId="0" xfId="1" applyNumberFormat="1" applyFont="1" applyFill="1" applyBorder="1" applyAlignment="1">
      <alignment horizontal="left"/>
    </xf>
    <xf numFmtId="49" fontId="4" fillId="8" borderId="0" xfId="0" applyNumberFormat="1" applyFont="1" applyFill="1" applyBorder="1" applyAlignment="1">
      <alignment horizontal="left"/>
    </xf>
    <xf numFmtId="0" fontId="4" fillId="8" borderId="0" xfId="0" applyNumberFormat="1" applyFont="1" applyFill="1" applyBorder="1" applyAlignment="1">
      <alignment horizontal="left"/>
    </xf>
    <xf numFmtId="165" fontId="4" fillId="8" borderId="0" xfId="0" applyNumberFormat="1" applyFont="1" applyFill="1" applyBorder="1" applyAlignment="1">
      <alignment horizontal="left"/>
    </xf>
    <xf numFmtId="0" fontId="4" fillId="8" borderId="0" xfId="1" quotePrefix="1" applyNumberFormat="1" applyFont="1" applyFill="1" applyBorder="1" applyAlignment="1">
      <alignment horizontal="left"/>
    </xf>
    <xf numFmtId="0" fontId="4" fillId="8" borderId="0" xfId="0" applyFont="1" applyFill="1"/>
    <xf numFmtId="0" fontId="4" fillId="6" borderId="0" xfId="0" applyFont="1" applyFill="1" applyBorder="1" applyAlignment="1">
      <alignment horizontal="left"/>
    </xf>
    <xf numFmtId="165" fontId="4" fillId="6" borderId="0" xfId="0" applyNumberFormat="1" applyFont="1" applyFill="1" applyBorder="1" applyAlignment="1">
      <alignment horizontal="left"/>
    </xf>
    <xf numFmtId="0" fontId="16" fillId="6" borderId="0" xfId="1" applyFont="1" applyFill="1" applyBorder="1" applyAlignment="1">
      <alignment horizontal="left"/>
    </xf>
    <xf numFmtId="0" fontId="16" fillId="6" borderId="0" xfId="0" applyFont="1" applyFill="1" applyBorder="1" applyAlignment="1">
      <alignment horizontal="left"/>
    </xf>
    <xf numFmtId="49" fontId="16" fillId="6" borderId="0" xfId="0" applyNumberFormat="1" applyFont="1" applyFill="1" applyBorder="1" applyAlignment="1">
      <alignment horizontal="left"/>
    </xf>
    <xf numFmtId="0" fontId="16" fillId="6" borderId="0" xfId="0" applyNumberFormat="1" applyFont="1" applyFill="1" applyBorder="1" applyAlignment="1">
      <alignment horizontal="left"/>
    </xf>
    <xf numFmtId="165" fontId="16" fillId="6" borderId="0" xfId="0" applyNumberFormat="1" applyFont="1" applyFill="1" applyBorder="1" applyAlignment="1">
      <alignment horizontal="left"/>
    </xf>
    <xf numFmtId="0" fontId="3" fillId="9" borderId="0" xfId="1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49" fontId="3" fillId="9" borderId="0" xfId="0" applyNumberFormat="1" applyFont="1" applyFill="1" applyBorder="1" applyAlignment="1">
      <alignment horizontal="left"/>
    </xf>
    <xf numFmtId="0" fontId="3" fillId="9" borderId="0" xfId="0" applyNumberFormat="1" applyFont="1" applyFill="1" applyBorder="1" applyAlignment="1">
      <alignment horizontal="left"/>
    </xf>
    <xf numFmtId="165" fontId="3" fillId="9" borderId="0" xfId="0" applyNumberFormat="1" applyFont="1" applyFill="1" applyBorder="1" applyAlignment="1">
      <alignment horizontal="left"/>
    </xf>
    <xf numFmtId="0" fontId="3" fillId="9" borderId="0" xfId="0" applyFont="1" applyFill="1"/>
    <xf numFmtId="0" fontId="3" fillId="6" borderId="0" xfId="1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49" fontId="3" fillId="6" borderId="0" xfId="0" applyNumberFormat="1" applyFont="1" applyFill="1" applyBorder="1" applyAlignment="1">
      <alignment horizontal="left"/>
    </xf>
    <xf numFmtId="0" fontId="3" fillId="6" borderId="0" xfId="0" applyNumberFormat="1" applyFont="1" applyFill="1" applyBorder="1" applyAlignment="1">
      <alignment horizontal="left"/>
    </xf>
    <xf numFmtId="165" fontId="3" fillId="6" borderId="0" xfId="0" applyNumberFormat="1" applyFont="1" applyFill="1" applyBorder="1" applyAlignment="1">
      <alignment horizontal="left"/>
    </xf>
    <xf numFmtId="0" fontId="3" fillId="6" borderId="0" xfId="0" applyFont="1" applyFill="1"/>
    <xf numFmtId="0" fontId="3" fillId="6" borderId="0" xfId="2" applyFont="1" applyFill="1" applyBorder="1" applyAlignment="1">
      <alignment horizontal="left"/>
    </xf>
    <xf numFmtId="0" fontId="12" fillId="6" borderId="0" xfId="3" applyFont="1" applyFill="1" applyBorder="1" applyAlignment="1">
      <alignment horizontal="left"/>
    </xf>
    <xf numFmtId="0" fontId="15" fillId="8" borderId="0" xfId="1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15" fillId="8" borderId="0" xfId="1" applyNumberFormat="1" applyFont="1" applyFill="1" applyBorder="1" applyAlignment="1">
      <alignment horizontal="left"/>
    </xf>
    <xf numFmtId="49" fontId="15" fillId="8" borderId="0" xfId="0" applyNumberFormat="1" applyFont="1" applyFill="1" applyBorder="1" applyAlignment="1">
      <alignment horizontal="left"/>
    </xf>
    <xf numFmtId="0" fontId="15" fillId="8" borderId="0" xfId="0" applyNumberFormat="1" applyFont="1" applyFill="1" applyBorder="1" applyAlignment="1">
      <alignment horizontal="left"/>
    </xf>
    <xf numFmtId="165" fontId="15" fillId="8" borderId="0" xfId="0" applyNumberFormat="1" applyFont="1" applyFill="1" applyBorder="1" applyAlignment="1">
      <alignment horizontal="left"/>
    </xf>
    <xf numFmtId="0" fontId="15" fillId="8" borderId="0" xfId="1" quotePrefix="1" applyNumberFormat="1" applyFont="1" applyFill="1" applyBorder="1" applyAlignment="1">
      <alignment horizontal="left"/>
    </xf>
    <xf numFmtId="0" fontId="15" fillId="8" borderId="0" xfId="0" applyFont="1" applyFill="1"/>
    <xf numFmtId="0" fontId="4" fillId="9" borderId="0" xfId="1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4" fillId="9" borderId="0" xfId="1" applyNumberFormat="1" applyFont="1" applyFill="1" applyBorder="1" applyAlignment="1">
      <alignment horizontal="left"/>
    </xf>
    <xf numFmtId="49" fontId="4" fillId="9" borderId="0" xfId="0" applyNumberFormat="1" applyFont="1" applyFill="1" applyBorder="1" applyAlignment="1">
      <alignment horizontal="left"/>
    </xf>
    <xf numFmtId="0" fontId="4" fillId="9" borderId="0" xfId="0" applyNumberFormat="1" applyFont="1" applyFill="1" applyBorder="1" applyAlignment="1">
      <alignment horizontal="left"/>
    </xf>
    <xf numFmtId="165" fontId="4" fillId="9" borderId="0" xfId="0" applyNumberFormat="1" applyFont="1" applyFill="1" applyBorder="1" applyAlignment="1">
      <alignment horizontal="left"/>
    </xf>
    <xf numFmtId="0" fontId="4" fillId="9" borderId="0" xfId="1" quotePrefix="1" applyNumberFormat="1" applyFont="1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0" xfId="0" applyFont="1" applyFill="1"/>
    <xf numFmtId="0" fontId="4" fillId="7" borderId="0" xfId="1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7" borderId="0" xfId="1" applyNumberFormat="1" applyFont="1" applyFill="1" applyBorder="1" applyAlignment="1">
      <alignment horizontal="left"/>
    </xf>
    <xf numFmtId="49" fontId="4" fillId="7" borderId="0" xfId="0" applyNumberFormat="1" applyFont="1" applyFill="1" applyBorder="1" applyAlignment="1">
      <alignment horizontal="left"/>
    </xf>
    <xf numFmtId="0" fontId="4" fillId="7" borderId="0" xfId="0" applyNumberFormat="1" applyFont="1" applyFill="1" applyBorder="1" applyAlignment="1">
      <alignment horizontal="left"/>
    </xf>
    <xf numFmtId="165" fontId="4" fillId="7" borderId="0" xfId="0" applyNumberFormat="1" applyFont="1" applyFill="1" applyBorder="1" applyAlignment="1">
      <alignment horizontal="left"/>
    </xf>
    <xf numFmtId="0" fontId="4" fillId="7" borderId="0" xfId="1" quotePrefix="1" applyNumberFormat="1" applyFont="1" applyFill="1" applyBorder="1" applyAlignment="1">
      <alignment horizontal="left"/>
    </xf>
    <xf numFmtId="0" fontId="4" fillId="7" borderId="0" xfId="0" applyFont="1" applyFill="1"/>
    <xf numFmtId="0" fontId="15" fillId="7" borderId="0" xfId="1" applyFont="1" applyFill="1" applyBorder="1" applyAlignment="1">
      <alignment horizontal="left"/>
    </xf>
    <xf numFmtId="0" fontId="15" fillId="7" borderId="0" xfId="0" applyFont="1" applyFill="1" applyBorder="1" applyAlignment="1">
      <alignment horizontal="left"/>
    </xf>
    <xf numFmtId="0" fontId="15" fillId="7" borderId="0" xfId="1" applyNumberFormat="1" applyFont="1" applyFill="1" applyBorder="1" applyAlignment="1">
      <alignment horizontal="left"/>
    </xf>
    <xf numFmtId="49" fontId="15" fillId="7" borderId="0" xfId="0" applyNumberFormat="1" applyFont="1" applyFill="1" applyBorder="1" applyAlignment="1">
      <alignment horizontal="left"/>
    </xf>
    <xf numFmtId="0" fontId="15" fillId="7" borderId="0" xfId="0" applyNumberFormat="1" applyFont="1" applyFill="1" applyBorder="1" applyAlignment="1">
      <alignment horizontal="left"/>
    </xf>
    <xf numFmtId="165" fontId="15" fillId="7" borderId="0" xfId="0" applyNumberFormat="1" applyFont="1" applyFill="1" applyBorder="1" applyAlignment="1">
      <alignment horizontal="left"/>
    </xf>
    <xf numFmtId="0" fontId="15" fillId="7" borderId="0" xfId="1" quotePrefix="1" applyNumberFormat="1" applyFont="1" applyFill="1" applyBorder="1" applyAlignment="1">
      <alignment horizontal="left"/>
    </xf>
    <xf numFmtId="0" fontId="15" fillId="7" borderId="0" xfId="0" applyFont="1" applyFill="1" applyAlignment="1">
      <alignment horizontal="left"/>
    </xf>
    <xf numFmtId="0" fontId="15" fillId="7" borderId="0" xfId="0" applyFont="1" applyFill="1"/>
    <xf numFmtId="0" fontId="27" fillId="8" borderId="0" xfId="1" applyFont="1" applyFill="1" applyBorder="1" applyAlignment="1">
      <alignment horizontal="left"/>
    </xf>
    <xf numFmtId="0" fontId="27" fillId="8" borderId="0" xfId="0" applyFont="1" applyFill="1" applyBorder="1" applyAlignment="1">
      <alignment horizontal="left"/>
    </xf>
    <xf numFmtId="49" fontId="27" fillId="8" borderId="0" xfId="0" applyNumberFormat="1" applyFont="1" applyFill="1" applyBorder="1" applyAlignment="1">
      <alignment horizontal="left"/>
    </xf>
    <xf numFmtId="0" fontId="27" fillId="8" borderId="0" xfId="0" applyNumberFormat="1" applyFont="1" applyFill="1" applyBorder="1" applyAlignment="1">
      <alignment horizontal="left"/>
    </xf>
    <xf numFmtId="165" fontId="27" fillId="8" borderId="0" xfId="0" applyNumberFormat="1" applyFont="1" applyFill="1" applyBorder="1" applyAlignment="1">
      <alignment horizontal="left"/>
    </xf>
    <xf numFmtId="0" fontId="27" fillId="8" borderId="0" xfId="0" applyFont="1" applyFill="1" applyAlignment="1">
      <alignment horizontal="left"/>
    </xf>
    <xf numFmtId="0" fontId="27" fillId="8" borderId="0" xfId="0" applyFont="1" applyFill="1"/>
    <xf numFmtId="0" fontId="27" fillId="7" borderId="0" xfId="0" applyFont="1" applyFill="1" applyBorder="1" applyAlignment="1">
      <alignment horizontal="left"/>
    </xf>
    <xf numFmtId="0" fontId="27" fillId="7" borderId="0" xfId="1" applyFont="1" applyFill="1" applyBorder="1" applyAlignment="1">
      <alignment horizontal="left"/>
    </xf>
    <xf numFmtId="49" fontId="27" fillId="7" borderId="0" xfId="0" applyNumberFormat="1" applyFont="1" applyFill="1" applyBorder="1" applyAlignment="1">
      <alignment horizontal="left"/>
    </xf>
    <xf numFmtId="0" fontId="27" fillId="7" borderId="0" xfId="0" applyNumberFormat="1" applyFont="1" applyFill="1" applyBorder="1" applyAlignment="1">
      <alignment horizontal="left"/>
    </xf>
    <xf numFmtId="165" fontId="27" fillId="7" borderId="0" xfId="0" applyNumberFormat="1" applyFont="1" applyFill="1" applyBorder="1" applyAlignment="1">
      <alignment horizontal="left"/>
    </xf>
    <xf numFmtId="0" fontId="27" fillId="7" borderId="0" xfId="0" applyFont="1" applyFill="1" applyAlignment="1">
      <alignment horizontal="left"/>
    </xf>
    <xf numFmtId="0" fontId="27" fillId="7" borderId="0" xfId="0" applyFont="1" applyFill="1"/>
    <xf numFmtId="0" fontId="4" fillId="6" borderId="0" xfId="1" applyFont="1" applyFill="1" applyBorder="1" applyAlignment="1">
      <alignment horizontal="left"/>
    </xf>
    <xf numFmtId="49" fontId="4" fillId="6" borderId="0" xfId="0" applyNumberFormat="1" applyFont="1" applyFill="1" applyBorder="1" applyAlignment="1">
      <alignment horizontal="left"/>
    </xf>
    <xf numFmtId="0" fontId="4" fillId="6" borderId="0" xfId="0" applyNumberFormat="1" applyFont="1" applyFill="1" applyBorder="1" applyAlignment="1">
      <alignment horizontal="left"/>
    </xf>
    <xf numFmtId="0" fontId="4" fillId="6" borderId="0" xfId="0" applyFont="1" applyFill="1"/>
    <xf numFmtId="0" fontId="3" fillId="9" borderId="0" xfId="1" applyNumberFormat="1" applyFont="1" applyFill="1" applyBorder="1" applyAlignment="1">
      <alignment horizontal="left"/>
    </xf>
    <xf numFmtId="0" fontId="3" fillId="9" borderId="0" xfId="1" quotePrefix="1" applyNumberFormat="1" applyFont="1" applyFill="1" applyBorder="1" applyAlignment="1">
      <alignment horizontal="left"/>
    </xf>
    <xf numFmtId="165" fontId="3" fillId="9" borderId="0" xfId="1" applyNumberFormat="1" applyFont="1" applyFill="1" applyBorder="1" applyAlignment="1">
      <alignment horizontal="left"/>
    </xf>
    <xf numFmtId="0" fontId="3" fillId="6" borderId="0" xfId="1" applyNumberFormat="1" applyFont="1" applyFill="1" applyBorder="1" applyAlignment="1">
      <alignment horizontal="left"/>
    </xf>
    <xf numFmtId="0" fontId="3" fillId="6" borderId="0" xfId="1" quotePrefix="1" applyNumberFormat="1" applyFont="1" applyFill="1" applyBorder="1" applyAlignment="1">
      <alignment horizontal="left"/>
    </xf>
    <xf numFmtId="0" fontId="0" fillId="18" borderId="0" xfId="0" applyFill="1" applyAlignment="1">
      <alignment horizontal="center" vertical="center"/>
    </xf>
    <xf numFmtId="0" fontId="3" fillId="0" borderId="0" xfId="2" applyFont="1" applyFill="1" applyBorder="1" applyAlignment="1">
      <alignment horizontal="left"/>
    </xf>
    <xf numFmtId="0" fontId="3" fillId="0" borderId="0" xfId="0" applyFont="1" applyFill="1"/>
    <xf numFmtId="0" fontId="0" fillId="1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2" fontId="3" fillId="6" borderId="0" xfId="0" applyNumberFormat="1" applyFont="1" applyFill="1" applyBorder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3" fillId="6" borderId="0" xfId="0" applyNumberFormat="1" applyFont="1" applyFill="1" applyAlignment="1">
      <alignment horizontal="left"/>
    </xf>
    <xf numFmtId="1" fontId="0" fillId="7" borderId="0" xfId="0" applyNumberFormat="1" applyFill="1" applyAlignment="1">
      <alignment horizontal="left"/>
    </xf>
    <xf numFmtId="1" fontId="3" fillId="9" borderId="0" xfId="0" applyNumberFormat="1" applyFont="1" applyFill="1" applyAlignment="1">
      <alignment horizontal="left"/>
    </xf>
    <xf numFmtId="1" fontId="4" fillId="21" borderId="0" xfId="0" applyNumberFormat="1" applyFont="1" applyFill="1" applyAlignment="1">
      <alignment horizontal="left"/>
    </xf>
    <xf numFmtId="1" fontId="4" fillId="7" borderId="0" xfId="0" applyNumberFormat="1" applyFont="1" applyFill="1" applyAlignment="1">
      <alignment horizontal="left"/>
    </xf>
    <xf numFmtId="1" fontId="0" fillId="8" borderId="0" xfId="0" applyNumberFormat="1" applyFill="1" applyAlignment="1">
      <alignment horizontal="left"/>
    </xf>
    <xf numFmtId="1" fontId="0" fillId="10" borderId="0" xfId="0" applyNumberFormat="1" applyFill="1" applyAlignment="1">
      <alignment horizontal="left"/>
    </xf>
    <xf numFmtId="1" fontId="3" fillId="11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4" fillId="0" borderId="0" xfId="0" applyNumberFormat="1" applyFont="1" applyFill="1" applyAlignment="1">
      <alignment horizontal="left"/>
    </xf>
    <xf numFmtId="1" fontId="4" fillId="8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9" fillId="10" borderId="0" xfId="0" applyNumberFormat="1" applyFont="1" applyFill="1" applyAlignment="1">
      <alignment horizontal="left"/>
    </xf>
    <xf numFmtId="1" fontId="9" fillId="8" borderId="0" xfId="0" applyNumberFormat="1" applyFont="1" applyFill="1" applyAlignment="1">
      <alignment horizontal="left"/>
    </xf>
    <xf numFmtId="1" fontId="11" fillId="8" borderId="0" xfId="0" applyNumberFormat="1" applyFont="1" applyFill="1" applyAlignment="1">
      <alignment horizontal="left"/>
    </xf>
    <xf numFmtId="1" fontId="11" fillId="10" borderId="0" xfId="0" applyNumberFormat="1" applyFont="1" applyFill="1" applyAlignment="1">
      <alignment horizontal="left"/>
    </xf>
    <xf numFmtId="1" fontId="14" fillId="6" borderId="0" xfId="0" applyNumberFormat="1" applyFont="1" applyFill="1" applyAlignment="1">
      <alignment horizontal="left"/>
    </xf>
    <xf numFmtId="1" fontId="13" fillId="6" borderId="0" xfId="0" applyNumberFormat="1" applyFont="1" applyFill="1" applyAlignment="1">
      <alignment horizontal="left"/>
    </xf>
    <xf numFmtId="1" fontId="14" fillId="9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" fontId="13" fillId="0" borderId="0" xfId="0" applyNumberFormat="1" applyFont="1" applyFill="1" applyAlignment="1">
      <alignment horizontal="left"/>
    </xf>
    <xf numFmtId="1" fontId="3" fillId="13" borderId="0" xfId="0" applyNumberFormat="1" applyFont="1" applyFill="1" applyAlignment="1">
      <alignment horizontal="left"/>
    </xf>
    <xf numFmtId="1" fontId="13" fillId="9" borderId="0" xfId="0" applyNumberFormat="1" applyFont="1" applyFill="1" applyAlignment="1">
      <alignment horizontal="left"/>
    </xf>
    <xf numFmtId="1" fontId="3" fillId="10" borderId="0" xfId="0" applyNumberFormat="1" applyFont="1" applyFill="1" applyAlignment="1">
      <alignment horizontal="left"/>
    </xf>
    <xf numFmtId="1" fontId="3" fillId="7" borderId="0" xfId="0" applyNumberFormat="1" applyFont="1" applyFill="1" applyAlignment="1">
      <alignment horizontal="left"/>
    </xf>
    <xf numFmtId="1" fontId="3" fillId="8" borderId="0" xfId="0" applyNumberFormat="1" applyFont="1" applyFill="1" applyAlignment="1">
      <alignment horizontal="left"/>
    </xf>
    <xf numFmtId="1" fontId="15" fillId="0" borderId="0" xfId="0" applyNumberFormat="1" applyFont="1" applyFill="1" applyAlignment="1">
      <alignment horizontal="left"/>
    </xf>
    <xf numFmtId="1" fontId="15" fillId="8" borderId="0" xfId="0" applyNumberFormat="1" applyFont="1" applyFill="1" applyAlignment="1">
      <alignment horizontal="left"/>
    </xf>
    <xf numFmtId="1" fontId="16" fillId="8" borderId="0" xfId="0" applyNumberFormat="1" applyFont="1" applyFill="1" applyAlignment="1">
      <alignment horizontal="left"/>
    </xf>
    <xf numFmtId="1" fontId="16" fillId="10" borderId="0" xfId="0" applyNumberFormat="1" applyFont="1" applyFill="1" applyAlignment="1">
      <alignment horizontal="left"/>
    </xf>
    <xf numFmtId="1" fontId="16" fillId="6" borderId="0" xfId="0" applyNumberFormat="1" applyFont="1" applyFill="1" applyAlignment="1">
      <alignment horizontal="left"/>
    </xf>
    <xf numFmtId="1" fontId="16" fillId="14" borderId="0" xfId="0" applyNumberFormat="1" applyFont="1" applyFill="1" applyAlignment="1">
      <alignment horizontal="left"/>
    </xf>
    <xf numFmtId="1" fontId="16" fillId="9" borderId="0" xfId="0" applyNumberFormat="1" applyFont="1" applyFill="1" applyAlignment="1">
      <alignment horizontal="left"/>
    </xf>
    <xf numFmtId="1" fontId="3" fillId="12" borderId="0" xfId="0" applyNumberFormat="1" applyFont="1" applyFill="1" applyBorder="1" applyAlignment="1">
      <alignment horizontal="left"/>
    </xf>
    <xf numFmtId="1" fontId="15" fillId="9" borderId="0" xfId="0" applyNumberFormat="1" applyFont="1" applyFill="1" applyAlignment="1">
      <alignment horizontal="left"/>
    </xf>
    <xf numFmtId="1" fontId="15" fillId="6" borderId="0" xfId="0" applyNumberFormat="1" applyFont="1" applyFill="1" applyAlignment="1">
      <alignment horizontal="left"/>
    </xf>
    <xf numFmtId="1" fontId="4" fillId="0" borderId="0" xfId="2" applyNumberFormat="1" applyFont="1" applyFill="1" applyBorder="1" applyAlignment="1">
      <alignment horizontal="left"/>
    </xf>
    <xf numFmtId="1" fontId="16" fillId="0" borderId="0" xfId="2" applyNumberFormat="1" applyFont="1" applyFill="1" applyBorder="1" applyAlignment="1">
      <alignment horizontal="left"/>
    </xf>
    <xf numFmtId="1" fontId="26" fillId="0" borderId="0" xfId="2" applyNumberFormat="1" applyFont="1" applyFill="1" applyBorder="1" applyAlignment="1">
      <alignment horizontal="left"/>
    </xf>
    <xf numFmtId="1" fontId="3" fillId="27" borderId="0" xfId="0" applyNumberFormat="1" applyFont="1" applyFill="1" applyBorder="1" applyAlignment="1">
      <alignment horizontal="left"/>
    </xf>
    <xf numFmtId="1" fontId="3" fillId="6" borderId="0" xfId="3" applyNumberFormat="1" applyFont="1" applyFill="1" applyBorder="1" applyAlignment="1">
      <alignment horizontal="left"/>
    </xf>
    <xf numFmtId="1" fontId="15" fillId="8" borderId="0" xfId="1" applyNumberFormat="1" applyFont="1" applyFill="1" applyBorder="1" applyAlignment="1">
      <alignment horizontal="left"/>
    </xf>
    <xf numFmtId="1" fontId="4" fillId="8" borderId="0" xfId="1" applyNumberFormat="1" applyFont="1" applyFill="1" applyBorder="1" applyAlignment="1">
      <alignment horizontal="left"/>
    </xf>
    <xf numFmtId="1" fontId="4" fillId="7" borderId="0" xfId="1" applyNumberFormat="1" applyFont="1" applyFill="1" applyBorder="1" applyAlignment="1">
      <alignment horizontal="left"/>
    </xf>
    <xf numFmtId="1" fontId="15" fillId="7" borderId="0" xfId="1" applyNumberFormat="1" applyFont="1" applyFill="1" applyBorder="1" applyAlignment="1">
      <alignment horizontal="left"/>
    </xf>
    <xf numFmtId="1" fontId="3" fillId="6" borderId="0" xfId="0" applyNumberFormat="1" applyFont="1" applyFill="1" applyBorder="1" applyAlignment="1">
      <alignment horizontal="left"/>
    </xf>
    <xf numFmtId="1" fontId="16" fillId="6" borderId="0" xfId="0" applyNumberFormat="1" applyFont="1" applyFill="1" applyBorder="1" applyAlignment="1">
      <alignment horizontal="left"/>
    </xf>
    <xf numFmtId="1" fontId="4" fillId="6" borderId="0" xfId="0" applyNumberFormat="1" applyFont="1" applyFill="1" applyBorder="1" applyAlignment="1">
      <alignment horizontal="left"/>
    </xf>
    <xf numFmtId="1" fontId="15" fillId="7" borderId="0" xfId="0" applyNumberFormat="1" applyFont="1" applyFill="1" applyBorder="1" applyAlignment="1">
      <alignment horizontal="left"/>
    </xf>
    <xf numFmtId="1" fontId="27" fillId="8" borderId="0" xfId="0" applyNumberFormat="1" applyFont="1" applyFill="1" applyBorder="1" applyAlignment="1">
      <alignment horizontal="left"/>
    </xf>
    <xf numFmtId="1" fontId="15" fillId="8" borderId="0" xfId="0" applyNumberFormat="1" applyFont="1" applyFill="1" applyBorder="1" applyAlignment="1">
      <alignment horizontal="left"/>
    </xf>
    <xf numFmtId="1" fontId="27" fillId="7" borderId="0" xfId="0" applyNumberFormat="1" applyFont="1" applyFill="1" applyBorder="1" applyAlignment="1">
      <alignment horizontal="left"/>
    </xf>
    <xf numFmtId="1" fontId="3" fillId="9" borderId="0" xfId="1" applyNumberFormat="1" applyFont="1" applyFill="1" applyBorder="1" applyAlignment="1">
      <alignment horizontal="left"/>
    </xf>
    <xf numFmtId="1" fontId="4" fillId="9" borderId="0" xfId="1" applyNumberFormat="1" applyFont="1" applyFill="1" applyBorder="1" applyAlignment="1">
      <alignment horizontal="left"/>
    </xf>
    <xf numFmtId="1" fontId="3" fillId="6" borderId="0" xfId="1" applyNumberFormat="1" applyFont="1" applyFill="1" applyBorder="1" applyAlignment="1">
      <alignment horizontal="left"/>
    </xf>
    <xf numFmtId="1" fontId="4" fillId="8" borderId="0" xfId="0" applyNumberFormat="1" applyFont="1" applyFill="1" applyBorder="1" applyAlignment="1">
      <alignment horizontal="left"/>
    </xf>
    <xf numFmtId="1" fontId="3" fillId="0" borderId="0" xfId="2" applyNumberFormat="1" applyFont="1" applyFill="1" applyBorder="1" applyAlignment="1">
      <alignment horizontal="left"/>
    </xf>
    <xf numFmtId="1" fontId="3" fillId="6" borderId="0" xfId="2" applyNumberFormat="1" applyFont="1" applyFill="1" applyBorder="1" applyAlignment="1">
      <alignment horizontal="left"/>
    </xf>
    <xf numFmtId="1" fontId="4" fillId="0" borderId="0" xfId="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" fontId="3" fillId="9" borderId="0" xfId="0" applyNumberFormat="1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165" fontId="0" fillId="8" borderId="0" xfId="0" applyNumberFormat="1" applyFill="1" applyBorder="1" applyAlignment="1">
      <alignment horizontal="left"/>
    </xf>
    <xf numFmtId="2" fontId="4" fillId="8" borderId="0" xfId="0" applyNumberFormat="1" applyFont="1" applyFill="1" applyBorder="1" applyAlignment="1">
      <alignment horizontal="left"/>
    </xf>
    <xf numFmtId="49" fontId="0" fillId="8" borderId="0" xfId="0" applyNumberForma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16" fillId="10" borderId="0" xfId="1" applyFont="1" applyFill="1" applyBorder="1" applyAlignment="1">
      <alignment horizontal="left"/>
    </xf>
    <xf numFmtId="1" fontId="16" fillId="10" borderId="0" xfId="0" applyNumberFormat="1" applyFont="1" applyFill="1" applyBorder="1" applyAlignment="1">
      <alignment horizontal="left"/>
    </xf>
    <xf numFmtId="165" fontId="16" fillId="10" borderId="0" xfId="0" applyNumberFormat="1" applyFont="1" applyFill="1" applyBorder="1" applyAlignment="1">
      <alignment horizontal="left"/>
    </xf>
    <xf numFmtId="49" fontId="16" fillId="10" borderId="0" xfId="0" applyNumberFormat="1" applyFont="1" applyFill="1" applyBorder="1" applyAlignment="1">
      <alignment horizontal="left"/>
    </xf>
    <xf numFmtId="0" fontId="3" fillId="9" borderId="0" xfId="2" applyFont="1" applyFill="1" applyBorder="1" applyAlignment="1">
      <alignment horizontal="left"/>
    </xf>
    <xf numFmtId="167" fontId="1" fillId="3" borderId="0" xfId="0" applyNumberFormat="1" applyFont="1" applyFill="1" applyAlignment="1">
      <alignment horizontal="left"/>
    </xf>
    <xf numFmtId="167" fontId="3" fillId="6" borderId="0" xfId="0" applyNumberFormat="1" applyFont="1" applyFill="1" applyAlignment="1">
      <alignment horizontal="left"/>
    </xf>
    <xf numFmtId="167" fontId="0" fillId="7" borderId="0" xfId="0" applyNumberFormat="1" applyFill="1" applyAlignment="1">
      <alignment horizontal="left"/>
    </xf>
    <xf numFmtId="167" fontId="3" fillId="9" borderId="0" xfId="0" applyNumberFormat="1" applyFont="1" applyFill="1" applyAlignment="1">
      <alignment horizontal="left"/>
    </xf>
    <xf numFmtId="167" fontId="4" fillId="21" borderId="0" xfId="0" applyNumberFormat="1" applyFont="1" applyFill="1" applyAlignment="1">
      <alignment horizontal="left"/>
    </xf>
    <xf numFmtId="167" fontId="4" fillId="7" borderId="0" xfId="0" applyNumberFormat="1" applyFont="1" applyFill="1" applyAlignment="1">
      <alignment horizontal="left"/>
    </xf>
    <xf numFmtId="167" fontId="0" fillId="6" borderId="0" xfId="0" applyNumberFormat="1" applyFill="1" applyAlignment="1">
      <alignment horizontal="left"/>
    </xf>
    <xf numFmtId="167" fontId="0" fillId="8" borderId="0" xfId="0" applyNumberFormat="1" applyFill="1" applyAlignment="1">
      <alignment horizontal="left"/>
    </xf>
    <xf numFmtId="167" fontId="0" fillId="1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67" fontId="3" fillId="11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horizontal="left"/>
    </xf>
    <xf numFmtId="167" fontId="4" fillId="0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9" fillId="10" borderId="0" xfId="0" applyNumberFormat="1" applyFont="1" applyFill="1" applyAlignment="1">
      <alignment horizontal="left"/>
    </xf>
    <xf numFmtId="167" fontId="9" fillId="8" borderId="0" xfId="0" applyNumberFormat="1" applyFont="1" applyFill="1" applyAlignment="1">
      <alignment horizontal="left"/>
    </xf>
    <xf numFmtId="167" fontId="11" fillId="8" borderId="0" xfId="0" applyNumberFormat="1" applyFont="1" applyFill="1" applyAlignment="1">
      <alignment horizontal="left"/>
    </xf>
    <xf numFmtId="167" fontId="11" fillId="10" borderId="0" xfId="0" applyNumberFormat="1" applyFont="1" applyFill="1" applyAlignment="1">
      <alignment horizontal="left"/>
    </xf>
    <xf numFmtId="167" fontId="14" fillId="6" borderId="0" xfId="0" applyNumberFormat="1" applyFont="1" applyFill="1" applyAlignment="1">
      <alignment horizontal="left"/>
    </xf>
    <xf numFmtId="167" fontId="13" fillId="6" borderId="0" xfId="0" applyNumberFormat="1" applyFont="1" applyFill="1" applyAlignment="1">
      <alignment horizontal="left"/>
    </xf>
    <xf numFmtId="167" fontId="14" fillId="9" borderId="0" xfId="0" applyNumberFormat="1" applyFont="1" applyFill="1" applyAlignment="1">
      <alignment horizontal="left"/>
    </xf>
    <xf numFmtId="167" fontId="0" fillId="0" borderId="0" xfId="0" applyNumberFormat="1" applyFill="1" applyAlignment="1">
      <alignment horizontal="left"/>
    </xf>
    <xf numFmtId="167" fontId="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67" fontId="3" fillId="13" borderId="0" xfId="0" applyNumberFormat="1" applyFont="1" applyFill="1" applyAlignment="1">
      <alignment horizontal="left"/>
    </xf>
    <xf numFmtId="167" fontId="13" fillId="9" borderId="0" xfId="0" applyNumberFormat="1" applyFont="1" applyFill="1" applyAlignment="1">
      <alignment horizontal="left"/>
    </xf>
    <xf numFmtId="167" fontId="3" fillId="10" borderId="0" xfId="0" applyNumberFormat="1" applyFont="1" applyFill="1" applyAlignment="1">
      <alignment horizontal="left"/>
    </xf>
    <xf numFmtId="167" fontId="3" fillId="7" borderId="0" xfId="0" applyNumberFormat="1" applyFont="1" applyFill="1" applyAlignment="1">
      <alignment horizontal="left"/>
    </xf>
    <xf numFmtId="167" fontId="3" fillId="8" borderId="0" xfId="0" applyNumberFormat="1" applyFont="1" applyFill="1" applyAlignment="1">
      <alignment horizontal="left"/>
    </xf>
    <xf numFmtId="167" fontId="15" fillId="0" borderId="0" xfId="0" applyNumberFormat="1" applyFont="1" applyFill="1" applyAlignment="1">
      <alignment horizontal="left"/>
    </xf>
    <xf numFmtId="167" fontId="15" fillId="8" borderId="0" xfId="0" applyNumberFormat="1" applyFont="1" applyFill="1" applyAlignment="1">
      <alignment horizontal="left"/>
    </xf>
    <xf numFmtId="167" fontId="16" fillId="8" borderId="0" xfId="0" applyNumberFormat="1" applyFont="1" applyFill="1" applyAlignment="1">
      <alignment horizontal="left"/>
    </xf>
    <xf numFmtId="167" fontId="16" fillId="10" borderId="0" xfId="0" applyNumberFormat="1" applyFont="1" applyFill="1" applyAlignment="1">
      <alignment horizontal="left"/>
    </xf>
    <xf numFmtId="167" fontId="16" fillId="6" borderId="0" xfId="0" applyNumberFormat="1" applyFont="1" applyFill="1" applyAlignment="1">
      <alignment horizontal="left"/>
    </xf>
    <xf numFmtId="167" fontId="16" fillId="14" borderId="0" xfId="0" applyNumberFormat="1" applyFont="1" applyFill="1" applyAlignment="1">
      <alignment horizontal="left"/>
    </xf>
    <xf numFmtId="167" fontId="16" fillId="9" borderId="0" xfId="0" applyNumberFormat="1" applyFont="1" applyFill="1" applyAlignment="1">
      <alignment horizontal="left"/>
    </xf>
    <xf numFmtId="167" fontId="3" fillId="0" borderId="0" xfId="0" applyNumberFormat="1" applyFont="1" applyFill="1" applyBorder="1" applyAlignment="1">
      <alignment horizontal="left"/>
    </xf>
    <xf numFmtId="167" fontId="15" fillId="9" borderId="0" xfId="0" applyNumberFormat="1" applyFont="1" applyFill="1" applyAlignment="1">
      <alignment horizontal="left"/>
    </xf>
    <xf numFmtId="167" fontId="15" fillId="6" borderId="0" xfId="0" applyNumberFormat="1" applyFont="1" applyFill="1" applyAlignment="1">
      <alignment horizontal="left"/>
    </xf>
    <xf numFmtId="167" fontId="4" fillId="0" borderId="0" xfId="0" applyNumberFormat="1" applyFont="1" applyFill="1" applyBorder="1" applyAlignment="1">
      <alignment horizontal="left"/>
    </xf>
    <xf numFmtId="167" fontId="16" fillId="0" borderId="0" xfId="0" applyNumberFormat="1" applyFont="1" applyFill="1" applyBorder="1" applyAlignment="1">
      <alignment horizontal="left"/>
    </xf>
    <xf numFmtId="167" fontId="26" fillId="0" borderId="0" xfId="0" applyNumberFormat="1" applyFont="1" applyFill="1" applyBorder="1" applyAlignment="1">
      <alignment horizontal="left"/>
    </xf>
    <xf numFmtId="167" fontId="3" fillId="27" borderId="0" xfId="0" applyNumberFormat="1" applyFont="1" applyFill="1" applyBorder="1" applyAlignment="1">
      <alignment horizontal="left"/>
    </xf>
    <xf numFmtId="167" fontId="3" fillId="6" borderId="0" xfId="0" applyNumberFormat="1" applyFont="1" applyFill="1" applyBorder="1" applyAlignment="1">
      <alignment horizontal="left"/>
    </xf>
    <xf numFmtId="167" fontId="15" fillId="8" borderId="0" xfId="0" applyNumberFormat="1" applyFont="1" applyFill="1" applyBorder="1" applyAlignment="1">
      <alignment horizontal="left"/>
    </xf>
    <xf numFmtId="167" fontId="15" fillId="8" borderId="0" xfId="1" applyNumberFormat="1" applyFont="1" applyFill="1" applyBorder="1" applyAlignment="1">
      <alignment horizontal="left"/>
    </xf>
    <xf numFmtId="167" fontId="4" fillId="8" borderId="0" xfId="1" applyNumberFormat="1" applyFont="1" applyFill="1" applyBorder="1" applyAlignment="1">
      <alignment horizontal="left"/>
    </xf>
    <xf numFmtId="167" fontId="4" fillId="8" borderId="0" xfId="0" applyNumberFormat="1" applyFont="1" applyFill="1" applyBorder="1" applyAlignment="1">
      <alignment horizontal="left"/>
    </xf>
    <xf numFmtId="167" fontId="4" fillId="7" borderId="0" xfId="1" applyNumberFormat="1" applyFont="1" applyFill="1" applyBorder="1" applyAlignment="1">
      <alignment horizontal="left"/>
    </xf>
    <xf numFmtId="167" fontId="15" fillId="7" borderId="0" xfId="1" applyNumberFormat="1" applyFont="1" applyFill="1" applyBorder="1" applyAlignment="1">
      <alignment horizontal="left"/>
    </xf>
    <xf numFmtId="167" fontId="16" fillId="6" borderId="0" xfId="0" applyNumberFormat="1" applyFont="1" applyFill="1" applyBorder="1" applyAlignment="1">
      <alignment horizontal="left"/>
    </xf>
    <xf numFmtId="167" fontId="4" fillId="6" borderId="0" xfId="0" applyNumberFormat="1" applyFont="1" applyFill="1" applyBorder="1" applyAlignment="1">
      <alignment horizontal="left"/>
    </xf>
    <xf numFmtId="167" fontId="15" fillId="7" borderId="0" xfId="0" applyNumberFormat="1" applyFont="1" applyFill="1" applyBorder="1" applyAlignment="1">
      <alignment horizontal="left"/>
    </xf>
    <xf numFmtId="167" fontId="27" fillId="8" borderId="0" xfId="0" applyNumberFormat="1" applyFont="1" applyFill="1" applyBorder="1" applyAlignment="1">
      <alignment horizontal="left"/>
    </xf>
    <xf numFmtId="167" fontId="27" fillId="7" borderId="0" xfId="0" applyNumberFormat="1" applyFont="1" applyFill="1" applyBorder="1" applyAlignment="1">
      <alignment horizontal="left"/>
    </xf>
    <xf numFmtId="167" fontId="3" fillId="9" borderId="0" xfId="1" applyNumberFormat="1" applyFont="1" applyFill="1" applyBorder="1" applyAlignment="1">
      <alignment horizontal="left"/>
    </xf>
    <xf numFmtId="167" fontId="4" fillId="9" borderId="0" xfId="1" applyNumberFormat="1" applyFont="1" applyFill="1" applyBorder="1" applyAlignment="1">
      <alignment horizontal="left"/>
    </xf>
    <xf numFmtId="167" fontId="3" fillId="9" borderId="0" xfId="0" applyNumberFormat="1" applyFont="1" applyFill="1" applyBorder="1" applyAlignment="1">
      <alignment horizontal="left"/>
    </xf>
    <xf numFmtId="167" fontId="15" fillId="7" borderId="0" xfId="0" applyNumberFormat="1" applyFont="1" applyFill="1" applyAlignment="1">
      <alignment horizontal="left"/>
    </xf>
    <xf numFmtId="167" fontId="3" fillId="6" borderId="0" xfId="2" applyNumberFormat="1" applyFont="1" applyFill="1" applyBorder="1" applyAlignment="1">
      <alignment horizontal="left"/>
    </xf>
    <xf numFmtId="167" fontId="3" fillId="9" borderId="0" xfId="2" applyNumberFormat="1" applyFont="1" applyFill="1" applyBorder="1" applyAlignment="1">
      <alignment horizontal="left"/>
    </xf>
    <xf numFmtId="167" fontId="16" fillId="10" borderId="0" xfId="0" applyNumberFormat="1" applyFont="1" applyFill="1" applyBorder="1" applyAlignment="1">
      <alignment horizontal="left"/>
    </xf>
    <xf numFmtId="0" fontId="16" fillId="9" borderId="0" xfId="0" applyFont="1" applyFill="1" applyBorder="1" applyAlignment="1">
      <alignment horizontal="left"/>
    </xf>
    <xf numFmtId="1" fontId="16" fillId="9" borderId="0" xfId="0" applyNumberFormat="1" applyFont="1" applyFill="1" applyBorder="1" applyAlignment="1">
      <alignment horizontal="left"/>
    </xf>
    <xf numFmtId="0" fontId="16" fillId="9" borderId="0" xfId="2" applyFont="1" applyFill="1" applyBorder="1" applyAlignment="1">
      <alignment horizontal="left"/>
    </xf>
    <xf numFmtId="165" fontId="16" fillId="9" borderId="0" xfId="0" applyNumberFormat="1" applyFont="1" applyFill="1" applyBorder="1" applyAlignment="1">
      <alignment horizontal="left"/>
    </xf>
    <xf numFmtId="167" fontId="16" fillId="9" borderId="0" xfId="0" applyNumberFormat="1" applyFont="1" applyFill="1" applyBorder="1" applyAlignment="1">
      <alignment horizontal="left"/>
    </xf>
    <xf numFmtId="49" fontId="16" fillId="9" borderId="0" xfId="0" applyNumberFormat="1" applyFont="1" applyFill="1" applyBorder="1" applyAlignment="1">
      <alignment horizontal="left"/>
    </xf>
    <xf numFmtId="167" fontId="0" fillId="9" borderId="0" xfId="0" applyNumberFormat="1" applyFill="1" applyAlignment="1">
      <alignment horizontal="left"/>
    </xf>
    <xf numFmtId="167" fontId="4" fillId="7" borderId="0" xfId="0" applyNumberFormat="1" applyFont="1" applyFill="1" applyBorder="1" applyAlignment="1">
      <alignment horizontal="left"/>
    </xf>
    <xf numFmtId="167" fontId="4" fillId="9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15" fillId="9" borderId="0" xfId="0" applyFont="1" applyFill="1" applyBorder="1" applyAlignment="1">
      <alignment horizontal="left"/>
    </xf>
    <xf numFmtId="0" fontId="15" fillId="9" borderId="0" xfId="1" applyFont="1" applyFill="1" applyBorder="1" applyAlignment="1">
      <alignment horizontal="left"/>
    </xf>
    <xf numFmtId="1" fontId="15" fillId="9" borderId="0" xfId="1" applyNumberFormat="1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167" fontId="15" fillId="9" borderId="0" xfId="0" applyNumberFormat="1" applyFont="1" applyFill="1" applyBorder="1" applyAlignment="1">
      <alignment horizontal="left"/>
    </xf>
    <xf numFmtId="49" fontId="15" fillId="9" borderId="0" xfId="0" applyNumberFormat="1" applyFont="1" applyFill="1" applyBorder="1" applyAlignment="1">
      <alignment horizontal="left"/>
    </xf>
    <xf numFmtId="0" fontId="15" fillId="6" borderId="0" xfId="0" applyFont="1" applyFill="1" applyBorder="1" applyAlignment="1">
      <alignment horizontal="left"/>
    </xf>
    <xf numFmtId="0" fontId="15" fillId="6" borderId="0" xfId="1" applyFont="1" applyFill="1" applyBorder="1" applyAlignment="1">
      <alignment horizontal="left"/>
    </xf>
    <xf numFmtId="1" fontId="15" fillId="6" borderId="0" xfId="1" applyNumberFormat="1" applyFont="1" applyFill="1" applyBorder="1" applyAlignment="1">
      <alignment horizontal="left"/>
    </xf>
    <xf numFmtId="165" fontId="15" fillId="6" borderId="0" xfId="0" applyNumberFormat="1" applyFont="1" applyFill="1" applyBorder="1" applyAlignment="1">
      <alignment horizontal="left"/>
    </xf>
    <xf numFmtId="167" fontId="15" fillId="6" borderId="0" xfId="0" applyNumberFormat="1" applyFont="1" applyFill="1" applyBorder="1" applyAlignment="1">
      <alignment horizontal="left"/>
    </xf>
    <xf numFmtId="49" fontId="15" fillId="6" borderId="0" xfId="0" applyNumberFormat="1" applyFont="1" applyFill="1" applyBorder="1" applyAlignment="1">
      <alignment horizontal="left"/>
    </xf>
    <xf numFmtId="49" fontId="4" fillId="10" borderId="0" xfId="0" applyNumberFormat="1" applyFont="1" applyFill="1" applyAlignment="1">
      <alignment horizontal="left"/>
    </xf>
    <xf numFmtId="1" fontId="4" fillId="10" borderId="0" xfId="0" applyNumberFormat="1" applyFont="1" applyFill="1" applyAlignment="1">
      <alignment horizontal="left"/>
    </xf>
    <xf numFmtId="0" fontId="4" fillId="10" borderId="0" xfId="0" applyFont="1" applyFill="1"/>
    <xf numFmtId="167" fontId="4" fillId="10" borderId="0" xfId="0" applyNumberFormat="1" applyFont="1" applyFill="1" applyAlignment="1">
      <alignment horizontal="left"/>
    </xf>
    <xf numFmtId="0" fontId="1" fillId="4" borderId="0" xfId="0" applyFont="1" applyFill="1"/>
    <xf numFmtId="0" fontId="0" fillId="1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30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horizontal="right" vertical="center" wrapText="1"/>
    </xf>
    <xf numFmtId="0" fontId="29" fillId="0" borderId="12" xfId="0" applyFont="1" applyBorder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29" fillId="0" borderId="12" xfId="0" applyFont="1" applyBorder="1" applyAlignment="1">
      <alignment horizontal="right" vertical="center" wrapText="1"/>
    </xf>
    <xf numFmtId="0" fontId="29" fillId="0" borderId="13" xfId="0" applyFont="1" applyBorder="1" applyAlignment="1">
      <alignment horizontal="right" vertical="center" wrapText="1"/>
    </xf>
    <xf numFmtId="0" fontId="0" fillId="0" borderId="14" xfId="0" applyBorder="1" applyAlignment="1">
      <alignment vertical="top" wrapText="1"/>
    </xf>
    <xf numFmtId="0" fontId="29" fillId="0" borderId="14" xfId="0" applyFont="1" applyBorder="1" applyAlignment="1">
      <alignment horizontal="right" vertical="center" wrapText="1"/>
    </xf>
    <xf numFmtId="0" fontId="28" fillId="0" borderId="11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7" fillId="15" borderId="0" xfId="0" applyFont="1" applyFill="1" applyBorder="1" applyAlignment="1">
      <alignment vertical="center" wrapText="1"/>
    </xf>
    <xf numFmtId="0" fontId="19" fillId="15" borderId="0" xfId="0" applyFont="1" applyFill="1" applyBorder="1" applyAlignment="1">
      <alignment horizontal="left" vertical="center" wrapText="1"/>
    </xf>
    <xf numFmtId="0" fontId="32" fillId="0" borderId="0" xfId="4"/>
    <xf numFmtId="0" fontId="16" fillId="9" borderId="0" xfId="0" applyFont="1" applyFill="1"/>
    <xf numFmtId="0" fontId="15" fillId="6" borderId="0" xfId="0" applyFont="1" applyFill="1"/>
    <xf numFmtId="0" fontId="15" fillId="9" borderId="0" xfId="0" applyFont="1" applyFill="1"/>
    <xf numFmtId="0" fontId="15" fillId="0" borderId="0" xfId="0" applyFont="1" applyFill="1"/>
    <xf numFmtId="0" fontId="15" fillId="10" borderId="0" xfId="0" applyFont="1" applyFill="1" applyAlignment="1">
      <alignment horizontal="left"/>
    </xf>
    <xf numFmtId="49" fontId="15" fillId="10" borderId="0" xfId="0" applyNumberFormat="1" applyFont="1" applyFill="1" applyAlignment="1">
      <alignment horizontal="left"/>
    </xf>
    <xf numFmtId="1" fontId="15" fillId="10" borderId="0" xfId="0" applyNumberFormat="1" applyFont="1" applyFill="1" applyAlignment="1">
      <alignment horizontal="left"/>
    </xf>
    <xf numFmtId="167" fontId="15" fillId="10" borderId="0" xfId="0" applyNumberFormat="1" applyFont="1" applyFill="1" applyAlignment="1">
      <alignment horizontal="left"/>
    </xf>
    <xf numFmtId="0" fontId="15" fillId="10" borderId="0" xfId="0" applyFont="1" applyFill="1"/>
    <xf numFmtId="0" fontId="16" fillId="10" borderId="0" xfId="0" applyFont="1" applyFill="1"/>
    <xf numFmtId="0" fontId="16" fillId="7" borderId="0" xfId="0" applyFont="1" applyFill="1" applyAlignment="1">
      <alignment horizontal="left"/>
    </xf>
    <xf numFmtId="49" fontId="16" fillId="7" borderId="0" xfId="0" applyNumberFormat="1" applyFont="1" applyFill="1" applyAlignment="1">
      <alignment horizontal="left"/>
    </xf>
    <xf numFmtId="1" fontId="16" fillId="7" borderId="0" xfId="0" applyNumberFormat="1" applyFont="1" applyFill="1" applyAlignment="1">
      <alignment horizontal="left"/>
    </xf>
    <xf numFmtId="167" fontId="16" fillId="7" borderId="0" xfId="0" applyNumberFormat="1" applyFont="1" applyFill="1" applyAlignment="1">
      <alignment horizontal="left"/>
    </xf>
    <xf numFmtId="0" fontId="16" fillId="7" borderId="0" xfId="0" applyFont="1" applyFill="1"/>
    <xf numFmtId="0" fontId="16" fillId="8" borderId="0" xfId="0" applyFont="1" applyFill="1"/>
    <xf numFmtId="0" fontId="30" fillId="0" borderId="12" xfId="0" applyFont="1" applyBorder="1" applyAlignment="1">
      <alignment vertical="center" wrapText="1"/>
    </xf>
    <xf numFmtId="0" fontId="30" fillId="0" borderId="13" xfId="0" applyFont="1" applyBorder="1" applyAlignment="1">
      <alignment vertical="center" wrapText="1"/>
    </xf>
    <xf numFmtId="0" fontId="30" fillId="0" borderId="14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0" fillId="1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16" fillId="1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15" fillId="7" borderId="0" xfId="0" applyNumberFormat="1" applyFont="1" applyFill="1" applyAlignment="1">
      <alignment horizontal="left"/>
    </xf>
    <xf numFmtId="1" fontId="15" fillId="7" borderId="0" xfId="0" applyNumberFormat="1" applyFont="1" applyFill="1" applyAlignment="1">
      <alignment horizontal="left"/>
    </xf>
  </cellXfs>
  <cellStyles count="5">
    <cellStyle name="差" xfId="1" builtinId="27"/>
    <cellStyle name="常规" xfId="0" builtinId="0"/>
    <cellStyle name="计算" xfId="3" builtinId="22"/>
    <cellStyle name="超链接" xfId="4" builtinId="8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0</xdr:row>
      <xdr:rowOff>123825</xdr:rowOff>
    </xdr:from>
    <xdr:to>
      <xdr:col>18</xdr:col>
      <xdr:colOff>237469</xdr:colOff>
      <xdr:row>15</xdr:row>
      <xdr:rowOff>142515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123825"/>
          <a:ext cx="5247619" cy="28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17</xdr:row>
      <xdr:rowOff>133350</xdr:rowOff>
    </xdr:from>
    <xdr:to>
      <xdr:col>22</xdr:col>
      <xdr:colOff>475262</xdr:colOff>
      <xdr:row>29</xdr:row>
      <xdr:rowOff>28302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3371850"/>
          <a:ext cx="7904762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ao.org/docrep/003/y1899e/y1899e02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927"/>
  <sheetViews>
    <sheetView tabSelected="1" zoomScale="85" zoomScaleNormal="85" workbookViewId="0">
      <pane xSplit="1" ySplit="1" topLeftCell="S2889" activePane="bottomRight" state="frozen"/>
      <selection pane="topRight" activeCell="B1" sqref="B1"/>
      <selection pane="bottomLeft" activeCell="A2" sqref="A2"/>
      <selection pane="bottomRight" activeCell="AI2930" sqref="AI2930"/>
    </sheetView>
  </sheetViews>
  <sheetFormatPr defaultRowHeight="15" x14ac:dyDescent="0.25"/>
  <cols>
    <col min="1" max="1" width="5.42578125" style="37" customWidth="1"/>
    <col min="2" max="5" width="9.140625" style="37"/>
    <col min="6" max="6" width="26.140625" style="37" customWidth="1"/>
    <col min="7" max="8" width="14.7109375" style="37" customWidth="1"/>
    <col min="9" max="16" width="9.140625" style="37"/>
    <col min="17" max="17" width="8.85546875" style="50" customWidth="1"/>
    <col min="18" max="18" width="10" style="50" customWidth="1"/>
    <col min="19" max="19" width="9.85546875" style="50" customWidth="1"/>
    <col min="20" max="21" width="10.85546875" style="50" customWidth="1"/>
    <col min="22" max="22" width="13.42578125" style="50" customWidth="1"/>
    <col min="23" max="23" width="10.85546875" style="50" customWidth="1"/>
    <col min="24" max="24" width="14.85546875" style="50" customWidth="1"/>
    <col min="25" max="25" width="10.85546875" style="37" customWidth="1"/>
    <col min="26" max="27" width="10.85546875" style="330" customWidth="1"/>
    <col min="28" max="31" width="9.140625" style="37" customWidth="1"/>
    <col min="32" max="32" width="11.140625" style="37" customWidth="1"/>
    <col min="33" max="33" width="30.28515625" style="37" customWidth="1"/>
    <col min="34" max="34" width="17.7109375" style="37" customWidth="1"/>
    <col min="35" max="35" width="16.42578125" style="37" customWidth="1"/>
    <col min="36" max="36" width="14.7109375" style="37" customWidth="1"/>
    <col min="37" max="37" width="10.140625" style="37" customWidth="1"/>
    <col min="38" max="38" width="10.42578125" style="37" customWidth="1"/>
    <col min="39" max="39" width="9.42578125" style="37" customWidth="1"/>
    <col min="40" max="40" width="10.42578125" style="37" customWidth="1"/>
    <col min="41" max="41" width="9.42578125" style="37" customWidth="1"/>
    <col min="42" max="42" width="10.42578125" style="37" customWidth="1"/>
    <col min="43" max="43" width="13.28515625" style="37" customWidth="1"/>
    <col min="44" max="44" width="13.85546875" style="37" customWidth="1"/>
    <col min="45" max="45" width="7.5703125" style="37" customWidth="1"/>
    <col min="46" max="46" width="11.5703125" style="37" customWidth="1"/>
    <col min="47" max="47" width="8.28515625" style="37" customWidth="1"/>
    <col min="48" max="48" width="12.140625" style="37" customWidth="1"/>
    <col min="49" max="49" width="8.28515625" style="37" customWidth="1"/>
    <col min="50" max="50" width="11.5703125" style="37" customWidth="1"/>
    <col min="51" max="52" width="9.140625" style="37"/>
    <col min="53" max="53" width="15.28515625" style="37" customWidth="1"/>
    <col min="54" max="54" width="15.140625" style="37" customWidth="1"/>
    <col min="55" max="55" width="14.7109375" style="37" customWidth="1"/>
    <col min="56" max="56" width="14" style="37" customWidth="1"/>
    <col min="57" max="57" width="14.28515625" style="37" customWidth="1"/>
    <col min="58" max="58" width="14.7109375" style="37" customWidth="1"/>
    <col min="59" max="59" width="16.85546875" style="37" customWidth="1"/>
    <col min="60" max="60" width="9.140625" style="37"/>
    <col min="61" max="61" width="9.140625" style="37" customWidth="1"/>
    <col min="62" max="62" width="11.28515625" style="37" customWidth="1"/>
    <col min="63" max="63" width="11.140625" style="37" customWidth="1"/>
    <col min="64" max="64" width="15" style="37" customWidth="1"/>
    <col min="65" max="66" width="9.140625" style="406"/>
    <col min="67" max="67" width="9.85546875" style="37" customWidth="1"/>
    <col min="68" max="68" width="9.28515625" style="37" customWidth="1"/>
    <col min="69" max="69" width="14" style="37" customWidth="1"/>
    <col min="70" max="71" width="9.140625" style="406"/>
    <col min="72" max="73" width="9.140625" style="37" customWidth="1"/>
    <col min="74" max="74" width="13.7109375" style="37" customWidth="1"/>
    <col min="75" max="83" width="9.140625" style="37"/>
    <col min="84" max="84" width="11.7109375" style="37" customWidth="1"/>
    <col min="85" max="85" width="9.140625" style="37"/>
    <col min="86" max="88" width="9.42578125" style="37" customWidth="1"/>
    <col min="89" max="89" width="12.5703125" style="37" customWidth="1"/>
    <col min="90" max="93" width="9.140625" style="37"/>
    <col min="94" max="94" width="14" style="37" customWidth="1"/>
    <col min="95" max="98" width="9.140625" style="37"/>
    <col min="99" max="99" width="14.7109375" style="37" customWidth="1"/>
    <col min="100" max="103" width="9.140625" style="37"/>
    <col min="104" max="104" width="14" style="37" customWidth="1"/>
    <col min="105" max="105" width="6.85546875" style="37" customWidth="1"/>
    <col min="106" max="106" width="6.5703125" style="37" customWidth="1"/>
    <col min="107" max="107" width="8.5703125" style="37" customWidth="1"/>
    <col min="108" max="108" width="8.85546875" style="37" customWidth="1"/>
    <col min="109" max="109" width="14.140625" style="37" customWidth="1"/>
    <col min="110" max="111" width="9.140625" style="37"/>
    <col min="112" max="112" width="11.42578125" style="37" customWidth="1"/>
    <col min="113" max="113" width="11" style="37" customWidth="1"/>
    <col min="114" max="114" width="16.42578125" style="37" customWidth="1"/>
    <col min="115" max="115" width="10.140625" style="37" customWidth="1"/>
    <col min="116" max="116" width="10.5703125" style="37" customWidth="1"/>
    <col min="117" max="117" width="12.42578125" style="37" customWidth="1"/>
    <col min="118" max="118" width="13.42578125" style="37" customWidth="1"/>
    <col min="119" max="119" width="16.42578125" style="37" customWidth="1"/>
    <col min="120" max="120" width="14" style="37" customWidth="1"/>
    <col min="121" max="121" width="12.7109375" style="37" customWidth="1"/>
    <col min="122" max="122" width="15.42578125" style="37" customWidth="1"/>
    <col min="123" max="123" width="15.85546875" style="37" customWidth="1"/>
    <col min="124" max="124" width="20.140625" style="37" customWidth="1"/>
    <col min="125" max="125" width="11.42578125" style="37" customWidth="1"/>
    <col min="126" max="126" width="12" style="37" customWidth="1"/>
    <col min="127" max="127" width="14.85546875" style="37" customWidth="1"/>
    <col min="128" max="128" width="15" style="37" customWidth="1"/>
    <col min="129" max="129" width="19.5703125" style="37" customWidth="1"/>
    <col min="130" max="130" width="7.140625" style="37" customWidth="1"/>
    <col min="131" max="131" width="6.42578125" style="37" customWidth="1"/>
    <col min="132" max="132" width="9.5703125" style="37" customWidth="1"/>
    <col min="133" max="133" width="10.140625" style="37" customWidth="1"/>
    <col min="134" max="134" width="12.85546875" style="37" customWidth="1"/>
    <col min="135" max="136" width="9.42578125" style="37" customWidth="1"/>
    <col min="137" max="137" width="12.140625" style="37" customWidth="1"/>
    <col min="138" max="138" width="12.28515625" style="37" customWidth="1"/>
    <col min="139" max="139" width="12.85546875" style="37" customWidth="1"/>
    <col min="140" max="141" width="9.140625" style="37"/>
    <col min="142" max="142" width="11.7109375" style="37" customWidth="1"/>
    <col min="143" max="143" width="11.42578125" style="37" customWidth="1"/>
    <col min="144" max="144" width="17" style="37" customWidth="1"/>
    <col min="145" max="145" width="10.42578125" style="37" customWidth="1"/>
    <col min="146" max="146" width="11.140625" style="37" customWidth="1"/>
    <col min="147" max="147" width="13.85546875" style="37" customWidth="1"/>
    <col min="148" max="148" width="13.42578125" style="37" customWidth="1"/>
    <col min="149" max="149" width="20" style="37" customWidth="1"/>
    <col min="150" max="150" width="6.140625" style="37" customWidth="1"/>
    <col min="151" max="151" width="6" style="37" customWidth="1"/>
    <col min="152" max="152" width="8.140625" style="37" customWidth="1"/>
    <col min="153" max="153" width="8.28515625" style="37" customWidth="1"/>
    <col min="154" max="154" width="13" style="37" customWidth="1"/>
    <col min="155" max="155" width="8.140625" style="37" customWidth="1"/>
    <col min="156" max="156" width="7.42578125" style="37" customWidth="1"/>
    <col min="157" max="157" width="10" style="37" customWidth="1"/>
    <col min="158" max="158" width="10.5703125" style="37" customWidth="1"/>
    <col min="159" max="159" width="15.42578125" style="37" customWidth="1"/>
    <col min="160" max="161" width="9.140625" style="37"/>
    <col min="162" max="162" width="11.5703125" style="37" customWidth="1"/>
    <col min="163" max="163" width="12" style="37" customWidth="1"/>
    <col min="164" max="164" width="16.5703125" style="37" customWidth="1"/>
    <col min="165" max="165" width="8.42578125" style="37" customWidth="1"/>
    <col min="166" max="166" width="8.140625" style="37" customWidth="1"/>
    <col min="167" max="168" width="11" style="37" customWidth="1"/>
    <col min="169" max="169" width="15.42578125" style="37" customWidth="1"/>
    <col min="170" max="170" width="11.28515625" style="37" customWidth="1"/>
    <col min="171" max="171" width="10.85546875" style="37" customWidth="1"/>
    <col min="172" max="173" width="13.5703125" style="37" customWidth="1"/>
    <col min="174" max="174" width="18" style="37" customWidth="1"/>
    <col min="175" max="175" width="10" style="37" customWidth="1"/>
    <col min="176" max="176" width="9.5703125" style="37" customWidth="1"/>
    <col min="177" max="177" width="10.5703125" style="37" customWidth="1"/>
    <col min="178" max="178" width="10.85546875" style="37" customWidth="1"/>
    <col min="179" max="179" width="11.5703125" style="37" customWidth="1"/>
    <col min="180" max="180" width="10.5703125" style="37" customWidth="1"/>
    <col min="181" max="181" width="11" style="37" customWidth="1"/>
    <col min="182" max="182" width="14" style="37" customWidth="1"/>
    <col min="183" max="183" width="14.42578125" style="37" customWidth="1"/>
    <col min="184" max="184" width="12.85546875" style="37" customWidth="1"/>
    <col min="185" max="185" width="10.140625" style="37" customWidth="1"/>
    <col min="186" max="186" width="10" style="37" customWidth="1"/>
    <col min="187" max="188" width="12" style="37" customWidth="1"/>
    <col min="189" max="189" width="11" style="37" customWidth="1"/>
    <col min="190" max="190" width="15.7109375" style="37" customWidth="1"/>
    <col min="191" max="191" width="15.5703125" style="37" customWidth="1"/>
    <col min="192" max="193" width="18.85546875" style="37" customWidth="1"/>
    <col min="194" max="194" width="11" style="37" customWidth="1"/>
    <col min="195" max="195" width="11.42578125" style="37" customWidth="1"/>
    <col min="196" max="196" width="12" style="37" customWidth="1"/>
    <col min="197" max="197" width="12.85546875" style="37" customWidth="1"/>
    <col min="198" max="198" width="13.140625" style="37" customWidth="1"/>
    <col min="199" max="199" width="19.85546875" style="37" customWidth="1"/>
    <col min="200" max="201" width="9.140625" style="37"/>
    <col min="202" max="202" width="11.42578125" style="37" customWidth="1"/>
    <col min="203" max="203" width="11.5703125" style="37" customWidth="1"/>
    <col min="204" max="204" width="16.42578125" style="37" customWidth="1"/>
    <col min="205" max="206" width="9.140625" style="37"/>
    <col min="207" max="208" width="12" style="37" customWidth="1"/>
    <col min="209" max="209" width="12.42578125" style="37" customWidth="1"/>
    <col min="210" max="210" width="8.140625" style="37" customWidth="1"/>
    <col min="211" max="211" width="7" style="37" customWidth="1"/>
    <col min="212" max="213" width="11.140625" style="37" customWidth="1"/>
    <col min="214" max="214" width="11.42578125" style="37" customWidth="1"/>
    <col min="215" max="215" width="6.5703125" style="37" customWidth="1"/>
    <col min="216" max="216" width="6.28515625" style="37" customWidth="1"/>
    <col min="217" max="217" width="8.85546875" style="37" customWidth="1"/>
    <col min="218" max="218" width="9.140625" style="37" customWidth="1"/>
    <col min="219" max="219" width="13.5703125" style="37" customWidth="1"/>
    <col min="220" max="220" width="11.28515625" style="37" customWidth="1"/>
    <col min="221" max="221" width="11" style="37" customWidth="1"/>
    <col min="222" max="222" width="14" style="37" customWidth="1"/>
    <col min="223" max="223" width="14.5703125" style="37" customWidth="1"/>
    <col min="224" max="224" width="16" style="37" customWidth="1"/>
    <col min="225" max="225" width="7.42578125" style="37" customWidth="1"/>
    <col min="226" max="226" width="7" style="37" customWidth="1"/>
    <col min="227" max="227" width="9.7109375" style="37" customWidth="1"/>
    <col min="228" max="228" width="10" style="37" customWidth="1"/>
    <col min="229" max="229" width="11.28515625" style="37" customWidth="1"/>
    <col min="230" max="230" width="7" style="37" customWidth="1"/>
    <col min="231" max="231" width="7.140625" style="37" customWidth="1"/>
    <col min="232" max="232" width="9.85546875" style="37" customWidth="1"/>
    <col min="233" max="233" width="10" style="37" customWidth="1"/>
    <col min="234" max="234" width="11.5703125" style="37" customWidth="1"/>
    <col min="235" max="236" width="9.140625" style="37"/>
    <col min="237" max="237" width="10" style="37" customWidth="1"/>
    <col min="238" max="238" width="10.28515625" style="37" customWidth="1"/>
    <col min="239" max="239" width="14.28515625" style="37" customWidth="1"/>
    <col min="240" max="240" width="9.5703125" style="37" customWidth="1"/>
    <col min="241" max="241" width="9.140625" style="37" customWidth="1"/>
    <col min="242" max="242" width="9.85546875" style="37" customWidth="1"/>
    <col min="243" max="243" width="10.7109375" style="37" customWidth="1"/>
    <col min="244" max="244" width="12.42578125" style="37" customWidth="1"/>
    <col min="245" max="245" width="9.140625" style="37"/>
    <col min="246" max="246" width="8.85546875" style="37" customWidth="1"/>
    <col min="247" max="247" width="6.5703125" style="37" customWidth="1"/>
    <col min="248" max="248" width="9" style="37" customWidth="1"/>
    <col min="249" max="249" width="20.85546875" style="37" customWidth="1"/>
    <col min="250" max="250" width="26.140625" style="37" customWidth="1"/>
    <col min="251" max="251" width="9.140625" style="186"/>
    <col min="252" max="252" width="10.42578125" style="37" customWidth="1"/>
    <col min="253" max="16384" width="9.140625" style="37"/>
  </cols>
  <sheetData>
    <row r="1" spans="1:250" s="5" customFormat="1" x14ac:dyDescent="0.25">
      <c r="A1" s="7" t="s">
        <v>110</v>
      </c>
      <c r="B1" s="7" t="s">
        <v>43</v>
      </c>
      <c r="C1" s="7" t="s">
        <v>44</v>
      </c>
      <c r="D1" s="7" t="s">
        <v>6</v>
      </c>
      <c r="E1" s="7" t="s">
        <v>186</v>
      </c>
      <c r="F1" s="7" t="s">
        <v>88</v>
      </c>
      <c r="G1" s="7" t="s">
        <v>4</v>
      </c>
      <c r="H1" s="7" t="s">
        <v>2829</v>
      </c>
      <c r="I1" s="7" t="s">
        <v>3</v>
      </c>
      <c r="J1" s="7" t="s">
        <v>2</v>
      </c>
      <c r="K1" s="7" t="s">
        <v>87</v>
      </c>
      <c r="L1" s="7" t="s">
        <v>35</v>
      </c>
      <c r="M1" s="7" t="s">
        <v>16</v>
      </c>
      <c r="N1" s="7" t="s">
        <v>36</v>
      </c>
      <c r="O1" s="7" t="s">
        <v>17</v>
      </c>
      <c r="P1" s="7" t="s">
        <v>18</v>
      </c>
      <c r="Q1" s="146" t="s">
        <v>119</v>
      </c>
      <c r="R1" s="171" t="s">
        <v>1767</v>
      </c>
      <c r="S1" s="7" t="s">
        <v>867</v>
      </c>
      <c r="T1" s="146" t="s">
        <v>870</v>
      </c>
      <c r="U1" s="146" t="s">
        <v>7</v>
      </c>
      <c r="V1" s="193" t="s">
        <v>1721</v>
      </c>
      <c r="W1" s="146" t="s">
        <v>1420</v>
      </c>
      <c r="X1" s="146" t="s">
        <v>1635</v>
      </c>
      <c r="Y1" s="7" t="s">
        <v>284</v>
      </c>
      <c r="Z1" s="320" t="s">
        <v>122</v>
      </c>
      <c r="AA1" s="320" t="s">
        <v>123</v>
      </c>
      <c r="AB1" s="7" t="s">
        <v>15</v>
      </c>
      <c r="AC1" s="7" t="s">
        <v>190</v>
      </c>
      <c r="AD1" s="7" t="s">
        <v>191</v>
      </c>
      <c r="AE1" s="7" t="s">
        <v>192</v>
      </c>
      <c r="AF1" s="7" t="s">
        <v>1310</v>
      </c>
      <c r="AG1" s="7" t="s">
        <v>0</v>
      </c>
      <c r="AH1" s="194" t="s">
        <v>1505</v>
      </c>
      <c r="AI1" s="7" t="s">
        <v>1</v>
      </c>
      <c r="AJ1" s="195" t="s">
        <v>1504</v>
      </c>
      <c r="AK1" s="7" t="s">
        <v>533</v>
      </c>
      <c r="AL1" s="7" t="s">
        <v>532</v>
      </c>
      <c r="AM1" s="7" t="s">
        <v>534</v>
      </c>
      <c r="AN1" s="7" t="s">
        <v>536</v>
      </c>
      <c r="AO1" s="7" t="s">
        <v>535</v>
      </c>
      <c r="AP1" s="7" t="s">
        <v>537</v>
      </c>
      <c r="AQ1" s="7" t="s">
        <v>218</v>
      </c>
      <c r="AR1" s="7" t="s">
        <v>217</v>
      </c>
      <c r="AS1" s="7" t="s">
        <v>502</v>
      </c>
      <c r="AT1" s="78" t="s">
        <v>66</v>
      </c>
      <c r="AU1" s="7" t="s">
        <v>2113</v>
      </c>
      <c r="AV1" s="7" t="s">
        <v>2115</v>
      </c>
      <c r="AW1" s="7" t="s">
        <v>141</v>
      </c>
      <c r="AX1" s="7" t="s">
        <v>69</v>
      </c>
      <c r="AY1" s="7" t="s">
        <v>68</v>
      </c>
      <c r="AZ1" s="7" t="s">
        <v>975</v>
      </c>
      <c r="BA1" s="7" t="s">
        <v>614</v>
      </c>
      <c r="BB1" s="78" t="s">
        <v>143</v>
      </c>
      <c r="BC1" s="196" t="s">
        <v>1118</v>
      </c>
      <c r="BD1" s="196" t="s">
        <v>1119</v>
      </c>
      <c r="BE1" s="196" t="s">
        <v>1772</v>
      </c>
      <c r="BF1" s="196" t="s">
        <v>1773</v>
      </c>
      <c r="BG1" s="197" t="s">
        <v>2450</v>
      </c>
      <c r="BH1" s="196" t="s">
        <v>811</v>
      </c>
      <c r="BI1" s="196" t="s">
        <v>812</v>
      </c>
      <c r="BJ1" s="196" t="s">
        <v>1770</v>
      </c>
      <c r="BK1" s="196" t="s">
        <v>1771</v>
      </c>
      <c r="BL1" s="197" t="s">
        <v>2451</v>
      </c>
      <c r="BM1" s="394" t="s">
        <v>24</v>
      </c>
      <c r="BN1" s="394" t="s">
        <v>23</v>
      </c>
      <c r="BO1" s="196" t="s">
        <v>1774</v>
      </c>
      <c r="BP1" s="196" t="s">
        <v>1775</v>
      </c>
      <c r="BQ1" s="197" t="s">
        <v>2452</v>
      </c>
      <c r="BR1" s="394" t="s">
        <v>10</v>
      </c>
      <c r="BS1" s="394" t="s">
        <v>9</v>
      </c>
      <c r="BT1" s="196" t="s">
        <v>1776</v>
      </c>
      <c r="BU1" s="196" t="s">
        <v>1777</v>
      </c>
      <c r="BV1" s="197" t="s">
        <v>2453</v>
      </c>
      <c r="BW1" s="196" t="s">
        <v>233</v>
      </c>
      <c r="BX1" s="196" t="s">
        <v>234</v>
      </c>
      <c r="BY1" s="196" t="s">
        <v>1778</v>
      </c>
      <c r="BZ1" s="196" t="s">
        <v>1779</v>
      </c>
      <c r="CA1" s="197" t="s">
        <v>2454</v>
      </c>
      <c r="CB1" s="196" t="s">
        <v>20</v>
      </c>
      <c r="CC1" s="196" t="s">
        <v>19</v>
      </c>
      <c r="CD1" s="196" t="s">
        <v>1780</v>
      </c>
      <c r="CE1" s="196" t="s">
        <v>1781</v>
      </c>
      <c r="CF1" s="197" t="s">
        <v>2455</v>
      </c>
      <c r="CG1" s="196" t="s">
        <v>22</v>
      </c>
      <c r="CH1" s="196" t="s">
        <v>21</v>
      </c>
      <c r="CI1" s="196" t="s">
        <v>1782</v>
      </c>
      <c r="CJ1" s="196" t="s">
        <v>1783</v>
      </c>
      <c r="CK1" s="197" t="s">
        <v>2456</v>
      </c>
      <c r="CL1" s="196" t="s">
        <v>12</v>
      </c>
      <c r="CM1" s="196" t="s">
        <v>11</v>
      </c>
      <c r="CN1" s="196" t="s">
        <v>1784</v>
      </c>
      <c r="CO1" s="196" t="s">
        <v>1785</v>
      </c>
      <c r="CP1" s="197" t="s">
        <v>2457</v>
      </c>
      <c r="CQ1" s="196" t="s">
        <v>30</v>
      </c>
      <c r="CR1" s="196" t="s">
        <v>29</v>
      </c>
      <c r="CS1" s="196" t="s">
        <v>1786</v>
      </c>
      <c r="CT1" s="196" t="s">
        <v>1787</v>
      </c>
      <c r="CU1" s="197" t="s">
        <v>2458</v>
      </c>
      <c r="CV1" s="196" t="s">
        <v>32</v>
      </c>
      <c r="CW1" s="196" t="s">
        <v>31</v>
      </c>
      <c r="CX1" s="196" t="s">
        <v>1788</v>
      </c>
      <c r="CY1" s="196" t="s">
        <v>1789</v>
      </c>
      <c r="CZ1" s="197" t="s">
        <v>2459</v>
      </c>
      <c r="DA1" s="196" t="s">
        <v>34</v>
      </c>
      <c r="DB1" s="196" t="s">
        <v>33</v>
      </c>
      <c r="DC1" s="196" t="s">
        <v>1790</v>
      </c>
      <c r="DD1" s="196" t="s">
        <v>1791</v>
      </c>
      <c r="DE1" s="197" t="s">
        <v>2460</v>
      </c>
      <c r="DF1" s="198" t="s">
        <v>26</v>
      </c>
      <c r="DG1" s="198" t="s">
        <v>25</v>
      </c>
      <c r="DH1" s="198" t="s">
        <v>1792</v>
      </c>
      <c r="DI1" s="198" t="s">
        <v>1793</v>
      </c>
      <c r="DJ1" s="199" t="s">
        <v>2461</v>
      </c>
      <c r="DK1" s="198" t="s">
        <v>916</v>
      </c>
      <c r="DL1" s="198" t="s">
        <v>917</v>
      </c>
      <c r="DM1" s="198" t="s">
        <v>1794</v>
      </c>
      <c r="DN1" s="198" t="s">
        <v>1795</v>
      </c>
      <c r="DO1" s="199" t="s">
        <v>2462</v>
      </c>
      <c r="DP1" s="196" t="s">
        <v>28</v>
      </c>
      <c r="DQ1" s="196" t="s">
        <v>27</v>
      </c>
      <c r="DR1" s="196" t="s">
        <v>1796</v>
      </c>
      <c r="DS1" s="196" t="s">
        <v>1797</v>
      </c>
      <c r="DT1" s="197" t="s">
        <v>2463</v>
      </c>
      <c r="DU1" s="196" t="s">
        <v>40</v>
      </c>
      <c r="DV1" s="196" t="s">
        <v>39</v>
      </c>
      <c r="DW1" s="196" t="s">
        <v>1798</v>
      </c>
      <c r="DX1" s="196" t="s">
        <v>1799</v>
      </c>
      <c r="DY1" s="197" t="s">
        <v>2464</v>
      </c>
      <c r="DZ1" s="196" t="s">
        <v>1800</v>
      </c>
      <c r="EA1" s="196" t="s">
        <v>1801</v>
      </c>
      <c r="EB1" s="196" t="s">
        <v>1802</v>
      </c>
      <c r="EC1" s="196" t="s">
        <v>1803</v>
      </c>
      <c r="ED1" s="197" t="s">
        <v>2465</v>
      </c>
      <c r="EE1" s="196" t="s">
        <v>1013</v>
      </c>
      <c r="EF1" s="196" t="s">
        <v>1014</v>
      </c>
      <c r="EG1" s="196" t="s">
        <v>1805</v>
      </c>
      <c r="EH1" s="196" t="s">
        <v>1806</v>
      </c>
      <c r="EI1" s="197" t="s">
        <v>2466</v>
      </c>
      <c r="EJ1" s="196" t="s">
        <v>1499</v>
      </c>
      <c r="EK1" s="196" t="s">
        <v>1498</v>
      </c>
      <c r="EL1" s="196" t="s">
        <v>1807</v>
      </c>
      <c r="EM1" s="196" t="s">
        <v>1808</v>
      </c>
      <c r="EN1" s="197" t="s">
        <v>2467</v>
      </c>
      <c r="EO1" s="196" t="s">
        <v>1502</v>
      </c>
      <c r="EP1" s="196" t="s">
        <v>1503</v>
      </c>
      <c r="EQ1" s="196" t="s">
        <v>1809</v>
      </c>
      <c r="ER1" s="196" t="s">
        <v>1810</v>
      </c>
      <c r="ES1" s="197" t="s">
        <v>2468</v>
      </c>
      <c r="ET1" s="196" t="s">
        <v>60</v>
      </c>
      <c r="EU1" s="196" t="s">
        <v>61</v>
      </c>
      <c r="EV1" s="196" t="s">
        <v>1811</v>
      </c>
      <c r="EW1" s="196" t="s">
        <v>1812</v>
      </c>
      <c r="EX1" s="197" t="s">
        <v>2469</v>
      </c>
      <c r="EY1" s="196" t="s">
        <v>62</v>
      </c>
      <c r="EZ1" s="196" t="s">
        <v>63</v>
      </c>
      <c r="FA1" s="196" t="s">
        <v>1813</v>
      </c>
      <c r="FB1" s="196" t="s">
        <v>1814</v>
      </c>
      <c r="FC1" s="197" t="s">
        <v>2470</v>
      </c>
      <c r="FD1" s="196" t="s">
        <v>38</v>
      </c>
      <c r="FE1" s="196" t="s">
        <v>37</v>
      </c>
      <c r="FF1" s="196" t="s">
        <v>1815</v>
      </c>
      <c r="FG1" s="196" t="s">
        <v>1816</v>
      </c>
      <c r="FH1" s="197" t="s">
        <v>2471</v>
      </c>
      <c r="FI1" s="198" t="s">
        <v>147</v>
      </c>
      <c r="FJ1" s="198" t="s">
        <v>146</v>
      </c>
      <c r="FK1" s="198" t="s">
        <v>1817</v>
      </c>
      <c r="FL1" s="198" t="s">
        <v>1818</v>
      </c>
      <c r="FM1" s="199" t="s">
        <v>2472</v>
      </c>
      <c r="FN1" s="94" t="s">
        <v>364</v>
      </c>
      <c r="FO1" s="94" t="s">
        <v>363</v>
      </c>
      <c r="FP1" s="94" t="s">
        <v>1819</v>
      </c>
      <c r="FQ1" s="94" t="s">
        <v>1820</v>
      </c>
      <c r="FR1" s="197" t="s">
        <v>2473</v>
      </c>
      <c r="FS1" s="94" t="s">
        <v>1698</v>
      </c>
      <c r="FT1" s="94" t="s">
        <v>1699</v>
      </c>
      <c r="FU1" s="94" t="s">
        <v>1821</v>
      </c>
      <c r="FV1" s="94" t="s">
        <v>1822</v>
      </c>
      <c r="FW1" s="197" t="s">
        <v>2474</v>
      </c>
      <c r="FX1" s="94" t="s">
        <v>1715</v>
      </c>
      <c r="FY1" s="94" t="s">
        <v>1716</v>
      </c>
      <c r="FZ1" s="94" t="s">
        <v>1823</v>
      </c>
      <c r="GA1" s="94" t="s">
        <v>1824</v>
      </c>
      <c r="GB1" s="197" t="s">
        <v>2475</v>
      </c>
      <c r="GC1" s="94" t="s">
        <v>1701</v>
      </c>
      <c r="GD1" s="94" t="s">
        <v>1702</v>
      </c>
      <c r="GE1" s="94" t="s">
        <v>1825</v>
      </c>
      <c r="GF1" s="94" t="s">
        <v>1826</v>
      </c>
      <c r="GG1" s="197" t="s">
        <v>2476</v>
      </c>
      <c r="GH1" s="94" t="s">
        <v>1718</v>
      </c>
      <c r="GI1" s="94" t="s">
        <v>1719</v>
      </c>
      <c r="GJ1" s="94" t="s">
        <v>1827</v>
      </c>
      <c r="GK1" s="94" t="s">
        <v>1828</v>
      </c>
      <c r="GL1" s="197" t="s">
        <v>2477</v>
      </c>
      <c r="GM1" s="94" t="s">
        <v>1738</v>
      </c>
      <c r="GN1" s="94" t="s">
        <v>1739</v>
      </c>
      <c r="GO1" s="94" t="s">
        <v>1829</v>
      </c>
      <c r="GP1" s="94" t="s">
        <v>1830</v>
      </c>
      <c r="GQ1" s="197" t="s">
        <v>2478</v>
      </c>
      <c r="GR1" s="94" t="s">
        <v>94</v>
      </c>
      <c r="GS1" s="94" t="s">
        <v>93</v>
      </c>
      <c r="GT1" s="94" t="s">
        <v>1831</v>
      </c>
      <c r="GU1" s="94" t="s">
        <v>1832</v>
      </c>
      <c r="GV1" s="197" t="s">
        <v>2479</v>
      </c>
      <c r="GW1" s="94" t="s">
        <v>96</v>
      </c>
      <c r="GX1" s="94" t="s">
        <v>95</v>
      </c>
      <c r="GY1" s="94" t="s">
        <v>1833</v>
      </c>
      <c r="GZ1" s="94" t="s">
        <v>1834</v>
      </c>
      <c r="HA1" s="197" t="s">
        <v>2480</v>
      </c>
      <c r="HB1" s="94" t="s">
        <v>1363</v>
      </c>
      <c r="HC1" s="94" t="s">
        <v>1364</v>
      </c>
      <c r="HD1" s="94" t="s">
        <v>1835</v>
      </c>
      <c r="HE1" s="94" t="s">
        <v>1836</v>
      </c>
      <c r="HF1" s="197" t="s">
        <v>2481</v>
      </c>
      <c r="HG1" s="94" t="s">
        <v>98</v>
      </c>
      <c r="HH1" s="94" t="s">
        <v>97</v>
      </c>
      <c r="HI1" s="94" t="s">
        <v>1837</v>
      </c>
      <c r="HJ1" s="94" t="s">
        <v>1838</v>
      </c>
      <c r="HK1" s="197" t="s">
        <v>2482</v>
      </c>
      <c r="HL1" s="94" t="s">
        <v>100</v>
      </c>
      <c r="HM1" s="94" t="s">
        <v>99</v>
      </c>
      <c r="HN1" s="94" t="s">
        <v>1839</v>
      </c>
      <c r="HO1" s="94" t="s">
        <v>1840</v>
      </c>
      <c r="HP1" s="197" t="s">
        <v>2483</v>
      </c>
      <c r="HQ1" s="94" t="s">
        <v>1365</v>
      </c>
      <c r="HR1" s="94" t="s">
        <v>1366</v>
      </c>
      <c r="HS1" s="94" t="s">
        <v>1841</v>
      </c>
      <c r="HT1" s="94" t="s">
        <v>1842</v>
      </c>
      <c r="HU1" s="197" t="s">
        <v>2484</v>
      </c>
      <c r="HV1" s="94" t="s">
        <v>1367</v>
      </c>
      <c r="HW1" s="94" t="s">
        <v>1368</v>
      </c>
      <c r="HX1" s="94" t="s">
        <v>1843</v>
      </c>
      <c r="HY1" s="94" t="s">
        <v>1844</v>
      </c>
      <c r="HZ1" s="197" t="s">
        <v>2485</v>
      </c>
      <c r="IA1" s="94" t="s">
        <v>154</v>
      </c>
      <c r="IB1" s="94" t="s">
        <v>101</v>
      </c>
      <c r="IC1" s="94" t="s">
        <v>1845</v>
      </c>
      <c r="ID1" s="94" t="s">
        <v>1846</v>
      </c>
      <c r="IE1" s="197" t="s">
        <v>2486</v>
      </c>
      <c r="IF1" s="94" t="s">
        <v>1089</v>
      </c>
      <c r="IG1" s="94" t="s">
        <v>1090</v>
      </c>
      <c r="IH1" s="94" t="s">
        <v>1847</v>
      </c>
      <c r="II1" s="94" t="s">
        <v>1848</v>
      </c>
      <c r="IJ1" s="197" t="s">
        <v>2487</v>
      </c>
      <c r="IK1" s="94" t="s">
        <v>1150</v>
      </c>
      <c r="IL1" s="94" t="s">
        <v>1370</v>
      </c>
      <c r="IM1" s="94" t="s">
        <v>1369</v>
      </c>
      <c r="IN1" s="94" t="s">
        <v>1497</v>
      </c>
      <c r="IO1" s="78" t="s">
        <v>832</v>
      </c>
      <c r="IP1" s="78" t="s">
        <v>709</v>
      </c>
    </row>
    <row r="2" spans="1:250" s="24" customFormat="1" x14ac:dyDescent="0.25">
      <c r="A2" s="24">
        <v>1</v>
      </c>
      <c r="B2" s="24" t="s">
        <v>111</v>
      </c>
      <c r="C2" s="24" t="s">
        <v>112</v>
      </c>
      <c r="D2" s="24">
        <v>2000</v>
      </c>
      <c r="F2" s="24" t="s">
        <v>113</v>
      </c>
      <c r="G2" s="24" t="s">
        <v>114</v>
      </c>
      <c r="H2" s="24" t="s">
        <v>2831</v>
      </c>
      <c r="I2" s="24">
        <v>40.71</v>
      </c>
      <c r="J2" s="24">
        <v>-74.010000000000005</v>
      </c>
      <c r="K2" s="24">
        <v>3.5</v>
      </c>
      <c r="Q2" s="42"/>
      <c r="R2" s="42"/>
      <c r="S2" s="42"/>
      <c r="T2" s="42"/>
      <c r="U2" s="24" t="s">
        <v>1381</v>
      </c>
      <c r="V2" s="24" t="s">
        <v>1381</v>
      </c>
      <c r="W2" s="24" t="s">
        <v>1381</v>
      </c>
      <c r="X2" s="24" t="s">
        <v>1381</v>
      </c>
      <c r="Z2" s="321"/>
      <c r="AA2" s="321"/>
      <c r="AB2" s="24" t="s">
        <v>1612</v>
      </c>
      <c r="AG2" s="24" t="s">
        <v>1514</v>
      </c>
      <c r="AH2" s="138" t="s">
        <v>578</v>
      </c>
      <c r="AI2" s="24" t="s">
        <v>1614</v>
      </c>
      <c r="AJ2" s="140" t="s">
        <v>1617</v>
      </c>
      <c r="AT2" s="24" t="s">
        <v>120</v>
      </c>
      <c r="BA2" s="53"/>
      <c r="BM2" s="395"/>
      <c r="BN2" s="395"/>
      <c r="BR2" s="395"/>
      <c r="BS2" s="395"/>
      <c r="FN2" s="24">
        <v>6.6</v>
      </c>
      <c r="FO2" s="24">
        <v>7</v>
      </c>
      <c r="FR2" s="24" t="s">
        <v>121</v>
      </c>
      <c r="GM2" s="12"/>
      <c r="GQ2" s="12"/>
      <c r="IO2" s="24" t="s">
        <v>714</v>
      </c>
    </row>
    <row r="3" spans="1:250" s="24" customFormat="1" x14ac:dyDescent="0.25">
      <c r="A3" s="24">
        <v>1</v>
      </c>
      <c r="B3" s="24" t="s">
        <v>111</v>
      </c>
      <c r="C3" s="24" t="s">
        <v>112</v>
      </c>
      <c r="D3" s="24">
        <v>2000</v>
      </c>
      <c r="F3" s="24" t="s">
        <v>113</v>
      </c>
      <c r="G3" s="24" t="s">
        <v>114</v>
      </c>
      <c r="H3" s="24" t="s">
        <v>2831</v>
      </c>
      <c r="I3" s="24">
        <v>40.71</v>
      </c>
      <c r="J3" s="24">
        <v>-74.010000000000005</v>
      </c>
      <c r="K3" s="24">
        <v>3.5</v>
      </c>
      <c r="Q3" s="42"/>
      <c r="R3" s="42"/>
      <c r="S3" s="42"/>
      <c r="T3" s="42"/>
      <c r="U3" s="24" t="s">
        <v>1381</v>
      </c>
      <c r="V3" s="24" t="s">
        <v>1381</v>
      </c>
      <c r="W3" s="24" t="s">
        <v>1381</v>
      </c>
      <c r="X3" s="24" t="s">
        <v>1381</v>
      </c>
      <c r="Z3" s="321"/>
      <c r="AA3" s="321"/>
      <c r="AB3" s="24" t="s">
        <v>1612</v>
      </c>
      <c r="AG3" s="24" t="s">
        <v>244</v>
      </c>
      <c r="AH3" s="138" t="s">
        <v>578</v>
      </c>
      <c r="AI3" s="24" t="s">
        <v>1614</v>
      </c>
      <c r="AJ3" s="140" t="s">
        <v>1617</v>
      </c>
      <c r="AT3" s="24" t="s">
        <v>120</v>
      </c>
      <c r="BA3" s="53"/>
      <c r="BM3" s="395"/>
      <c r="BN3" s="395"/>
      <c r="BR3" s="395"/>
      <c r="BS3" s="395"/>
      <c r="FN3" s="24">
        <v>6.6</v>
      </c>
      <c r="FO3" s="24">
        <v>6</v>
      </c>
      <c r="FR3" s="24" t="s">
        <v>121</v>
      </c>
      <c r="GM3" s="12"/>
      <c r="GQ3" s="12"/>
      <c r="IO3" s="24" t="s">
        <v>714</v>
      </c>
    </row>
    <row r="4" spans="1:250" s="24" customFormat="1" x14ac:dyDescent="0.25">
      <c r="A4" s="24">
        <v>1</v>
      </c>
      <c r="B4" s="24" t="s">
        <v>111</v>
      </c>
      <c r="C4" s="24" t="s">
        <v>112</v>
      </c>
      <c r="D4" s="24">
        <v>2000</v>
      </c>
      <c r="F4" s="24" t="s">
        <v>113</v>
      </c>
      <c r="G4" s="24" t="s">
        <v>114</v>
      </c>
      <c r="H4" s="24" t="s">
        <v>2831</v>
      </c>
      <c r="I4" s="24">
        <v>40.71</v>
      </c>
      <c r="J4" s="24">
        <v>-74.010000000000005</v>
      </c>
      <c r="K4" s="24">
        <v>3.5</v>
      </c>
      <c r="Q4" s="42"/>
      <c r="R4" s="42"/>
      <c r="S4" s="42"/>
      <c r="T4" s="42"/>
      <c r="U4" s="24" t="s">
        <v>1381</v>
      </c>
      <c r="V4" s="24" t="s">
        <v>1381</v>
      </c>
      <c r="W4" s="24" t="s">
        <v>1381</v>
      </c>
      <c r="X4" s="24" t="s">
        <v>1381</v>
      </c>
      <c r="Z4" s="321"/>
      <c r="AA4" s="321"/>
      <c r="AB4" s="24" t="s">
        <v>1612</v>
      </c>
      <c r="AG4" s="24" t="s">
        <v>1515</v>
      </c>
      <c r="AH4" s="138" t="s">
        <v>1131</v>
      </c>
      <c r="AI4" s="24" t="s">
        <v>1614</v>
      </c>
      <c r="AJ4" s="140" t="s">
        <v>1617</v>
      </c>
      <c r="AT4" s="24" t="s">
        <v>120</v>
      </c>
      <c r="BA4" s="53"/>
      <c r="BH4" s="24">
        <v>4862</v>
      </c>
      <c r="BI4" s="24">
        <f>3990</f>
        <v>3990</v>
      </c>
      <c r="BM4" s="395"/>
      <c r="BN4" s="395"/>
      <c r="BR4" s="395"/>
      <c r="BS4" s="395"/>
      <c r="FN4" s="24">
        <v>6.6</v>
      </c>
      <c r="FO4" s="24">
        <v>5.9</v>
      </c>
      <c r="FR4" s="24" t="s">
        <v>121</v>
      </c>
      <c r="GM4" s="12"/>
      <c r="GQ4" s="12"/>
      <c r="IO4" s="24" t="s">
        <v>714</v>
      </c>
    </row>
    <row r="5" spans="1:250" s="24" customFormat="1" x14ac:dyDescent="0.25">
      <c r="A5" s="24">
        <v>1</v>
      </c>
      <c r="B5" s="24" t="s">
        <v>111</v>
      </c>
      <c r="C5" s="24" t="s">
        <v>112</v>
      </c>
      <c r="D5" s="24">
        <v>2000</v>
      </c>
      <c r="F5" s="24" t="s">
        <v>113</v>
      </c>
      <c r="G5" s="24" t="s">
        <v>114</v>
      </c>
      <c r="H5" s="24" t="s">
        <v>2831</v>
      </c>
      <c r="I5" s="24">
        <v>40.71</v>
      </c>
      <c r="J5" s="24">
        <v>-74.010000000000005</v>
      </c>
      <c r="K5" s="24">
        <v>3.5</v>
      </c>
      <c r="Q5" s="42"/>
      <c r="R5" s="42"/>
      <c r="S5" s="42"/>
      <c r="T5" s="42"/>
      <c r="U5" s="24" t="s">
        <v>1381</v>
      </c>
      <c r="V5" s="24" t="s">
        <v>1381</v>
      </c>
      <c r="W5" s="24" t="s">
        <v>1381</v>
      </c>
      <c r="X5" s="24" t="s">
        <v>1381</v>
      </c>
      <c r="Z5" s="321"/>
      <c r="AA5" s="321"/>
      <c r="AB5" s="24" t="s">
        <v>1612</v>
      </c>
      <c r="AG5" s="24" t="s">
        <v>115</v>
      </c>
      <c r="AH5" s="138" t="s">
        <v>578</v>
      </c>
      <c r="AI5" s="24" t="s">
        <v>1614</v>
      </c>
      <c r="AJ5" s="140" t="s">
        <v>1617</v>
      </c>
      <c r="AT5" s="24" t="s">
        <v>120</v>
      </c>
      <c r="BA5" s="53"/>
      <c r="BM5" s="395"/>
      <c r="BN5" s="395"/>
      <c r="BR5" s="395"/>
      <c r="BS5" s="395"/>
      <c r="FN5" s="24">
        <v>6.6</v>
      </c>
      <c r="FO5" s="24">
        <v>5.7</v>
      </c>
      <c r="FR5" s="24" t="s">
        <v>121</v>
      </c>
      <c r="GM5" s="12"/>
      <c r="GQ5" s="12"/>
      <c r="IO5" s="24" t="s">
        <v>714</v>
      </c>
    </row>
    <row r="6" spans="1:250" s="24" customFormat="1" x14ac:dyDescent="0.25">
      <c r="A6" s="24">
        <v>1</v>
      </c>
      <c r="B6" s="24" t="s">
        <v>111</v>
      </c>
      <c r="C6" s="24" t="s">
        <v>112</v>
      </c>
      <c r="D6" s="24">
        <v>2000</v>
      </c>
      <c r="F6" s="24" t="s">
        <v>113</v>
      </c>
      <c r="G6" s="24" t="s">
        <v>114</v>
      </c>
      <c r="H6" s="24" t="s">
        <v>2831</v>
      </c>
      <c r="I6" s="24">
        <v>40.71</v>
      </c>
      <c r="J6" s="24">
        <v>-74.010000000000005</v>
      </c>
      <c r="K6" s="24">
        <v>3.5</v>
      </c>
      <c r="Q6" s="42"/>
      <c r="R6" s="42"/>
      <c r="S6" s="42"/>
      <c r="T6" s="42"/>
      <c r="U6" s="24" t="s">
        <v>1381</v>
      </c>
      <c r="V6" s="24" t="s">
        <v>1381</v>
      </c>
      <c r="W6" s="24" t="s">
        <v>1381</v>
      </c>
      <c r="X6" s="24" t="s">
        <v>1381</v>
      </c>
      <c r="Z6" s="321"/>
      <c r="AA6" s="321"/>
      <c r="AB6" s="24" t="s">
        <v>1612</v>
      </c>
      <c r="AG6" s="24" t="s">
        <v>116</v>
      </c>
      <c r="AH6" s="138" t="s">
        <v>132</v>
      </c>
      <c r="AI6" s="24" t="s">
        <v>1614</v>
      </c>
      <c r="AJ6" s="140" t="s">
        <v>1617</v>
      </c>
      <c r="AT6" s="24" t="s">
        <v>120</v>
      </c>
      <c r="BA6" s="53"/>
      <c r="BM6" s="395"/>
      <c r="BN6" s="395"/>
      <c r="BR6" s="395"/>
      <c r="BS6" s="395"/>
      <c r="FN6" s="24">
        <v>6.6</v>
      </c>
      <c r="FO6" s="24">
        <v>5.6</v>
      </c>
      <c r="FR6" s="24" t="s">
        <v>121</v>
      </c>
      <c r="GM6" s="12"/>
      <c r="GQ6" s="12"/>
      <c r="IO6" s="24" t="s">
        <v>714</v>
      </c>
    </row>
    <row r="7" spans="1:250" s="24" customFormat="1" x14ac:dyDescent="0.25">
      <c r="A7" s="24">
        <v>1</v>
      </c>
      <c r="B7" s="24" t="s">
        <v>111</v>
      </c>
      <c r="C7" s="24" t="s">
        <v>112</v>
      </c>
      <c r="D7" s="24">
        <v>2000</v>
      </c>
      <c r="F7" s="24" t="s">
        <v>113</v>
      </c>
      <c r="G7" s="24" t="s">
        <v>114</v>
      </c>
      <c r="H7" s="24" t="s">
        <v>2831</v>
      </c>
      <c r="I7" s="24">
        <v>40.71</v>
      </c>
      <c r="J7" s="24">
        <v>-74.010000000000005</v>
      </c>
      <c r="K7" s="24">
        <v>3.5</v>
      </c>
      <c r="Q7" s="42"/>
      <c r="R7" s="42"/>
      <c r="S7" s="42"/>
      <c r="T7" s="42"/>
      <c r="U7" s="24" t="s">
        <v>1381</v>
      </c>
      <c r="V7" s="24" t="s">
        <v>1381</v>
      </c>
      <c r="W7" s="24" t="s">
        <v>1381</v>
      </c>
      <c r="X7" s="24" t="s">
        <v>1381</v>
      </c>
      <c r="Z7" s="321"/>
      <c r="AA7" s="321"/>
      <c r="AB7" s="24" t="s">
        <v>1612</v>
      </c>
      <c r="AG7" s="24" t="s">
        <v>521</v>
      </c>
      <c r="AH7" s="138" t="s">
        <v>1585</v>
      </c>
      <c r="AI7" s="24" t="s">
        <v>1614</v>
      </c>
      <c r="AJ7" s="140" t="s">
        <v>1617</v>
      </c>
      <c r="AT7" s="24" t="s">
        <v>120</v>
      </c>
      <c r="BA7" s="53"/>
      <c r="BM7" s="395"/>
      <c r="BN7" s="395"/>
      <c r="BR7" s="395"/>
      <c r="BS7" s="395"/>
      <c r="FN7" s="24">
        <v>6.6</v>
      </c>
      <c r="FO7" s="24">
        <v>5.2</v>
      </c>
      <c r="FR7" s="24" t="s">
        <v>121</v>
      </c>
      <c r="GM7" s="12"/>
      <c r="GQ7" s="12"/>
      <c r="IO7" s="24" t="s">
        <v>714</v>
      </c>
    </row>
    <row r="8" spans="1:250" s="24" customFormat="1" x14ac:dyDescent="0.25">
      <c r="A8" s="24">
        <v>1</v>
      </c>
      <c r="B8" s="24" t="s">
        <v>111</v>
      </c>
      <c r="C8" s="24" t="s">
        <v>112</v>
      </c>
      <c r="D8" s="24">
        <v>2000</v>
      </c>
      <c r="F8" s="24" t="s">
        <v>113</v>
      </c>
      <c r="G8" s="24" t="s">
        <v>114</v>
      </c>
      <c r="H8" s="24" t="s">
        <v>2831</v>
      </c>
      <c r="I8" s="24">
        <v>40.71</v>
      </c>
      <c r="J8" s="24">
        <v>-74.010000000000005</v>
      </c>
      <c r="K8" s="24">
        <v>3.5</v>
      </c>
      <c r="Q8" s="42"/>
      <c r="R8" s="42"/>
      <c r="S8" s="42"/>
      <c r="T8" s="42"/>
      <c r="U8" s="24" t="s">
        <v>1381</v>
      </c>
      <c r="V8" s="24" t="s">
        <v>1381</v>
      </c>
      <c r="W8" s="24" t="s">
        <v>1381</v>
      </c>
      <c r="X8" s="24" t="s">
        <v>1381</v>
      </c>
      <c r="Z8" s="321"/>
      <c r="AA8" s="321"/>
      <c r="AB8" s="24" t="s">
        <v>1612</v>
      </c>
      <c r="AG8" s="24" t="s">
        <v>1516</v>
      </c>
      <c r="AH8" s="138" t="s">
        <v>1585</v>
      </c>
      <c r="AI8" s="24" t="s">
        <v>1614</v>
      </c>
      <c r="AJ8" s="140" t="s">
        <v>1617</v>
      </c>
      <c r="AT8" s="24" t="s">
        <v>120</v>
      </c>
      <c r="BA8" s="53"/>
      <c r="BM8" s="395"/>
      <c r="BN8" s="395"/>
      <c r="BR8" s="395"/>
      <c r="BS8" s="395"/>
      <c r="FN8" s="24">
        <v>6.6</v>
      </c>
      <c r="FO8" s="24">
        <v>4.9000000000000004</v>
      </c>
      <c r="FR8" s="24" t="s">
        <v>121</v>
      </c>
      <c r="GM8" s="12"/>
      <c r="GQ8" s="12"/>
      <c r="IO8" s="24" t="s">
        <v>714</v>
      </c>
    </row>
    <row r="9" spans="1:250" s="24" customFormat="1" x14ac:dyDescent="0.25">
      <c r="A9" s="24">
        <v>1</v>
      </c>
      <c r="B9" s="24" t="s">
        <v>111</v>
      </c>
      <c r="C9" s="24" t="s">
        <v>112</v>
      </c>
      <c r="D9" s="24">
        <v>2000</v>
      </c>
      <c r="F9" s="24" t="s">
        <v>113</v>
      </c>
      <c r="G9" s="24" t="s">
        <v>114</v>
      </c>
      <c r="H9" s="24" t="s">
        <v>2831</v>
      </c>
      <c r="I9" s="24">
        <v>40.71</v>
      </c>
      <c r="J9" s="24">
        <v>-74.010000000000005</v>
      </c>
      <c r="K9" s="24">
        <v>3.5</v>
      </c>
      <c r="Q9" s="42"/>
      <c r="R9" s="42"/>
      <c r="S9" s="42"/>
      <c r="T9" s="42"/>
      <c r="U9" s="24" t="s">
        <v>1381</v>
      </c>
      <c r="V9" s="24" t="s">
        <v>1381</v>
      </c>
      <c r="W9" s="24" t="s">
        <v>1381</v>
      </c>
      <c r="X9" s="24" t="s">
        <v>1381</v>
      </c>
      <c r="Z9" s="321"/>
      <c r="AA9" s="321"/>
      <c r="AB9" s="24" t="s">
        <v>1612</v>
      </c>
      <c r="AG9" s="24" t="s">
        <v>1517</v>
      </c>
      <c r="AH9" s="138" t="s">
        <v>132</v>
      </c>
      <c r="AI9" s="24" t="s">
        <v>1614</v>
      </c>
      <c r="AJ9" s="140" t="s">
        <v>1617</v>
      </c>
      <c r="AT9" s="24" t="s">
        <v>120</v>
      </c>
      <c r="BA9" s="53"/>
      <c r="BH9" s="24">
        <v>4862</v>
      </c>
      <c r="BI9" s="24">
        <v>5240</v>
      </c>
      <c r="BM9" s="395"/>
      <c r="BN9" s="395"/>
      <c r="BR9" s="395"/>
      <c r="BS9" s="395"/>
      <c r="FN9" s="24">
        <v>6.6</v>
      </c>
      <c r="FO9" s="24">
        <v>4.7</v>
      </c>
      <c r="FR9" s="24" t="s">
        <v>121</v>
      </c>
      <c r="GM9" s="12"/>
      <c r="GQ9" s="12"/>
      <c r="IO9" s="24" t="s">
        <v>714</v>
      </c>
    </row>
    <row r="10" spans="1:250" s="24" customFormat="1" x14ac:dyDescent="0.25">
      <c r="A10" s="24">
        <v>1</v>
      </c>
      <c r="B10" s="24" t="s">
        <v>111</v>
      </c>
      <c r="C10" s="24" t="s">
        <v>112</v>
      </c>
      <c r="D10" s="24">
        <v>2000</v>
      </c>
      <c r="F10" s="24" t="s">
        <v>113</v>
      </c>
      <c r="G10" s="24" t="s">
        <v>114</v>
      </c>
      <c r="H10" s="24" t="s">
        <v>2831</v>
      </c>
      <c r="I10" s="24">
        <v>40.71</v>
      </c>
      <c r="J10" s="24">
        <v>-74.010000000000005</v>
      </c>
      <c r="K10" s="24">
        <v>3.5</v>
      </c>
      <c r="Q10" s="42"/>
      <c r="R10" s="42"/>
      <c r="S10" s="42"/>
      <c r="T10" s="42"/>
      <c r="U10" s="24" t="s">
        <v>1381</v>
      </c>
      <c r="V10" s="24" t="s">
        <v>1381</v>
      </c>
      <c r="W10" s="24" t="s">
        <v>1381</v>
      </c>
      <c r="X10" s="24" t="s">
        <v>1381</v>
      </c>
      <c r="Z10" s="321"/>
      <c r="AA10" s="321"/>
      <c r="AB10" s="24" t="s">
        <v>1612</v>
      </c>
      <c r="AG10" s="24" t="s">
        <v>117</v>
      </c>
      <c r="AH10" s="138" t="s">
        <v>1585</v>
      </c>
      <c r="AI10" s="24" t="s">
        <v>1614</v>
      </c>
      <c r="AJ10" s="140" t="s">
        <v>1617</v>
      </c>
      <c r="AT10" s="24" t="s">
        <v>120</v>
      </c>
      <c r="BA10" s="53"/>
      <c r="BM10" s="395"/>
      <c r="BN10" s="395"/>
      <c r="BR10" s="395"/>
      <c r="BS10" s="395"/>
      <c r="FN10" s="24">
        <v>6.6</v>
      </c>
      <c r="FO10" s="24">
        <v>4.5999999999999996</v>
      </c>
      <c r="FR10" s="24" t="s">
        <v>121</v>
      </c>
      <c r="GM10" s="12"/>
      <c r="GQ10" s="12"/>
      <c r="IO10" s="24" t="s">
        <v>714</v>
      </c>
    </row>
    <row r="11" spans="1:250" s="24" customFormat="1" x14ac:dyDescent="0.25">
      <c r="A11" s="24">
        <v>1</v>
      </c>
      <c r="B11" s="24" t="s">
        <v>111</v>
      </c>
      <c r="C11" s="24" t="s">
        <v>112</v>
      </c>
      <c r="D11" s="24">
        <v>2000</v>
      </c>
      <c r="F11" s="24" t="s">
        <v>113</v>
      </c>
      <c r="G11" s="24" t="s">
        <v>114</v>
      </c>
      <c r="H11" s="24" t="s">
        <v>2831</v>
      </c>
      <c r="I11" s="24">
        <v>40.71</v>
      </c>
      <c r="J11" s="24">
        <v>-74.010000000000005</v>
      </c>
      <c r="K11" s="24">
        <v>3.5</v>
      </c>
      <c r="Q11" s="42"/>
      <c r="R11" s="42"/>
      <c r="S11" s="42"/>
      <c r="T11" s="42"/>
      <c r="U11" s="24" t="s">
        <v>1381</v>
      </c>
      <c r="V11" s="24" t="s">
        <v>1381</v>
      </c>
      <c r="W11" s="24" t="s">
        <v>1381</v>
      </c>
      <c r="X11" s="24" t="s">
        <v>1381</v>
      </c>
      <c r="Z11" s="321"/>
      <c r="AA11" s="321"/>
      <c r="AB11" s="24" t="s">
        <v>1612</v>
      </c>
      <c r="AG11" s="24" t="s">
        <v>1518</v>
      </c>
      <c r="AH11" s="138" t="s">
        <v>578</v>
      </c>
      <c r="AI11" s="24" t="s">
        <v>1614</v>
      </c>
      <c r="AJ11" s="140" t="s">
        <v>1617</v>
      </c>
      <c r="AT11" s="24" t="s">
        <v>120</v>
      </c>
      <c r="BA11" s="53"/>
      <c r="BM11" s="395"/>
      <c r="BN11" s="395"/>
      <c r="BR11" s="395"/>
      <c r="BS11" s="395"/>
      <c r="FN11" s="24">
        <v>6.6</v>
      </c>
      <c r="FO11" s="24">
        <v>4.3</v>
      </c>
      <c r="FR11" s="24" t="s">
        <v>121</v>
      </c>
      <c r="GM11" s="12"/>
      <c r="GQ11" s="12"/>
      <c r="IO11" s="24" t="s">
        <v>714</v>
      </c>
    </row>
    <row r="12" spans="1:250" s="24" customFormat="1" x14ac:dyDescent="0.25">
      <c r="A12" s="24">
        <v>1</v>
      </c>
      <c r="B12" s="24" t="s">
        <v>111</v>
      </c>
      <c r="C12" s="24" t="s">
        <v>112</v>
      </c>
      <c r="D12" s="24">
        <v>2000</v>
      </c>
      <c r="F12" s="24" t="s">
        <v>113</v>
      </c>
      <c r="G12" s="24" t="s">
        <v>114</v>
      </c>
      <c r="H12" s="24" t="s">
        <v>2831</v>
      </c>
      <c r="I12" s="24">
        <v>40.71</v>
      </c>
      <c r="J12" s="24">
        <v>-74.010000000000005</v>
      </c>
      <c r="K12" s="24">
        <v>3.5</v>
      </c>
      <c r="Q12" s="42"/>
      <c r="R12" s="42"/>
      <c r="S12" s="42"/>
      <c r="T12" s="42"/>
      <c r="U12" s="24" t="s">
        <v>1381</v>
      </c>
      <c r="V12" s="24" t="s">
        <v>1381</v>
      </c>
      <c r="W12" s="24" t="s">
        <v>1381</v>
      </c>
      <c r="X12" s="24" t="s">
        <v>1381</v>
      </c>
      <c r="Z12" s="321"/>
      <c r="AA12" s="321"/>
      <c r="AB12" s="24" t="s">
        <v>1612</v>
      </c>
      <c r="AG12" s="24" t="s">
        <v>118</v>
      </c>
      <c r="AH12" s="138" t="s">
        <v>1131</v>
      </c>
      <c r="AI12" s="24" t="s">
        <v>1614</v>
      </c>
      <c r="AJ12" s="140" t="s">
        <v>1617</v>
      </c>
      <c r="AT12" s="24" t="s">
        <v>120</v>
      </c>
      <c r="BA12" s="53"/>
      <c r="BM12" s="395"/>
      <c r="BN12" s="395"/>
      <c r="BR12" s="395"/>
      <c r="BS12" s="395"/>
      <c r="FN12" s="24">
        <v>6.6</v>
      </c>
      <c r="FO12" s="24">
        <v>3.9</v>
      </c>
      <c r="FR12" s="24" t="s">
        <v>121</v>
      </c>
      <c r="GM12" s="12"/>
      <c r="GQ12" s="12"/>
      <c r="IO12" s="24" t="s">
        <v>714</v>
      </c>
    </row>
    <row r="13" spans="1:250" s="21" customFormat="1" x14ac:dyDescent="0.25">
      <c r="A13" s="21">
        <v>2</v>
      </c>
      <c r="B13" s="21" t="s">
        <v>126</v>
      </c>
      <c r="C13" s="21" t="s">
        <v>127</v>
      </c>
      <c r="D13" s="21">
        <v>1999</v>
      </c>
      <c r="E13" s="21">
        <v>1994</v>
      </c>
      <c r="F13" s="21" t="s">
        <v>128</v>
      </c>
      <c r="G13" s="21" t="s">
        <v>129</v>
      </c>
      <c r="H13" s="21" t="s">
        <v>2831</v>
      </c>
      <c r="I13" s="21">
        <v>45.231000000000002</v>
      </c>
      <c r="J13" s="21">
        <v>-122.756</v>
      </c>
      <c r="K13" s="21">
        <v>48.4</v>
      </c>
      <c r="O13" s="21">
        <v>1040</v>
      </c>
      <c r="P13" s="21" t="s">
        <v>134</v>
      </c>
      <c r="Q13" s="43">
        <v>6</v>
      </c>
      <c r="R13" s="43" t="s">
        <v>1852</v>
      </c>
      <c r="S13" s="43"/>
      <c r="T13" s="43" t="s">
        <v>1853</v>
      </c>
      <c r="U13" s="43" t="s">
        <v>1383</v>
      </c>
      <c r="V13" s="43" t="s">
        <v>1722</v>
      </c>
      <c r="W13" s="43" t="s">
        <v>1383</v>
      </c>
      <c r="X13" s="43" t="s">
        <v>1383</v>
      </c>
      <c r="Z13" s="322">
        <v>31.3</v>
      </c>
      <c r="AA13" s="322">
        <v>54</v>
      </c>
      <c r="AB13" s="21" t="s">
        <v>451</v>
      </c>
      <c r="AF13" s="21" t="s">
        <v>1309</v>
      </c>
      <c r="AG13" s="21" t="s">
        <v>132</v>
      </c>
      <c r="AH13" s="138" t="s">
        <v>132</v>
      </c>
      <c r="AI13" s="21" t="s">
        <v>1613</v>
      </c>
      <c r="AJ13" s="141" t="s">
        <v>1617</v>
      </c>
      <c r="AK13" s="21" t="s">
        <v>131</v>
      </c>
      <c r="AL13" s="21" t="s">
        <v>131</v>
      </c>
      <c r="AM13" s="21" t="s">
        <v>178</v>
      </c>
      <c r="AQ13" s="21" t="s">
        <v>613</v>
      </c>
      <c r="AR13" s="21" t="s">
        <v>613</v>
      </c>
      <c r="AT13" s="21" t="s">
        <v>120</v>
      </c>
      <c r="AU13" s="21">
        <v>2</v>
      </c>
      <c r="AW13" s="21" t="s">
        <v>142</v>
      </c>
      <c r="BA13" s="54"/>
      <c r="BM13" s="396"/>
      <c r="BN13" s="396"/>
      <c r="BR13" s="396">
        <v>3.93</v>
      </c>
      <c r="BS13" s="396">
        <v>3.43</v>
      </c>
      <c r="BV13" s="21" t="s">
        <v>155</v>
      </c>
      <c r="BW13" s="21">
        <v>971</v>
      </c>
      <c r="BX13" s="21">
        <v>947</v>
      </c>
      <c r="CA13" s="21" t="s">
        <v>235</v>
      </c>
      <c r="CL13" s="21">
        <v>5.75</v>
      </c>
      <c r="CM13" s="21">
        <v>5.83</v>
      </c>
      <c r="CQ13" s="21">
        <v>15.6</v>
      </c>
      <c r="CR13" s="21">
        <v>15.2</v>
      </c>
      <c r="GM13" s="12"/>
      <c r="GQ13" s="12"/>
      <c r="IA13" s="21">
        <v>140</v>
      </c>
      <c r="IB13" s="21">
        <v>177</v>
      </c>
    </row>
    <row r="14" spans="1:250" s="21" customFormat="1" x14ac:dyDescent="0.25">
      <c r="A14" s="21">
        <v>2</v>
      </c>
      <c r="B14" s="21" t="s">
        <v>126</v>
      </c>
      <c r="C14" s="21" t="s">
        <v>127</v>
      </c>
      <c r="D14" s="21">
        <v>1999</v>
      </c>
      <c r="E14" s="21">
        <v>1994</v>
      </c>
      <c r="F14" s="21" t="s">
        <v>128</v>
      </c>
      <c r="G14" s="21" t="s">
        <v>129</v>
      </c>
      <c r="H14" s="21" t="s">
        <v>2831</v>
      </c>
      <c r="I14" s="21">
        <v>45.231000000000002</v>
      </c>
      <c r="J14" s="21">
        <v>-122.756</v>
      </c>
      <c r="K14" s="21">
        <v>48.4</v>
      </c>
      <c r="O14" s="21">
        <v>1040</v>
      </c>
      <c r="P14" s="21" t="s">
        <v>134</v>
      </c>
      <c r="Q14" s="43">
        <v>6</v>
      </c>
      <c r="R14" s="43" t="s">
        <v>1852</v>
      </c>
      <c r="S14" s="43"/>
      <c r="T14" s="43" t="s">
        <v>1853</v>
      </c>
      <c r="U14" s="43" t="s">
        <v>1383</v>
      </c>
      <c r="V14" s="43" t="s">
        <v>1722</v>
      </c>
      <c r="W14" s="43" t="s">
        <v>1383</v>
      </c>
      <c r="X14" s="43" t="s">
        <v>1383</v>
      </c>
      <c r="Z14" s="322">
        <v>31.3</v>
      </c>
      <c r="AA14" s="322">
        <v>54</v>
      </c>
      <c r="AB14" s="21" t="s">
        <v>451</v>
      </c>
      <c r="AF14" s="21" t="s">
        <v>1309</v>
      </c>
      <c r="AG14" s="21" t="s">
        <v>1519</v>
      </c>
      <c r="AH14" s="138" t="s">
        <v>578</v>
      </c>
      <c r="AI14" s="21" t="s">
        <v>1613</v>
      </c>
      <c r="AJ14" s="141" t="s">
        <v>1617</v>
      </c>
      <c r="AK14" s="21" t="s">
        <v>131</v>
      </c>
      <c r="AL14" s="21" t="s">
        <v>131</v>
      </c>
      <c r="AM14" s="21" t="s">
        <v>178</v>
      </c>
      <c r="AQ14" s="21" t="s">
        <v>613</v>
      </c>
      <c r="AR14" s="21" t="s">
        <v>613</v>
      </c>
      <c r="AT14" s="21" t="s">
        <v>120</v>
      </c>
      <c r="AU14" s="21">
        <v>2</v>
      </c>
      <c r="AW14" s="21" t="s">
        <v>142</v>
      </c>
      <c r="BA14" s="54"/>
      <c r="BM14" s="396"/>
      <c r="BN14" s="396"/>
      <c r="BR14" s="396">
        <v>3.93</v>
      </c>
      <c r="BS14" s="396">
        <v>4.13</v>
      </c>
      <c r="BV14" s="21" t="s">
        <v>155</v>
      </c>
      <c r="BW14" s="21">
        <v>971</v>
      </c>
      <c r="BX14" s="21">
        <v>1120</v>
      </c>
      <c r="CA14" s="21" t="s">
        <v>235</v>
      </c>
      <c r="CL14" s="21">
        <v>5.75</v>
      </c>
      <c r="CM14" s="21">
        <v>5.9</v>
      </c>
      <c r="CQ14" s="21">
        <v>15.6</v>
      </c>
      <c r="CR14" s="21">
        <v>15</v>
      </c>
      <c r="GM14" s="12"/>
      <c r="GQ14" s="12"/>
      <c r="IA14" s="21">
        <v>140</v>
      </c>
      <c r="IB14" s="21">
        <v>158</v>
      </c>
    </row>
    <row r="15" spans="1:250" s="32" customFormat="1" x14ac:dyDescent="0.25">
      <c r="A15" s="32">
        <v>3</v>
      </c>
      <c r="B15" s="32" t="s">
        <v>136</v>
      </c>
      <c r="C15" s="32" t="s">
        <v>137</v>
      </c>
      <c r="D15" s="32">
        <v>2008</v>
      </c>
      <c r="E15" s="32">
        <v>2003</v>
      </c>
      <c r="F15" s="32" t="s">
        <v>138</v>
      </c>
      <c r="G15" s="32" t="s">
        <v>139</v>
      </c>
      <c r="H15" s="32" t="s">
        <v>2832</v>
      </c>
      <c r="I15" s="32">
        <v>49.69</v>
      </c>
      <c r="J15" s="32">
        <v>-112.84</v>
      </c>
      <c r="K15" s="32">
        <v>901</v>
      </c>
      <c r="Q15" s="44">
        <v>1</v>
      </c>
      <c r="R15" s="44" t="s">
        <v>1735</v>
      </c>
      <c r="S15" s="44"/>
      <c r="T15" s="44" t="s">
        <v>1854</v>
      </c>
      <c r="U15" s="44" t="s">
        <v>1381</v>
      </c>
      <c r="V15" s="44" t="s">
        <v>1381</v>
      </c>
      <c r="W15" s="44" t="s">
        <v>1381</v>
      </c>
      <c r="X15" s="44" t="s">
        <v>1381</v>
      </c>
      <c r="Z15" s="323">
        <v>37</v>
      </c>
      <c r="AA15" s="323">
        <v>30</v>
      </c>
      <c r="AB15" s="32" t="s">
        <v>140</v>
      </c>
      <c r="AF15" s="32" t="s">
        <v>1311</v>
      </c>
      <c r="AG15" s="32" t="s">
        <v>1565</v>
      </c>
      <c r="AH15" s="138" t="s">
        <v>132</v>
      </c>
      <c r="AI15" s="32" t="s">
        <v>1599</v>
      </c>
      <c r="AJ15" s="140" t="s">
        <v>1621</v>
      </c>
      <c r="AT15" s="32" t="s">
        <v>120</v>
      </c>
      <c r="AU15" s="32">
        <v>4</v>
      </c>
      <c r="AW15" s="32" t="s">
        <v>142</v>
      </c>
      <c r="AX15" s="32">
        <v>5520</v>
      </c>
      <c r="BA15" s="53"/>
      <c r="BB15" s="32" t="s">
        <v>144</v>
      </c>
      <c r="BH15" s="32">
        <v>16400</v>
      </c>
      <c r="BI15" s="32">
        <v>23300</v>
      </c>
      <c r="BM15" s="397"/>
      <c r="BN15" s="397"/>
      <c r="BR15" s="397"/>
      <c r="BS15" s="397"/>
      <c r="FI15" s="32">
        <v>17250</v>
      </c>
      <c r="FJ15" s="32">
        <v>7310</v>
      </c>
      <c r="GM15" s="12"/>
      <c r="GQ15" s="12"/>
    </row>
    <row r="16" spans="1:250" s="32" customFormat="1" x14ac:dyDescent="0.25">
      <c r="A16" s="32">
        <v>3</v>
      </c>
      <c r="B16" s="32" t="s">
        <v>136</v>
      </c>
      <c r="C16" s="32" t="s">
        <v>137</v>
      </c>
      <c r="D16" s="32">
        <v>2008</v>
      </c>
      <c r="E16" s="32">
        <v>2003</v>
      </c>
      <c r="F16" s="32" t="s">
        <v>138</v>
      </c>
      <c r="G16" s="32" t="s">
        <v>139</v>
      </c>
      <c r="H16" s="32" t="s">
        <v>2832</v>
      </c>
      <c r="I16" s="32">
        <v>49.69</v>
      </c>
      <c r="J16" s="32">
        <v>-112.84</v>
      </c>
      <c r="K16" s="32">
        <v>901</v>
      </c>
      <c r="Q16" s="44">
        <v>1</v>
      </c>
      <c r="R16" s="44" t="s">
        <v>1735</v>
      </c>
      <c r="S16" s="44"/>
      <c r="T16" s="44" t="s">
        <v>1854</v>
      </c>
      <c r="U16" s="44" t="s">
        <v>1381</v>
      </c>
      <c r="V16" s="44" t="s">
        <v>1381</v>
      </c>
      <c r="W16" s="44" t="s">
        <v>1381</v>
      </c>
      <c r="X16" s="44" t="s">
        <v>1381</v>
      </c>
      <c r="Z16" s="323">
        <v>37</v>
      </c>
      <c r="AA16" s="323">
        <v>30</v>
      </c>
      <c r="AB16" s="32" t="s">
        <v>140</v>
      </c>
      <c r="AF16" s="32" t="s">
        <v>1311</v>
      </c>
      <c r="AG16" s="32" t="s">
        <v>1574</v>
      </c>
      <c r="AH16" s="138" t="s">
        <v>1585</v>
      </c>
      <c r="AI16" s="32" t="s">
        <v>1599</v>
      </c>
      <c r="AJ16" s="140" t="s">
        <v>1621</v>
      </c>
      <c r="AT16" s="32" t="s">
        <v>120</v>
      </c>
      <c r="AU16" s="32">
        <v>4</v>
      </c>
      <c r="AW16" s="32" t="s">
        <v>142</v>
      </c>
      <c r="AX16" s="32">
        <v>1320</v>
      </c>
      <c r="BA16" s="53"/>
      <c r="BB16" s="32" t="s">
        <v>144</v>
      </c>
      <c r="BH16" s="32">
        <v>16400</v>
      </c>
      <c r="BI16" s="32">
        <v>19800</v>
      </c>
      <c r="BM16" s="397"/>
      <c r="BN16" s="397"/>
      <c r="BR16" s="397"/>
      <c r="BS16" s="397"/>
      <c r="FI16" s="32">
        <v>17250</v>
      </c>
      <c r="FJ16" s="32">
        <v>12510</v>
      </c>
      <c r="GM16" s="12"/>
      <c r="GQ16" s="12"/>
    </row>
    <row r="17" spans="1:199" s="32" customFormat="1" x14ac:dyDescent="0.25">
      <c r="A17" s="32">
        <v>3</v>
      </c>
      <c r="B17" s="32" t="s">
        <v>136</v>
      </c>
      <c r="C17" s="32" t="s">
        <v>137</v>
      </c>
      <c r="D17" s="32">
        <v>2008</v>
      </c>
      <c r="E17" s="32">
        <v>2003</v>
      </c>
      <c r="F17" s="32" t="s">
        <v>138</v>
      </c>
      <c r="G17" s="32" t="s">
        <v>139</v>
      </c>
      <c r="H17" s="32" t="s">
        <v>2832</v>
      </c>
      <c r="I17" s="32">
        <v>49.69</v>
      </c>
      <c r="J17" s="32">
        <v>-112.84</v>
      </c>
      <c r="K17" s="32">
        <v>901</v>
      </c>
      <c r="Q17" s="44">
        <v>1</v>
      </c>
      <c r="R17" s="44" t="s">
        <v>1735</v>
      </c>
      <c r="S17" s="44"/>
      <c r="T17" s="44" t="s">
        <v>1854</v>
      </c>
      <c r="U17" s="44" t="s">
        <v>1381</v>
      </c>
      <c r="V17" s="44" t="s">
        <v>1381</v>
      </c>
      <c r="W17" s="44" t="s">
        <v>1381</v>
      </c>
      <c r="X17" s="44" t="s">
        <v>1381</v>
      </c>
      <c r="Z17" s="323">
        <v>37</v>
      </c>
      <c r="AA17" s="323">
        <v>30</v>
      </c>
      <c r="AB17" s="32" t="s">
        <v>140</v>
      </c>
      <c r="AF17" s="32" t="s">
        <v>1311</v>
      </c>
      <c r="AG17" s="32" t="s">
        <v>1575</v>
      </c>
      <c r="AH17" s="138" t="s">
        <v>1585</v>
      </c>
      <c r="AI17" s="32" t="s">
        <v>1599</v>
      </c>
      <c r="AJ17" s="140" t="s">
        <v>1621</v>
      </c>
      <c r="AT17" s="32" t="s">
        <v>120</v>
      </c>
      <c r="AU17" s="32">
        <v>4</v>
      </c>
      <c r="AW17" s="32" t="s">
        <v>142</v>
      </c>
      <c r="AX17" s="32">
        <v>1170</v>
      </c>
      <c r="BA17" s="53"/>
      <c r="BB17" s="32" t="s">
        <v>144</v>
      </c>
      <c r="BH17" s="32">
        <v>16400</v>
      </c>
      <c r="BI17" s="32">
        <v>19600</v>
      </c>
      <c r="BM17" s="397"/>
      <c r="BN17" s="397"/>
      <c r="BR17" s="397"/>
      <c r="BS17" s="397"/>
      <c r="FI17" s="32">
        <v>17250</v>
      </c>
      <c r="FJ17" s="32">
        <v>12180</v>
      </c>
      <c r="GM17" s="12"/>
      <c r="GQ17" s="12"/>
    </row>
    <row r="18" spans="1:199" s="32" customFormat="1" x14ac:dyDescent="0.25">
      <c r="A18" s="32">
        <v>3</v>
      </c>
      <c r="B18" s="32" t="s">
        <v>136</v>
      </c>
      <c r="C18" s="32" t="s">
        <v>137</v>
      </c>
      <c r="D18" s="32">
        <v>2008</v>
      </c>
      <c r="E18" s="32">
        <v>2003</v>
      </c>
      <c r="F18" s="32" t="s">
        <v>138</v>
      </c>
      <c r="G18" s="32" t="s">
        <v>139</v>
      </c>
      <c r="H18" s="32" t="s">
        <v>2832</v>
      </c>
      <c r="I18" s="32">
        <v>49.69</v>
      </c>
      <c r="J18" s="32">
        <v>-112.84</v>
      </c>
      <c r="K18" s="32">
        <v>901</v>
      </c>
      <c r="Q18" s="44">
        <v>1</v>
      </c>
      <c r="R18" s="44" t="s">
        <v>1735</v>
      </c>
      <c r="S18" s="44"/>
      <c r="T18" s="44" t="s">
        <v>1854</v>
      </c>
      <c r="U18" s="44" t="s">
        <v>1381</v>
      </c>
      <c r="V18" s="44" t="s">
        <v>1381</v>
      </c>
      <c r="W18" s="44" t="s">
        <v>1381</v>
      </c>
      <c r="X18" s="44" t="s">
        <v>1381</v>
      </c>
      <c r="Z18" s="323">
        <v>37</v>
      </c>
      <c r="AA18" s="323">
        <v>30</v>
      </c>
      <c r="AB18" s="32" t="s">
        <v>140</v>
      </c>
      <c r="AF18" s="32" t="s">
        <v>1311</v>
      </c>
      <c r="AG18" s="32" t="s">
        <v>1566</v>
      </c>
      <c r="AH18" s="138" t="s">
        <v>132</v>
      </c>
      <c r="AI18" s="32" t="s">
        <v>1599</v>
      </c>
      <c r="AJ18" s="140" t="s">
        <v>1621</v>
      </c>
      <c r="AT18" s="32" t="s">
        <v>120</v>
      </c>
      <c r="AU18" s="32">
        <v>4</v>
      </c>
      <c r="AW18" s="32" t="s">
        <v>142</v>
      </c>
      <c r="AX18" s="32">
        <v>1480</v>
      </c>
      <c r="BA18" s="53"/>
      <c r="BB18" s="32" t="s">
        <v>144</v>
      </c>
      <c r="BH18" s="32">
        <v>16400</v>
      </c>
      <c r="BI18" s="32">
        <v>21400</v>
      </c>
      <c r="BM18" s="397"/>
      <c r="BN18" s="397"/>
      <c r="BR18" s="397"/>
      <c r="BS18" s="397"/>
      <c r="FI18" s="32">
        <v>17250</v>
      </c>
      <c r="FJ18" s="32">
        <v>11460</v>
      </c>
      <c r="GM18" s="12"/>
      <c r="GQ18" s="12"/>
    </row>
    <row r="19" spans="1:199" s="32" customFormat="1" x14ac:dyDescent="0.25">
      <c r="A19" s="32">
        <v>3</v>
      </c>
      <c r="B19" s="32" t="s">
        <v>136</v>
      </c>
      <c r="C19" s="32" t="s">
        <v>137</v>
      </c>
      <c r="D19" s="32">
        <v>2008</v>
      </c>
      <c r="E19" s="32">
        <v>2003</v>
      </c>
      <c r="F19" s="32" t="s">
        <v>138</v>
      </c>
      <c r="G19" s="32" t="s">
        <v>139</v>
      </c>
      <c r="H19" s="32" t="s">
        <v>2832</v>
      </c>
      <c r="I19" s="32">
        <v>49.69</v>
      </c>
      <c r="J19" s="32">
        <v>-112.84</v>
      </c>
      <c r="K19" s="32">
        <v>901</v>
      </c>
      <c r="Q19" s="44">
        <v>1</v>
      </c>
      <c r="R19" s="44" t="s">
        <v>1735</v>
      </c>
      <c r="S19" s="44"/>
      <c r="T19" s="44" t="s">
        <v>1854</v>
      </c>
      <c r="U19" s="44" t="s">
        <v>1381</v>
      </c>
      <c r="V19" s="44" t="s">
        <v>1381</v>
      </c>
      <c r="W19" s="44" t="s">
        <v>1381</v>
      </c>
      <c r="X19" s="44" t="s">
        <v>1381</v>
      </c>
      <c r="Z19" s="323">
        <v>37</v>
      </c>
      <c r="AA19" s="323">
        <v>30</v>
      </c>
      <c r="AB19" s="32" t="s">
        <v>140</v>
      </c>
      <c r="AF19" s="32" t="s">
        <v>1311</v>
      </c>
      <c r="AG19" s="32" t="s">
        <v>1570</v>
      </c>
      <c r="AH19" s="138" t="s">
        <v>1585</v>
      </c>
      <c r="AI19" s="32" t="s">
        <v>1599</v>
      </c>
      <c r="AJ19" s="140" t="s">
        <v>1621</v>
      </c>
      <c r="AT19" s="32" t="s">
        <v>120</v>
      </c>
      <c r="AU19" s="32">
        <v>4</v>
      </c>
      <c r="AW19" s="32" t="s">
        <v>142</v>
      </c>
      <c r="AX19" s="32">
        <v>690</v>
      </c>
      <c r="BA19" s="53"/>
      <c r="BB19" s="32" t="s">
        <v>144</v>
      </c>
      <c r="BH19" s="32">
        <v>16400</v>
      </c>
      <c r="BI19" s="32">
        <v>18000</v>
      </c>
      <c r="BM19" s="397"/>
      <c r="BN19" s="397"/>
      <c r="BR19" s="397"/>
      <c r="BS19" s="397"/>
      <c r="FI19" s="32">
        <v>17250</v>
      </c>
      <c r="FJ19" s="32">
        <v>15440</v>
      </c>
      <c r="GM19" s="12"/>
      <c r="GQ19" s="12"/>
    </row>
    <row r="20" spans="1:199" s="32" customFormat="1" x14ac:dyDescent="0.25">
      <c r="A20" s="32">
        <v>3</v>
      </c>
      <c r="B20" s="32" t="s">
        <v>136</v>
      </c>
      <c r="C20" s="32" t="s">
        <v>137</v>
      </c>
      <c r="D20" s="32">
        <v>2008</v>
      </c>
      <c r="E20" s="32">
        <v>2003</v>
      </c>
      <c r="F20" s="32" t="s">
        <v>138</v>
      </c>
      <c r="G20" s="32" t="s">
        <v>139</v>
      </c>
      <c r="H20" s="32" t="s">
        <v>2832</v>
      </c>
      <c r="I20" s="32">
        <v>49.69</v>
      </c>
      <c r="J20" s="32">
        <v>-112.84</v>
      </c>
      <c r="K20" s="32">
        <v>901</v>
      </c>
      <c r="Q20" s="44">
        <v>1</v>
      </c>
      <c r="R20" s="44" t="s">
        <v>1735</v>
      </c>
      <c r="S20" s="44"/>
      <c r="T20" s="44" t="s">
        <v>1854</v>
      </c>
      <c r="U20" s="44" t="s">
        <v>1381</v>
      </c>
      <c r="V20" s="44" t="s">
        <v>1381</v>
      </c>
      <c r="W20" s="44" t="s">
        <v>1381</v>
      </c>
      <c r="X20" s="44" t="s">
        <v>1381</v>
      </c>
      <c r="Z20" s="323">
        <v>37</v>
      </c>
      <c r="AA20" s="323">
        <v>30</v>
      </c>
      <c r="AB20" s="32" t="s">
        <v>140</v>
      </c>
      <c r="AF20" s="32" t="s">
        <v>1311</v>
      </c>
      <c r="AG20" s="32" t="s">
        <v>1571</v>
      </c>
      <c r="AH20" s="138" t="s">
        <v>1585</v>
      </c>
      <c r="AI20" s="32" t="s">
        <v>1599</v>
      </c>
      <c r="AJ20" s="140" t="s">
        <v>1621</v>
      </c>
      <c r="AT20" s="32" t="s">
        <v>120</v>
      </c>
      <c r="AU20" s="32">
        <v>4</v>
      </c>
      <c r="AW20" s="32" t="s">
        <v>142</v>
      </c>
      <c r="AX20" s="32">
        <v>400</v>
      </c>
      <c r="BA20" s="53"/>
      <c r="BB20" s="32" t="s">
        <v>144</v>
      </c>
      <c r="BH20" s="32">
        <v>16400</v>
      </c>
      <c r="BI20" s="32">
        <v>19100</v>
      </c>
      <c r="BM20" s="397"/>
      <c r="BN20" s="397"/>
      <c r="BR20" s="397"/>
      <c r="BS20" s="397"/>
      <c r="FI20" s="32">
        <v>17250</v>
      </c>
      <c r="FJ20" s="32">
        <v>12600</v>
      </c>
      <c r="GM20" s="12"/>
      <c r="GQ20" s="12"/>
    </row>
    <row r="21" spans="1:199" s="32" customFormat="1" x14ac:dyDescent="0.25">
      <c r="A21" s="32">
        <v>3</v>
      </c>
      <c r="B21" s="32" t="s">
        <v>136</v>
      </c>
      <c r="C21" s="32" t="s">
        <v>137</v>
      </c>
      <c r="D21" s="32">
        <v>2008</v>
      </c>
      <c r="E21" s="32">
        <v>2003</v>
      </c>
      <c r="F21" s="32" t="s">
        <v>138</v>
      </c>
      <c r="G21" s="32" t="s">
        <v>139</v>
      </c>
      <c r="H21" s="32" t="s">
        <v>2832</v>
      </c>
      <c r="I21" s="32">
        <v>49.69</v>
      </c>
      <c r="J21" s="32">
        <v>-112.84</v>
      </c>
      <c r="K21" s="32">
        <v>901</v>
      </c>
      <c r="Q21" s="44">
        <v>1</v>
      </c>
      <c r="R21" s="44" t="s">
        <v>1735</v>
      </c>
      <c r="S21" s="44"/>
      <c r="T21" s="44" t="s">
        <v>1854</v>
      </c>
      <c r="U21" s="44" t="s">
        <v>1381</v>
      </c>
      <c r="V21" s="44" t="s">
        <v>1381</v>
      </c>
      <c r="W21" s="44" t="s">
        <v>1381</v>
      </c>
      <c r="X21" s="44" t="s">
        <v>1381</v>
      </c>
      <c r="Z21" s="323">
        <v>37</v>
      </c>
      <c r="AA21" s="323">
        <v>30</v>
      </c>
      <c r="AB21" s="32" t="s">
        <v>140</v>
      </c>
      <c r="AF21" s="32" t="s">
        <v>1311</v>
      </c>
      <c r="AG21" s="32" t="s">
        <v>1564</v>
      </c>
      <c r="AH21" s="138" t="s">
        <v>132</v>
      </c>
      <c r="AI21" s="32" t="s">
        <v>1599</v>
      </c>
      <c r="AJ21" s="140" t="s">
        <v>1621</v>
      </c>
      <c r="AT21" s="32" t="s">
        <v>120</v>
      </c>
      <c r="AU21" s="32">
        <v>4</v>
      </c>
      <c r="AW21" s="32" t="s">
        <v>142</v>
      </c>
      <c r="AX21" s="32">
        <v>470</v>
      </c>
      <c r="BA21" s="53"/>
      <c r="BB21" s="32" t="s">
        <v>144</v>
      </c>
      <c r="BH21" s="32">
        <v>16400</v>
      </c>
      <c r="BI21" s="32">
        <v>18700</v>
      </c>
      <c r="BM21" s="397"/>
      <c r="BN21" s="397"/>
      <c r="BR21" s="397"/>
      <c r="BS21" s="397"/>
      <c r="FI21" s="32">
        <v>17250</v>
      </c>
      <c r="FJ21" s="32">
        <v>14400</v>
      </c>
      <c r="GM21" s="12"/>
      <c r="GQ21" s="12"/>
    </row>
    <row r="22" spans="1:199" s="32" customFormat="1" x14ac:dyDescent="0.25">
      <c r="A22" s="32">
        <v>3</v>
      </c>
      <c r="B22" s="32" t="s">
        <v>136</v>
      </c>
      <c r="C22" s="32" t="s">
        <v>137</v>
      </c>
      <c r="D22" s="32">
        <v>2008</v>
      </c>
      <c r="E22" s="32">
        <v>2004</v>
      </c>
      <c r="F22" s="32" t="s">
        <v>138</v>
      </c>
      <c r="G22" s="32" t="s">
        <v>139</v>
      </c>
      <c r="H22" s="32" t="s">
        <v>2832</v>
      </c>
      <c r="I22" s="32">
        <v>49.69</v>
      </c>
      <c r="J22" s="32">
        <v>-112.84</v>
      </c>
      <c r="K22" s="32">
        <v>901</v>
      </c>
      <c r="Q22" s="44">
        <v>2</v>
      </c>
      <c r="R22" s="44" t="s">
        <v>1735</v>
      </c>
      <c r="S22" s="44"/>
      <c r="T22" s="44" t="s">
        <v>1854</v>
      </c>
      <c r="U22" s="44" t="s">
        <v>1381</v>
      </c>
      <c r="V22" s="44" t="s">
        <v>1381</v>
      </c>
      <c r="W22" s="44" t="s">
        <v>1381</v>
      </c>
      <c r="X22" s="44" t="s">
        <v>1381</v>
      </c>
      <c r="Z22" s="323">
        <v>37</v>
      </c>
      <c r="AA22" s="323">
        <v>30</v>
      </c>
      <c r="AB22" s="32" t="s">
        <v>140</v>
      </c>
      <c r="AF22" s="32" t="s">
        <v>1311</v>
      </c>
      <c r="AG22" s="32" t="s">
        <v>1565</v>
      </c>
      <c r="AH22" s="138" t="s">
        <v>132</v>
      </c>
      <c r="AI22" s="32" t="s">
        <v>1599</v>
      </c>
      <c r="AJ22" s="140" t="s">
        <v>1621</v>
      </c>
      <c r="AT22" s="32" t="s">
        <v>120</v>
      </c>
      <c r="AU22" s="32">
        <v>4</v>
      </c>
      <c r="AW22" s="32" t="s">
        <v>142</v>
      </c>
      <c r="AX22" s="32">
        <v>6320</v>
      </c>
      <c r="BA22" s="53"/>
      <c r="BB22" s="32" t="s">
        <v>144</v>
      </c>
      <c r="BH22" s="32">
        <v>11200</v>
      </c>
      <c r="BI22" s="32">
        <v>15100</v>
      </c>
      <c r="BM22" s="397"/>
      <c r="BN22" s="397"/>
      <c r="BR22" s="397"/>
      <c r="BS22" s="397"/>
      <c r="FI22" s="32">
        <v>14530</v>
      </c>
      <c r="FJ22" s="32">
        <v>6600</v>
      </c>
      <c r="GM22" s="12"/>
      <c r="GQ22" s="12"/>
    </row>
    <row r="23" spans="1:199" s="32" customFormat="1" x14ac:dyDescent="0.25">
      <c r="A23" s="32">
        <v>3</v>
      </c>
      <c r="B23" s="32" t="s">
        <v>136</v>
      </c>
      <c r="C23" s="32" t="s">
        <v>137</v>
      </c>
      <c r="D23" s="32">
        <v>2008</v>
      </c>
      <c r="E23" s="32">
        <v>2004</v>
      </c>
      <c r="F23" s="32" t="s">
        <v>138</v>
      </c>
      <c r="G23" s="32" t="s">
        <v>139</v>
      </c>
      <c r="H23" s="32" t="s">
        <v>2832</v>
      </c>
      <c r="I23" s="32">
        <v>49.69</v>
      </c>
      <c r="J23" s="32">
        <v>-112.84</v>
      </c>
      <c r="K23" s="32">
        <v>901</v>
      </c>
      <c r="Q23" s="44">
        <v>2</v>
      </c>
      <c r="R23" s="44" t="s">
        <v>1735</v>
      </c>
      <c r="S23" s="44"/>
      <c r="T23" s="44" t="s">
        <v>1854</v>
      </c>
      <c r="U23" s="44" t="s">
        <v>1381</v>
      </c>
      <c r="V23" s="44" t="s">
        <v>1381</v>
      </c>
      <c r="W23" s="44" t="s">
        <v>1381</v>
      </c>
      <c r="X23" s="44" t="s">
        <v>1381</v>
      </c>
      <c r="Z23" s="323">
        <v>37</v>
      </c>
      <c r="AA23" s="323">
        <v>30</v>
      </c>
      <c r="AB23" s="32" t="s">
        <v>140</v>
      </c>
      <c r="AF23" s="32" t="s">
        <v>1311</v>
      </c>
      <c r="AG23" s="32" t="s">
        <v>1574</v>
      </c>
      <c r="AH23" s="138" t="s">
        <v>1585</v>
      </c>
      <c r="AI23" s="32" t="s">
        <v>1599</v>
      </c>
      <c r="AJ23" s="140" t="s">
        <v>1621</v>
      </c>
      <c r="AT23" s="32" t="s">
        <v>120</v>
      </c>
      <c r="AU23" s="32">
        <v>4</v>
      </c>
      <c r="AW23" s="32" t="s">
        <v>142</v>
      </c>
      <c r="AX23" s="32">
        <v>990</v>
      </c>
      <c r="BA23" s="53"/>
      <c r="BB23" s="32" t="s">
        <v>144</v>
      </c>
      <c r="BH23" s="32">
        <v>11200</v>
      </c>
      <c r="BI23" s="32">
        <v>12700</v>
      </c>
      <c r="BM23" s="397"/>
      <c r="BN23" s="397"/>
      <c r="BR23" s="397"/>
      <c r="BS23" s="397"/>
      <c r="FI23" s="32">
        <v>14530</v>
      </c>
      <c r="FJ23" s="32">
        <v>11830</v>
      </c>
      <c r="GM23" s="12"/>
      <c r="GQ23" s="12"/>
    </row>
    <row r="24" spans="1:199" s="32" customFormat="1" x14ac:dyDescent="0.25">
      <c r="A24" s="32">
        <v>3</v>
      </c>
      <c r="B24" s="32" t="s">
        <v>136</v>
      </c>
      <c r="C24" s="32" t="s">
        <v>137</v>
      </c>
      <c r="D24" s="32">
        <v>2008</v>
      </c>
      <c r="E24" s="32">
        <v>2004</v>
      </c>
      <c r="F24" s="32" t="s">
        <v>138</v>
      </c>
      <c r="G24" s="32" t="s">
        <v>139</v>
      </c>
      <c r="H24" s="32" t="s">
        <v>2832</v>
      </c>
      <c r="I24" s="32">
        <v>49.69</v>
      </c>
      <c r="J24" s="32">
        <v>-112.84</v>
      </c>
      <c r="K24" s="32">
        <v>901</v>
      </c>
      <c r="Q24" s="44">
        <v>2</v>
      </c>
      <c r="R24" s="44" t="s">
        <v>1735</v>
      </c>
      <c r="S24" s="44"/>
      <c r="T24" s="44" t="s">
        <v>1854</v>
      </c>
      <c r="U24" s="44" t="s">
        <v>1381</v>
      </c>
      <c r="V24" s="44" t="s">
        <v>1381</v>
      </c>
      <c r="W24" s="44" t="s">
        <v>1381</v>
      </c>
      <c r="X24" s="44" t="s">
        <v>1381</v>
      </c>
      <c r="Z24" s="323">
        <v>37</v>
      </c>
      <c r="AA24" s="323">
        <v>30</v>
      </c>
      <c r="AB24" s="32" t="s">
        <v>140</v>
      </c>
      <c r="AF24" s="32" t="s">
        <v>1311</v>
      </c>
      <c r="AG24" s="32" t="s">
        <v>1575</v>
      </c>
      <c r="AH24" s="138" t="s">
        <v>1585</v>
      </c>
      <c r="AI24" s="32" t="s">
        <v>1599</v>
      </c>
      <c r="AJ24" s="140" t="s">
        <v>1621</v>
      </c>
      <c r="AT24" s="32" t="s">
        <v>120</v>
      </c>
      <c r="AU24" s="32">
        <v>4</v>
      </c>
      <c r="AW24" s="32" t="s">
        <v>142</v>
      </c>
      <c r="AX24" s="32">
        <v>1070</v>
      </c>
      <c r="BA24" s="53"/>
      <c r="BB24" s="32" t="s">
        <v>144</v>
      </c>
      <c r="BH24" s="32">
        <v>11200</v>
      </c>
      <c r="BI24" s="32">
        <v>13600</v>
      </c>
      <c r="BM24" s="397"/>
      <c r="BN24" s="397"/>
      <c r="BR24" s="397"/>
      <c r="BS24" s="397"/>
      <c r="FI24" s="32">
        <v>14530</v>
      </c>
      <c r="FJ24" s="32">
        <v>10700</v>
      </c>
      <c r="GM24" s="12"/>
      <c r="GQ24" s="12"/>
    </row>
    <row r="25" spans="1:199" s="32" customFormat="1" x14ac:dyDescent="0.25">
      <c r="A25" s="32">
        <v>3</v>
      </c>
      <c r="B25" s="32" t="s">
        <v>136</v>
      </c>
      <c r="C25" s="32" t="s">
        <v>137</v>
      </c>
      <c r="D25" s="32">
        <v>2008</v>
      </c>
      <c r="E25" s="32">
        <v>2004</v>
      </c>
      <c r="F25" s="32" t="s">
        <v>138</v>
      </c>
      <c r="G25" s="32" t="s">
        <v>139</v>
      </c>
      <c r="H25" s="32" t="s">
        <v>2832</v>
      </c>
      <c r="I25" s="32">
        <v>49.69</v>
      </c>
      <c r="J25" s="32">
        <v>-112.84</v>
      </c>
      <c r="K25" s="32">
        <v>901</v>
      </c>
      <c r="Q25" s="44">
        <v>2</v>
      </c>
      <c r="R25" s="44" t="s">
        <v>1735</v>
      </c>
      <c r="S25" s="44"/>
      <c r="T25" s="44" t="s">
        <v>1854</v>
      </c>
      <c r="U25" s="44" t="s">
        <v>1381</v>
      </c>
      <c r="V25" s="44" t="s">
        <v>1381</v>
      </c>
      <c r="W25" s="44" t="s">
        <v>1381</v>
      </c>
      <c r="X25" s="44" t="s">
        <v>1381</v>
      </c>
      <c r="Z25" s="323">
        <v>37</v>
      </c>
      <c r="AA25" s="323">
        <v>30</v>
      </c>
      <c r="AB25" s="32" t="s">
        <v>140</v>
      </c>
      <c r="AF25" s="32" t="s">
        <v>1311</v>
      </c>
      <c r="AG25" s="32" t="s">
        <v>1566</v>
      </c>
      <c r="AH25" s="138" t="s">
        <v>132</v>
      </c>
      <c r="AI25" s="32" t="s">
        <v>1599</v>
      </c>
      <c r="AJ25" s="140" t="s">
        <v>1621</v>
      </c>
      <c r="AT25" s="32" t="s">
        <v>120</v>
      </c>
      <c r="AU25" s="32">
        <v>4</v>
      </c>
      <c r="AW25" s="32" t="s">
        <v>142</v>
      </c>
      <c r="AX25" s="32">
        <v>1130</v>
      </c>
      <c r="BA25" s="53"/>
      <c r="BB25" s="32" t="s">
        <v>144</v>
      </c>
      <c r="BH25" s="32">
        <v>11200</v>
      </c>
      <c r="BI25" s="32">
        <v>12900</v>
      </c>
      <c r="BM25" s="397"/>
      <c r="BN25" s="397"/>
      <c r="BR25" s="397"/>
      <c r="BS25" s="397"/>
      <c r="FI25" s="32">
        <v>14530</v>
      </c>
      <c r="FJ25" s="32">
        <v>9940</v>
      </c>
      <c r="GM25" s="12"/>
      <c r="GQ25" s="12"/>
    </row>
    <row r="26" spans="1:199" s="32" customFormat="1" x14ac:dyDescent="0.25">
      <c r="A26" s="32">
        <v>3</v>
      </c>
      <c r="B26" s="32" t="s">
        <v>136</v>
      </c>
      <c r="C26" s="32" t="s">
        <v>137</v>
      </c>
      <c r="D26" s="32">
        <v>2008</v>
      </c>
      <c r="E26" s="32">
        <v>2004</v>
      </c>
      <c r="F26" s="32" t="s">
        <v>138</v>
      </c>
      <c r="G26" s="32" t="s">
        <v>139</v>
      </c>
      <c r="H26" s="32" t="s">
        <v>2832</v>
      </c>
      <c r="I26" s="32">
        <v>49.69</v>
      </c>
      <c r="J26" s="32">
        <v>-112.84</v>
      </c>
      <c r="K26" s="32">
        <v>901</v>
      </c>
      <c r="Q26" s="44">
        <v>2</v>
      </c>
      <c r="R26" s="44" t="s">
        <v>1735</v>
      </c>
      <c r="S26" s="44"/>
      <c r="T26" s="44" t="s">
        <v>1854</v>
      </c>
      <c r="U26" s="44" t="s">
        <v>1381</v>
      </c>
      <c r="V26" s="44" t="s">
        <v>1381</v>
      </c>
      <c r="W26" s="44" t="s">
        <v>1381</v>
      </c>
      <c r="X26" s="44" t="s">
        <v>1381</v>
      </c>
      <c r="Z26" s="323">
        <v>37</v>
      </c>
      <c r="AA26" s="323">
        <v>30</v>
      </c>
      <c r="AB26" s="32" t="s">
        <v>140</v>
      </c>
      <c r="AF26" s="32" t="s">
        <v>1311</v>
      </c>
      <c r="AG26" s="32" t="s">
        <v>1570</v>
      </c>
      <c r="AH26" s="138" t="s">
        <v>1585</v>
      </c>
      <c r="AI26" s="32" t="s">
        <v>1599</v>
      </c>
      <c r="AJ26" s="140" t="s">
        <v>1621</v>
      </c>
      <c r="AT26" s="32" t="s">
        <v>120</v>
      </c>
      <c r="AU26" s="32">
        <v>4</v>
      </c>
      <c r="AW26" s="32" t="s">
        <v>142</v>
      </c>
      <c r="AX26" s="32">
        <v>560</v>
      </c>
      <c r="BA26" s="53"/>
      <c r="BB26" s="32" t="s">
        <v>144</v>
      </c>
      <c r="BH26" s="32">
        <v>11200</v>
      </c>
      <c r="BI26" s="32">
        <v>11400</v>
      </c>
      <c r="BM26" s="397"/>
      <c r="BN26" s="397"/>
      <c r="BR26" s="397"/>
      <c r="BS26" s="397"/>
      <c r="FI26" s="32">
        <v>14530</v>
      </c>
      <c r="FJ26" s="32">
        <v>14000</v>
      </c>
      <c r="GM26" s="12"/>
      <c r="GQ26" s="12"/>
    </row>
    <row r="27" spans="1:199" s="32" customFormat="1" x14ac:dyDescent="0.25">
      <c r="A27" s="32">
        <v>3</v>
      </c>
      <c r="B27" s="32" t="s">
        <v>136</v>
      </c>
      <c r="C27" s="32" t="s">
        <v>137</v>
      </c>
      <c r="D27" s="32">
        <v>2008</v>
      </c>
      <c r="E27" s="32">
        <v>2004</v>
      </c>
      <c r="F27" s="32" t="s">
        <v>138</v>
      </c>
      <c r="G27" s="32" t="s">
        <v>139</v>
      </c>
      <c r="H27" s="32" t="s">
        <v>2832</v>
      </c>
      <c r="I27" s="32">
        <v>49.69</v>
      </c>
      <c r="J27" s="32">
        <v>-112.84</v>
      </c>
      <c r="K27" s="32">
        <v>901</v>
      </c>
      <c r="Q27" s="44">
        <v>2</v>
      </c>
      <c r="R27" s="44" t="s">
        <v>1735</v>
      </c>
      <c r="S27" s="44"/>
      <c r="T27" s="44" t="s">
        <v>1854</v>
      </c>
      <c r="U27" s="44" t="s">
        <v>1381</v>
      </c>
      <c r="V27" s="44" t="s">
        <v>1381</v>
      </c>
      <c r="W27" s="44" t="s">
        <v>1381</v>
      </c>
      <c r="X27" s="44" t="s">
        <v>1381</v>
      </c>
      <c r="Z27" s="323">
        <v>37</v>
      </c>
      <c r="AA27" s="323">
        <v>30</v>
      </c>
      <c r="AB27" s="32" t="s">
        <v>140</v>
      </c>
      <c r="AF27" s="32" t="s">
        <v>1311</v>
      </c>
      <c r="AG27" s="32" t="s">
        <v>1571</v>
      </c>
      <c r="AH27" s="138" t="s">
        <v>1585</v>
      </c>
      <c r="AI27" s="32" t="s">
        <v>1599</v>
      </c>
      <c r="AJ27" s="140" t="s">
        <v>1621</v>
      </c>
      <c r="AT27" s="32" t="s">
        <v>120</v>
      </c>
      <c r="AU27" s="32">
        <v>4</v>
      </c>
      <c r="AW27" s="32" t="s">
        <v>142</v>
      </c>
      <c r="AX27" s="32">
        <v>570</v>
      </c>
      <c r="BA27" s="53"/>
      <c r="BB27" s="32" t="s">
        <v>144</v>
      </c>
      <c r="BH27" s="32">
        <v>11200</v>
      </c>
      <c r="BI27" s="32">
        <v>12600</v>
      </c>
      <c r="BM27" s="397"/>
      <c r="BN27" s="397"/>
      <c r="BR27" s="397"/>
      <c r="BS27" s="397"/>
      <c r="FI27" s="32">
        <v>14530</v>
      </c>
      <c r="FJ27" s="32">
        <v>14190</v>
      </c>
      <c r="GM27" s="12"/>
      <c r="GQ27" s="12"/>
    </row>
    <row r="28" spans="1:199" s="32" customFormat="1" x14ac:dyDescent="0.25">
      <c r="A28" s="32">
        <v>3</v>
      </c>
      <c r="B28" s="32" t="s">
        <v>136</v>
      </c>
      <c r="C28" s="32" t="s">
        <v>137</v>
      </c>
      <c r="D28" s="32">
        <v>2008</v>
      </c>
      <c r="E28" s="32">
        <v>2004</v>
      </c>
      <c r="F28" s="32" t="s">
        <v>138</v>
      </c>
      <c r="G28" s="32" t="s">
        <v>139</v>
      </c>
      <c r="H28" s="32" t="s">
        <v>2832</v>
      </c>
      <c r="I28" s="32">
        <v>49.69</v>
      </c>
      <c r="J28" s="32">
        <v>-112.84</v>
      </c>
      <c r="K28" s="32">
        <v>901</v>
      </c>
      <c r="Q28" s="44">
        <v>2</v>
      </c>
      <c r="R28" s="44" t="s">
        <v>1735</v>
      </c>
      <c r="S28" s="44"/>
      <c r="T28" s="44" t="s">
        <v>1854</v>
      </c>
      <c r="U28" s="44" t="s">
        <v>1381</v>
      </c>
      <c r="V28" s="44" t="s">
        <v>1381</v>
      </c>
      <c r="W28" s="44" t="s">
        <v>1381</v>
      </c>
      <c r="X28" s="44" t="s">
        <v>1381</v>
      </c>
      <c r="Z28" s="323">
        <v>37</v>
      </c>
      <c r="AA28" s="323">
        <v>30</v>
      </c>
      <c r="AB28" s="32" t="s">
        <v>140</v>
      </c>
      <c r="AF28" s="32" t="s">
        <v>1311</v>
      </c>
      <c r="AG28" s="32" t="s">
        <v>1564</v>
      </c>
      <c r="AH28" s="138" t="s">
        <v>132</v>
      </c>
      <c r="AI28" s="32" t="s">
        <v>1599</v>
      </c>
      <c r="AJ28" s="140" t="s">
        <v>1621</v>
      </c>
      <c r="AT28" s="32" t="s">
        <v>120</v>
      </c>
      <c r="AU28" s="32">
        <v>4</v>
      </c>
      <c r="AW28" s="32" t="s">
        <v>142</v>
      </c>
      <c r="AX28" s="32">
        <v>420</v>
      </c>
      <c r="BA28" s="53"/>
      <c r="BB28" s="32" t="s">
        <v>144</v>
      </c>
      <c r="BH28" s="32">
        <v>11200</v>
      </c>
      <c r="BI28" s="32">
        <v>11900</v>
      </c>
      <c r="BM28" s="397"/>
      <c r="BN28" s="397"/>
      <c r="BR28" s="397"/>
      <c r="BS28" s="397"/>
      <c r="FI28" s="32">
        <v>14530</v>
      </c>
      <c r="FJ28" s="32">
        <v>12700</v>
      </c>
      <c r="GM28" s="12"/>
      <c r="GQ28" s="12"/>
    </row>
    <row r="29" spans="1:199" s="32" customFormat="1" x14ac:dyDescent="0.25">
      <c r="A29" s="32">
        <v>3</v>
      </c>
      <c r="B29" s="32" t="s">
        <v>136</v>
      </c>
      <c r="C29" s="32" t="s">
        <v>137</v>
      </c>
      <c r="D29" s="32">
        <v>2008</v>
      </c>
      <c r="E29" s="32">
        <v>2005</v>
      </c>
      <c r="F29" s="32" t="s">
        <v>138</v>
      </c>
      <c r="G29" s="32" t="s">
        <v>139</v>
      </c>
      <c r="H29" s="32" t="s">
        <v>2832</v>
      </c>
      <c r="I29" s="32">
        <v>49.69</v>
      </c>
      <c r="J29" s="32">
        <v>-112.84</v>
      </c>
      <c r="K29" s="32">
        <v>901</v>
      </c>
      <c r="Q29" s="44">
        <v>3</v>
      </c>
      <c r="R29" s="44" t="s">
        <v>1735</v>
      </c>
      <c r="S29" s="44"/>
      <c r="T29" s="44" t="s">
        <v>1854</v>
      </c>
      <c r="U29" s="44" t="s">
        <v>1381</v>
      </c>
      <c r="V29" s="44" t="s">
        <v>1381</v>
      </c>
      <c r="W29" s="44" t="s">
        <v>1381</v>
      </c>
      <c r="X29" s="44" t="s">
        <v>1381</v>
      </c>
      <c r="Z29" s="323">
        <v>37</v>
      </c>
      <c r="AA29" s="323">
        <v>30</v>
      </c>
      <c r="AB29" s="32" t="s">
        <v>140</v>
      </c>
      <c r="AF29" s="32" t="s">
        <v>1311</v>
      </c>
      <c r="AG29" s="32" t="s">
        <v>1565</v>
      </c>
      <c r="AH29" s="138" t="s">
        <v>132</v>
      </c>
      <c r="AI29" s="32" t="s">
        <v>1599</v>
      </c>
      <c r="AJ29" s="140" t="s">
        <v>1621</v>
      </c>
      <c r="AT29" s="32" t="s">
        <v>120</v>
      </c>
      <c r="AU29" s="32">
        <v>4</v>
      </c>
      <c r="AW29" s="32" t="s">
        <v>142</v>
      </c>
      <c r="AX29" s="32">
        <v>7940</v>
      </c>
      <c r="BA29" s="53"/>
      <c r="BB29" s="32" t="s">
        <v>144</v>
      </c>
      <c r="BH29" s="32">
        <v>4400</v>
      </c>
      <c r="BI29" s="32">
        <v>8400</v>
      </c>
      <c r="BM29" s="397"/>
      <c r="BN29" s="397"/>
      <c r="BR29" s="397"/>
      <c r="BS29" s="397"/>
      <c r="FI29" s="32">
        <v>19940</v>
      </c>
      <c r="FJ29" s="32">
        <v>12920</v>
      </c>
      <c r="GM29" s="12"/>
      <c r="GQ29" s="12"/>
    </row>
    <row r="30" spans="1:199" s="32" customFormat="1" x14ac:dyDescent="0.25">
      <c r="A30" s="32">
        <v>3</v>
      </c>
      <c r="B30" s="32" t="s">
        <v>136</v>
      </c>
      <c r="C30" s="32" t="s">
        <v>137</v>
      </c>
      <c r="D30" s="32">
        <v>2008</v>
      </c>
      <c r="E30" s="32">
        <v>2005</v>
      </c>
      <c r="F30" s="32" t="s">
        <v>138</v>
      </c>
      <c r="G30" s="32" t="s">
        <v>139</v>
      </c>
      <c r="H30" s="32" t="s">
        <v>2832</v>
      </c>
      <c r="I30" s="32">
        <v>49.69</v>
      </c>
      <c r="J30" s="32">
        <v>-112.84</v>
      </c>
      <c r="K30" s="32">
        <v>901</v>
      </c>
      <c r="Q30" s="44">
        <v>3</v>
      </c>
      <c r="R30" s="44" t="s">
        <v>1735</v>
      </c>
      <c r="S30" s="44"/>
      <c r="T30" s="44" t="s">
        <v>1854</v>
      </c>
      <c r="U30" s="44" t="s">
        <v>1381</v>
      </c>
      <c r="V30" s="44" t="s">
        <v>1381</v>
      </c>
      <c r="W30" s="44" t="s">
        <v>1381</v>
      </c>
      <c r="X30" s="44" t="s">
        <v>1381</v>
      </c>
      <c r="Z30" s="323">
        <v>37</v>
      </c>
      <c r="AA30" s="323">
        <v>30</v>
      </c>
      <c r="AB30" s="32" t="s">
        <v>140</v>
      </c>
      <c r="AF30" s="32" t="s">
        <v>1311</v>
      </c>
      <c r="AG30" s="32" t="s">
        <v>1574</v>
      </c>
      <c r="AH30" s="138" t="s">
        <v>1585</v>
      </c>
      <c r="AI30" s="32" t="s">
        <v>1599</v>
      </c>
      <c r="AJ30" s="140" t="s">
        <v>1621</v>
      </c>
      <c r="AT30" s="32" t="s">
        <v>120</v>
      </c>
      <c r="AU30" s="32">
        <v>4</v>
      </c>
      <c r="AW30" s="32" t="s">
        <v>142</v>
      </c>
      <c r="AX30" s="32">
        <v>380</v>
      </c>
      <c r="BA30" s="53"/>
      <c r="BB30" s="32" t="s">
        <v>144</v>
      </c>
      <c r="BH30" s="32">
        <v>4400</v>
      </c>
      <c r="BI30" s="32">
        <v>6300</v>
      </c>
      <c r="BM30" s="397"/>
      <c r="BN30" s="397"/>
      <c r="BR30" s="397"/>
      <c r="BS30" s="397"/>
      <c r="FI30" s="32">
        <v>19940</v>
      </c>
      <c r="FJ30" s="32">
        <v>16720</v>
      </c>
      <c r="GM30" s="12"/>
      <c r="GQ30" s="12"/>
    </row>
    <row r="31" spans="1:199" s="32" customFormat="1" x14ac:dyDescent="0.25">
      <c r="A31" s="32">
        <v>3</v>
      </c>
      <c r="B31" s="32" t="s">
        <v>136</v>
      </c>
      <c r="C31" s="32" t="s">
        <v>137</v>
      </c>
      <c r="D31" s="32">
        <v>2008</v>
      </c>
      <c r="E31" s="32">
        <v>2005</v>
      </c>
      <c r="F31" s="32" t="s">
        <v>138</v>
      </c>
      <c r="G31" s="32" t="s">
        <v>139</v>
      </c>
      <c r="H31" s="32" t="s">
        <v>2832</v>
      </c>
      <c r="I31" s="32">
        <v>49.69</v>
      </c>
      <c r="J31" s="32">
        <v>-112.84</v>
      </c>
      <c r="K31" s="32">
        <v>901</v>
      </c>
      <c r="Q31" s="44">
        <v>3</v>
      </c>
      <c r="R31" s="44" t="s">
        <v>1735</v>
      </c>
      <c r="S31" s="44"/>
      <c r="T31" s="44" t="s">
        <v>1854</v>
      </c>
      <c r="U31" s="44" t="s">
        <v>1381</v>
      </c>
      <c r="V31" s="44" t="s">
        <v>1381</v>
      </c>
      <c r="W31" s="44" t="s">
        <v>1381</v>
      </c>
      <c r="X31" s="44" t="s">
        <v>1381</v>
      </c>
      <c r="Z31" s="323">
        <v>37</v>
      </c>
      <c r="AA31" s="323">
        <v>30</v>
      </c>
      <c r="AB31" s="32" t="s">
        <v>140</v>
      </c>
      <c r="AF31" s="32" t="s">
        <v>1311</v>
      </c>
      <c r="AG31" s="32" t="s">
        <v>1575</v>
      </c>
      <c r="AH31" s="138" t="s">
        <v>1585</v>
      </c>
      <c r="AI31" s="32" t="s">
        <v>1599</v>
      </c>
      <c r="AJ31" s="140" t="s">
        <v>1621</v>
      </c>
      <c r="AT31" s="32" t="s">
        <v>120</v>
      </c>
      <c r="AU31" s="32">
        <v>4</v>
      </c>
      <c r="AW31" s="32" t="s">
        <v>142</v>
      </c>
      <c r="AX31" s="32">
        <v>400</v>
      </c>
      <c r="BA31" s="53"/>
      <c r="BB31" s="32" t="s">
        <v>144</v>
      </c>
      <c r="BH31" s="32">
        <v>4400</v>
      </c>
      <c r="BI31" s="32">
        <v>6500</v>
      </c>
      <c r="BM31" s="397"/>
      <c r="BN31" s="397"/>
      <c r="BR31" s="397"/>
      <c r="BS31" s="397"/>
      <c r="FI31" s="32">
        <v>19940</v>
      </c>
      <c r="FJ31" s="32">
        <v>14690</v>
      </c>
      <c r="GM31" s="12"/>
      <c r="GQ31" s="12"/>
    </row>
    <row r="32" spans="1:199" s="32" customFormat="1" x14ac:dyDescent="0.25">
      <c r="A32" s="32">
        <v>3</v>
      </c>
      <c r="B32" s="32" t="s">
        <v>136</v>
      </c>
      <c r="C32" s="32" t="s">
        <v>137</v>
      </c>
      <c r="D32" s="32">
        <v>2008</v>
      </c>
      <c r="E32" s="32">
        <v>2005</v>
      </c>
      <c r="F32" s="32" t="s">
        <v>138</v>
      </c>
      <c r="G32" s="32" t="s">
        <v>139</v>
      </c>
      <c r="H32" s="32" t="s">
        <v>2832</v>
      </c>
      <c r="I32" s="32">
        <v>49.69</v>
      </c>
      <c r="J32" s="32">
        <v>-112.84</v>
      </c>
      <c r="K32" s="32">
        <v>901</v>
      </c>
      <c r="Q32" s="44">
        <v>3</v>
      </c>
      <c r="R32" s="44" t="s">
        <v>1735</v>
      </c>
      <c r="S32" s="44"/>
      <c r="T32" s="44" t="s">
        <v>1854</v>
      </c>
      <c r="U32" s="44" t="s">
        <v>1381</v>
      </c>
      <c r="V32" s="44" t="s">
        <v>1381</v>
      </c>
      <c r="W32" s="44" t="s">
        <v>1381</v>
      </c>
      <c r="X32" s="44" t="s">
        <v>1381</v>
      </c>
      <c r="Z32" s="323">
        <v>37</v>
      </c>
      <c r="AA32" s="323">
        <v>30</v>
      </c>
      <c r="AB32" s="32" t="s">
        <v>140</v>
      </c>
      <c r="AF32" s="32" t="s">
        <v>1311</v>
      </c>
      <c r="AG32" s="32" t="s">
        <v>1566</v>
      </c>
      <c r="AH32" s="138" t="s">
        <v>132</v>
      </c>
      <c r="AI32" s="32" t="s">
        <v>1599</v>
      </c>
      <c r="AJ32" s="140" t="s">
        <v>1621</v>
      </c>
      <c r="AT32" s="32" t="s">
        <v>120</v>
      </c>
      <c r="AU32" s="32">
        <v>4</v>
      </c>
      <c r="AW32" s="32" t="s">
        <v>142</v>
      </c>
      <c r="AX32" s="32">
        <v>1140</v>
      </c>
      <c r="BA32" s="53"/>
      <c r="BB32" s="32" t="s">
        <v>144</v>
      </c>
      <c r="BH32" s="32">
        <v>4400</v>
      </c>
      <c r="BI32" s="32">
        <v>5700</v>
      </c>
      <c r="BM32" s="397"/>
      <c r="BN32" s="397"/>
      <c r="BR32" s="397"/>
      <c r="BS32" s="397"/>
      <c r="FI32" s="32">
        <v>19940</v>
      </c>
      <c r="FJ32" s="32">
        <v>15610</v>
      </c>
      <c r="GM32" s="12"/>
      <c r="GQ32" s="12"/>
    </row>
    <row r="33" spans="1:199" s="32" customFormat="1" x14ac:dyDescent="0.25">
      <c r="A33" s="32">
        <v>3</v>
      </c>
      <c r="B33" s="32" t="s">
        <v>136</v>
      </c>
      <c r="C33" s="32" t="s">
        <v>137</v>
      </c>
      <c r="D33" s="32">
        <v>2008</v>
      </c>
      <c r="E33" s="32">
        <v>2005</v>
      </c>
      <c r="F33" s="32" t="s">
        <v>138</v>
      </c>
      <c r="G33" s="32" t="s">
        <v>139</v>
      </c>
      <c r="H33" s="32" t="s">
        <v>2832</v>
      </c>
      <c r="I33" s="32">
        <v>49.69</v>
      </c>
      <c r="J33" s="32">
        <v>-112.84</v>
      </c>
      <c r="K33" s="32">
        <v>901</v>
      </c>
      <c r="Q33" s="44">
        <v>3</v>
      </c>
      <c r="R33" s="44" t="s">
        <v>1735</v>
      </c>
      <c r="S33" s="44"/>
      <c r="T33" s="44" t="s">
        <v>1854</v>
      </c>
      <c r="U33" s="44" t="s">
        <v>1381</v>
      </c>
      <c r="V33" s="44" t="s">
        <v>1381</v>
      </c>
      <c r="W33" s="44" t="s">
        <v>1381</v>
      </c>
      <c r="X33" s="44" t="s">
        <v>1381</v>
      </c>
      <c r="Z33" s="323">
        <v>37</v>
      </c>
      <c r="AA33" s="323">
        <v>30</v>
      </c>
      <c r="AB33" s="32" t="s">
        <v>140</v>
      </c>
      <c r="AF33" s="32" t="s">
        <v>1311</v>
      </c>
      <c r="AG33" s="32" t="s">
        <v>1570</v>
      </c>
      <c r="AH33" s="138" t="s">
        <v>1585</v>
      </c>
      <c r="AI33" s="32" t="s">
        <v>1599</v>
      </c>
      <c r="AJ33" s="140" t="s">
        <v>1621</v>
      </c>
      <c r="AT33" s="32" t="s">
        <v>120</v>
      </c>
      <c r="AU33" s="32">
        <v>4</v>
      </c>
      <c r="AW33" s="32" t="s">
        <v>142</v>
      </c>
      <c r="AX33" s="32">
        <v>190</v>
      </c>
      <c r="BA33" s="53"/>
      <c r="BB33" s="32" t="s">
        <v>144</v>
      </c>
      <c r="BH33" s="32">
        <v>4400</v>
      </c>
      <c r="BI33" s="32">
        <v>4300</v>
      </c>
      <c r="BM33" s="397"/>
      <c r="BN33" s="397"/>
      <c r="BR33" s="397"/>
      <c r="BS33" s="397"/>
      <c r="FI33" s="32">
        <v>19940</v>
      </c>
      <c r="FJ33" s="32">
        <v>19570</v>
      </c>
      <c r="GM33" s="12"/>
      <c r="GQ33" s="12"/>
    </row>
    <row r="34" spans="1:199" s="32" customFormat="1" x14ac:dyDescent="0.25">
      <c r="A34" s="32">
        <v>3</v>
      </c>
      <c r="B34" s="32" t="s">
        <v>136</v>
      </c>
      <c r="C34" s="32" t="s">
        <v>137</v>
      </c>
      <c r="D34" s="32">
        <v>2008</v>
      </c>
      <c r="E34" s="32">
        <v>2005</v>
      </c>
      <c r="F34" s="32" t="s">
        <v>138</v>
      </c>
      <c r="G34" s="32" t="s">
        <v>139</v>
      </c>
      <c r="H34" s="32" t="s">
        <v>2832</v>
      </c>
      <c r="I34" s="32">
        <v>49.69</v>
      </c>
      <c r="J34" s="32">
        <v>-112.84</v>
      </c>
      <c r="K34" s="32">
        <v>901</v>
      </c>
      <c r="Q34" s="44">
        <v>3</v>
      </c>
      <c r="R34" s="44" t="s">
        <v>1735</v>
      </c>
      <c r="S34" s="44"/>
      <c r="T34" s="44" t="s">
        <v>1854</v>
      </c>
      <c r="U34" s="44" t="s">
        <v>1381</v>
      </c>
      <c r="V34" s="44" t="s">
        <v>1381</v>
      </c>
      <c r="W34" s="44" t="s">
        <v>1381</v>
      </c>
      <c r="X34" s="44" t="s">
        <v>1381</v>
      </c>
      <c r="Z34" s="323">
        <v>37</v>
      </c>
      <c r="AA34" s="323">
        <v>30</v>
      </c>
      <c r="AB34" s="32" t="s">
        <v>140</v>
      </c>
      <c r="AF34" s="32" t="s">
        <v>1311</v>
      </c>
      <c r="AG34" s="32" t="s">
        <v>1571</v>
      </c>
      <c r="AH34" s="138" t="s">
        <v>1585</v>
      </c>
      <c r="AI34" s="32" t="s">
        <v>1599</v>
      </c>
      <c r="AJ34" s="140" t="s">
        <v>1621</v>
      </c>
      <c r="AT34" s="32" t="s">
        <v>120</v>
      </c>
      <c r="AU34" s="32">
        <v>4</v>
      </c>
      <c r="AW34" s="32" t="s">
        <v>142</v>
      </c>
      <c r="AX34" s="32">
        <v>280</v>
      </c>
      <c r="BA34" s="53"/>
      <c r="BB34" s="32" t="s">
        <v>144</v>
      </c>
      <c r="BH34" s="32">
        <v>4400</v>
      </c>
      <c r="BI34" s="32">
        <v>4800</v>
      </c>
      <c r="BM34" s="397"/>
      <c r="BN34" s="397"/>
      <c r="BR34" s="397"/>
      <c r="BS34" s="397"/>
      <c r="FI34" s="32">
        <v>19940</v>
      </c>
      <c r="FJ34" s="32">
        <v>20400</v>
      </c>
      <c r="GM34" s="12"/>
      <c r="GQ34" s="12"/>
    </row>
    <row r="35" spans="1:199" s="32" customFormat="1" x14ac:dyDescent="0.25">
      <c r="A35" s="32">
        <v>3</v>
      </c>
      <c r="B35" s="32" t="s">
        <v>136</v>
      </c>
      <c r="C35" s="32" t="s">
        <v>137</v>
      </c>
      <c r="D35" s="32">
        <v>2008</v>
      </c>
      <c r="E35" s="32">
        <v>2005</v>
      </c>
      <c r="F35" s="32" t="s">
        <v>138</v>
      </c>
      <c r="G35" s="32" t="s">
        <v>139</v>
      </c>
      <c r="H35" s="32" t="s">
        <v>2832</v>
      </c>
      <c r="I35" s="32">
        <v>49.69</v>
      </c>
      <c r="J35" s="32">
        <v>-112.84</v>
      </c>
      <c r="K35" s="32">
        <v>901</v>
      </c>
      <c r="Q35" s="44">
        <v>3</v>
      </c>
      <c r="R35" s="44" t="s">
        <v>1735</v>
      </c>
      <c r="S35" s="44"/>
      <c r="T35" s="44" t="s">
        <v>1854</v>
      </c>
      <c r="U35" s="44" t="s">
        <v>1381</v>
      </c>
      <c r="V35" s="44" t="s">
        <v>1381</v>
      </c>
      <c r="W35" s="44" t="s">
        <v>1381</v>
      </c>
      <c r="X35" s="44" t="s">
        <v>1381</v>
      </c>
      <c r="Z35" s="323">
        <v>37</v>
      </c>
      <c r="AA35" s="323">
        <v>30</v>
      </c>
      <c r="AB35" s="32" t="s">
        <v>140</v>
      </c>
      <c r="AF35" s="32" t="s">
        <v>1311</v>
      </c>
      <c r="AG35" s="32" t="s">
        <v>1564</v>
      </c>
      <c r="AH35" s="138" t="s">
        <v>132</v>
      </c>
      <c r="AI35" s="32" t="s">
        <v>1599</v>
      </c>
      <c r="AJ35" s="140" t="s">
        <v>1621</v>
      </c>
      <c r="AT35" s="32" t="s">
        <v>120</v>
      </c>
      <c r="AU35" s="32">
        <v>4</v>
      </c>
      <c r="AW35" s="32" t="s">
        <v>142</v>
      </c>
      <c r="AX35" s="32">
        <v>230</v>
      </c>
      <c r="BA35" s="53"/>
      <c r="BB35" s="32" t="s">
        <v>144</v>
      </c>
      <c r="BH35" s="32">
        <v>4400</v>
      </c>
      <c r="BI35" s="32">
        <v>5000</v>
      </c>
      <c r="BM35" s="397"/>
      <c r="BN35" s="397"/>
      <c r="BR35" s="397"/>
      <c r="BS35" s="397"/>
      <c r="FI35" s="32">
        <v>19940</v>
      </c>
      <c r="FJ35" s="32">
        <v>20380</v>
      </c>
      <c r="GM35" s="12"/>
      <c r="GQ35" s="12"/>
    </row>
    <row r="36" spans="1:199" s="32" customFormat="1" x14ac:dyDescent="0.25">
      <c r="A36" s="32">
        <v>3</v>
      </c>
      <c r="B36" s="32" t="s">
        <v>136</v>
      </c>
      <c r="C36" s="32" t="s">
        <v>137</v>
      </c>
      <c r="D36" s="32">
        <v>2008</v>
      </c>
      <c r="E36" s="32">
        <v>2003</v>
      </c>
      <c r="F36" s="32" t="s">
        <v>138</v>
      </c>
      <c r="G36" s="32" t="s">
        <v>139</v>
      </c>
      <c r="H36" s="32" t="s">
        <v>2832</v>
      </c>
      <c r="I36" s="32">
        <v>49.69</v>
      </c>
      <c r="J36" s="32">
        <v>-112.84</v>
      </c>
      <c r="K36" s="32">
        <v>901</v>
      </c>
      <c r="Q36" s="44">
        <v>1</v>
      </c>
      <c r="R36" s="44" t="s">
        <v>1735</v>
      </c>
      <c r="S36" s="44"/>
      <c r="T36" s="44" t="s">
        <v>1854</v>
      </c>
      <c r="U36" s="44" t="s">
        <v>1381</v>
      </c>
      <c r="V36" s="44" t="s">
        <v>1381</v>
      </c>
      <c r="W36" s="44" t="s">
        <v>1381</v>
      </c>
      <c r="X36" s="44" t="s">
        <v>1381</v>
      </c>
      <c r="Z36" s="323">
        <v>37</v>
      </c>
      <c r="AA36" s="323">
        <v>30</v>
      </c>
      <c r="AB36" s="32" t="s">
        <v>140</v>
      </c>
      <c r="AF36" s="32" t="s">
        <v>1311</v>
      </c>
      <c r="AG36" s="32" t="s">
        <v>1565</v>
      </c>
      <c r="AH36" s="138" t="s">
        <v>132</v>
      </c>
      <c r="AI36" s="32" t="s">
        <v>1599</v>
      </c>
      <c r="AJ36" s="140" t="s">
        <v>1621</v>
      </c>
      <c r="AT36" s="32" t="s">
        <v>120</v>
      </c>
      <c r="AU36" s="32">
        <v>4</v>
      </c>
      <c r="AW36" s="32" t="s">
        <v>142</v>
      </c>
      <c r="AX36" s="32">
        <v>5520</v>
      </c>
      <c r="BA36" s="53"/>
      <c r="BB36" s="32" t="s">
        <v>145</v>
      </c>
      <c r="BH36" s="32">
        <v>33800</v>
      </c>
      <c r="BI36" s="32">
        <v>37300</v>
      </c>
      <c r="BM36" s="397"/>
      <c r="BN36" s="397"/>
      <c r="BR36" s="397"/>
      <c r="BS36" s="397"/>
      <c r="FI36" s="32">
        <v>3010</v>
      </c>
      <c r="FJ36" s="32">
        <v>1420</v>
      </c>
      <c r="GM36" s="12"/>
      <c r="GQ36" s="12"/>
    </row>
    <row r="37" spans="1:199" s="32" customFormat="1" x14ac:dyDescent="0.25">
      <c r="A37" s="32">
        <v>3</v>
      </c>
      <c r="B37" s="32" t="s">
        <v>136</v>
      </c>
      <c r="C37" s="32" t="s">
        <v>137</v>
      </c>
      <c r="D37" s="32">
        <v>2008</v>
      </c>
      <c r="E37" s="32">
        <v>2003</v>
      </c>
      <c r="F37" s="32" t="s">
        <v>138</v>
      </c>
      <c r="G37" s="32" t="s">
        <v>139</v>
      </c>
      <c r="H37" s="32" t="s">
        <v>2832</v>
      </c>
      <c r="I37" s="32">
        <v>49.69</v>
      </c>
      <c r="J37" s="32">
        <v>-112.84</v>
      </c>
      <c r="K37" s="32">
        <v>901</v>
      </c>
      <c r="Q37" s="44">
        <v>1</v>
      </c>
      <c r="R37" s="44" t="s">
        <v>1735</v>
      </c>
      <c r="S37" s="44"/>
      <c r="T37" s="44" t="s">
        <v>1854</v>
      </c>
      <c r="U37" s="44" t="s">
        <v>1381</v>
      </c>
      <c r="V37" s="44" t="s">
        <v>1381</v>
      </c>
      <c r="W37" s="44" t="s">
        <v>1381</v>
      </c>
      <c r="X37" s="44" t="s">
        <v>1381</v>
      </c>
      <c r="Z37" s="323">
        <v>37</v>
      </c>
      <c r="AA37" s="323">
        <v>30</v>
      </c>
      <c r="AB37" s="32" t="s">
        <v>140</v>
      </c>
      <c r="AF37" s="32" t="s">
        <v>1311</v>
      </c>
      <c r="AG37" s="32" t="s">
        <v>1574</v>
      </c>
      <c r="AH37" s="138" t="s">
        <v>1585</v>
      </c>
      <c r="AI37" s="32" t="s">
        <v>1599</v>
      </c>
      <c r="AJ37" s="140" t="s">
        <v>1621</v>
      </c>
      <c r="AT37" s="32" t="s">
        <v>120</v>
      </c>
      <c r="AU37" s="32">
        <v>4</v>
      </c>
      <c r="AW37" s="32" t="s">
        <v>142</v>
      </c>
      <c r="AX37" s="32">
        <v>1320</v>
      </c>
      <c r="BA37" s="53"/>
      <c r="BB37" s="32" t="s">
        <v>145</v>
      </c>
      <c r="BH37" s="32">
        <v>33800</v>
      </c>
      <c r="BI37" s="32">
        <v>35600</v>
      </c>
      <c r="BM37" s="397"/>
      <c r="BN37" s="397"/>
      <c r="BR37" s="397"/>
      <c r="BS37" s="397"/>
      <c r="FI37" s="32">
        <v>3010</v>
      </c>
      <c r="FJ37" s="32">
        <v>3470</v>
      </c>
      <c r="GM37" s="12"/>
      <c r="GQ37" s="12"/>
    </row>
    <row r="38" spans="1:199" s="32" customFormat="1" x14ac:dyDescent="0.25">
      <c r="A38" s="32">
        <v>3</v>
      </c>
      <c r="B38" s="32" t="s">
        <v>136</v>
      </c>
      <c r="C38" s="32" t="s">
        <v>137</v>
      </c>
      <c r="D38" s="32">
        <v>2008</v>
      </c>
      <c r="E38" s="32">
        <v>2003</v>
      </c>
      <c r="F38" s="32" t="s">
        <v>138</v>
      </c>
      <c r="G38" s="32" t="s">
        <v>139</v>
      </c>
      <c r="H38" s="32" t="s">
        <v>2832</v>
      </c>
      <c r="I38" s="32">
        <v>49.69</v>
      </c>
      <c r="J38" s="32">
        <v>-112.84</v>
      </c>
      <c r="K38" s="32">
        <v>901</v>
      </c>
      <c r="Q38" s="44">
        <v>1</v>
      </c>
      <c r="R38" s="44" t="s">
        <v>1735</v>
      </c>
      <c r="S38" s="44"/>
      <c r="T38" s="44" t="s">
        <v>1854</v>
      </c>
      <c r="U38" s="44" t="s">
        <v>1381</v>
      </c>
      <c r="V38" s="44" t="s">
        <v>1381</v>
      </c>
      <c r="W38" s="44" t="s">
        <v>1381</v>
      </c>
      <c r="X38" s="44" t="s">
        <v>1381</v>
      </c>
      <c r="Z38" s="323">
        <v>37</v>
      </c>
      <c r="AA38" s="323">
        <v>30</v>
      </c>
      <c r="AB38" s="32" t="s">
        <v>140</v>
      </c>
      <c r="AF38" s="32" t="s">
        <v>1311</v>
      </c>
      <c r="AG38" s="32" t="s">
        <v>1575</v>
      </c>
      <c r="AH38" s="138" t="s">
        <v>1585</v>
      </c>
      <c r="AI38" s="32" t="s">
        <v>1599</v>
      </c>
      <c r="AJ38" s="140" t="s">
        <v>1621</v>
      </c>
      <c r="AT38" s="32" t="s">
        <v>120</v>
      </c>
      <c r="AU38" s="32">
        <v>4</v>
      </c>
      <c r="AW38" s="32" t="s">
        <v>142</v>
      </c>
      <c r="AX38" s="32">
        <v>1170</v>
      </c>
      <c r="BA38" s="53"/>
      <c r="BB38" s="32" t="s">
        <v>145</v>
      </c>
      <c r="BH38" s="32">
        <v>33800</v>
      </c>
      <c r="BI38" s="32">
        <v>36100</v>
      </c>
      <c r="BM38" s="397"/>
      <c r="BN38" s="397"/>
      <c r="BR38" s="397"/>
      <c r="BS38" s="397"/>
      <c r="FI38" s="32">
        <v>3010</v>
      </c>
      <c r="FJ38" s="32">
        <v>2700</v>
      </c>
      <c r="GM38" s="12"/>
      <c r="GQ38" s="12"/>
    </row>
    <row r="39" spans="1:199" s="32" customFormat="1" x14ac:dyDescent="0.25">
      <c r="A39" s="32">
        <v>3</v>
      </c>
      <c r="B39" s="32" t="s">
        <v>136</v>
      </c>
      <c r="C39" s="32" t="s">
        <v>137</v>
      </c>
      <c r="D39" s="32">
        <v>2008</v>
      </c>
      <c r="E39" s="32">
        <v>2003</v>
      </c>
      <c r="F39" s="32" t="s">
        <v>138</v>
      </c>
      <c r="G39" s="32" t="s">
        <v>139</v>
      </c>
      <c r="H39" s="32" t="s">
        <v>2832</v>
      </c>
      <c r="I39" s="32">
        <v>49.69</v>
      </c>
      <c r="J39" s="32">
        <v>-112.84</v>
      </c>
      <c r="K39" s="32">
        <v>901</v>
      </c>
      <c r="Q39" s="44">
        <v>1</v>
      </c>
      <c r="R39" s="44" t="s">
        <v>1735</v>
      </c>
      <c r="S39" s="44"/>
      <c r="T39" s="44" t="s">
        <v>1854</v>
      </c>
      <c r="U39" s="44" t="s">
        <v>1381</v>
      </c>
      <c r="V39" s="44" t="s">
        <v>1381</v>
      </c>
      <c r="W39" s="44" t="s">
        <v>1381</v>
      </c>
      <c r="X39" s="44" t="s">
        <v>1381</v>
      </c>
      <c r="Z39" s="323">
        <v>37</v>
      </c>
      <c r="AA39" s="323">
        <v>30</v>
      </c>
      <c r="AB39" s="32" t="s">
        <v>140</v>
      </c>
      <c r="AF39" s="32" t="s">
        <v>1311</v>
      </c>
      <c r="AG39" s="32" t="s">
        <v>1566</v>
      </c>
      <c r="AH39" s="138" t="s">
        <v>132</v>
      </c>
      <c r="AI39" s="32" t="s">
        <v>1599</v>
      </c>
      <c r="AJ39" s="140" t="s">
        <v>1621</v>
      </c>
      <c r="AT39" s="32" t="s">
        <v>120</v>
      </c>
      <c r="AU39" s="32">
        <v>4</v>
      </c>
      <c r="AW39" s="32" t="s">
        <v>142</v>
      </c>
      <c r="AX39" s="32">
        <v>1480</v>
      </c>
      <c r="BA39" s="53"/>
      <c r="BB39" s="32" t="s">
        <v>145</v>
      </c>
      <c r="BH39" s="32">
        <v>33800</v>
      </c>
      <c r="BI39" s="32">
        <v>38300</v>
      </c>
      <c r="BM39" s="397"/>
      <c r="BN39" s="397"/>
      <c r="BR39" s="397"/>
      <c r="BS39" s="397"/>
      <c r="FI39" s="32">
        <v>3010</v>
      </c>
      <c r="FJ39" s="32">
        <v>2580</v>
      </c>
      <c r="GM39" s="12"/>
      <c r="GQ39" s="12"/>
    </row>
    <row r="40" spans="1:199" s="32" customFormat="1" x14ac:dyDescent="0.25">
      <c r="A40" s="32">
        <v>3</v>
      </c>
      <c r="B40" s="32" t="s">
        <v>136</v>
      </c>
      <c r="C40" s="32" t="s">
        <v>137</v>
      </c>
      <c r="D40" s="32">
        <v>2008</v>
      </c>
      <c r="E40" s="32">
        <v>2003</v>
      </c>
      <c r="F40" s="32" t="s">
        <v>138</v>
      </c>
      <c r="G40" s="32" t="s">
        <v>139</v>
      </c>
      <c r="H40" s="32" t="s">
        <v>2832</v>
      </c>
      <c r="I40" s="32">
        <v>49.69</v>
      </c>
      <c r="J40" s="32">
        <v>-112.84</v>
      </c>
      <c r="K40" s="32">
        <v>901</v>
      </c>
      <c r="Q40" s="44">
        <v>1</v>
      </c>
      <c r="R40" s="44" t="s">
        <v>1735</v>
      </c>
      <c r="S40" s="44"/>
      <c r="T40" s="44" t="s">
        <v>1854</v>
      </c>
      <c r="U40" s="44" t="s">
        <v>1381</v>
      </c>
      <c r="V40" s="44" t="s">
        <v>1381</v>
      </c>
      <c r="W40" s="44" t="s">
        <v>1381</v>
      </c>
      <c r="X40" s="44" t="s">
        <v>1381</v>
      </c>
      <c r="Z40" s="323">
        <v>37</v>
      </c>
      <c r="AA40" s="323">
        <v>30</v>
      </c>
      <c r="AB40" s="32" t="s">
        <v>140</v>
      </c>
      <c r="AF40" s="32" t="s">
        <v>1311</v>
      </c>
      <c r="AG40" s="32" t="s">
        <v>1570</v>
      </c>
      <c r="AH40" s="138" t="s">
        <v>1585</v>
      </c>
      <c r="AI40" s="32" t="s">
        <v>1599</v>
      </c>
      <c r="AJ40" s="140" t="s">
        <v>1621</v>
      </c>
      <c r="AT40" s="32" t="s">
        <v>120</v>
      </c>
      <c r="AU40" s="32">
        <v>4</v>
      </c>
      <c r="AW40" s="32" t="s">
        <v>142</v>
      </c>
      <c r="AX40" s="32">
        <v>690</v>
      </c>
      <c r="BA40" s="53"/>
      <c r="BB40" s="32" t="s">
        <v>145</v>
      </c>
      <c r="BH40" s="32">
        <v>33800</v>
      </c>
      <c r="BI40" s="32">
        <v>35800</v>
      </c>
      <c r="BM40" s="397"/>
      <c r="BN40" s="397"/>
      <c r="BR40" s="397"/>
      <c r="BS40" s="397"/>
      <c r="FI40" s="32">
        <v>3010</v>
      </c>
      <c r="FJ40" s="32">
        <v>2640</v>
      </c>
      <c r="GM40" s="12"/>
      <c r="GQ40" s="12"/>
    </row>
    <row r="41" spans="1:199" s="32" customFormat="1" x14ac:dyDescent="0.25">
      <c r="A41" s="32">
        <v>3</v>
      </c>
      <c r="B41" s="32" t="s">
        <v>136</v>
      </c>
      <c r="C41" s="32" t="s">
        <v>137</v>
      </c>
      <c r="D41" s="32">
        <v>2008</v>
      </c>
      <c r="E41" s="32">
        <v>2003</v>
      </c>
      <c r="F41" s="32" t="s">
        <v>138</v>
      </c>
      <c r="G41" s="32" t="s">
        <v>139</v>
      </c>
      <c r="H41" s="32" t="s">
        <v>2832</v>
      </c>
      <c r="I41" s="32">
        <v>49.69</v>
      </c>
      <c r="J41" s="32">
        <v>-112.84</v>
      </c>
      <c r="K41" s="32">
        <v>901</v>
      </c>
      <c r="Q41" s="44">
        <v>1</v>
      </c>
      <c r="R41" s="44" t="s">
        <v>1735</v>
      </c>
      <c r="S41" s="44"/>
      <c r="T41" s="44" t="s">
        <v>1854</v>
      </c>
      <c r="U41" s="44" t="s">
        <v>1381</v>
      </c>
      <c r="V41" s="44" t="s">
        <v>1381</v>
      </c>
      <c r="W41" s="44" t="s">
        <v>1381</v>
      </c>
      <c r="X41" s="44" t="s">
        <v>1381</v>
      </c>
      <c r="Z41" s="323">
        <v>37</v>
      </c>
      <c r="AA41" s="323">
        <v>30</v>
      </c>
      <c r="AB41" s="32" t="s">
        <v>140</v>
      </c>
      <c r="AF41" s="32" t="s">
        <v>1311</v>
      </c>
      <c r="AG41" s="32" t="s">
        <v>1571</v>
      </c>
      <c r="AH41" s="138" t="s">
        <v>1585</v>
      </c>
      <c r="AI41" s="32" t="s">
        <v>1599</v>
      </c>
      <c r="AJ41" s="140" t="s">
        <v>1621</v>
      </c>
      <c r="AT41" s="32" t="s">
        <v>120</v>
      </c>
      <c r="AU41" s="32">
        <v>4</v>
      </c>
      <c r="AW41" s="32" t="s">
        <v>142</v>
      </c>
      <c r="AX41" s="32">
        <v>400</v>
      </c>
      <c r="BA41" s="53"/>
      <c r="BB41" s="32" t="s">
        <v>145</v>
      </c>
      <c r="BH41" s="32">
        <v>33800</v>
      </c>
      <c r="BI41" s="32">
        <v>35200</v>
      </c>
      <c r="BM41" s="397"/>
      <c r="BN41" s="397"/>
      <c r="BR41" s="397"/>
      <c r="BS41" s="397"/>
      <c r="FI41" s="32">
        <v>3010</v>
      </c>
      <c r="FJ41" s="32">
        <v>2820</v>
      </c>
      <c r="GM41" s="12"/>
      <c r="GQ41" s="12"/>
    </row>
    <row r="42" spans="1:199" s="32" customFormat="1" x14ac:dyDescent="0.25">
      <c r="A42" s="32">
        <v>3</v>
      </c>
      <c r="B42" s="32" t="s">
        <v>136</v>
      </c>
      <c r="C42" s="32" t="s">
        <v>137</v>
      </c>
      <c r="D42" s="32">
        <v>2008</v>
      </c>
      <c r="E42" s="32">
        <v>2003</v>
      </c>
      <c r="F42" s="32" t="s">
        <v>138</v>
      </c>
      <c r="G42" s="32" t="s">
        <v>139</v>
      </c>
      <c r="H42" s="32" t="s">
        <v>2832</v>
      </c>
      <c r="I42" s="32">
        <v>49.69</v>
      </c>
      <c r="J42" s="32">
        <v>-112.84</v>
      </c>
      <c r="K42" s="32">
        <v>901</v>
      </c>
      <c r="Q42" s="44">
        <v>1</v>
      </c>
      <c r="R42" s="44" t="s">
        <v>1735</v>
      </c>
      <c r="S42" s="44"/>
      <c r="T42" s="44" t="s">
        <v>1854</v>
      </c>
      <c r="U42" s="44" t="s">
        <v>1381</v>
      </c>
      <c r="V42" s="44" t="s">
        <v>1381</v>
      </c>
      <c r="W42" s="44" t="s">
        <v>1381</v>
      </c>
      <c r="X42" s="44" t="s">
        <v>1381</v>
      </c>
      <c r="Z42" s="323">
        <v>37</v>
      </c>
      <c r="AA42" s="323">
        <v>30</v>
      </c>
      <c r="AB42" s="32" t="s">
        <v>140</v>
      </c>
      <c r="AF42" s="32" t="s">
        <v>1311</v>
      </c>
      <c r="AG42" s="32" t="s">
        <v>1564</v>
      </c>
      <c r="AH42" s="138" t="s">
        <v>132</v>
      </c>
      <c r="AI42" s="32" t="s">
        <v>1599</v>
      </c>
      <c r="AJ42" s="140" t="s">
        <v>1621</v>
      </c>
      <c r="AT42" s="32" t="s">
        <v>120</v>
      </c>
      <c r="AU42" s="32">
        <v>4</v>
      </c>
      <c r="AW42" s="32" t="s">
        <v>142</v>
      </c>
      <c r="AX42" s="32">
        <v>470</v>
      </c>
      <c r="BA42" s="53"/>
      <c r="BB42" s="32" t="s">
        <v>145</v>
      </c>
      <c r="BH42" s="32">
        <v>33800</v>
      </c>
      <c r="BI42" s="32">
        <v>33900</v>
      </c>
      <c r="BM42" s="397"/>
      <c r="BN42" s="397"/>
      <c r="BR42" s="397"/>
      <c r="BS42" s="397"/>
      <c r="FI42" s="32">
        <v>3010</v>
      </c>
      <c r="FJ42" s="32">
        <v>3430</v>
      </c>
      <c r="GM42" s="12"/>
      <c r="GQ42" s="12"/>
    </row>
    <row r="43" spans="1:199" s="32" customFormat="1" x14ac:dyDescent="0.25">
      <c r="A43" s="32">
        <v>3</v>
      </c>
      <c r="B43" s="32" t="s">
        <v>136</v>
      </c>
      <c r="C43" s="32" t="s">
        <v>137</v>
      </c>
      <c r="D43" s="32">
        <v>2008</v>
      </c>
      <c r="E43" s="32">
        <v>2004</v>
      </c>
      <c r="F43" s="32" t="s">
        <v>138</v>
      </c>
      <c r="G43" s="32" t="s">
        <v>139</v>
      </c>
      <c r="H43" s="32" t="s">
        <v>2832</v>
      </c>
      <c r="I43" s="32">
        <v>49.69</v>
      </c>
      <c r="J43" s="32">
        <v>-112.84</v>
      </c>
      <c r="K43" s="32">
        <v>901</v>
      </c>
      <c r="Q43" s="44">
        <v>2</v>
      </c>
      <c r="R43" s="44" t="s">
        <v>1735</v>
      </c>
      <c r="S43" s="44"/>
      <c r="T43" s="44" t="s">
        <v>1854</v>
      </c>
      <c r="U43" s="44" t="s">
        <v>1381</v>
      </c>
      <c r="V43" s="44" t="s">
        <v>1381</v>
      </c>
      <c r="W43" s="44" t="s">
        <v>1381</v>
      </c>
      <c r="X43" s="44" t="s">
        <v>1381</v>
      </c>
      <c r="Z43" s="323">
        <v>37</v>
      </c>
      <c r="AA43" s="323">
        <v>30</v>
      </c>
      <c r="AB43" s="32" t="s">
        <v>140</v>
      </c>
      <c r="AF43" s="32" t="s">
        <v>1311</v>
      </c>
      <c r="AG43" s="32" t="s">
        <v>1565</v>
      </c>
      <c r="AH43" s="138" t="s">
        <v>132</v>
      </c>
      <c r="AI43" s="32" t="s">
        <v>1599</v>
      </c>
      <c r="AJ43" s="140" t="s">
        <v>1621</v>
      </c>
      <c r="AT43" s="32" t="s">
        <v>120</v>
      </c>
      <c r="AU43" s="32">
        <v>4</v>
      </c>
      <c r="AW43" s="32" t="s">
        <v>142</v>
      </c>
      <c r="AX43" s="32">
        <v>6320</v>
      </c>
      <c r="BA43" s="53"/>
      <c r="BB43" s="32" t="s">
        <v>145</v>
      </c>
      <c r="BH43" s="32">
        <v>28900</v>
      </c>
      <c r="BI43" s="32">
        <v>30800</v>
      </c>
      <c r="BM43" s="397"/>
      <c r="BN43" s="397"/>
      <c r="BR43" s="397"/>
      <c r="BS43" s="397"/>
      <c r="FI43" s="32">
        <v>530</v>
      </c>
      <c r="FJ43" s="32">
        <v>460</v>
      </c>
      <c r="GM43" s="12"/>
      <c r="GQ43" s="12"/>
    </row>
    <row r="44" spans="1:199" s="32" customFormat="1" x14ac:dyDescent="0.25">
      <c r="A44" s="32">
        <v>3</v>
      </c>
      <c r="B44" s="32" t="s">
        <v>136</v>
      </c>
      <c r="C44" s="32" t="s">
        <v>137</v>
      </c>
      <c r="D44" s="32">
        <v>2008</v>
      </c>
      <c r="E44" s="32">
        <v>2004</v>
      </c>
      <c r="F44" s="32" t="s">
        <v>138</v>
      </c>
      <c r="G44" s="32" t="s">
        <v>139</v>
      </c>
      <c r="H44" s="32" t="s">
        <v>2832</v>
      </c>
      <c r="I44" s="32">
        <v>49.69</v>
      </c>
      <c r="J44" s="32">
        <v>-112.84</v>
      </c>
      <c r="K44" s="32">
        <v>901</v>
      </c>
      <c r="Q44" s="44">
        <v>2</v>
      </c>
      <c r="R44" s="44" t="s">
        <v>1735</v>
      </c>
      <c r="S44" s="44"/>
      <c r="T44" s="44" t="s">
        <v>1854</v>
      </c>
      <c r="U44" s="44" t="s">
        <v>1381</v>
      </c>
      <c r="V44" s="44" t="s">
        <v>1381</v>
      </c>
      <c r="W44" s="44" t="s">
        <v>1381</v>
      </c>
      <c r="X44" s="44" t="s">
        <v>1381</v>
      </c>
      <c r="Z44" s="323">
        <v>37</v>
      </c>
      <c r="AA44" s="323">
        <v>30</v>
      </c>
      <c r="AB44" s="32" t="s">
        <v>140</v>
      </c>
      <c r="AF44" s="32" t="s">
        <v>1311</v>
      </c>
      <c r="AG44" s="32" t="s">
        <v>1574</v>
      </c>
      <c r="AH44" s="138" t="s">
        <v>1585</v>
      </c>
      <c r="AI44" s="32" t="s">
        <v>1599</v>
      </c>
      <c r="AJ44" s="140" t="s">
        <v>1621</v>
      </c>
      <c r="AT44" s="32" t="s">
        <v>120</v>
      </c>
      <c r="AU44" s="32">
        <v>4</v>
      </c>
      <c r="AW44" s="32" t="s">
        <v>142</v>
      </c>
      <c r="AX44" s="32">
        <v>990</v>
      </c>
      <c r="BA44" s="53"/>
      <c r="BB44" s="32" t="s">
        <v>145</v>
      </c>
      <c r="BH44" s="32">
        <v>28900</v>
      </c>
      <c r="BI44" s="32">
        <v>30800</v>
      </c>
      <c r="BM44" s="397"/>
      <c r="BN44" s="397"/>
      <c r="BR44" s="397"/>
      <c r="BS44" s="397"/>
      <c r="FI44" s="32">
        <v>530</v>
      </c>
      <c r="FJ44" s="32">
        <v>690</v>
      </c>
      <c r="GM44" s="12"/>
      <c r="GQ44" s="12"/>
    </row>
    <row r="45" spans="1:199" s="32" customFormat="1" x14ac:dyDescent="0.25">
      <c r="A45" s="32">
        <v>3</v>
      </c>
      <c r="B45" s="32" t="s">
        <v>136</v>
      </c>
      <c r="C45" s="32" t="s">
        <v>137</v>
      </c>
      <c r="D45" s="32">
        <v>2008</v>
      </c>
      <c r="E45" s="32">
        <v>2004</v>
      </c>
      <c r="F45" s="32" t="s">
        <v>138</v>
      </c>
      <c r="G45" s="32" t="s">
        <v>139</v>
      </c>
      <c r="H45" s="32" t="s">
        <v>2832</v>
      </c>
      <c r="I45" s="32">
        <v>49.69</v>
      </c>
      <c r="J45" s="32">
        <v>-112.84</v>
      </c>
      <c r="K45" s="32">
        <v>901</v>
      </c>
      <c r="Q45" s="44">
        <v>2</v>
      </c>
      <c r="R45" s="44" t="s">
        <v>1735</v>
      </c>
      <c r="S45" s="44"/>
      <c r="T45" s="44" t="s">
        <v>1854</v>
      </c>
      <c r="U45" s="44" t="s">
        <v>1381</v>
      </c>
      <c r="V45" s="44" t="s">
        <v>1381</v>
      </c>
      <c r="W45" s="44" t="s">
        <v>1381</v>
      </c>
      <c r="X45" s="44" t="s">
        <v>1381</v>
      </c>
      <c r="Z45" s="323">
        <v>37</v>
      </c>
      <c r="AA45" s="323">
        <v>30</v>
      </c>
      <c r="AB45" s="32" t="s">
        <v>140</v>
      </c>
      <c r="AF45" s="32" t="s">
        <v>1311</v>
      </c>
      <c r="AG45" s="32" t="s">
        <v>1575</v>
      </c>
      <c r="AH45" s="138" t="s">
        <v>1585</v>
      </c>
      <c r="AI45" s="32" t="s">
        <v>1599</v>
      </c>
      <c r="AJ45" s="140" t="s">
        <v>1621</v>
      </c>
      <c r="AT45" s="32" t="s">
        <v>120</v>
      </c>
      <c r="AU45" s="32">
        <v>4</v>
      </c>
      <c r="AW45" s="32" t="s">
        <v>142</v>
      </c>
      <c r="AX45" s="32">
        <v>1070</v>
      </c>
      <c r="BA45" s="53"/>
      <c r="BB45" s="32" t="s">
        <v>145</v>
      </c>
      <c r="BH45" s="32">
        <v>28900</v>
      </c>
      <c r="BI45" s="32">
        <v>31300</v>
      </c>
      <c r="BM45" s="397"/>
      <c r="BN45" s="397"/>
      <c r="BR45" s="397"/>
      <c r="BS45" s="397"/>
      <c r="FI45" s="32">
        <v>530</v>
      </c>
      <c r="FJ45" s="32">
        <v>440</v>
      </c>
      <c r="GM45" s="12"/>
      <c r="GQ45" s="12"/>
    </row>
    <row r="46" spans="1:199" s="32" customFormat="1" x14ac:dyDescent="0.25">
      <c r="A46" s="32">
        <v>3</v>
      </c>
      <c r="B46" s="32" t="s">
        <v>136</v>
      </c>
      <c r="C46" s="32" t="s">
        <v>137</v>
      </c>
      <c r="D46" s="32">
        <v>2008</v>
      </c>
      <c r="E46" s="32">
        <v>2004</v>
      </c>
      <c r="F46" s="32" t="s">
        <v>138</v>
      </c>
      <c r="G46" s="32" t="s">
        <v>139</v>
      </c>
      <c r="H46" s="32" t="s">
        <v>2832</v>
      </c>
      <c r="I46" s="32">
        <v>49.69</v>
      </c>
      <c r="J46" s="32">
        <v>-112.84</v>
      </c>
      <c r="K46" s="32">
        <v>901</v>
      </c>
      <c r="Q46" s="44">
        <v>2</v>
      </c>
      <c r="R46" s="44" t="s">
        <v>1735</v>
      </c>
      <c r="S46" s="44"/>
      <c r="T46" s="44" t="s">
        <v>1854</v>
      </c>
      <c r="U46" s="44" t="s">
        <v>1381</v>
      </c>
      <c r="V46" s="44" t="s">
        <v>1381</v>
      </c>
      <c r="W46" s="44" t="s">
        <v>1381</v>
      </c>
      <c r="X46" s="44" t="s">
        <v>1381</v>
      </c>
      <c r="Z46" s="323">
        <v>37</v>
      </c>
      <c r="AA46" s="323">
        <v>30</v>
      </c>
      <c r="AB46" s="32" t="s">
        <v>140</v>
      </c>
      <c r="AF46" s="32" t="s">
        <v>1311</v>
      </c>
      <c r="AG46" s="32" t="s">
        <v>1566</v>
      </c>
      <c r="AH46" s="138" t="s">
        <v>132</v>
      </c>
      <c r="AI46" s="32" t="s">
        <v>1599</v>
      </c>
      <c r="AJ46" s="140" t="s">
        <v>1621</v>
      </c>
      <c r="AT46" s="32" t="s">
        <v>120</v>
      </c>
      <c r="AU46" s="32">
        <v>4</v>
      </c>
      <c r="AW46" s="32" t="s">
        <v>142</v>
      </c>
      <c r="AX46" s="32">
        <v>1130</v>
      </c>
      <c r="BA46" s="53"/>
      <c r="BB46" s="32" t="s">
        <v>145</v>
      </c>
      <c r="BH46" s="32">
        <v>28900</v>
      </c>
      <c r="BI46" s="32">
        <v>30400</v>
      </c>
      <c r="BM46" s="397"/>
      <c r="BN46" s="397"/>
      <c r="BR46" s="397"/>
      <c r="BS46" s="397"/>
      <c r="FI46" s="32">
        <v>530</v>
      </c>
      <c r="FJ46" s="32">
        <v>820</v>
      </c>
      <c r="GM46" s="12"/>
      <c r="GQ46" s="12"/>
    </row>
    <row r="47" spans="1:199" s="32" customFormat="1" x14ac:dyDescent="0.25">
      <c r="A47" s="32">
        <v>3</v>
      </c>
      <c r="B47" s="32" t="s">
        <v>136</v>
      </c>
      <c r="C47" s="32" t="s">
        <v>137</v>
      </c>
      <c r="D47" s="32">
        <v>2008</v>
      </c>
      <c r="E47" s="32">
        <v>2004</v>
      </c>
      <c r="F47" s="32" t="s">
        <v>138</v>
      </c>
      <c r="G47" s="32" t="s">
        <v>139</v>
      </c>
      <c r="H47" s="32" t="s">
        <v>2832</v>
      </c>
      <c r="I47" s="32">
        <v>49.69</v>
      </c>
      <c r="J47" s="32">
        <v>-112.84</v>
      </c>
      <c r="K47" s="32">
        <v>901</v>
      </c>
      <c r="Q47" s="44">
        <v>2</v>
      </c>
      <c r="R47" s="44" t="s">
        <v>1735</v>
      </c>
      <c r="S47" s="44"/>
      <c r="T47" s="44" t="s">
        <v>1854</v>
      </c>
      <c r="U47" s="44" t="s">
        <v>1381</v>
      </c>
      <c r="V47" s="44" t="s">
        <v>1381</v>
      </c>
      <c r="W47" s="44" t="s">
        <v>1381</v>
      </c>
      <c r="X47" s="44" t="s">
        <v>1381</v>
      </c>
      <c r="Z47" s="323">
        <v>37</v>
      </c>
      <c r="AA47" s="323">
        <v>30</v>
      </c>
      <c r="AB47" s="32" t="s">
        <v>140</v>
      </c>
      <c r="AF47" s="32" t="s">
        <v>1311</v>
      </c>
      <c r="AG47" s="32" t="s">
        <v>1570</v>
      </c>
      <c r="AH47" s="138" t="s">
        <v>1585</v>
      </c>
      <c r="AI47" s="32" t="s">
        <v>1599</v>
      </c>
      <c r="AJ47" s="140" t="s">
        <v>1621</v>
      </c>
      <c r="AT47" s="32" t="s">
        <v>120</v>
      </c>
      <c r="AU47" s="32">
        <v>4</v>
      </c>
      <c r="AW47" s="32" t="s">
        <v>142</v>
      </c>
      <c r="AX47" s="32">
        <v>560</v>
      </c>
      <c r="BA47" s="53"/>
      <c r="BB47" s="32" t="s">
        <v>145</v>
      </c>
      <c r="BH47" s="32">
        <v>28900</v>
      </c>
      <c r="BI47" s="32">
        <v>29400</v>
      </c>
      <c r="BM47" s="397"/>
      <c r="BN47" s="397"/>
      <c r="BR47" s="397"/>
      <c r="BS47" s="397"/>
      <c r="FI47" s="32">
        <v>530</v>
      </c>
      <c r="FJ47" s="32">
        <v>870</v>
      </c>
      <c r="GM47" s="12"/>
      <c r="GQ47" s="12"/>
    </row>
    <row r="48" spans="1:199" s="32" customFormat="1" x14ac:dyDescent="0.25">
      <c r="A48" s="32">
        <v>3</v>
      </c>
      <c r="B48" s="32" t="s">
        <v>136</v>
      </c>
      <c r="C48" s="32" t="s">
        <v>137</v>
      </c>
      <c r="D48" s="32">
        <v>2008</v>
      </c>
      <c r="E48" s="32">
        <v>2004</v>
      </c>
      <c r="F48" s="32" t="s">
        <v>138</v>
      </c>
      <c r="G48" s="32" t="s">
        <v>139</v>
      </c>
      <c r="H48" s="32" t="s">
        <v>2832</v>
      </c>
      <c r="I48" s="32">
        <v>49.69</v>
      </c>
      <c r="J48" s="32">
        <v>-112.84</v>
      </c>
      <c r="K48" s="32">
        <v>901</v>
      </c>
      <c r="Q48" s="44">
        <v>2</v>
      </c>
      <c r="R48" s="44" t="s">
        <v>1735</v>
      </c>
      <c r="S48" s="44"/>
      <c r="T48" s="44" t="s">
        <v>1854</v>
      </c>
      <c r="U48" s="44" t="s">
        <v>1381</v>
      </c>
      <c r="V48" s="44" t="s">
        <v>1381</v>
      </c>
      <c r="W48" s="44" t="s">
        <v>1381</v>
      </c>
      <c r="X48" s="44" t="s">
        <v>1381</v>
      </c>
      <c r="Z48" s="323">
        <v>37</v>
      </c>
      <c r="AA48" s="323">
        <v>30</v>
      </c>
      <c r="AB48" s="32" t="s">
        <v>140</v>
      </c>
      <c r="AF48" s="32" t="s">
        <v>1311</v>
      </c>
      <c r="AG48" s="32" t="s">
        <v>1571</v>
      </c>
      <c r="AH48" s="138" t="s">
        <v>1585</v>
      </c>
      <c r="AI48" s="32" t="s">
        <v>1599</v>
      </c>
      <c r="AJ48" s="140" t="s">
        <v>1621</v>
      </c>
      <c r="AT48" s="32" t="s">
        <v>120</v>
      </c>
      <c r="AU48" s="32">
        <v>4</v>
      </c>
      <c r="AW48" s="32" t="s">
        <v>142</v>
      </c>
      <c r="AX48" s="32">
        <v>570</v>
      </c>
      <c r="BA48" s="53"/>
      <c r="BB48" s="32" t="s">
        <v>145</v>
      </c>
      <c r="BH48" s="32">
        <v>28900</v>
      </c>
      <c r="BI48" s="32">
        <v>32300</v>
      </c>
      <c r="BM48" s="397"/>
      <c r="BN48" s="397"/>
      <c r="BR48" s="397"/>
      <c r="BS48" s="397"/>
      <c r="FI48" s="32">
        <v>530</v>
      </c>
      <c r="FJ48" s="32">
        <v>410</v>
      </c>
      <c r="GM48" s="12"/>
      <c r="GQ48" s="12"/>
    </row>
    <row r="49" spans="1:249" s="32" customFormat="1" x14ac:dyDescent="0.25">
      <c r="A49" s="32">
        <v>3</v>
      </c>
      <c r="B49" s="32" t="s">
        <v>136</v>
      </c>
      <c r="C49" s="32" t="s">
        <v>137</v>
      </c>
      <c r="D49" s="32">
        <v>2008</v>
      </c>
      <c r="E49" s="32">
        <v>2004</v>
      </c>
      <c r="F49" s="32" t="s">
        <v>138</v>
      </c>
      <c r="G49" s="32" t="s">
        <v>139</v>
      </c>
      <c r="H49" s="32" t="s">
        <v>2832</v>
      </c>
      <c r="I49" s="32">
        <v>49.69</v>
      </c>
      <c r="J49" s="32">
        <v>-112.84</v>
      </c>
      <c r="K49" s="32">
        <v>901</v>
      </c>
      <c r="Q49" s="44">
        <v>2</v>
      </c>
      <c r="R49" s="44" t="s">
        <v>1735</v>
      </c>
      <c r="S49" s="44"/>
      <c r="T49" s="44" t="s">
        <v>1854</v>
      </c>
      <c r="U49" s="44" t="s">
        <v>1381</v>
      </c>
      <c r="V49" s="44" t="s">
        <v>1381</v>
      </c>
      <c r="W49" s="44" t="s">
        <v>1381</v>
      </c>
      <c r="X49" s="44" t="s">
        <v>1381</v>
      </c>
      <c r="Z49" s="323">
        <v>37</v>
      </c>
      <c r="AA49" s="323">
        <v>30</v>
      </c>
      <c r="AB49" s="32" t="s">
        <v>140</v>
      </c>
      <c r="AF49" s="32" t="s">
        <v>1311</v>
      </c>
      <c r="AG49" s="32" t="s">
        <v>1564</v>
      </c>
      <c r="AH49" s="138" t="s">
        <v>132</v>
      </c>
      <c r="AI49" s="32" t="s">
        <v>1599</v>
      </c>
      <c r="AJ49" s="140" t="s">
        <v>1621</v>
      </c>
      <c r="AT49" s="32" t="s">
        <v>120</v>
      </c>
      <c r="AU49" s="32">
        <v>4</v>
      </c>
      <c r="AW49" s="32" t="s">
        <v>142</v>
      </c>
      <c r="AX49" s="32">
        <v>420</v>
      </c>
      <c r="BA49" s="53"/>
      <c r="BB49" s="32" t="s">
        <v>145</v>
      </c>
      <c r="BH49" s="32">
        <v>28900</v>
      </c>
      <c r="BI49" s="32">
        <v>32000</v>
      </c>
      <c r="BM49" s="397"/>
      <c r="BN49" s="397"/>
      <c r="BR49" s="397"/>
      <c r="BS49" s="397"/>
      <c r="FI49" s="32">
        <v>530</v>
      </c>
      <c r="FJ49" s="32">
        <v>750</v>
      </c>
      <c r="GM49" s="12"/>
      <c r="GQ49" s="12"/>
    </row>
    <row r="50" spans="1:249" s="32" customFormat="1" x14ac:dyDescent="0.25">
      <c r="A50" s="32">
        <v>3</v>
      </c>
      <c r="B50" s="32" t="s">
        <v>136</v>
      </c>
      <c r="C50" s="32" t="s">
        <v>137</v>
      </c>
      <c r="D50" s="32">
        <v>2008</v>
      </c>
      <c r="E50" s="32">
        <v>2005</v>
      </c>
      <c r="F50" s="32" t="s">
        <v>138</v>
      </c>
      <c r="G50" s="32" t="s">
        <v>139</v>
      </c>
      <c r="H50" s="32" t="s">
        <v>2832</v>
      </c>
      <c r="I50" s="32">
        <v>49.69</v>
      </c>
      <c r="J50" s="32">
        <v>-112.84</v>
      </c>
      <c r="K50" s="32">
        <v>901</v>
      </c>
      <c r="Q50" s="44">
        <v>3</v>
      </c>
      <c r="R50" s="44" t="s">
        <v>1735</v>
      </c>
      <c r="S50" s="44"/>
      <c r="T50" s="44" t="s">
        <v>1854</v>
      </c>
      <c r="U50" s="44" t="s">
        <v>1381</v>
      </c>
      <c r="V50" s="44" t="s">
        <v>1381</v>
      </c>
      <c r="W50" s="44" t="s">
        <v>1381</v>
      </c>
      <c r="X50" s="44" t="s">
        <v>1381</v>
      </c>
      <c r="Z50" s="323">
        <v>37</v>
      </c>
      <c r="AA50" s="323">
        <v>30</v>
      </c>
      <c r="AB50" s="32" t="s">
        <v>140</v>
      </c>
      <c r="AF50" s="32" t="s">
        <v>1311</v>
      </c>
      <c r="AG50" s="32" t="s">
        <v>1565</v>
      </c>
      <c r="AH50" s="138" t="s">
        <v>132</v>
      </c>
      <c r="AI50" s="32" t="s">
        <v>1599</v>
      </c>
      <c r="AJ50" s="140" t="s">
        <v>1621</v>
      </c>
      <c r="AT50" s="32" t="s">
        <v>120</v>
      </c>
      <c r="AU50" s="32">
        <v>4</v>
      </c>
      <c r="AW50" s="32" t="s">
        <v>142</v>
      </c>
      <c r="AX50" s="32">
        <v>7940</v>
      </c>
      <c r="BA50" s="53"/>
      <c r="BB50" s="32" t="s">
        <v>145</v>
      </c>
      <c r="BH50" s="32">
        <v>33100</v>
      </c>
      <c r="BI50" s="32">
        <v>32800</v>
      </c>
      <c r="BM50" s="397"/>
      <c r="BN50" s="397"/>
      <c r="BR50" s="397"/>
      <c r="BS50" s="397"/>
      <c r="FI50" s="32">
        <v>2460</v>
      </c>
      <c r="FJ50" s="32">
        <v>1060</v>
      </c>
      <c r="GM50" s="12"/>
      <c r="GQ50" s="12"/>
    </row>
    <row r="51" spans="1:249" s="32" customFormat="1" x14ac:dyDescent="0.25">
      <c r="A51" s="32">
        <v>3</v>
      </c>
      <c r="B51" s="32" t="s">
        <v>136</v>
      </c>
      <c r="C51" s="32" t="s">
        <v>137</v>
      </c>
      <c r="D51" s="32">
        <v>2008</v>
      </c>
      <c r="E51" s="32">
        <v>2005</v>
      </c>
      <c r="F51" s="32" t="s">
        <v>138</v>
      </c>
      <c r="G51" s="32" t="s">
        <v>139</v>
      </c>
      <c r="H51" s="32" t="s">
        <v>2832</v>
      </c>
      <c r="I51" s="32">
        <v>49.69</v>
      </c>
      <c r="J51" s="32">
        <v>-112.84</v>
      </c>
      <c r="K51" s="32">
        <v>901</v>
      </c>
      <c r="Q51" s="44">
        <v>3</v>
      </c>
      <c r="R51" s="44" t="s">
        <v>1735</v>
      </c>
      <c r="S51" s="44"/>
      <c r="T51" s="44" t="s">
        <v>1854</v>
      </c>
      <c r="U51" s="44" t="s">
        <v>1381</v>
      </c>
      <c r="V51" s="44" t="s">
        <v>1381</v>
      </c>
      <c r="W51" s="44" t="s">
        <v>1381</v>
      </c>
      <c r="X51" s="44" t="s">
        <v>1381</v>
      </c>
      <c r="Z51" s="323">
        <v>37</v>
      </c>
      <c r="AA51" s="323">
        <v>30</v>
      </c>
      <c r="AB51" s="32" t="s">
        <v>140</v>
      </c>
      <c r="AF51" s="32" t="s">
        <v>1311</v>
      </c>
      <c r="AG51" s="32" t="s">
        <v>1574</v>
      </c>
      <c r="AH51" s="138" t="s">
        <v>1585</v>
      </c>
      <c r="AI51" s="32" t="s">
        <v>1599</v>
      </c>
      <c r="AJ51" s="140" t="s">
        <v>1621</v>
      </c>
      <c r="AT51" s="32" t="s">
        <v>120</v>
      </c>
      <c r="AU51" s="32">
        <v>4</v>
      </c>
      <c r="AW51" s="32" t="s">
        <v>142</v>
      </c>
      <c r="AX51" s="32">
        <v>380</v>
      </c>
      <c r="BA51" s="53"/>
      <c r="BB51" s="32" t="s">
        <v>145</v>
      </c>
      <c r="BH51" s="32">
        <v>33100</v>
      </c>
      <c r="BI51" s="32">
        <v>32400</v>
      </c>
      <c r="BM51" s="397"/>
      <c r="BN51" s="397"/>
      <c r="BR51" s="397"/>
      <c r="BS51" s="397"/>
      <c r="FI51" s="32">
        <v>2460</v>
      </c>
      <c r="FJ51" s="32">
        <v>2820</v>
      </c>
      <c r="GM51" s="12"/>
      <c r="GQ51" s="12"/>
    </row>
    <row r="52" spans="1:249" s="32" customFormat="1" x14ac:dyDescent="0.25">
      <c r="A52" s="32">
        <v>3</v>
      </c>
      <c r="B52" s="32" t="s">
        <v>136</v>
      </c>
      <c r="C52" s="32" t="s">
        <v>137</v>
      </c>
      <c r="D52" s="32">
        <v>2008</v>
      </c>
      <c r="E52" s="32">
        <v>2005</v>
      </c>
      <c r="F52" s="32" t="s">
        <v>138</v>
      </c>
      <c r="G52" s="32" t="s">
        <v>139</v>
      </c>
      <c r="H52" s="32" t="s">
        <v>2832</v>
      </c>
      <c r="I52" s="32">
        <v>49.69</v>
      </c>
      <c r="J52" s="32">
        <v>-112.84</v>
      </c>
      <c r="K52" s="32">
        <v>901</v>
      </c>
      <c r="Q52" s="44">
        <v>3</v>
      </c>
      <c r="R52" s="44" t="s">
        <v>1735</v>
      </c>
      <c r="S52" s="44"/>
      <c r="T52" s="44" t="s">
        <v>1854</v>
      </c>
      <c r="U52" s="44" t="s">
        <v>1381</v>
      </c>
      <c r="V52" s="44" t="s">
        <v>1381</v>
      </c>
      <c r="W52" s="44" t="s">
        <v>1381</v>
      </c>
      <c r="X52" s="44" t="s">
        <v>1381</v>
      </c>
      <c r="Z52" s="323">
        <v>37</v>
      </c>
      <c r="AA52" s="323">
        <v>30</v>
      </c>
      <c r="AB52" s="32" t="s">
        <v>140</v>
      </c>
      <c r="AF52" s="32" t="s">
        <v>1311</v>
      </c>
      <c r="AG52" s="32" t="s">
        <v>1575</v>
      </c>
      <c r="AH52" s="138" t="s">
        <v>1585</v>
      </c>
      <c r="AI52" s="32" t="s">
        <v>1599</v>
      </c>
      <c r="AJ52" s="140" t="s">
        <v>1621</v>
      </c>
      <c r="AT52" s="32" t="s">
        <v>120</v>
      </c>
      <c r="AU52" s="32">
        <v>4</v>
      </c>
      <c r="AW52" s="32" t="s">
        <v>142</v>
      </c>
      <c r="AX52" s="32">
        <v>400</v>
      </c>
      <c r="BA52" s="53"/>
      <c r="BB52" s="32" t="s">
        <v>145</v>
      </c>
      <c r="BH52" s="32">
        <v>33100</v>
      </c>
      <c r="BI52" s="32">
        <v>32500</v>
      </c>
      <c r="BM52" s="397"/>
      <c r="BN52" s="397"/>
      <c r="BR52" s="397"/>
      <c r="BS52" s="397"/>
      <c r="FI52" s="32">
        <v>2460</v>
      </c>
      <c r="FJ52" s="32">
        <v>2540</v>
      </c>
      <c r="GM52" s="12"/>
      <c r="GQ52" s="12"/>
    </row>
    <row r="53" spans="1:249" s="32" customFormat="1" x14ac:dyDescent="0.25">
      <c r="A53" s="32">
        <v>3</v>
      </c>
      <c r="B53" s="32" t="s">
        <v>136</v>
      </c>
      <c r="C53" s="32" t="s">
        <v>137</v>
      </c>
      <c r="D53" s="32">
        <v>2008</v>
      </c>
      <c r="E53" s="32">
        <v>2005</v>
      </c>
      <c r="F53" s="32" t="s">
        <v>138</v>
      </c>
      <c r="G53" s="32" t="s">
        <v>139</v>
      </c>
      <c r="H53" s="32" t="s">
        <v>2832</v>
      </c>
      <c r="I53" s="32">
        <v>49.69</v>
      </c>
      <c r="J53" s="32">
        <v>-112.84</v>
      </c>
      <c r="K53" s="32">
        <v>901</v>
      </c>
      <c r="Q53" s="44">
        <v>3</v>
      </c>
      <c r="R53" s="44" t="s">
        <v>1735</v>
      </c>
      <c r="S53" s="44"/>
      <c r="T53" s="44" t="s">
        <v>1854</v>
      </c>
      <c r="U53" s="44" t="s">
        <v>1381</v>
      </c>
      <c r="V53" s="44" t="s">
        <v>1381</v>
      </c>
      <c r="W53" s="44" t="s">
        <v>1381</v>
      </c>
      <c r="X53" s="44" t="s">
        <v>1381</v>
      </c>
      <c r="Z53" s="323">
        <v>37</v>
      </c>
      <c r="AA53" s="323">
        <v>30</v>
      </c>
      <c r="AB53" s="32" t="s">
        <v>140</v>
      </c>
      <c r="AF53" s="32" t="s">
        <v>1311</v>
      </c>
      <c r="AG53" s="32" t="s">
        <v>1566</v>
      </c>
      <c r="AH53" s="138" t="s">
        <v>132</v>
      </c>
      <c r="AI53" s="32" t="s">
        <v>1599</v>
      </c>
      <c r="AJ53" s="140" t="s">
        <v>1621</v>
      </c>
      <c r="AT53" s="32" t="s">
        <v>120</v>
      </c>
      <c r="AU53" s="32">
        <v>4</v>
      </c>
      <c r="AW53" s="32" t="s">
        <v>142</v>
      </c>
      <c r="AX53" s="32">
        <v>1140</v>
      </c>
      <c r="BA53" s="53"/>
      <c r="BB53" s="32" t="s">
        <v>145</v>
      </c>
      <c r="BH53" s="32">
        <v>33100</v>
      </c>
      <c r="BI53" s="32">
        <v>34000</v>
      </c>
      <c r="BM53" s="397"/>
      <c r="BN53" s="397"/>
      <c r="BR53" s="397"/>
      <c r="BS53" s="397"/>
      <c r="FI53" s="32">
        <v>2460</v>
      </c>
      <c r="FJ53" s="32">
        <v>1980</v>
      </c>
      <c r="GM53" s="12"/>
      <c r="GQ53" s="12"/>
    </row>
    <row r="54" spans="1:249" s="32" customFormat="1" x14ac:dyDescent="0.25">
      <c r="A54" s="32">
        <v>3</v>
      </c>
      <c r="B54" s="32" t="s">
        <v>136</v>
      </c>
      <c r="C54" s="32" t="s">
        <v>137</v>
      </c>
      <c r="D54" s="32">
        <v>2008</v>
      </c>
      <c r="E54" s="32">
        <v>2005</v>
      </c>
      <c r="F54" s="32" t="s">
        <v>138</v>
      </c>
      <c r="G54" s="32" t="s">
        <v>139</v>
      </c>
      <c r="H54" s="32" t="s">
        <v>2832</v>
      </c>
      <c r="I54" s="32">
        <v>49.69</v>
      </c>
      <c r="J54" s="32">
        <v>-112.84</v>
      </c>
      <c r="K54" s="32">
        <v>901</v>
      </c>
      <c r="Q54" s="44">
        <v>3</v>
      </c>
      <c r="R54" s="44" t="s">
        <v>1735</v>
      </c>
      <c r="S54" s="44"/>
      <c r="T54" s="44" t="s">
        <v>1854</v>
      </c>
      <c r="U54" s="44" t="s">
        <v>1381</v>
      </c>
      <c r="V54" s="44" t="s">
        <v>1381</v>
      </c>
      <c r="W54" s="44" t="s">
        <v>1381</v>
      </c>
      <c r="X54" s="44" t="s">
        <v>1381</v>
      </c>
      <c r="Z54" s="323">
        <v>37</v>
      </c>
      <c r="AA54" s="323">
        <v>30</v>
      </c>
      <c r="AB54" s="32" t="s">
        <v>140</v>
      </c>
      <c r="AF54" s="32" t="s">
        <v>1311</v>
      </c>
      <c r="AG54" s="32" t="s">
        <v>1570</v>
      </c>
      <c r="AH54" s="138" t="s">
        <v>1585</v>
      </c>
      <c r="AI54" s="32" t="s">
        <v>1599</v>
      </c>
      <c r="AJ54" s="140" t="s">
        <v>1621</v>
      </c>
      <c r="AT54" s="32" t="s">
        <v>120</v>
      </c>
      <c r="AU54" s="32">
        <v>4</v>
      </c>
      <c r="AW54" s="32" t="s">
        <v>142</v>
      </c>
      <c r="AX54" s="32">
        <v>190</v>
      </c>
      <c r="BA54" s="53"/>
      <c r="BB54" s="32" t="s">
        <v>145</v>
      </c>
      <c r="BH54" s="32">
        <v>33100</v>
      </c>
      <c r="BI54" s="32">
        <v>30600</v>
      </c>
      <c r="BM54" s="397"/>
      <c r="BN54" s="397"/>
      <c r="BR54" s="397"/>
      <c r="BS54" s="397"/>
      <c r="FI54" s="32">
        <v>2460</v>
      </c>
      <c r="FJ54" s="32">
        <v>1940</v>
      </c>
      <c r="GM54" s="12"/>
      <c r="GQ54" s="12"/>
    </row>
    <row r="55" spans="1:249" s="32" customFormat="1" x14ac:dyDescent="0.25">
      <c r="A55" s="32">
        <v>3</v>
      </c>
      <c r="B55" s="32" t="s">
        <v>136</v>
      </c>
      <c r="C55" s="32" t="s">
        <v>137</v>
      </c>
      <c r="D55" s="32">
        <v>2008</v>
      </c>
      <c r="E55" s="32">
        <v>2005</v>
      </c>
      <c r="F55" s="32" t="s">
        <v>138</v>
      </c>
      <c r="G55" s="32" t="s">
        <v>139</v>
      </c>
      <c r="H55" s="32" t="s">
        <v>2832</v>
      </c>
      <c r="I55" s="32">
        <v>49.69</v>
      </c>
      <c r="J55" s="32">
        <v>-112.84</v>
      </c>
      <c r="K55" s="32">
        <v>901</v>
      </c>
      <c r="Q55" s="44">
        <v>3</v>
      </c>
      <c r="R55" s="44" t="s">
        <v>1735</v>
      </c>
      <c r="S55" s="44"/>
      <c r="T55" s="44" t="s">
        <v>1854</v>
      </c>
      <c r="U55" s="44" t="s">
        <v>1381</v>
      </c>
      <c r="V55" s="44" t="s">
        <v>1381</v>
      </c>
      <c r="W55" s="44" t="s">
        <v>1381</v>
      </c>
      <c r="X55" s="44" t="s">
        <v>1381</v>
      </c>
      <c r="Z55" s="323">
        <v>37</v>
      </c>
      <c r="AA55" s="323">
        <v>30</v>
      </c>
      <c r="AB55" s="32" t="s">
        <v>140</v>
      </c>
      <c r="AF55" s="32" t="s">
        <v>1311</v>
      </c>
      <c r="AG55" s="32" t="s">
        <v>1571</v>
      </c>
      <c r="AH55" s="138" t="s">
        <v>1585</v>
      </c>
      <c r="AI55" s="32" t="s">
        <v>1599</v>
      </c>
      <c r="AJ55" s="140" t="s">
        <v>1621</v>
      </c>
      <c r="AT55" s="32" t="s">
        <v>120</v>
      </c>
      <c r="AU55" s="32">
        <v>4</v>
      </c>
      <c r="AW55" s="32" t="s">
        <v>142</v>
      </c>
      <c r="AX55" s="32">
        <v>280</v>
      </c>
      <c r="BA55" s="53"/>
      <c r="BB55" s="32" t="s">
        <v>145</v>
      </c>
      <c r="BH55" s="32">
        <v>33100</v>
      </c>
      <c r="BI55" s="32">
        <v>30900</v>
      </c>
      <c r="BM55" s="397"/>
      <c r="BN55" s="397"/>
      <c r="BR55" s="397"/>
      <c r="BS55" s="397"/>
      <c r="FI55" s="32">
        <v>2460</v>
      </c>
      <c r="FJ55" s="32">
        <v>1910</v>
      </c>
      <c r="GM55" s="12"/>
      <c r="GQ55" s="12"/>
    </row>
    <row r="56" spans="1:249" s="32" customFormat="1" x14ac:dyDescent="0.25">
      <c r="A56" s="32">
        <v>3</v>
      </c>
      <c r="B56" s="32" t="s">
        <v>136</v>
      </c>
      <c r="C56" s="32" t="s">
        <v>137</v>
      </c>
      <c r="D56" s="32">
        <v>2008</v>
      </c>
      <c r="E56" s="32">
        <v>2005</v>
      </c>
      <c r="F56" s="32" t="s">
        <v>138</v>
      </c>
      <c r="G56" s="32" t="s">
        <v>139</v>
      </c>
      <c r="H56" s="32" t="s">
        <v>2832</v>
      </c>
      <c r="I56" s="32">
        <v>49.69</v>
      </c>
      <c r="J56" s="32">
        <v>-112.84</v>
      </c>
      <c r="K56" s="32">
        <v>901</v>
      </c>
      <c r="Q56" s="44">
        <v>3</v>
      </c>
      <c r="R56" s="44" t="s">
        <v>1735</v>
      </c>
      <c r="S56" s="44"/>
      <c r="T56" s="44" t="s">
        <v>1854</v>
      </c>
      <c r="U56" s="44" t="s">
        <v>1381</v>
      </c>
      <c r="V56" s="44" t="s">
        <v>1381</v>
      </c>
      <c r="W56" s="44" t="s">
        <v>1381</v>
      </c>
      <c r="X56" s="44" t="s">
        <v>1381</v>
      </c>
      <c r="Z56" s="323">
        <v>37</v>
      </c>
      <c r="AA56" s="323">
        <v>30</v>
      </c>
      <c r="AB56" s="32" t="s">
        <v>140</v>
      </c>
      <c r="AF56" s="32" t="s">
        <v>1311</v>
      </c>
      <c r="AG56" s="32" t="s">
        <v>1564</v>
      </c>
      <c r="AH56" s="138" t="s">
        <v>132</v>
      </c>
      <c r="AI56" s="32" t="s">
        <v>1599</v>
      </c>
      <c r="AJ56" s="140" t="s">
        <v>1621</v>
      </c>
      <c r="AT56" s="32" t="s">
        <v>120</v>
      </c>
      <c r="AU56" s="32">
        <v>4</v>
      </c>
      <c r="AW56" s="32" t="s">
        <v>142</v>
      </c>
      <c r="AX56" s="32">
        <v>230</v>
      </c>
      <c r="BA56" s="53"/>
      <c r="BB56" s="32" t="s">
        <v>145</v>
      </c>
      <c r="BH56" s="32">
        <v>33100</v>
      </c>
      <c r="BI56" s="32">
        <v>30500</v>
      </c>
      <c r="BM56" s="397"/>
      <c r="BN56" s="397"/>
      <c r="BR56" s="397"/>
      <c r="BS56" s="397"/>
      <c r="FI56" s="32">
        <v>2460</v>
      </c>
      <c r="FJ56" s="32">
        <v>2070</v>
      </c>
      <c r="GM56" s="12"/>
      <c r="GQ56" s="12"/>
    </row>
    <row r="57" spans="1:249" s="151" customFormat="1" x14ac:dyDescent="0.25">
      <c r="A57" s="151">
        <v>4</v>
      </c>
      <c r="B57" s="151" t="s">
        <v>150</v>
      </c>
      <c r="C57" s="151" t="s">
        <v>151</v>
      </c>
      <c r="D57" s="151">
        <v>2010</v>
      </c>
      <c r="E57" s="151">
        <f>(1995+2009)/2</f>
        <v>2002</v>
      </c>
      <c r="F57" s="151" t="s">
        <v>152</v>
      </c>
      <c r="G57" s="151" t="s">
        <v>153</v>
      </c>
      <c r="H57" s="151" t="s">
        <v>2831</v>
      </c>
      <c r="I57" s="151">
        <v>38.14</v>
      </c>
      <c r="J57" s="151">
        <v>-97.43</v>
      </c>
      <c r="K57" s="151">
        <v>450</v>
      </c>
      <c r="M57" s="151">
        <v>14.4</v>
      </c>
      <c r="O57" s="151">
        <v>874</v>
      </c>
      <c r="Q57" s="152" t="s">
        <v>1741</v>
      </c>
      <c r="R57" s="152" t="s">
        <v>1724</v>
      </c>
      <c r="S57" s="152" t="s">
        <v>1446</v>
      </c>
      <c r="T57" s="152" t="s">
        <v>1857</v>
      </c>
      <c r="U57" s="152" t="s">
        <v>1384</v>
      </c>
      <c r="V57" s="152" t="s">
        <v>1723</v>
      </c>
      <c r="W57" s="152" t="s">
        <v>1384</v>
      </c>
      <c r="X57" s="152" t="s">
        <v>1386</v>
      </c>
      <c r="Z57" s="324"/>
      <c r="AA57" s="324"/>
      <c r="AB57" s="151" t="s">
        <v>451</v>
      </c>
      <c r="AF57" s="151" t="s">
        <v>1312</v>
      </c>
      <c r="AG57" s="151" t="s">
        <v>159</v>
      </c>
      <c r="AH57" s="151" t="s">
        <v>578</v>
      </c>
      <c r="AI57" s="151" t="s">
        <v>1594</v>
      </c>
      <c r="AJ57" s="142" t="s">
        <v>1624</v>
      </c>
      <c r="AK57" s="151" t="s">
        <v>158</v>
      </c>
      <c r="AL57" s="151" t="s">
        <v>158</v>
      </c>
      <c r="AM57" s="151" t="s">
        <v>178</v>
      </c>
      <c r="AN57" s="151" t="s">
        <v>157</v>
      </c>
      <c r="AO57" s="151" t="s">
        <v>157</v>
      </c>
      <c r="AP57" s="151" t="s">
        <v>178</v>
      </c>
      <c r="AQ57" s="151" t="s">
        <v>162</v>
      </c>
      <c r="AR57" s="151" t="s">
        <v>162</v>
      </c>
      <c r="AS57" s="151" t="s">
        <v>178</v>
      </c>
      <c r="AT57" s="151" t="s">
        <v>161</v>
      </c>
      <c r="AU57" s="151">
        <v>4</v>
      </c>
      <c r="AW57" s="151" t="s">
        <v>142</v>
      </c>
      <c r="BJ57" s="153"/>
      <c r="BK57" s="153"/>
      <c r="BL57" s="153"/>
      <c r="BM57" s="398">
        <v>1.698</v>
      </c>
      <c r="BN57" s="398">
        <v>1.6326000000000001</v>
      </c>
      <c r="BR57" s="398">
        <f>13.681/10</f>
        <v>1.3680999999999999</v>
      </c>
      <c r="BS57" s="398">
        <f>16.9325/10</f>
        <v>1.6932500000000001</v>
      </c>
      <c r="BV57" s="151" t="s">
        <v>164</v>
      </c>
      <c r="DF57" s="151">
        <v>24</v>
      </c>
      <c r="DG57" s="151">
        <v>44</v>
      </c>
      <c r="DJ57" s="151" t="s">
        <v>1744</v>
      </c>
      <c r="DP57" s="126">
        <v>0.86129999999999995</v>
      </c>
      <c r="DQ57" s="126">
        <v>0.80740000000000001</v>
      </c>
      <c r="DR57" s="126"/>
      <c r="DS57" s="126"/>
      <c r="DT57" s="126" t="s">
        <v>1447</v>
      </c>
      <c r="DU57" s="151">
        <f>(1.1169+4.1126+5.577+10.9731)/4</f>
        <v>5.4449000000000005</v>
      </c>
      <c r="DV57" s="151">
        <f>(0.4534+10.1059+14.3185+18.7023)/4</f>
        <v>10.895025</v>
      </c>
      <c r="DY57" s="151" t="s">
        <v>1743</v>
      </c>
      <c r="ET57" s="151">
        <v>21.817599999999999</v>
      </c>
      <c r="EU57" s="151">
        <v>18.354199999999999</v>
      </c>
      <c r="EY57" s="151">
        <v>15.68</v>
      </c>
      <c r="EZ57" s="151">
        <v>16.837</v>
      </c>
      <c r="FX57" s="151">
        <v>92.7</v>
      </c>
      <c r="FY57" s="151">
        <v>372.7</v>
      </c>
      <c r="GB57" s="200" t="s">
        <v>1661</v>
      </c>
      <c r="GC57" s="200"/>
      <c r="GD57" s="200"/>
      <c r="GE57" s="200"/>
      <c r="GF57" s="200"/>
      <c r="GG57" s="200"/>
      <c r="GH57" s="200"/>
      <c r="GI57" s="200"/>
      <c r="GJ57" s="200"/>
      <c r="GK57" s="200"/>
      <c r="GL57" s="200"/>
      <c r="IO57" s="151" t="s">
        <v>718</v>
      </c>
    </row>
    <row r="58" spans="1:249" s="22" customFormat="1" x14ac:dyDescent="0.25">
      <c r="A58" s="22">
        <v>4</v>
      </c>
      <c r="B58" s="22" t="s">
        <v>150</v>
      </c>
      <c r="C58" s="22" t="s">
        <v>151</v>
      </c>
      <c r="D58" s="22">
        <v>2010</v>
      </c>
      <c r="E58" s="22">
        <f>(1995+2009)/2</f>
        <v>2002</v>
      </c>
      <c r="F58" s="22" t="s">
        <v>152</v>
      </c>
      <c r="G58" s="22" t="s">
        <v>153</v>
      </c>
      <c r="H58" s="22" t="s">
        <v>2831</v>
      </c>
      <c r="I58" s="22">
        <v>38.14</v>
      </c>
      <c r="J58" s="22">
        <v>-97.43</v>
      </c>
      <c r="K58" s="22">
        <v>450</v>
      </c>
      <c r="M58" s="22">
        <v>14.4</v>
      </c>
      <c r="O58" s="22">
        <v>874</v>
      </c>
      <c r="Q58" s="45" t="s">
        <v>1741</v>
      </c>
      <c r="R58" s="45" t="s">
        <v>1724</v>
      </c>
      <c r="S58" s="45" t="s">
        <v>1446</v>
      </c>
      <c r="T58" s="45" t="s">
        <v>1857</v>
      </c>
      <c r="U58" s="45" t="s">
        <v>1385</v>
      </c>
      <c r="V58" s="45" t="s">
        <v>1723</v>
      </c>
      <c r="W58" s="45" t="s">
        <v>1384</v>
      </c>
      <c r="X58" s="45" t="s">
        <v>1386</v>
      </c>
      <c r="Z58" s="325"/>
      <c r="AA58" s="325"/>
      <c r="AB58" s="22" t="s">
        <v>451</v>
      </c>
      <c r="AF58" s="22" t="s">
        <v>1312</v>
      </c>
      <c r="AG58" s="22" t="s">
        <v>159</v>
      </c>
      <c r="AH58" s="138" t="s">
        <v>578</v>
      </c>
      <c r="AI58" s="22" t="s">
        <v>1594</v>
      </c>
      <c r="AJ58" s="142" t="s">
        <v>1624</v>
      </c>
      <c r="AK58" s="22" t="s">
        <v>158</v>
      </c>
      <c r="AL58" s="22" t="s">
        <v>158</v>
      </c>
      <c r="AM58" s="22" t="s">
        <v>178</v>
      </c>
      <c r="AN58" s="22" t="s">
        <v>157</v>
      </c>
      <c r="AO58" s="22" t="s">
        <v>157</v>
      </c>
      <c r="AP58" s="22" t="s">
        <v>178</v>
      </c>
      <c r="AQ58" s="22" t="s">
        <v>162</v>
      </c>
      <c r="AR58" s="22" t="s">
        <v>162</v>
      </c>
      <c r="AS58" s="22" t="s">
        <v>178</v>
      </c>
      <c r="AT58" s="22" t="s">
        <v>161</v>
      </c>
      <c r="AU58" s="22">
        <v>4</v>
      </c>
      <c r="AW58" s="22" t="s">
        <v>142</v>
      </c>
      <c r="BA58" s="55"/>
      <c r="BJ58" s="23"/>
      <c r="BK58" s="23"/>
      <c r="BL58" s="23"/>
      <c r="BM58" s="399">
        <v>1.6915</v>
      </c>
      <c r="BN58" s="399">
        <v>1.6998</v>
      </c>
      <c r="BR58" s="399">
        <f>10.3067/10</f>
        <v>1.03067</v>
      </c>
      <c r="BS58" s="399">
        <f>10.7055/10</f>
        <v>1.0705500000000001</v>
      </c>
      <c r="BV58" s="22" t="s">
        <v>164</v>
      </c>
      <c r="DF58" s="22">
        <v>14</v>
      </c>
      <c r="DG58" s="22">
        <v>24</v>
      </c>
      <c r="DJ58" s="151" t="s">
        <v>1744</v>
      </c>
      <c r="DP58" s="126">
        <v>0.86129999999999995</v>
      </c>
      <c r="DQ58" s="126">
        <f>(1.0549+0.9738)/2</f>
        <v>1.0143499999999999</v>
      </c>
      <c r="DR58" s="126"/>
      <c r="DS58" s="126"/>
      <c r="DT58" s="126" t="s">
        <v>1447</v>
      </c>
      <c r="DU58" s="126">
        <f>(1.12+3.14+5.7)/3</f>
        <v>3.3200000000000003</v>
      </c>
      <c r="DV58" s="126">
        <f>(1.88+6.2+11.22)/3</f>
        <v>6.4333333333333336</v>
      </c>
      <c r="DW58" s="126"/>
      <c r="DX58" s="126"/>
      <c r="DY58" s="151" t="s">
        <v>1742</v>
      </c>
      <c r="ET58" s="22">
        <v>18.5625</v>
      </c>
      <c r="EU58" s="22">
        <v>16.010400000000001</v>
      </c>
      <c r="EY58" s="22">
        <v>15.21</v>
      </c>
      <c r="EZ58" s="22">
        <v>16.279</v>
      </c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IO58" s="22" t="s">
        <v>718</v>
      </c>
    </row>
    <row r="59" spans="1:249" s="151" customFormat="1" x14ac:dyDescent="0.25">
      <c r="A59" s="151">
        <v>4</v>
      </c>
      <c r="B59" s="151" t="s">
        <v>150</v>
      </c>
      <c r="C59" s="151" t="s">
        <v>151</v>
      </c>
      <c r="D59" s="151">
        <v>2010</v>
      </c>
      <c r="E59" s="151">
        <f t="shared" ref="E59:E64" si="0">(1995+2009)/2</f>
        <v>2002</v>
      </c>
      <c r="F59" s="151" t="s">
        <v>152</v>
      </c>
      <c r="G59" s="151" t="s">
        <v>153</v>
      </c>
      <c r="H59" s="151" t="s">
        <v>2831</v>
      </c>
      <c r="I59" s="151">
        <v>38.14</v>
      </c>
      <c r="J59" s="151">
        <v>-97.43</v>
      </c>
      <c r="K59" s="151">
        <v>450</v>
      </c>
      <c r="M59" s="151">
        <v>14.4</v>
      </c>
      <c r="O59" s="151">
        <v>874</v>
      </c>
      <c r="Q59" s="152" t="s">
        <v>1741</v>
      </c>
      <c r="R59" s="152" t="s">
        <v>1724</v>
      </c>
      <c r="S59" s="152" t="s">
        <v>1446</v>
      </c>
      <c r="T59" s="152" t="s">
        <v>1857</v>
      </c>
      <c r="U59" s="152" t="s">
        <v>1384</v>
      </c>
      <c r="V59" s="152" t="s">
        <v>1723</v>
      </c>
      <c r="W59" s="152" t="s">
        <v>1384</v>
      </c>
      <c r="X59" s="152" t="s">
        <v>1386</v>
      </c>
      <c r="Z59" s="324"/>
      <c r="AA59" s="324"/>
      <c r="AB59" s="151" t="s">
        <v>451</v>
      </c>
      <c r="AF59" s="151" t="s">
        <v>1312</v>
      </c>
      <c r="AG59" s="151" t="s">
        <v>160</v>
      </c>
      <c r="AH59" s="138" t="s">
        <v>578</v>
      </c>
      <c r="AI59" s="151" t="s">
        <v>1594</v>
      </c>
      <c r="AJ59" s="142" t="s">
        <v>1624</v>
      </c>
      <c r="AK59" s="151" t="s">
        <v>158</v>
      </c>
      <c r="AL59" s="151" t="s">
        <v>158</v>
      </c>
      <c r="AM59" s="151" t="s">
        <v>178</v>
      </c>
      <c r="AN59" s="151" t="s">
        <v>157</v>
      </c>
      <c r="AO59" s="151" t="s">
        <v>157</v>
      </c>
      <c r="AP59" s="151" t="s">
        <v>178</v>
      </c>
      <c r="AQ59" s="151" t="s">
        <v>162</v>
      </c>
      <c r="AR59" s="151" t="s">
        <v>162</v>
      </c>
      <c r="AS59" s="151" t="s">
        <v>178</v>
      </c>
      <c r="AT59" s="151" t="s">
        <v>161</v>
      </c>
      <c r="AU59" s="151">
        <v>4</v>
      </c>
      <c r="AW59" s="151" t="s">
        <v>142</v>
      </c>
      <c r="BJ59" s="153"/>
      <c r="BK59" s="153"/>
      <c r="BL59" s="153"/>
      <c r="BM59" s="398">
        <v>1.698</v>
      </c>
      <c r="BN59" s="398">
        <v>1.6104000000000001</v>
      </c>
      <c r="BR59" s="398">
        <f>13.681/10</f>
        <v>1.3680999999999999</v>
      </c>
      <c r="BS59" s="398">
        <f>18.1595/10</f>
        <v>1.8159500000000002</v>
      </c>
      <c r="BV59" s="151" t="s">
        <v>164</v>
      </c>
      <c r="DF59" s="151">
        <v>24</v>
      </c>
      <c r="DG59" s="151">
        <v>41</v>
      </c>
      <c r="DJ59" s="151" t="s">
        <v>1744</v>
      </c>
      <c r="DP59" s="126">
        <v>0.86129999999999995</v>
      </c>
      <c r="DQ59" s="126">
        <v>0.89339999999999997</v>
      </c>
      <c r="DR59" s="126"/>
      <c r="DS59" s="126"/>
      <c r="DT59" s="126" t="s">
        <v>1447</v>
      </c>
      <c r="DU59" s="151">
        <f t="shared" ref="DU59" si="1">(1.1169+4.1126+5.577+10.9731)/4</f>
        <v>5.4449000000000005</v>
      </c>
      <c r="DV59" s="151">
        <f>(5.8369+13.6663+17.0158+24.68)/4</f>
        <v>15.29975</v>
      </c>
      <c r="DY59" s="151" t="s">
        <v>1743</v>
      </c>
      <c r="ET59" s="151">
        <v>21.817599999999999</v>
      </c>
      <c r="EU59" s="151">
        <v>18.197900000000001</v>
      </c>
      <c r="EY59" s="151">
        <v>15.68</v>
      </c>
      <c r="EZ59" s="151">
        <v>17.727</v>
      </c>
      <c r="FX59" s="151">
        <v>92.7</v>
      </c>
      <c r="FY59" s="151">
        <v>623.6</v>
      </c>
      <c r="GB59" s="200" t="s">
        <v>1661</v>
      </c>
      <c r="GC59" s="200"/>
      <c r="GD59" s="200"/>
      <c r="GE59" s="200"/>
      <c r="GF59" s="200"/>
      <c r="GG59" s="200"/>
      <c r="GH59" s="200"/>
      <c r="GI59" s="200"/>
      <c r="GJ59" s="200"/>
      <c r="GK59" s="200"/>
      <c r="GL59" s="200"/>
      <c r="IO59" s="151" t="s">
        <v>718</v>
      </c>
    </row>
    <row r="60" spans="1:249" s="22" customFormat="1" x14ac:dyDescent="0.25">
      <c r="A60" s="22">
        <v>4</v>
      </c>
      <c r="B60" s="22" t="s">
        <v>150</v>
      </c>
      <c r="C60" s="22" t="s">
        <v>151</v>
      </c>
      <c r="D60" s="22">
        <v>2010</v>
      </c>
      <c r="E60" s="22">
        <f t="shared" si="0"/>
        <v>2002</v>
      </c>
      <c r="F60" s="22" t="s">
        <v>152</v>
      </c>
      <c r="G60" s="22" t="s">
        <v>153</v>
      </c>
      <c r="H60" s="22" t="s">
        <v>2831</v>
      </c>
      <c r="I60" s="22">
        <v>38.14</v>
      </c>
      <c r="J60" s="22">
        <v>-97.43</v>
      </c>
      <c r="K60" s="22">
        <v>450</v>
      </c>
      <c r="M60" s="22">
        <v>14.4</v>
      </c>
      <c r="O60" s="22">
        <v>874</v>
      </c>
      <c r="Q60" s="45" t="s">
        <v>1741</v>
      </c>
      <c r="R60" s="45" t="s">
        <v>1724</v>
      </c>
      <c r="S60" s="45" t="s">
        <v>1446</v>
      </c>
      <c r="T60" s="45" t="s">
        <v>1857</v>
      </c>
      <c r="U60" s="45" t="s">
        <v>1385</v>
      </c>
      <c r="V60" s="45" t="s">
        <v>1723</v>
      </c>
      <c r="W60" s="45" t="s">
        <v>1384</v>
      </c>
      <c r="X60" s="45" t="s">
        <v>1386</v>
      </c>
      <c r="Z60" s="325"/>
      <c r="AA60" s="325"/>
      <c r="AB60" s="22" t="s">
        <v>451</v>
      </c>
      <c r="AF60" s="22" t="s">
        <v>1312</v>
      </c>
      <c r="AG60" s="22" t="s">
        <v>160</v>
      </c>
      <c r="AH60" s="138" t="s">
        <v>578</v>
      </c>
      <c r="AI60" s="22" t="s">
        <v>1594</v>
      </c>
      <c r="AJ60" s="142" t="s">
        <v>1624</v>
      </c>
      <c r="AK60" s="22" t="s">
        <v>158</v>
      </c>
      <c r="AL60" s="22" t="s">
        <v>158</v>
      </c>
      <c r="AM60" s="22" t="s">
        <v>178</v>
      </c>
      <c r="AN60" s="22" t="s">
        <v>157</v>
      </c>
      <c r="AO60" s="22" t="s">
        <v>157</v>
      </c>
      <c r="AP60" s="22" t="s">
        <v>178</v>
      </c>
      <c r="AQ60" s="22" t="s">
        <v>162</v>
      </c>
      <c r="AR60" s="22" t="s">
        <v>162</v>
      </c>
      <c r="AS60" s="22" t="s">
        <v>178</v>
      </c>
      <c r="AT60" s="22" t="s">
        <v>161</v>
      </c>
      <c r="AU60" s="22">
        <v>4</v>
      </c>
      <c r="AW60" s="22" t="s">
        <v>142</v>
      </c>
      <c r="BA60" s="55"/>
      <c r="BJ60" s="23"/>
      <c r="BK60" s="23"/>
      <c r="BL60" s="23"/>
      <c r="BM60" s="399">
        <v>1.6915</v>
      </c>
      <c r="BN60" s="399">
        <v>1.6932</v>
      </c>
      <c r="BR60" s="399">
        <f>10.3067/10</f>
        <v>1.03067</v>
      </c>
      <c r="BS60" s="399">
        <f>10.6135/10</f>
        <v>1.06135</v>
      </c>
      <c r="BV60" s="22" t="s">
        <v>164</v>
      </c>
      <c r="DF60" s="22">
        <v>14</v>
      </c>
      <c r="DG60" s="22">
        <v>18</v>
      </c>
      <c r="DJ60" s="151" t="s">
        <v>1744</v>
      </c>
      <c r="DP60" s="126">
        <v>0.86129999999999995</v>
      </c>
      <c r="DQ60" s="126">
        <v>0.77500000000000002</v>
      </c>
      <c r="DR60" s="126"/>
      <c r="DS60" s="126"/>
      <c r="DT60" s="126" t="s">
        <v>1447</v>
      </c>
      <c r="DU60" s="126">
        <f>(1.12+3.14+5.7)/3</f>
        <v>3.3200000000000003</v>
      </c>
      <c r="DV60" s="126">
        <f>(1.88+7.73+15.54)/3</f>
        <v>8.3833333333333329</v>
      </c>
      <c r="DW60" s="126"/>
      <c r="DX60" s="126"/>
      <c r="DY60" s="151" t="s">
        <v>1742</v>
      </c>
      <c r="ET60" s="22">
        <v>18.5625</v>
      </c>
      <c r="EU60" s="22">
        <v>16.244800000000001</v>
      </c>
      <c r="EY60" s="22">
        <v>15.21</v>
      </c>
      <c r="EZ60" s="22">
        <v>16.788</v>
      </c>
      <c r="GM60" s="12"/>
      <c r="GQ60" s="12"/>
      <c r="IO60" s="22" t="s">
        <v>718</v>
      </c>
    </row>
    <row r="61" spans="1:249" s="22" customFormat="1" x14ac:dyDescent="0.25">
      <c r="A61" s="22">
        <v>4</v>
      </c>
      <c r="B61" s="22" t="s">
        <v>150</v>
      </c>
      <c r="C61" s="22" t="s">
        <v>151</v>
      </c>
      <c r="D61" s="22">
        <v>2010</v>
      </c>
      <c r="E61" s="22">
        <f t="shared" si="0"/>
        <v>2002</v>
      </c>
      <c r="F61" s="22" t="s">
        <v>152</v>
      </c>
      <c r="G61" s="22" t="s">
        <v>153</v>
      </c>
      <c r="H61" s="22" t="s">
        <v>2831</v>
      </c>
      <c r="I61" s="22">
        <v>38.14</v>
      </c>
      <c r="J61" s="22">
        <v>-97.43</v>
      </c>
      <c r="K61" s="22">
        <v>450</v>
      </c>
      <c r="M61" s="22">
        <v>14.4</v>
      </c>
      <c r="O61" s="22">
        <v>874</v>
      </c>
      <c r="Q61" s="45" t="s">
        <v>1741</v>
      </c>
      <c r="R61" s="45" t="s">
        <v>1724</v>
      </c>
      <c r="S61" s="45" t="s">
        <v>1446</v>
      </c>
      <c r="T61" s="45" t="s">
        <v>1857</v>
      </c>
      <c r="U61" s="45" t="s">
        <v>1384</v>
      </c>
      <c r="V61" s="45" t="s">
        <v>1723</v>
      </c>
      <c r="W61" s="45" t="s">
        <v>1384</v>
      </c>
      <c r="X61" s="45" t="s">
        <v>1386</v>
      </c>
      <c r="Z61" s="325"/>
      <c r="AA61" s="325"/>
      <c r="AB61" s="22" t="s">
        <v>451</v>
      </c>
      <c r="AF61" s="22" t="s">
        <v>1312</v>
      </c>
      <c r="AG61" s="22" t="s">
        <v>159</v>
      </c>
      <c r="AH61" s="138" t="s">
        <v>578</v>
      </c>
      <c r="AI61" s="22" t="s">
        <v>1594</v>
      </c>
      <c r="AJ61" s="142" t="s">
        <v>1624</v>
      </c>
      <c r="AK61" s="22" t="s">
        <v>158</v>
      </c>
      <c r="AL61" s="22" t="s">
        <v>158</v>
      </c>
      <c r="AM61" s="22" t="s">
        <v>178</v>
      </c>
      <c r="AN61" s="22" t="s">
        <v>157</v>
      </c>
      <c r="AO61" s="22" t="s">
        <v>157</v>
      </c>
      <c r="AP61" s="22" t="s">
        <v>178</v>
      </c>
      <c r="AQ61" s="22" t="s">
        <v>163</v>
      </c>
      <c r="AR61" s="22" t="s">
        <v>163</v>
      </c>
      <c r="AS61" s="22" t="s">
        <v>178</v>
      </c>
      <c r="AT61" s="22" t="s">
        <v>161</v>
      </c>
      <c r="AU61" s="22">
        <v>4</v>
      </c>
      <c r="AW61" s="22" t="s">
        <v>142</v>
      </c>
      <c r="BA61" s="55"/>
      <c r="BJ61" s="23"/>
      <c r="BK61" s="23"/>
      <c r="BL61" s="23"/>
      <c r="BM61" s="399">
        <v>1.6419999999999999</v>
      </c>
      <c r="BN61" s="399">
        <v>1.6059000000000001</v>
      </c>
      <c r="BR61" s="399">
        <f>13.681/10</f>
        <v>1.3680999999999999</v>
      </c>
      <c r="BS61" s="399">
        <f>17.3313/10</f>
        <v>1.7331299999999998</v>
      </c>
      <c r="BV61" s="22" t="s">
        <v>164</v>
      </c>
      <c r="DF61" s="22">
        <v>115</v>
      </c>
      <c r="DG61" s="22">
        <v>138</v>
      </c>
      <c r="DJ61" s="22" t="s">
        <v>1448</v>
      </c>
      <c r="EY61" s="22">
        <f>0.1693*100</f>
        <v>16.93</v>
      </c>
      <c r="EZ61" s="22">
        <f>0.18*100</f>
        <v>18</v>
      </c>
      <c r="GM61" s="12"/>
      <c r="GQ61" s="12"/>
      <c r="IO61" s="22" t="s">
        <v>718</v>
      </c>
    </row>
    <row r="62" spans="1:249" s="22" customFormat="1" x14ac:dyDescent="0.25">
      <c r="A62" s="22">
        <v>4</v>
      </c>
      <c r="B62" s="22" t="s">
        <v>150</v>
      </c>
      <c r="C62" s="22" t="s">
        <v>151</v>
      </c>
      <c r="D62" s="22">
        <v>2010</v>
      </c>
      <c r="E62" s="22">
        <f t="shared" si="0"/>
        <v>2002</v>
      </c>
      <c r="F62" s="22" t="s">
        <v>152</v>
      </c>
      <c r="G62" s="22" t="s">
        <v>153</v>
      </c>
      <c r="H62" s="22" t="s">
        <v>2831</v>
      </c>
      <c r="I62" s="22">
        <v>38.14</v>
      </c>
      <c r="J62" s="22">
        <v>-97.43</v>
      </c>
      <c r="K62" s="22">
        <v>450</v>
      </c>
      <c r="M62" s="22">
        <v>14.4</v>
      </c>
      <c r="O62" s="22">
        <v>874</v>
      </c>
      <c r="Q62" s="45" t="s">
        <v>1741</v>
      </c>
      <c r="R62" s="45" t="s">
        <v>1724</v>
      </c>
      <c r="S62" s="45" t="s">
        <v>1446</v>
      </c>
      <c r="T62" s="45" t="s">
        <v>1857</v>
      </c>
      <c r="U62" s="45" t="s">
        <v>1385</v>
      </c>
      <c r="V62" s="45" t="s">
        <v>1723</v>
      </c>
      <c r="W62" s="45" t="s">
        <v>1384</v>
      </c>
      <c r="X62" s="45" t="s">
        <v>1386</v>
      </c>
      <c r="Z62" s="325"/>
      <c r="AA62" s="325"/>
      <c r="AB62" s="22" t="s">
        <v>451</v>
      </c>
      <c r="AF62" s="22" t="s">
        <v>1312</v>
      </c>
      <c r="AG62" s="22" t="s">
        <v>159</v>
      </c>
      <c r="AH62" s="138" t="s">
        <v>578</v>
      </c>
      <c r="AI62" s="22" t="s">
        <v>1594</v>
      </c>
      <c r="AJ62" s="142" t="s">
        <v>1624</v>
      </c>
      <c r="AK62" s="22" t="s">
        <v>158</v>
      </c>
      <c r="AL62" s="22" t="s">
        <v>158</v>
      </c>
      <c r="AM62" s="22" t="s">
        <v>178</v>
      </c>
      <c r="AN62" s="22" t="s">
        <v>157</v>
      </c>
      <c r="AO62" s="22" t="s">
        <v>157</v>
      </c>
      <c r="AP62" s="22" t="s">
        <v>178</v>
      </c>
      <c r="AQ62" s="22" t="s">
        <v>163</v>
      </c>
      <c r="AR62" s="22" t="s">
        <v>163</v>
      </c>
      <c r="AS62" s="22" t="s">
        <v>178</v>
      </c>
      <c r="AT62" s="22" t="s">
        <v>161</v>
      </c>
      <c r="AU62" s="22">
        <v>4</v>
      </c>
      <c r="AW62" s="22" t="s">
        <v>142</v>
      </c>
      <c r="BA62" s="55"/>
      <c r="BJ62" s="23"/>
      <c r="BK62" s="23"/>
      <c r="BL62" s="23"/>
      <c r="BM62" s="399">
        <v>1.7101999999999999</v>
      </c>
      <c r="BN62" s="399">
        <v>1.6938</v>
      </c>
      <c r="BR62" s="399">
        <f>10.3067/10</f>
        <v>1.03067</v>
      </c>
      <c r="BS62" s="399">
        <f>10.2147/10</f>
        <v>1.0214700000000001</v>
      </c>
      <c r="BV62" s="22" t="s">
        <v>164</v>
      </c>
      <c r="DF62" s="22">
        <v>172</v>
      </c>
      <c r="DG62" s="22">
        <v>170</v>
      </c>
      <c r="DJ62" s="22" t="s">
        <v>1448</v>
      </c>
      <c r="EY62" s="22">
        <f>0.1611*100</f>
        <v>16.11</v>
      </c>
      <c r="EZ62" s="22">
        <f>0.1619*100</f>
        <v>16.189999999999998</v>
      </c>
      <c r="GM62" s="12"/>
      <c r="GQ62" s="12"/>
      <c r="IO62" s="22" t="s">
        <v>718</v>
      </c>
    </row>
    <row r="63" spans="1:249" s="22" customFormat="1" x14ac:dyDescent="0.25">
      <c r="A63" s="22">
        <v>4</v>
      </c>
      <c r="B63" s="22" t="s">
        <v>150</v>
      </c>
      <c r="C63" s="22" t="s">
        <v>151</v>
      </c>
      <c r="D63" s="22">
        <v>2010</v>
      </c>
      <c r="E63" s="22">
        <f t="shared" si="0"/>
        <v>2002</v>
      </c>
      <c r="F63" s="22" t="s">
        <v>152</v>
      </c>
      <c r="G63" s="22" t="s">
        <v>153</v>
      </c>
      <c r="H63" s="22" t="s">
        <v>2831</v>
      </c>
      <c r="I63" s="22">
        <v>38.14</v>
      </c>
      <c r="J63" s="22">
        <v>-97.43</v>
      </c>
      <c r="K63" s="22">
        <v>450</v>
      </c>
      <c r="M63" s="22">
        <v>14.4</v>
      </c>
      <c r="O63" s="22">
        <v>874</v>
      </c>
      <c r="Q63" s="45" t="s">
        <v>1741</v>
      </c>
      <c r="R63" s="45" t="s">
        <v>1724</v>
      </c>
      <c r="S63" s="45" t="s">
        <v>1446</v>
      </c>
      <c r="T63" s="45" t="s">
        <v>1857</v>
      </c>
      <c r="U63" s="45" t="s">
        <v>1384</v>
      </c>
      <c r="V63" s="45" t="s">
        <v>1723</v>
      </c>
      <c r="W63" s="45" t="s">
        <v>1384</v>
      </c>
      <c r="X63" s="45" t="s">
        <v>1386</v>
      </c>
      <c r="Z63" s="325"/>
      <c r="AA63" s="325"/>
      <c r="AB63" s="22" t="s">
        <v>451</v>
      </c>
      <c r="AF63" s="22" t="s">
        <v>1312</v>
      </c>
      <c r="AG63" s="22" t="s">
        <v>160</v>
      </c>
      <c r="AH63" s="138" t="s">
        <v>578</v>
      </c>
      <c r="AI63" s="22" t="s">
        <v>1594</v>
      </c>
      <c r="AJ63" s="142" t="s">
        <v>1624</v>
      </c>
      <c r="AK63" s="22" t="s">
        <v>158</v>
      </c>
      <c r="AL63" s="22" t="s">
        <v>158</v>
      </c>
      <c r="AM63" s="22" t="s">
        <v>178</v>
      </c>
      <c r="AN63" s="22" t="s">
        <v>157</v>
      </c>
      <c r="AO63" s="22" t="s">
        <v>157</v>
      </c>
      <c r="AP63" s="22" t="s">
        <v>178</v>
      </c>
      <c r="AQ63" s="22" t="s">
        <v>163</v>
      </c>
      <c r="AR63" s="22" t="s">
        <v>163</v>
      </c>
      <c r="AS63" s="22" t="s">
        <v>178</v>
      </c>
      <c r="AT63" s="22" t="s">
        <v>161</v>
      </c>
      <c r="AU63" s="22">
        <v>4</v>
      </c>
      <c r="AW63" s="22" t="s">
        <v>142</v>
      </c>
      <c r="BA63" s="55"/>
      <c r="BJ63" s="23"/>
      <c r="BK63" s="23"/>
      <c r="BL63" s="23"/>
      <c r="BM63" s="399">
        <v>1.6419999999999999</v>
      </c>
      <c r="BN63" s="399">
        <v>1.6193</v>
      </c>
      <c r="BR63" s="399">
        <f>13.681/10</f>
        <v>1.3680999999999999</v>
      </c>
      <c r="BS63" s="399">
        <f>17.3313/10</f>
        <v>1.7331299999999998</v>
      </c>
      <c r="BV63" s="22" t="s">
        <v>164</v>
      </c>
      <c r="DF63" s="22">
        <v>115</v>
      </c>
      <c r="DG63" s="22">
        <v>149</v>
      </c>
      <c r="DJ63" s="22" t="s">
        <v>1448</v>
      </c>
      <c r="EY63" s="22">
        <f>0.1693*100</f>
        <v>16.93</v>
      </c>
      <c r="EZ63" s="22">
        <f>0.1774*100</f>
        <v>17.740000000000002</v>
      </c>
      <c r="GM63" s="12"/>
      <c r="GQ63" s="12"/>
      <c r="IO63" s="22" t="s">
        <v>718</v>
      </c>
    </row>
    <row r="64" spans="1:249" s="22" customFormat="1" x14ac:dyDescent="0.25">
      <c r="A64" s="22">
        <v>4</v>
      </c>
      <c r="B64" s="22" t="s">
        <v>150</v>
      </c>
      <c r="C64" s="22" t="s">
        <v>151</v>
      </c>
      <c r="D64" s="22">
        <v>2010</v>
      </c>
      <c r="E64" s="22">
        <f t="shared" si="0"/>
        <v>2002</v>
      </c>
      <c r="F64" s="22" t="s">
        <v>152</v>
      </c>
      <c r="G64" s="22" t="s">
        <v>153</v>
      </c>
      <c r="H64" s="22" t="s">
        <v>2831</v>
      </c>
      <c r="I64" s="22">
        <v>38.14</v>
      </c>
      <c r="J64" s="22">
        <v>-97.43</v>
      </c>
      <c r="K64" s="22">
        <v>450</v>
      </c>
      <c r="M64" s="22">
        <v>14.4</v>
      </c>
      <c r="O64" s="22">
        <v>874</v>
      </c>
      <c r="Q64" s="45" t="s">
        <v>1741</v>
      </c>
      <c r="R64" s="45" t="s">
        <v>1724</v>
      </c>
      <c r="S64" s="45" t="s">
        <v>1446</v>
      </c>
      <c r="T64" s="45" t="s">
        <v>1857</v>
      </c>
      <c r="U64" s="45" t="s">
        <v>1385</v>
      </c>
      <c r="V64" s="45" t="s">
        <v>1723</v>
      </c>
      <c r="W64" s="45" t="s">
        <v>1384</v>
      </c>
      <c r="X64" s="45" t="s">
        <v>1386</v>
      </c>
      <c r="Z64" s="325"/>
      <c r="AA64" s="325"/>
      <c r="AB64" s="22" t="s">
        <v>451</v>
      </c>
      <c r="AF64" s="22" t="s">
        <v>1312</v>
      </c>
      <c r="AG64" s="22" t="s">
        <v>160</v>
      </c>
      <c r="AH64" s="138" t="s">
        <v>578</v>
      </c>
      <c r="AI64" s="22" t="s">
        <v>1594</v>
      </c>
      <c r="AJ64" s="142" t="s">
        <v>1624</v>
      </c>
      <c r="AK64" s="22" t="s">
        <v>158</v>
      </c>
      <c r="AL64" s="22" t="s">
        <v>158</v>
      </c>
      <c r="AM64" s="22" t="s">
        <v>178</v>
      </c>
      <c r="AN64" s="22" t="s">
        <v>157</v>
      </c>
      <c r="AO64" s="22" t="s">
        <v>157</v>
      </c>
      <c r="AP64" s="22" t="s">
        <v>178</v>
      </c>
      <c r="AQ64" s="22" t="s">
        <v>163</v>
      </c>
      <c r="AR64" s="22" t="s">
        <v>163</v>
      </c>
      <c r="AS64" s="22" t="s">
        <v>178</v>
      </c>
      <c r="AT64" s="22" t="s">
        <v>161</v>
      </c>
      <c r="AU64" s="22">
        <v>4</v>
      </c>
      <c r="AW64" s="22" t="s">
        <v>142</v>
      </c>
      <c r="BA64" s="55"/>
      <c r="BJ64" s="23"/>
      <c r="BK64" s="23"/>
      <c r="BL64" s="23"/>
      <c r="BM64" s="399">
        <v>1.7101999999999999</v>
      </c>
      <c r="BN64" s="399">
        <v>1.6987000000000001</v>
      </c>
      <c r="BR64" s="399">
        <f>10.3067/10</f>
        <v>1.03067</v>
      </c>
      <c r="BS64" s="399">
        <f>10.2147/10</f>
        <v>1.0214700000000001</v>
      </c>
      <c r="BV64" s="22" t="s">
        <v>164</v>
      </c>
      <c r="DF64" s="22">
        <v>172</v>
      </c>
      <c r="DG64" s="22">
        <v>169</v>
      </c>
      <c r="DJ64" s="22" t="s">
        <v>1448</v>
      </c>
      <c r="EY64" s="22">
        <f>0.1611*100</f>
        <v>16.11</v>
      </c>
      <c r="EZ64" s="22">
        <f>0.1671*100</f>
        <v>16.71</v>
      </c>
      <c r="GM64" s="12"/>
      <c r="GQ64" s="12"/>
      <c r="IO64" s="22" t="s">
        <v>718</v>
      </c>
    </row>
    <row r="65" spans="1:249" s="24" customFormat="1" x14ac:dyDescent="0.25">
      <c r="A65" s="24">
        <v>5</v>
      </c>
      <c r="B65" s="24" t="s">
        <v>150</v>
      </c>
      <c r="C65" s="24" t="s">
        <v>151</v>
      </c>
      <c r="D65" s="24">
        <v>2013</v>
      </c>
      <c r="E65" s="24">
        <v>2011</v>
      </c>
      <c r="F65" s="24" t="s">
        <v>152</v>
      </c>
      <c r="G65" s="24" t="s">
        <v>167</v>
      </c>
      <c r="H65" s="24" t="s">
        <v>2831</v>
      </c>
      <c r="I65" s="24">
        <v>37.97</v>
      </c>
      <c r="J65" s="24">
        <v>-100.87</v>
      </c>
      <c r="K65" s="24">
        <v>865.6</v>
      </c>
      <c r="N65" s="24">
        <v>400</v>
      </c>
      <c r="O65" s="24">
        <v>489</v>
      </c>
      <c r="Q65" s="42">
        <v>4</v>
      </c>
      <c r="R65" s="42" t="s">
        <v>1729</v>
      </c>
      <c r="S65" s="42"/>
      <c r="T65" s="42" t="s">
        <v>1855</v>
      </c>
      <c r="U65" s="42" t="s">
        <v>1384</v>
      </c>
      <c r="V65" s="42" t="s">
        <v>1723</v>
      </c>
      <c r="W65" s="42" t="s">
        <v>1384</v>
      </c>
      <c r="X65" s="42" t="s">
        <v>1384</v>
      </c>
      <c r="Z65" s="321"/>
      <c r="AA65" s="321"/>
      <c r="AB65" s="24" t="s">
        <v>451</v>
      </c>
      <c r="AF65" s="24" t="s">
        <v>1313</v>
      </c>
      <c r="AG65" s="24" t="s">
        <v>1568</v>
      </c>
      <c r="AH65" s="138" t="s">
        <v>578</v>
      </c>
      <c r="AI65" s="24" t="s">
        <v>1618</v>
      </c>
      <c r="AJ65" s="140" t="s">
        <v>1624</v>
      </c>
      <c r="AK65" s="24" t="s">
        <v>1619</v>
      </c>
      <c r="AL65" s="24" t="s">
        <v>1619</v>
      </c>
      <c r="AM65" s="24" t="s">
        <v>178</v>
      </c>
      <c r="AT65" s="24" t="s">
        <v>120</v>
      </c>
      <c r="AU65" s="24">
        <v>4</v>
      </c>
      <c r="AW65" s="24" t="s">
        <v>175</v>
      </c>
      <c r="BA65" s="53"/>
      <c r="BM65" s="395">
        <v>1.57</v>
      </c>
      <c r="BN65" s="395">
        <v>1.45</v>
      </c>
      <c r="BR65" s="395">
        <f>8.7/1000*100</f>
        <v>0.86999999999999988</v>
      </c>
      <c r="BS65" s="395">
        <v>0.91999999999999993</v>
      </c>
      <c r="BV65" s="24" t="s">
        <v>1674</v>
      </c>
      <c r="DF65" s="24">
        <f>0.5877*100</f>
        <v>58.77</v>
      </c>
      <c r="DG65" s="24">
        <f>0.4353*100</f>
        <v>43.53</v>
      </c>
      <c r="DJ65" s="24" t="s">
        <v>816</v>
      </c>
      <c r="EE65" s="24">
        <v>1.5893999999999999</v>
      </c>
      <c r="EF65" s="24">
        <v>0.96489999999999998</v>
      </c>
      <c r="EI65" s="24" t="s">
        <v>171</v>
      </c>
      <c r="GM65" s="12"/>
      <c r="GQ65" s="12"/>
      <c r="IO65" s="24" t="s">
        <v>719</v>
      </c>
    </row>
    <row r="66" spans="1:249" s="24" customFormat="1" x14ac:dyDescent="0.25">
      <c r="A66" s="24">
        <v>5</v>
      </c>
      <c r="B66" s="24" t="s">
        <v>150</v>
      </c>
      <c r="C66" s="24" t="s">
        <v>151</v>
      </c>
      <c r="D66" s="24">
        <v>2013</v>
      </c>
      <c r="E66" s="24">
        <v>2011</v>
      </c>
      <c r="F66" s="24" t="s">
        <v>152</v>
      </c>
      <c r="G66" s="24" t="s">
        <v>167</v>
      </c>
      <c r="H66" s="24" t="s">
        <v>2831</v>
      </c>
      <c r="I66" s="24">
        <v>37.97</v>
      </c>
      <c r="J66" s="24">
        <v>-100.87</v>
      </c>
      <c r="K66" s="24">
        <v>865.6</v>
      </c>
      <c r="N66" s="24">
        <v>400</v>
      </c>
      <c r="O66" s="24">
        <v>489</v>
      </c>
      <c r="Q66" s="42">
        <v>4</v>
      </c>
      <c r="R66" s="42" t="s">
        <v>1729</v>
      </c>
      <c r="S66" s="42"/>
      <c r="T66" s="42" t="s">
        <v>1855</v>
      </c>
      <c r="U66" s="42" t="s">
        <v>1384</v>
      </c>
      <c r="V66" s="42" t="s">
        <v>1723</v>
      </c>
      <c r="W66" s="42" t="s">
        <v>1384</v>
      </c>
      <c r="X66" s="42" t="s">
        <v>1384</v>
      </c>
      <c r="Z66" s="321"/>
      <c r="AA66" s="321"/>
      <c r="AB66" s="24" t="s">
        <v>451</v>
      </c>
      <c r="AF66" s="24" t="s">
        <v>1313</v>
      </c>
      <c r="AG66" s="24" t="s">
        <v>1572</v>
      </c>
      <c r="AH66" s="138" t="s">
        <v>578</v>
      </c>
      <c r="AI66" s="24" t="s">
        <v>1618</v>
      </c>
      <c r="AJ66" s="140" t="s">
        <v>1624</v>
      </c>
      <c r="AK66" s="24" t="s">
        <v>1619</v>
      </c>
      <c r="AL66" s="24" t="s">
        <v>1619</v>
      </c>
      <c r="AM66" s="24" t="s">
        <v>178</v>
      </c>
      <c r="AT66" s="24" t="s">
        <v>120</v>
      </c>
      <c r="AU66" s="24">
        <v>4</v>
      </c>
      <c r="AW66" s="24" t="s">
        <v>175</v>
      </c>
      <c r="BA66" s="53"/>
      <c r="BM66" s="395">
        <v>1.57</v>
      </c>
      <c r="BN66" s="395">
        <v>1.55</v>
      </c>
      <c r="BR66" s="395">
        <f t="shared" ref="BR66:BR72" si="2">8.7/1000*100</f>
        <v>0.86999999999999988</v>
      </c>
      <c r="BS66" s="395">
        <v>1.01</v>
      </c>
      <c r="BV66" s="24" t="s">
        <v>1674</v>
      </c>
      <c r="DF66" s="24">
        <f t="shared" ref="DF66:DF72" si="3">0.5877*100</f>
        <v>58.77</v>
      </c>
      <c r="DG66" s="24">
        <f>0.3374*100</f>
        <v>33.739999999999995</v>
      </c>
      <c r="DJ66" s="24" t="s">
        <v>816</v>
      </c>
      <c r="EE66" s="24">
        <v>1.5893999999999999</v>
      </c>
      <c r="EF66" s="24">
        <v>0.50319999999999998</v>
      </c>
      <c r="EI66" s="24" t="s">
        <v>171</v>
      </c>
      <c r="GM66" s="12"/>
      <c r="GQ66" s="12"/>
      <c r="IO66" s="24" t="s">
        <v>719</v>
      </c>
    </row>
    <row r="67" spans="1:249" s="24" customFormat="1" x14ac:dyDescent="0.25">
      <c r="A67" s="24">
        <v>5</v>
      </c>
      <c r="B67" s="24" t="s">
        <v>150</v>
      </c>
      <c r="C67" s="24" t="s">
        <v>151</v>
      </c>
      <c r="D67" s="24">
        <v>2013</v>
      </c>
      <c r="E67" s="24">
        <v>2011</v>
      </c>
      <c r="F67" s="24" t="s">
        <v>152</v>
      </c>
      <c r="G67" s="24" t="s">
        <v>167</v>
      </c>
      <c r="H67" s="24" t="s">
        <v>2831</v>
      </c>
      <c r="I67" s="24">
        <v>37.97</v>
      </c>
      <c r="J67" s="24">
        <v>-100.87</v>
      </c>
      <c r="K67" s="24">
        <v>865.6</v>
      </c>
      <c r="N67" s="24">
        <v>400</v>
      </c>
      <c r="O67" s="24">
        <v>489</v>
      </c>
      <c r="Q67" s="42">
        <v>4</v>
      </c>
      <c r="R67" s="42" t="s">
        <v>1729</v>
      </c>
      <c r="S67" s="42"/>
      <c r="T67" s="42" t="s">
        <v>1855</v>
      </c>
      <c r="U67" s="42" t="s">
        <v>1384</v>
      </c>
      <c r="V67" s="42" t="s">
        <v>1723</v>
      </c>
      <c r="W67" s="42" t="s">
        <v>1384</v>
      </c>
      <c r="X67" s="42" t="s">
        <v>1384</v>
      </c>
      <c r="Z67" s="321"/>
      <c r="AA67" s="321"/>
      <c r="AB67" s="24" t="s">
        <v>451</v>
      </c>
      <c r="AF67" s="24" t="s">
        <v>1313</v>
      </c>
      <c r="AG67" s="24" t="s">
        <v>1573</v>
      </c>
      <c r="AH67" s="138" t="s">
        <v>578</v>
      </c>
      <c r="AI67" s="24" t="s">
        <v>1618</v>
      </c>
      <c r="AJ67" s="140" t="s">
        <v>1624</v>
      </c>
      <c r="AK67" s="24" t="s">
        <v>1619</v>
      </c>
      <c r="AL67" s="24" t="s">
        <v>1619</v>
      </c>
      <c r="AM67" s="24" t="s">
        <v>178</v>
      </c>
      <c r="AT67" s="24" t="s">
        <v>120</v>
      </c>
      <c r="AU67" s="24">
        <v>4</v>
      </c>
      <c r="AW67" s="24" t="s">
        <v>175</v>
      </c>
      <c r="BA67" s="53"/>
      <c r="BM67" s="395">
        <v>1.57</v>
      </c>
      <c r="BN67" s="395">
        <v>1.49</v>
      </c>
      <c r="BR67" s="395">
        <f t="shared" si="2"/>
        <v>0.86999999999999988</v>
      </c>
      <c r="BS67" s="395">
        <v>1.08</v>
      </c>
      <c r="BV67" s="24" t="s">
        <v>1674</v>
      </c>
      <c r="DF67" s="24">
        <f t="shared" si="3"/>
        <v>58.77</v>
      </c>
      <c r="DG67" s="24">
        <f>0.423*100</f>
        <v>42.3</v>
      </c>
      <c r="DJ67" s="24" t="s">
        <v>816</v>
      </c>
      <c r="GM67" s="12"/>
      <c r="GQ67" s="12"/>
      <c r="IO67" s="24" t="s">
        <v>719</v>
      </c>
    </row>
    <row r="68" spans="1:249" s="24" customFormat="1" x14ac:dyDescent="0.25">
      <c r="A68" s="24">
        <v>5</v>
      </c>
      <c r="B68" s="24" t="s">
        <v>150</v>
      </c>
      <c r="C68" s="24" t="s">
        <v>151</v>
      </c>
      <c r="D68" s="24">
        <v>2013</v>
      </c>
      <c r="E68" s="24">
        <v>2011</v>
      </c>
      <c r="F68" s="24" t="s">
        <v>152</v>
      </c>
      <c r="G68" s="24" t="s">
        <v>167</v>
      </c>
      <c r="H68" s="24" t="s">
        <v>2831</v>
      </c>
      <c r="I68" s="24">
        <v>37.97</v>
      </c>
      <c r="J68" s="24">
        <v>-100.87</v>
      </c>
      <c r="K68" s="24">
        <v>865.6</v>
      </c>
      <c r="N68" s="24">
        <v>400</v>
      </c>
      <c r="O68" s="24">
        <v>489</v>
      </c>
      <c r="Q68" s="42">
        <v>4</v>
      </c>
      <c r="R68" s="42" t="s">
        <v>1729</v>
      </c>
      <c r="S68" s="42"/>
      <c r="T68" s="42" t="s">
        <v>1855</v>
      </c>
      <c r="U68" s="42" t="s">
        <v>1384</v>
      </c>
      <c r="V68" s="42" t="s">
        <v>1723</v>
      </c>
      <c r="W68" s="42" t="s">
        <v>1384</v>
      </c>
      <c r="X68" s="42" t="s">
        <v>1384</v>
      </c>
      <c r="Z68" s="321"/>
      <c r="AA68" s="321"/>
      <c r="AB68" s="24" t="s">
        <v>451</v>
      </c>
      <c r="AF68" s="24" t="s">
        <v>1313</v>
      </c>
      <c r="AG68" s="24" t="s">
        <v>1569</v>
      </c>
      <c r="AH68" s="138" t="s">
        <v>1585</v>
      </c>
      <c r="AI68" s="24" t="s">
        <v>1618</v>
      </c>
      <c r="AJ68" s="140" t="s">
        <v>1624</v>
      </c>
      <c r="AK68" s="24" t="s">
        <v>1619</v>
      </c>
      <c r="AL68" s="24" t="s">
        <v>1619</v>
      </c>
      <c r="AM68" s="24" t="s">
        <v>178</v>
      </c>
      <c r="AT68" s="24" t="s">
        <v>120</v>
      </c>
      <c r="AU68" s="24">
        <v>4</v>
      </c>
      <c r="AW68" s="24" t="s">
        <v>175</v>
      </c>
      <c r="BA68" s="53"/>
      <c r="BM68" s="395">
        <v>1.57</v>
      </c>
      <c r="BN68" s="395">
        <v>1.39</v>
      </c>
      <c r="BR68" s="395">
        <f t="shared" si="2"/>
        <v>0.86999999999999988</v>
      </c>
      <c r="BS68" s="395">
        <v>1.1400000000000001</v>
      </c>
      <c r="BV68" s="24" t="s">
        <v>1674</v>
      </c>
      <c r="DF68" s="24">
        <f t="shared" si="3"/>
        <v>58.77</v>
      </c>
      <c r="DG68" s="24">
        <f>0.3939*100</f>
        <v>39.39</v>
      </c>
      <c r="DJ68" s="24" t="s">
        <v>816</v>
      </c>
      <c r="EE68" s="24">
        <v>1.5893999999999999</v>
      </c>
      <c r="EF68" s="24">
        <v>0.3256</v>
      </c>
      <c r="EI68" s="24" t="s">
        <v>171</v>
      </c>
      <c r="GM68" s="12"/>
      <c r="GQ68" s="12"/>
      <c r="IO68" s="24" t="s">
        <v>719</v>
      </c>
    </row>
    <row r="69" spans="1:249" s="24" customFormat="1" x14ac:dyDescent="0.25">
      <c r="A69" s="24">
        <v>5</v>
      </c>
      <c r="B69" s="24" t="s">
        <v>150</v>
      </c>
      <c r="C69" s="24" t="s">
        <v>151</v>
      </c>
      <c r="D69" s="24">
        <v>2013</v>
      </c>
      <c r="E69" s="24">
        <v>2011</v>
      </c>
      <c r="F69" s="24" t="s">
        <v>152</v>
      </c>
      <c r="G69" s="24" t="s">
        <v>167</v>
      </c>
      <c r="H69" s="24" t="s">
        <v>2831</v>
      </c>
      <c r="I69" s="24">
        <v>37.97</v>
      </c>
      <c r="J69" s="24">
        <v>-100.87</v>
      </c>
      <c r="K69" s="24">
        <v>865.6</v>
      </c>
      <c r="N69" s="24">
        <v>400</v>
      </c>
      <c r="O69" s="24">
        <v>489</v>
      </c>
      <c r="Q69" s="42">
        <v>4</v>
      </c>
      <c r="R69" s="42" t="s">
        <v>1729</v>
      </c>
      <c r="S69" s="42"/>
      <c r="T69" s="42" t="s">
        <v>1855</v>
      </c>
      <c r="U69" s="42" t="s">
        <v>1384</v>
      </c>
      <c r="V69" s="42" t="s">
        <v>1723</v>
      </c>
      <c r="W69" s="42" t="s">
        <v>1384</v>
      </c>
      <c r="X69" s="42" t="s">
        <v>1384</v>
      </c>
      <c r="Z69" s="321"/>
      <c r="AA69" s="321"/>
      <c r="AB69" s="24" t="s">
        <v>451</v>
      </c>
      <c r="AF69" s="24" t="s">
        <v>1313</v>
      </c>
      <c r="AG69" s="24" t="s">
        <v>1576</v>
      </c>
      <c r="AH69" s="138" t="s">
        <v>1585</v>
      </c>
      <c r="AI69" s="24" t="s">
        <v>1618</v>
      </c>
      <c r="AJ69" s="140" t="s">
        <v>1624</v>
      </c>
      <c r="AK69" s="24" t="s">
        <v>1619</v>
      </c>
      <c r="AL69" s="24" t="s">
        <v>1619</v>
      </c>
      <c r="AM69" s="24" t="s">
        <v>178</v>
      </c>
      <c r="AT69" s="24" t="s">
        <v>120</v>
      </c>
      <c r="AU69" s="24">
        <v>4</v>
      </c>
      <c r="AW69" s="24" t="s">
        <v>175</v>
      </c>
      <c r="BA69" s="53"/>
      <c r="BB69" s="24" t="s">
        <v>168</v>
      </c>
      <c r="BM69" s="395">
        <v>1.57</v>
      </c>
      <c r="BN69" s="395">
        <v>1.46</v>
      </c>
      <c r="BR69" s="395">
        <f t="shared" si="2"/>
        <v>0.86999999999999988</v>
      </c>
      <c r="BS69" s="395">
        <v>0.94000000000000006</v>
      </c>
      <c r="BV69" s="24" t="s">
        <v>1674</v>
      </c>
      <c r="DF69" s="24">
        <f t="shared" si="3"/>
        <v>58.77</v>
      </c>
      <c r="DG69" s="24">
        <f>0.6318*100</f>
        <v>63.18</v>
      </c>
      <c r="DJ69" s="24" t="s">
        <v>816</v>
      </c>
      <c r="EE69" s="24">
        <v>1.5893999999999999</v>
      </c>
      <c r="EF69" s="24">
        <v>0.61170000000000002</v>
      </c>
      <c r="EI69" s="24" t="s">
        <v>171</v>
      </c>
      <c r="GM69" s="12"/>
      <c r="GQ69" s="12"/>
      <c r="IO69" s="24" t="s">
        <v>719</v>
      </c>
    </row>
    <row r="70" spans="1:249" s="24" customFormat="1" x14ac:dyDescent="0.25">
      <c r="A70" s="24">
        <v>5</v>
      </c>
      <c r="B70" s="24" t="s">
        <v>150</v>
      </c>
      <c r="C70" s="24" t="s">
        <v>151</v>
      </c>
      <c r="D70" s="24">
        <v>2013</v>
      </c>
      <c r="E70" s="24">
        <v>2011</v>
      </c>
      <c r="F70" s="24" t="s">
        <v>152</v>
      </c>
      <c r="G70" s="24" t="s">
        <v>167</v>
      </c>
      <c r="H70" s="24" t="s">
        <v>2831</v>
      </c>
      <c r="I70" s="24">
        <v>37.97</v>
      </c>
      <c r="J70" s="24">
        <v>-100.87</v>
      </c>
      <c r="K70" s="24">
        <v>865.6</v>
      </c>
      <c r="N70" s="24">
        <v>400</v>
      </c>
      <c r="O70" s="24">
        <v>489</v>
      </c>
      <c r="Q70" s="42">
        <v>4</v>
      </c>
      <c r="R70" s="42" t="s">
        <v>1729</v>
      </c>
      <c r="S70" s="42"/>
      <c r="T70" s="42" t="s">
        <v>1855</v>
      </c>
      <c r="U70" s="42" t="s">
        <v>1384</v>
      </c>
      <c r="V70" s="42" t="s">
        <v>1723</v>
      </c>
      <c r="W70" s="42" t="s">
        <v>1384</v>
      </c>
      <c r="X70" s="42" t="s">
        <v>1384</v>
      </c>
      <c r="Z70" s="321"/>
      <c r="AA70" s="321"/>
      <c r="AB70" s="24" t="s">
        <v>451</v>
      </c>
      <c r="AF70" s="24" t="s">
        <v>1313</v>
      </c>
      <c r="AG70" s="24" t="s">
        <v>1524</v>
      </c>
      <c r="AH70" s="138" t="s">
        <v>1585</v>
      </c>
      <c r="AI70" s="24" t="s">
        <v>1618</v>
      </c>
      <c r="AJ70" s="140" t="s">
        <v>1624</v>
      </c>
      <c r="AK70" s="24" t="s">
        <v>1619</v>
      </c>
      <c r="AL70" s="24" t="s">
        <v>1619</v>
      </c>
      <c r="AM70" s="24" t="s">
        <v>178</v>
      </c>
      <c r="AT70" s="24" t="s">
        <v>120</v>
      </c>
      <c r="AU70" s="24">
        <v>4</v>
      </c>
      <c r="AW70" s="24" t="s">
        <v>175</v>
      </c>
      <c r="BA70" s="53"/>
      <c r="BB70" s="24" t="s">
        <v>169</v>
      </c>
      <c r="BM70" s="395">
        <v>1.57</v>
      </c>
      <c r="BN70" s="395">
        <v>1.44</v>
      </c>
      <c r="BR70" s="395">
        <f t="shared" si="2"/>
        <v>0.86999999999999988</v>
      </c>
      <c r="BS70" s="395">
        <v>1.1599999999999999</v>
      </c>
      <c r="BV70" s="24" t="s">
        <v>1674</v>
      </c>
      <c r="DF70" s="24">
        <f t="shared" si="3"/>
        <v>58.77</v>
      </c>
      <c r="DG70" s="24">
        <f>0.3878*100</f>
        <v>38.78</v>
      </c>
      <c r="DJ70" s="24" t="s">
        <v>816</v>
      </c>
      <c r="GM70" s="12"/>
      <c r="GQ70" s="12"/>
      <c r="IO70" s="24" t="s">
        <v>719</v>
      </c>
    </row>
    <row r="71" spans="1:249" s="24" customFormat="1" x14ac:dyDescent="0.25">
      <c r="A71" s="24">
        <v>5</v>
      </c>
      <c r="B71" s="24" t="s">
        <v>150</v>
      </c>
      <c r="C71" s="24" t="s">
        <v>151</v>
      </c>
      <c r="D71" s="24">
        <v>2013</v>
      </c>
      <c r="E71" s="24">
        <v>2011</v>
      </c>
      <c r="F71" s="24" t="s">
        <v>152</v>
      </c>
      <c r="G71" s="24" t="s">
        <v>167</v>
      </c>
      <c r="H71" s="24" t="s">
        <v>2831</v>
      </c>
      <c r="I71" s="24">
        <v>37.97</v>
      </c>
      <c r="J71" s="24">
        <v>-100.87</v>
      </c>
      <c r="K71" s="24">
        <v>865.6</v>
      </c>
      <c r="N71" s="24">
        <v>400</v>
      </c>
      <c r="O71" s="24">
        <v>489</v>
      </c>
      <c r="Q71" s="42">
        <v>4</v>
      </c>
      <c r="R71" s="42" t="s">
        <v>1729</v>
      </c>
      <c r="S71" s="42"/>
      <c r="T71" s="42" t="s">
        <v>1855</v>
      </c>
      <c r="U71" s="42" t="s">
        <v>1384</v>
      </c>
      <c r="V71" s="42" t="s">
        <v>1723</v>
      </c>
      <c r="W71" s="42" t="s">
        <v>1384</v>
      </c>
      <c r="X71" s="42" t="s">
        <v>1384</v>
      </c>
      <c r="Z71" s="321"/>
      <c r="AA71" s="321"/>
      <c r="AB71" s="24" t="s">
        <v>451</v>
      </c>
      <c r="AF71" s="24" t="s">
        <v>1313</v>
      </c>
      <c r="AG71" s="24" t="s">
        <v>1568</v>
      </c>
      <c r="AH71" s="138" t="s">
        <v>578</v>
      </c>
      <c r="AI71" s="24" t="s">
        <v>1618</v>
      </c>
      <c r="AJ71" s="140" t="s">
        <v>1624</v>
      </c>
      <c r="AK71" s="24" t="s">
        <v>1619</v>
      </c>
      <c r="AL71" s="24" t="s">
        <v>1619</v>
      </c>
      <c r="AM71" s="24" t="s">
        <v>178</v>
      </c>
      <c r="AT71" s="24" t="s">
        <v>120</v>
      </c>
      <c r="AU71" s="24">
        <v>4</v>
      </c>
      <c r="AW71" s="24" t="s">
        <v>175</v>
      </c>
      <c r="BA71" s="53"/>
      <c r="BB71" s="24" t="s">
        <v>168</v>
      </c>
      <c r="BM71" s="395">
        <v>1.57</v>
      </c>
      <c r="BN71" s="395">
        <v>1.45</v>
      </c>
      <c r="BR71" s="395">
        <f t="shared" si="2"/>
        <v>0.86999999999999988</v>
      </c>
      <c r="BS71" s="395">
        <v>1.21</v>
      </c>
      <c r="BV71" s="24" t="s">
        <v>1674</v>
      </c>
      <c r="DF71" s="24">
        <f t="shared" si="3"/>
        <v>58.77</v>
      </c>
      <c r="DG71" s="24">
        <f>0.4163*100</f>
        <v>41.63</v>
      </c>
      <c r="DJ71" s="24" t="s">
        <v>816</v>
      </c>
      <c r="GM71" s="12"/>
      <c r="GQ71" s="12"/>
      <c r="IO71" s="24" t="s">
        <v>719</v>
      </c>
    </row>
    <row r="72" spans="1:249" s="24" customFormat="1" x14ac:dyDescent="0.25">
      <c r="A72" s="24">
        <v>5</v>
      </c>
      <c r="B72" s="24" t="s">
        <v>150</v>
      </c>
      <c r="C72" s="24" t="s">
        <v>151</v>
      </c>
      <c r="D72" s="24">
        <v>2013</v>
      </c>
      <c r="E72" s="24">
        <v>2011</v>
      </c>
      <c r="F72" s="24" t="s">
        <v>152</v>
      </c>
      <c r="G72" s="24" t="s">
        <v>167</v>
      </c>
      <c r="H72" s="24" t="s">
        <v>2831</v>
      </c>
      <c r="I72" s="24">
        <v>37.97</v>
      </c>
      <c r="J72" s="24">
        <v>-100.87</v>
      </c>
      <c r="K72" s="24">
        <v>865.6</v>
      </c>
      <c r="N72" s="24">
        <v>400</v>
      </c>
      <c r="O72" s="24">
        <v>489</v>
      </c>
      <c r="Q72" s="42">
        <v>4</v>
      </c>
      <c r="R72" s="42" t="s">
        <v>1729</v>
      </c>
      <c r="S72" s="42"/>
      <c r="T72" s="42" t="s">
        <v>1855</v>
      </c>
      <c r="U72" s="42" t="s">
        <v>1384</v>
      </c>
      <c r="V72" s="42" t="s">
        <v>1723</v>
      </c>
      <c r="W72" s="42" t="s">
        <v>1384</v>
      </c>
      <c r="X72" s="42" t="s">
        <v>1384</v>
      </c>
      <c r="Z72" s="321"/>
      <c r="AA72" s="321"/>
      <c r="AB72" s="24" t="s">
        <v>451</v>
      </c>
      <c r="AF72" s="24" t="s">
        <v>1313</v>
      </c>
      <c r="AG72" s="24" t="s">
        <v>1572</v>
      </c>
      <c r="AH72" s="138" t="s">
        <v>578</v>
      </c>
      <c r="AI72" s="24" t="s">
        <v>1618</v>
      </c>
      <c r="AJ72" s="140" t="s">
        <v>1624</v>
      </c>
      <c r="AK72" s="24" t="s">
        <v>1619</v>
      </c>
      <c r="AL72" s="24" t="s">
        <v>1619</v>
      </c>
      <c r="AM72" s="24" t="s">
        <v>178</v>
      </c>
      <c r="AT72" s="24" t="s">
        <v>120</v>
      </c>
      <c r="AU72" s="24">
        <v>4</v>
      </c>
      <c r="AW72" s="24" t="s">
        <v>175</v>
      </c>
      <c r="BA72" s="53"/>
      <c r="BB72" s="24" t="s">
        <v>169</v>
      </c>
      <c r="BM72" s="395">
        <v>1.57</v>
      </c>
      <c r="BN72" s="395">
        <v>1.45</v>
      </c>
      <c r="BR72" s="395">
        <f t="shared" si="2"/>
        <v>0.86999999999999988</v>
      </c>
      <c r="BS72" s="395">
        <v>1.3</v>
      </c>
      <c r="BV72" s="24" t="s">
        <v>1674</v>
      </c>
      <c r="DF72" s="24">
        <f t="shared" si="3"/>
        <v>58.77</v>
      </c>
      <c r="DG72" s="24">
        <f>0.2698*100</f>
        <v>26.979999999999997</v>
      </c>
      <c r="DJ72" s="24" t="s">
        <v>816</v>
      </c>
      <c r="GM72" s="12"/>
      <c r="GQ72" s="12"/>
      <c r="IO72" s="24" t="s">
        <v>719</v>
      </c>
    </row>
    <row r="73" spans="1:249" s="24" customFormat="1" x14ac:dyDescent="0.25">
      <c r="A73" s="24">
        <v>5</v>
      </c>
      <c r="B73" s="24" t="s">
        <v>150</v>
      </c>
      <c r="C73" s="24" t="s">
        <v>151</v>
      </c>
      <c r="D73" s="24">
        <v>2013</v>
      </c>
      <c r="E73" s="24">
        <v>2012</v>
      </c>
      <c r="F73" s="24" t="s">
        <v>152</v>
      </c>
      <c r="G73" s="24" t="s">
        <v>167</v>
      </c>
      <c r="H73" s="24" t="s">
        <v>2831</v>
      </c>
      <c r="I73" s="24">
        <v>37.97</v>
      </c>
      <c r="J73" s="24">
        <v>-100.87</v>
      </c>
      <c r="K73" s="24">
        <v>865.6</v>
      </c>
      <c r="N73" s="24">
        <v>308</v>
      </c>
      <c r="O73" s="24">
        <v>489</v>
      </c>
      <c r="Q73" s="42">
        <v>5</v>
      </c>
      <c r="R73" s="42" t="s">
        <v>1729</v>
      </c>
      <c r="S73" s="42"/>
      <c r="T73" s="42" t="s">
        <v>1855</v>
      </c>
      <c r="U73" s="42" t="s">
        <v>1384</v>
      </c>
      <c r="V73" s="42" t="s">
        <v>1723</v>
      </c>
      <c r="W73" s="42" t="s">
        <v>1384</v>
      </c>
      <c r="X73" s="42" t="s">
        <v>1384</v>
      </c>
      <c r="Z73" s="321"/>
      <c r="AA73" s="321"/>
      <c r="AB73" s="24" t="s">
        <v>451</v>
      </c>
      <c r="AF73" s="24" t="s">
        <v>1313</v>
      </c>
      <c r="AG73" s="24" t="s">
        <v>1568</v>
      </c>
      <c r="AH73" s="138" t="s">
        <v>578</v>
      </c>
      <c r="AI73" s="24" t="s">
        <v>1618</v>
      </c>
      <c r="AJ73" s="140" t="s">
        <v>1624</v>
      </c>
      <c r="AK73" s="24" t="s">
        <v>1619</v>
      </c>
      <c r="AL73" s="24" t="s">
        <v>1619</v>
      </c>
      <c r="AM73" s="24" t="s">
        <v>178</v>
      </c>
      <c r="AT73" s="24" t="s">
        <v>120</v>
      </c>
      <c r="AU73" s="24">
        <v>4</v>
      </c>
      <c r="AW73" s="24" t="s">
        <v>175</v>
      </c>
      <c r="BA73" s="53"/>
      <c r="BM73" s="395">
        <v>1.49</v>
      </c>
      <c r="BN73" s="395">
        <v>1.4</v>
      </c>
      <c r="BR73" s="395">
        <f>8.8*100/1000</f>
        <v>0.88000000000000012</v>
      </c>
      <c r="BS73" s="395">
        <v>0.93</v>
      </c>
      <c r="BV73" s="24" t="s">
        <v>1674</v>
      </c>
      <c r="GM73" s="12"/>
      <c r="GQ73" s="12"/>
      <c r="IO73" s="24" t="s">
        <v>719</v>
      </c>
    </row>
    <row r="74" spans="1:249" s="24" customFormat="1" x14ac:dyDescent="0.25">
      <c r="A74" s="24">
        <v>5</v>
      </c>
      <c r="B74" s="24" t="s">
        <v>150</v>
      </c>
      <c r="C74" s="24" t="s">
        <v>151</v>
      </c>
      <c r="D74" s="24">
        <v>2013</v>
      </c>
      <c r="E74" s="24">
        <v>2012</v>
      </c>
      <c r="F74" s="24" t="s">
        <v>152</v>
      </c>
      <c r="G74" s="24" t="s">
        <v>167</v>
      </c>
      <c r="H74" s="24" t="s">
        <v>2831</v>
      </c>
      <c r="I74" s="24">
        <v>37.97</v>
      </c>
      <c r="J74" s="24">
        <v>-100.87</v>
      </c>
      <c r="K74" s="24">
        <v>865.6</v>
      </c>
      <c r="N74" s="24">
        <v>308</v>
      </c>
      <c r="O74" s="24">
        <v>489</v>
      </c>
      <c r="Q74" s="42">
        <v>5</v>
      </c>
      <c r="R74" s="42" t="s">
        <v>1729</v>
      </c>
      <c r="S74" s="42"/>
      <c r="T74" s="42" t="s">
        <v>1855</v>
      </c>
      <c r="U74" s="42" t="s">
        <v>1384</v>
      </c>
      <c r="V74" s="42" t="s">
        <v>1723</v>
      </c>
      <c r="W74" s="42" t="s">
        <v>1384</v>
      </c>
      <c r="X74" s="42" t="s">
        <v>1384</v>
      </c>
      <c r="Z74" s="321"/>
      <c r="AA74" s="321"/>
      <c r="AB74" s="24" t="s">
        <v>451</v>
      </c>
      <c r="AF74" s="24" t="s">
        <v>1313</v>
      </c>
      <c r="AG74" s="24" t="s">
        <v>1572</v>
      </c>
      <c r="AH74" s="138" t="s">
        <v>578</v>
      </c>
      <c r="AI74" s="24" t="s">
        <v>1618</v>
      </c>
      <c r="AJ74" s="140" t="s">
        <v>1624</v>
      </c>
      <c r="AK74" s="24" t="s">
        <v>1619</v>
      </c>
      <c r="AL74" s="24" t="s">
        <v>1619</v>
      </c>
      <c r="AM74" s="24" t="s">
        <v>178</v>
      </c>
      <c r="AT74" s="24" t="s">
        <v>120</v>
      </c>
      <c r="AU74" s="24">
        <v>4</v>
      </c>
      <c r="AW74" s="24" t="s">
        <v>175</v>
      </c>
      <c r="BA74" s="53"/>
      <c r="BM74" s="395">
        <v>1.49</v>
      </c>
      <c r="BN74" s="395">
        <v>1.42</v>
      </c>
      <c r="BR74" s="395">
        <f t="shared" ref="BR74:BR80" si="4">8.8*100/1000</f>
        <v>0.88000000000000012</v>
      </c>
      <c r="BS74" s="395">
        <v>1.02</v>
      </c>
      <c r="BV74" s="24" t="s">
        <v>1674</v>
      </c>
      <c r="GM74" s="12"/>
      <c r="GQ74" s="12"/>
      <c r="IO74" s="24" t="s">
        <v>719</v>
      </c>
    </row>
    <row r="75" spans="1:249" s="24" customFormat="1" x14ac:dyDescent="0.25">
      <c r="A75" s="24">
        <v>5</v>
      </c>
      <c r="B75" s="24" t="s">
        <v>150</v>
      </c>
      <c r="C75" s="24" t="s">
        <v>151</v>
      </c>
      <c r="D75" s="24">
        <v>2013</v>
      </c>
      <c r="E75" s="24">
        <v>2012</v>
      </c>
      <c r="F75" s="24" t="s">
        <v>152</v>
      </c>
      <c r="G75" s="24" t="s">
        <v>167</v>
      </c>
      <c r="H75" s="24" t="s">
        <v>2831</v>
      </c>
      <c r="I75" s="24">
        <v>37.97</v>
      </c>
      <c r="J75" s="24">
        <v>-100.87</v>
      </c>
      <c r="K75" s="24">
        <v>865.6</v>
      </c>
      <c r="N75" s="24">
        <v>308</v>
      </c>
      <c r="O75" s="24">
        <v>489</v>
      </c>
      <c r="Q75" s="42">
        <v>5</v>
      </c>
      <c r="R75" s="42" t="s">
        <v>1729</v>
      </c>
      <c r="S75" s="42"/>
      <c r="T75" s="42" t="s">
        <v>1855</v>
      </c>
      <c r="U75" s="42" t="s">
        <v>1384</v>
      </c>
      <c r="V75" s="42" t="s">
        <v>1723</v>
      </c>
      <c r="W75" s="42" t="s">
        <v>1384</v>
      </c>
      <c r="X75" s="42" t="s">
        <v>1384</v>
      </c>
      <c r="Z75" s="321"/>
      <c r="AA75" s="321"/>
      <c r="AB75" s="24" t="s">
        <v>451</v>
      </c>
      <c r="AF75" s="24" t="s">
        <v>1313</v>
      </c>
      <c r="AG75" s="24" t="s">
        <v>1573</v>
      </c>
      <c r="AH75" s="138" t="s">
        <v>578</v>
      </c>
      <c r="AI75" s="24" t="s">
        <v>1618</v>
      </c>
      <c r="AJ75" s="140" t="s">
        <v>1624</v>
      </c>
      <c r="AK75" s="24" t="s">
        <v>1619</v>
      </c>
      <c r="AL75" s="24" t="s">
        <v>1619</v>
      </c>
      <c r="AM75" s="24" t="s">
        <v>178</v>
      </c>
      <c r="AT75" s="24" t="s">
        <v>120</v>
      </c>
      <c r="AU75" s="24">
        <v>4</v>
      </c>
      <c r="AW75" s="24" t="s">
        <v>175</v>
      </c>
      <c r="BA75" s="53"/>
      <c r="BM75" s="395">
        <v>1.49</v>
      </c>
      <c r="BN75" s="395">
        <v>1.48</v>
      </c>
      <c r="BR75" s="395">
        <f t="shared" si="4"/>
        <v>0.88000000000000012</v>
      </c>
      <c r="BS75" s="395">
        <v>1.08</v>
      </c>
      <c r="BV75" s="24" t="s">
        <v>1674</v>
      </c>
      <c r="GM75" s="12"/>
      <c r="GQ75" s="12"/>
      <c r="IO75" s="24" t="s">
        <v>719</v>
      </c>
    </row>
    <row r="76" spans="1:249" s="24" customFormat="1" x14ac:dyDescent="0.25">
      <c r="A76" s="24">
        <v>5</v>
      </c>
      <c r="B76" s="24" t="s">
        <v>150</v>
      </c>
      <c r="C76" s="24" t="s">
        <v>151</v>
      </c>
      <c r="D76" s="24">
        <v>2013</v>
      </c>
      <c r="E76" s="24">
        <v>2012</v>
      </c>
      <c r="F76" s="24" t="s">
        <v>152</v>
      </c>
      <c r="G76" s="24" t="s">
        <v>167</v>
      </c>
      <c r="H76" s="24" t="s">
        <v>2831</v>
      </c>
      <c r="I76" s="24">
        <v>37.97</v>
      </c>
      <c r="J76" s="24">
        <v>-100.87</v>
      </c>
      <c r="K76" s="24">
        <v>865.6</v>
      </c>
      <c r="N76" s="24">
        <v>308</v>
      </c>
      <c r="O76" s="24">
        <v>489</v>
      </c>
      <c r="Q76" s="42">
        <v>5</v>
      </c>
      <c r="R76" s="42" t="s">
        <v>1729</v>
      </c>
      <c r="S76" s="42"/>
      <c r="T76" s="42" t="s">
        <v>1855</v>
      </c>
      <c r="U76" s="42" t="s">
        <v>1384</v>
      </c>
      <c r="V76" s="42" t="s">
        <v>1723</v>
      </c>
      <c r="W76" s="42" t="s">
        <v>1384</v>
      </c>
      <c r="X76" s="42" t="s">
        <v>1384</v>
      </c>
      <c r="Z76" s="321"/>
      <c r="AA76" s="321"/>
      <c r="AB76" s="24" t="s">
        <v>451</v>
      </c>
      <c r="AF76" s="24" t="s">
        <v>1313</v>
      </c>
      <c r="AG76" s="24" t="s">
        <v>1569</v>
      </c>
      <c r="AH76" s="138" t="s">
        <v>1585</v>
      </c>
      <c r="AI76" s="24" t="s">
        <v>1618</v>
      </c>
      <c r="AJ76" s="140" t="s">
        <v>1624</v>
      </c>
      <c r="AK76" s="24" t="s">
        <v>1619</v>
      </c>
      <c r="AL76" s="24" t="s">
        <v>1619</v>
      </c>
      <c r="AM76" s="24" t="s">
        <v>178</v>
      </c>
      <c r="AT76" s="24" t="s">
        <v>120</v>
      </c>
      <c r="AU76" s="24">
        <v>4</v>
      </c>
      <c r="AW76" s="24" t="s">
        <v>175</v>
      </c>
      <c r="BA76" s="53"/>
      <c r="BM76" s="395">
        <v>1.49</v>
      </c>
      <c r="BN76" s="395">
        <v>1.49</v>
      </c>
      <c r="BR76" s="395">
        <f t="shared" si="4"/>
        <v>0.88000000000000012</v>
      </c>
      <c r="BS76" s="395">
        <v>0.94000000000000006</v>
      </c>
      <c r="BV76" s="24" t="s">
        <v>1674</v>
      </c>
      <c r="GM76" s="12"/>
      <c r="GQ76" s="12"/>
      <c r="IO76" s="24" t="s">
        <v>719</v>
      </c>
    </row>
    <row r="77" spans="1:249" s="24" customFormat="1" x14ac:dyDescent="0.25">
      <c r="A77" s="24">
        <v>5</v>
      </c>
      <c r="B77" s="24" t="s">
        <v>150</v>
      </c>
      <c r="C77" s="24" t="s">
        <v>151</v>
      </c>
      <c r="D77" s="24">
        <v>2013</v>
      </c>
      <c r="E77" s="24">
        <v>2012</v>
      </c>
      <c r="F77" s="24" t="s">
        <v>152</v>
      </c>
      <c r="G77" s="24" t="s">
        <v>167</v>
      </c>
      <c r="H77" s="24" t="s">
        <v>2831</v>
      </c>
      <c r="I77" s="24">
        <v>37.97</v>
      </c>
      <c r="J77" s="24">
        <v>-100.87</v>
      </c>
      <c r="K77" s="24">
        <v>865.6</v>
      </c>
      <c r="N77" s="24">
        <v>308</v>
      </c>
      <c r="O77" s="24">
        <v>489</v>
      </c>
      <c r="Q77" s="42">
        <v>5</v>
      </c>
      <c r="R77" s="42" t="s">
        <v>1729</v>
      </c>
      <c r="S77" s="42"/>
      <c r="T77" s="42" t="s">
        <v>1855</v>
      </c>
      <c r="U77" s="42" t="s">
        <v>1384</v>
      </c>
      <c r="V77" s="42" t="s">
        <v>1723</v>
      </c>
      <c r="W77" s="42" t="s">
        <v>1384</v>
      </c>
      <c r="X77" s="42" t="s">
        <v>1384</v>
      </c>
      <c r="Z77" s="321"/>
      <c r="AA77" s="321"/>
      <c r="AB77" s="24" t="s">
        <v>451</v>
      </c>
      <c r="AF77" s="24" t="s">
        <v>1313</v>
      </c>
      <c r="AG77" s="24" t="s">
        <v>1576</v>
      </c>
      <c r="AH77" s="138" t="s">
        <v>1585</v>
      </c>
      <c r="AI77" s="24" t="s">
        <v>1618</v>
      </c>
      <c r="AJ77" s="140" t="s">
        <v>1624</v>
      </c>
      <c r="AK77" s="24" t="s">
        <v>1619</v>
      </c>
      <c r="AL77" s="24" t="s">
        <v>1619</v>
      </c>
      <c r="AM77" s="24" t="s">
        <v>178</v>
      </c>
      <c r="AT77" s="24" t="s">
        <v>120</v>
      </c>
      <c r="AU77" s="24">
        <v>4</v>
      </c>
      <c r="AW77" s="24" t="s">
        <v>175</v>
      </c>
      <c r="BA77" s="53"/>
      <c r="BB77" s="24" t="s">
        <v>168</v>
      </c>
      <c r="BM77" s="395">
        <v>1.49</v>
      </c>
      <c r="BN77" s="395">
        <v>1.5</v>
      </c>
      <c r="BR77" s="395">
        <f t="shared" si="4"/>
        <v>0.88000000000000012</v>
      </c>
      <c r="BS77" s="395">
        <v>0.99</v>
      </c>
      <c r="BV77" s="24" t="s">
        <v>1674</v>
      </c>
      <c r="GM77" s="12"/>
      <c r="GQ77" s="12"/>
      <c r="IO77" s="24" t="s">
        <v>719</v>
      </c>
    </row>
    <row r="78" spans="1:249" s="24" customFormat="1" x14ac:dyDescent="0.25">
      <c r="A78" s="24">
        <v>5</v>
      </c>
      <c r="B78" s="24" t="s">
        <v>150</v>
      </c>
      <c r="C78" s="24" t="s">
        <v>151</v>
      </c>
      <c r="D78" s="24">
        <v>2013</v>
      </c>
      <c r="E78" s="24">
        <v>2012</v>
      </c>
      <c r="F78" s="24" t="s">
        <v>152</v>
      </c>
      <c r="G78" s="24" t="s">
        <v>167</v>
      </c>
      <c r="H78" s="24" t="s">
        <v>2831</v>
      </c>
      <c r="I78" s="24">
        <v>37.97</v>
      </c>
      <c r="J78" s="24">
        <v>-100.87</v>
      </c>
      <c r="K78" s="24">
        <v>865.6</v>
      </c>
      <c r="N78" s="24">
        <v>308</v>
      </c>
      <c r="O78" s="24">
        <v>489</v>
      </c>
      <c r="Q78" s="42">
        <v>5</v>
      </c>
      <c r="R78" s="42" t="s">
        <v>1729</v>
      </c>
      <c r="S78" s="42"/>
      <c r="T78" s="42" t="s">
        <v>1855</v>
      </c>
      <c r="U78" s="42" t="s">
        <v>1384</v>
      </c>
      <c r="V78" s="42" t="s">
        <v>1723</v>
      </c>
      <c r="W78" s="42" t="s">
        <v>1384</v>
      </c>
      <c r="X78" s="42" t="s">
        <v>1384</v>
      </c>
      <c r="Z78" s="321"/>
      <c r="AA78" s="321"/>
      <c r="AB78" s="24" t="s">
        <v>451</v>
      </c>
      <c r="AF78" s="24" t="s">
        <v>1313</v>
      </c>
      <c r="AG78" s="24" t="s">
        <v>1524</v>
      </c>
      <c r="AH78" s="138" t="s">
        <v>1585</v>
      </c>
      <c r="AI78" s="24" t="s">
        <v>1618</v>
      </c>
      <c r="AJ78" s="140" t="s">
        <v>1624</v>
      </c>
      <c r="AK78" s="24" t="s">
        <v>1619</v>
      </c>
      <c r="AL78" s="24" t="s">
        <v>1619</v>
      </c>
      <c r="AM78" s="24" t="s">
        <v>178</v>
      </c>
      <c r="AT78" s="24" t="s">
        <v>120</v>
      </c>
      <c r="AU78" s="24">
        <v>4</v>
      </c>
      <c r="AW78" s="24" t="s">
        <v>175</v>
      </c>
      <c r="BA78" s="53"/>
      <c r="BB78" s="24" t="s">
        <v>169</v>
      </c>
      <c r="BM78" s="395">
        <v>1.49</v>
      </c>
      <c r="BN78" s="395">
        <v>1.47</v>
      </c>
      <c r="BR78" s="395">
        <f t="shared" si="4"/>
        <v>0.88000000000000012</v>
      </c>
      <c r="BS78" s="395">
        <v>1.04</v>
      </c>
      <c r="BV78" s="24" t="s">
        <v>1674</v>
      </c>
      <c r="GM78" s="12"/>
      <c r="GQ78" s="12"/>
      <c r="IO78" s="24" t="s">
        <v>719</v>
      </c>
    </row>
    <row r="79" spans="1:249" s="24" customFormat="1" x14ac:dyDescent="0.25">
      <c r="A79" s="24">
        <v>5</v>
      </c>
      <c r="B79" s="24" t="s">
        <v>150</v>
      </c>
      <c r="C79" s="24" t="s">
        <v>151</v>
      </c>
      <c r="D79" s="24">
        <v>2013</v>
      </c>
      <c r="E79" s="24">
        <v>2012</v>
      </c>
      <c r="F79" s="24" t="s">
        <v>152</v>
      </c>
      <c r="G79" s="24" t="s">
        <v>167</v>
      </c>
      <c r="H79" s="24" t="s">
        <v>2831</v>
      </c>
      <c r="I79" s="24">
        <v>37.97</v>
      </c>
      <c r="J79" s="24">
        <v>-100.87</v>
      </c>
      <c r="K79" s="24">
        <v>865.6</v>
      </c>
      <c r="N79" s="24">
        <v>308</v>
      </c>
      <c r="O79" s="24">
        <v>489</v>
      </c>
      <c r="Q79" s="42">
        <v>5</v>
      </c>
      <c r="R79" s="42" t="s">
        <v>1729</v>
      </c>
      <c r="S79" s="42"/>
      <c r="T79" s="42" t="s">
        <v>1855</v>
      </c>
      <c r="U79" s="42" t="s">
        <v>1384</v>
      </c>
      <c r="V79" s="42" t="s">
        <v>1723</v>
      </c>
      <c r="W79" s="42" t="s">
        <v>1384</v>
      </c>
      <c r="X79" s="42" t="s">
        <v>1384</v>
      </c>
      <c r="Z79" s="321"/>
      <c r="AA79" s="321"/>
      <c r="AB79" s="24" t="s">
        <v>451</v>
      </c>
      <c r="AF79" s="24" t="s">
        <v>1313</v>
      </c>
      <c r="AG79" s="24" t="s">
        <v>1568</v>
      </c>
      <c r="AH79" s="138" t="s">
        <v>578</v>
      </c>
      <c r="AI79" s="24" t="s">
        <v>1618</v>
      </c>
      <c r="AJ79" s="140" t="s">
        <v>1624</v>
      </c>
      <c r="AK79" s="24" t="s">
        <v>1619</v>
      </c>
      <c r="AL79" s="24" t="s">
        <v>1619</v>
      </c>
      <c r="AM79" s="24" t="s">
        <v>178</v>
      </c>
      <c r="AT79" s="24" t="s">
        <v>120</v>
      </c>
      <c r="AU79" s="24">
        <v>4</v>
      </c>
      <c r="AW79" s="24" t="s">
        <v>175</v>
      </c>
      <c r="BA79" s="53"/>
      <c r="BB79" s="24" t="s">
        <v>168</v>
      </c>
      <c r="BM79" s="395">
        <v>1.49</v>
      </c>
      <c r="BN79" s="395">
        <v>1.4</v>
      </c>
      <c r="BR79" s="395">
        <f t="shared" si="4"/>
        <v>0.88000000000000012</v>
      </c>
      <c r="BS79" s="395">
        <v>0.99</v>
      </c>
      <c r="BV79" s="24" t="s">
        <v>1674</v>
      </c>
      <c r="GM79" s="12"/>
      <c r="GQ79" s="12"/>
      <c r="IO79" s="24" t="s">
        <v>719</v>
      </c>
    </row>
    <row r="80" spans="1:249" s="24" customFormat="1" x14ac:dyDescent="0.25">
      <c r="A80" s="24">
        <v>5</v>
      </c>
      <c r="B80" s="24" t="s">
        <v>150</v>
      </c>
      <c r="C80" s="24" t="s">
        <v>151</v>
      </c>
      <c r="D80" s="24">
        <v>2013</v>
      </c>
      <c r="E80" s="24">
        <v>2012</v>
      </c>
      <c r="F80" s="24" t="s">
        <v>152</v>
      </c>
      <c r="G80" s="24" t="s">
        <v>167</v>
      </c>
      <c r="H80" s="24" t="s">
        <v>2831</v>
      </c>
      <c r="I80" s="24">
        <v>37.97</v>
      </c>
      <c r="J80" s="24">
        <v>-100.87</v>
      </c>
      <c r="K80" s="24">
        <v>865.6</v>
      </c>
      <c r="N80" s="24">
        <v>308</v>
      </c>
      <c r="O80" s="24">
        <v>489</v>
      </c>
      <c r="Q80" s="42">
        <v>5</v>
      </c>
      <c r="R80" s="42" t="s">
        <v>1729</v>
      </c>
      <c r="S80" s="42"/>
      <c r="T80" s="42" t="s">
        <v>1855</v>
      </c>
      <c r="U80" s="42" t="s">
        <v>1384</v>
      </c>
      <c r="V80" s="42" t="s">
        <v>1723</v>
      </c>
      <c r="W80" s="42" t="s">
        <v>1384</v>
      </c>
      <c r="X80" s="42" t="s">
        <v>1384</v>
      </c>
      <c r="Z80" s="321"/>
      <c r="AA80" s="321"/>
      <c r="AB80" s="24" t="s">
        <v>451</v>
      </c>
      <c r="AF80" s="24" t="s">
        <v>1313</v>
      </c>
      <c r="AG80" s="24" t="s">
        <v>1572</v>
      </c>
      <c r="AH80" s="138" t="s">
        <v>578</v>
      </c>
      <c r="AI80" s="24" t="s">
        <v>1618</v>
      </c>
      <c r="AJ80" s="140" t="s">
        <v>1624</v>
      </c>
      <c r="AK80" s="24" t="s">
        <v>1619</v>
      </c>
      <c r="AL80" s="24" t="s">
        <v>1619</v>
      </c>
      <c r="AM80" s="24" t="s">
        <v>178</v>
      </c>
      <c r="AT80" s="24" t="s">
        <v>120</v>
      </c>
      <c r="AU80" s="24">
        <v>4</v>
      </c>
      <c r="AW80" s="24" t="s">
        <v>175</v>
      </c>
      <c r="BA80" s="53"/>
      <c r="BB80" s="24" t="s">
        <v>169</v>
      </c>
      <c r="BM80" s="395">
        <v>1.49</v>
      </c>
      <c r="BN80" s="395">
        <v>1.4</v>
      </c>
      <c r="BR80" s="395">
        <f t="shared" si="4"/>
        <v>0.88000000000000012</v>
      </c>
      <c r="BS80" s="395">
        <v>1.06</v>
      </c>
      <c r="BV80" s="24" t="s">
        <v>1674</v>
      </c>
      <c r="GM80" s="12"/>
      <c r="GQ80" s="12"/>
      <c r="IO80" s="24" t="s">
        <v>719</v>
      </c>
    </row>
    <row r="81" spans="1:249" s="21" customFormat="1" x14ac:dyDescent="0.25">
      <c r="A81" s="21">
        <v>6</v>
      </c>
      <c r="B81" s="21" t="s">
        <v>172</v>
      </c>
      <c r="C81" s="21" t="s">
        <v>173</v>
      </c>
      <c r="D81" s="21">
        <v>2016</v>
      </c>
      <c r="E81" s="21">
        <v>2012</v>
      </c>
      <c r="F81" s="21" t="s">
        <v>174</v>
      </c>
      <c r="H81" s="21" t="s">
        <v>2831</v>
      </c>
      <c r="I81" s="21">
        <v>35.380000000000003</v>
      </c>
      <c r="J81" s="21">
        <v>-77.989999999999995</v>
      </c>
      <c r="K81" s="21">
        <v>32.700000000000003</v>
      </c>
      <c r="Q81" s="43">
        <v>1</v>
      </c>
      <c r="R81" s="43" t="s">
        <v>1856</v>
      </c>
      <c r="S81" s="43"/>
      <c r="T81" s="43" t="s">
        <v>1858</v>
      </c>
      <c r="U81" s="43" t="s">
        <v>1386</v>
      </c>
      <c r="V81" s="43" t="s">
        <v>1724</v>
      </c>
      <c r="W81" s="43" t="s">
        <v>1386</v>
      </c>
      <c r="X81" s="43" t="s">
        <v>1386</v>
      </c>
      <c r="Z81" s="322">
        <f>(21.7+27.4)/2</f>
        <v>24.549999999999997</v>
      </c>
      <c r="AA81" s="322">
        <f>(60+63.7)/2</f>
        <v>61.85</v>
      </c>
      <c r="AB81" s="21" t="s">
        <v>176</v>
      </c>
      <c r="AF81" s="21" t="s">
        <v>1314</v>
      </c>
      <c r="AG81" s="21" t="s">
        <v>1525</v>
      </c>
      <c r="AH81" s="138" t="s">
        <v>578</v>
      </c>
      <c r="AI81" s="21" t="s">
        <v>159</v>
      </c>
      <c r="AJ81" s="141" t="s">
        <v>159</v>
      </c>
      <c r="AN81" s="21" t="s">
        <v>177</v>
      </c>
      <c r="AO81" s="21" t="s">
        <v>177</v>
      </c>
      <c r="AP81" s="21" t="s">
        <v>178</v>
      </c>
      <c r="AT81" s="22" t="s">
        <v>161</v>
      </c>
      <c r="AU81" s="21">
        <v>6</v>
      </c>
      <c r="AW81" s="21" t="s">
        <v>175</v>
      </c>
      <c r="AY81" s="21">
        <f>9.66*1000</f>
        <v>9660</v>
      </c>
      <c r="BA81" s="54"/>
      <c r="BM81" s="396"/>
      <c r="BN81" s="396"/>
      <c r="BR81" s="396"/>
      <c r="BS81" s="396"/>
      <c r="DF81" s="21">
        <v>5.0199999999999996</v>
      </c>
      <c r="DG81" s="21">
        <v>3.22</v>
      </c>
      <c r="DJ81" s="21" t="s">
        <v>185</v>
      </c>
      <c r="EY81" s="21">
        <v>0.16159999999999999</v>
      </c>
      <c r="EZ81" s="21">
        <v>0.1666</v>
      </c>
      <c r="GM81" s="12"/>
      <c r="GQ81" s="12"/>
      <c r="GR81" s="21">
        <v>501.83</v>
      </c>
      <c r="GS81" s="21">
        <v>441.12</v>
      </c>
      <c r="GV81" s="21" t="s">
        <v>329</v>
      </c>
      <c r="IA81" s="21">
        <v>329.48</v>
      </c>
      <c r="IB81" s="21">
        <v>341.32</v>
      </c>
      <c r="IE81" s="21" t="s">
        <v>327</v>
      </c>
    </row>
    <row r="82" spans="1:249" s="21" customFormat="1" x14ac:dyDescent="0.25">
      <c r="A82" s="21">
        <v>6</v>
      </c>
      <c r="B82" s="21" t="s">
        <v>172</v>
      </c>
      <c r="C82" s="21" t="s">
        <v>173</v>
      </c>
      <c r="D82" s="21">
        <v>2016</v>
      </c>
      <c r="E82" s="21">
        <v>2012</v>
      </c>
      <c r="F82" s="21" t="s">
        <v>174</v>
      </c>
      <c r="H82" s="21" t="s">
        <v>2831</v>
      </c>
      <c r="I82" s="21">
        <v>35.380000000000003</v>
      </c>
      <c r="J82" s="21">
        <v>-77.989999999999995</v>
      </c>
      <c r="K82" s="21">
        <v>32.700000000000003</v>
      </c>
      <c r="Q82" s="43">
        <v>1</v>
      </c>
      <c r="R82" s="43" t="s">
        <v>1856</v>
      </c>
      <c r="S82" s="43"/>
      <c r="T82" s="43" t="s">
        <v>1858</v>
      </c>
      <c r="U82" s="43" t="s">
        <v>1386</v>
      </c>
      <c r="V82" s="43" t="s">
        <v>1724</v>
      </c>
      <c r="W82" s="43" t="s">
        <v>1386</v>
      </c>
      <c r="X82" s="43" t="s">
        <v>1386</v>
      </c>
      <c r="Z82" s="322">
        <f>(21.7+27.4)/2</f>
        <v>24.549999999999997</v>
      </c>
      <c r="AA82" s="322">
        <f>(60+63.7)/2</f>
        <v>61.85</v>
      </c>
      <c r="AB82" s="21" t="s">
        <v>176</v>
      </c>
      <c r="AF82" s="21" t="s">
        <v>1314</v>
      </c>
      <c r="AG82" s="21" t="s">
        <v>244</v>
      </c>
      <c r="AH82" s="138" t="s">
        <v>578</v>
      </c>
      <c r="AI82" s="21" t="s">
        <v>159</v>
      </c>
      <c r="AJ82" s="141" t="s">
        <v>159</v>
      </c>
      <c r="AN82" s="21" t="s">
        <v>177</v>
      </c>
      <c r="AO82" s="21" t="s">
        <v>177</v>
      </c>
      <c r="AP82" s="21" t="s">
        <v>178</v>
      </c>
      <c r="AT82" s="22" t="s">
        <v>161</v>
      </c>
      <c r="AU82" s="21">
        <v>6</v>
      </c>
      <c r="AW82" s="21" t="s">
        <v>175</v>
      </c>
      <c r="AY82" s="21">
        <f>8.83*1000</f>
        <v>8830</v>
      </c>
      <c r="BA82" s="54"/>
      <c r="BM82" s="396"/>
      <c r="BN82" s="396"/>
      <c r="BR82" s="396"/>
      <c r="BS82" s="396"/>
      <c r="DF82" s="21">
        <v>5.0199999999999996</v>
      </c>
      <c r="DG82" s="21">
        <v>3.64</v>
      </c>
      <c r="DJ82" s="21" t="s">
        <v>185</v>
      </c>
      <c r="EY82" s="21">
        <v>0.1618</v>
      </c>
      <c r="EZ82" s="21">
        <v>0.1472</v>
      </c>
      <c r="GM82" s="12"/>
      <c r="GQ82" s="12"/>
      <c r="GR82" s="21">
        <v>501.83</v>
      </c>
      <c r="GS82" s="21">
        <v>477.97</v>
      </c>
      <c r="GV82" s="21" t="s">
        <v>329</v>
      </c>
      <c r="IA82" s="21">
        <v>329.48</v>
      </c>
      <c r="IB82" s="21">
        <v>337.39</v>
      </c>
      <c r="IE82" s="21" t="s">
        <v>327</v>
      </c>
    </row>
    <row r="83" spans="1:249" s="21" customFormat="1" x14ac:dyDescent="0.25">
      <c r="A83" s="21">
        <v>6</v>
      </c>
      <c r="B83" s="21" t="s">
        <v>172</v>
      </c>
      <c r="C83" s="21" t="s">
        <v>173</v>
      </c>
      <c r="D83" s="21">
        <v>2016</v>
      </c>
      <c r="E83" s="21">
        <v>2013</v>
      </c>
      <c r="F83" s="21" t="s">
        <v>174</v>
      </c>
      <c r="H83" s="21" t="s">
        <v>2831</v>
      </c>
      <c r="I83" s="21">
        <v>35.380000000000003</v>
      </c>
      <c r="J83" s="21">
        <v>-77.989999999999995</v>
      </c>
      <c r="K83" s="21">
        <v>32.700000000000003</v>
      </c>
      <c r="Q83" s="43">
        <v>2</v>
      </c>
      <c r="R83" s="43" t="s">
        <v>1856</v>
      </c>
      <c r="S83" s="43"/>
      <c r="T83" s="43" t="s">
        <v>1858</v>
      </c>
      <c r="U83" s="43" t="s">
        <v>1386</v>
      </c>
      <c r="V83" s="43" t="s">
        <v>1724</v>
      </c>
      <c r="W83" s="43" t="s">
        <v>1386</v>
      </c>
      <c r="X83" s="43" t="s">
        <v>1386</v>
      </c>
      <c r="Z83" s="322">
        <f>(21.7+27.4)/2</f>
        <v>24.549999999999997</v>
      </c>
      <c r="AA83" s="322">
        <f>(60+63.7)/2</f>
        <v>61.85</v>
      </c>
      <c r="AB83" s="21" t="s">
        <v>176</v>
      </c>
      <c r="AF83" s="21" t="s">
        <v>1314</v>
      </c>
      <c r="AG83" s="21" t="s">
        <v>1525</v>
      </c>
      <c r="AH83" s="138" t="s">
        <v>578</v>
      </c>
      <c r="AI83" s="21" t="s">
        <v>159</v>
      </c>
      <c r="AJ83" s="141" t="s">
        <v>159</v>
      </c>
      <c r="AN83" s="21" t="s">
        <v>177</v>
      </c>
      <c r="AO83" s="21" t="s">
        <v>177</v>
      </c>
      <c r="AP83" s="21" t="s">
        <v>178</v>
      </c>
      <c r="AT83" s="22" t="s">
        <v>161</v>
      </c>
      <c r="AU83" s="21">
        <v>6</v>
      </c>
      <c r="AW83" s="21" t="s">
        <v>175</v>
      </c>
      <c r="AY83" s="21">
        <f>4.42*1000</f>
        <v>4420</v>
      </c>
      <c r="BA83" s="54"/>
      <c r="BM83" s="396"/>
      <c r="BN83" s="396"/>
      <c r="BR83" s="396"/>
      <c r="BS83" s="396"/>
      <c r="DF83" s="21">
        <v>2.99</v>
      </c>
      <c r="DG83" s="21">
        <v>2.33</v>
      </c>
      <c r="DJ83" s="21" t="s">
        <v>185</v>
      </c>
      <c r="EY83" s="21">
        <v>0.1163</v>
      </c>
      <c r="EZ83" s="21">
        <v>0.1176</v>
      </c>
      <c r="GM83" s="12"/>
      <c r="GQ83" s="12"/>
      <c r="GR83" s="21">
        <v>501.83</v>
      </c>
      <c r="GS83" s="21">
        <v>441.12</v>
      </c>
      <c r="GV83" s="21" t="s">
        <v>329</v>
      </c>
      <c r="IA83" s="21">
        <v>329.48</v>
      </c>
      <c r="IB83" s="21">
        <v>341.32</v>
      </c>
      <c r="IE83" s="21" t="s">
        <v>327</v>
      </c>
    </row>
    <row r="84" spans="1:249" s="21" customFormat="1" x14ac:dyDescent="0.25">
      <c r="A84" s="21">
        <v>6</v>
      </c>
      <c r="B84" s="21" t="s">
        <v>172</v>
      </c>
      <c r="C84" s="21" t="s">
        <v>173</v>
      </c>
      <c r="D84" s="21">
        <v>2016</v>
      </c>
      <c r="E84" s="21">
        <v>2013</v>
      </c>
      <c r="F84" s="21" t="s">
        <v>174</v>
      </c>
      <c r="H84" s="21" t="s">
        <v>2831</v>
      </c>
      <c r="I84" s="21">
        <v>35.380000000000003</v>
      </c>
      <c r="J84" s="21">
        <v>-77.989999999999995</v>
      </c>
      <c r="K84" s="21">
        <v>32.700000000000003</v>
      </c>
      <c r="Q84" s="43">
        <v>2</v>
      </c>
      <c r="R84" s="43" t="s">
        <v>1856</v>
      </c>
      <c r="S84" s="43"/>
      <c r="T84" s="43" t="s">
        <v>1858</v>
      </c>
      <c r="U84" s="43" t="s">
        <v>1386</v>
      </c>
      <c r="V84" s="43" t="s">
        <v>1724</v>
      </c>
      <c r="W84" s="43" t="s">
        <v>1386</v>
      </c>
      <c r="X84" s="43" t="s">
        <v>1386</v>
      </c>
      <c r="Z84" s="322">
        <f>(21.7+27.4)/2</f>
        <v>24.549999999999997</v>
      </c>
      <c r="AA84" s="322">
        <f>(60+63.7)/2</f>
        <v>61.85</v>
      </c>
      <c r="AB84" s="21" t="s">
        <v>176</v>
      </c>
      <c r="AF84" s="21" t="s">
        <v>1314</v>
      </c>
      <c r="AG84" s="21" t="s">
        <v>244</v>
      </c>
      <c r="AH84" s="138" t="s">
        <v>578</v>
      </c>
      <c r="AI84" s="21" t="s">
        <v>159</v>
      </c>
      <c r="AJ84" s="141" t="s">
        <v>159</v>
      </c>
      <c r="AN84" s="21" t="s">
        <v>177</v>
      </c>
      <c r="AO84" s="21" t="s">
        <v>177</v>
      </c>
      <c r="AP84" s="21" t="s">
        <v>178</v>
      </c>
      <c r="AT84" s="22" t="s">
        <v>161</v>
      </c>
      <c r="AU84" s="21">
        <v>6</v>
      </c>
      <c r="AW84" s="21" t="s">
        <v>175</v>
      </c>
      <c r="AY84" s="21">
        <f>5.46*1000</f>
        <v>5460</v>
      </c>
      <c r="BA84" s="54"/>
      <c r="BM84" s="396"/>
      <c r="BN84" s="396"/>
      <c r="BR84" s="396"/>
      <c r="BS84" s="396"/>
      <c r="DF84" s="21">
        <v>2.99</v>
      </c>
      <c r="DG84" s="21">
        <v>3.17</v>
      </c>
      <c r="DJ84" s="21" t="s">
        <v>185</v>
      </c>
      <c r="EY84" s="21">
        <v>0.1163</v>
      </c>
      <c r="EZ84" s="21">
        <v>0.12620000000000001</v>
      </c>
      <c r="GM84" s="12"/>
      <c r="GQ84" s="12"/>
      <c r="GR84" s="21">
        <v>501.83</v>
      </c>
      <c r="GS84" s="21">
        <v>447.97</v>
      </c>
      <c r="GV84" s="21" t="s">
        <v>329</v>
      </c>
      <c r="IA84" s="21">
        <v>329.48</v>
      </c>
      <c r="IB84" s="21">
        <v>337.39</v>
      </c>
      <c r="IE84" s="21" t="s">
        <v>327</v>
      </c>
    </row>
    <row r="85" spans="1:249" s="24" customFormat="1" x14ac:dyDescent="0.25">
      <c r="A85" s="24">
        <v>7</v>
      </c>
      <c r="B85" s="24" t="s">
        <v>187</v>
      </c>
      <c r="C85" s="24" t="s">
        <v>188</v>
      </c>
      <c r="D85" s="24">
        <v>1999</v>
      </c>
      <c r="E85" s="24">
        <v>1995</v>
      </c>
      <c r="F85" s="24" t="s">
        <v>128</v>
      </c>
      <c r="G85" s="24" t="s">
        <v>189</v>
      </c>
      <c r="H85" s="24" t="s">
        <v>2831</v>
      </c>
      <c r="I85" s="24">
        <v>45.23</v>
      </c>
      <c r="J85" s="24">
        <v>-122.76</v>
      </c>
      <c r="K85" s="24">
        <v>48.4</v>
      </c>
      <c r="O85" s="24">
        <v>1040</v>
      </c>
      <c r="P85" s="24" t="s">
        <v>134</v>
      </c>
      <c r="Q85" s="42">
        <v>2</v>
      </c>
      <c r="R85" s="42" t="s">
        <v>1741</v>
      </c>
      <c r="S85" s="42"/>
      <c r="T85" s="42" t="s">
        <v>1859</v>
      </c>
      <c r="U85" s="42" t="s">
        <v>1383</v>
      </c>
      <c r="V85" s="42" t="s">
        <v>1722</v>
      </c>
      <c r="W85" s="42" t="s">
        <v>1383</v>
      </c>
      <c r="X85" s="42" t="s">
        <v>1421</v>
      </c>
      <c r="Z85" s="321">
        <f>313/(313+540+147)*100</f>
        <v>31.3</v>
      </c>
      <c r="AA85" s="321">
        <f>540/(313+540+147)*100</f>
        <v>54</v>
      </c>
      <c r="AB85" s="24" t="s">
        <v>451</v>
      </c>
      <c r="AC85" s="24">
        <v>6.3</v>
      </c>
      <c r="AD85" s="24">
        <f>18/1000*100</f>
        <v>1.7999999999999998</v>
      </c>
      <c r="AE85" s="24">
        <v>60</v>
      </c>
      <c r="AF85" s="24" t="s">
        <v>1309</v>
      </c>
      <c r="AG85" s="24" t="s">
        <v>132</v>
      </c>
      <c r="AH85" s="138" t="s">
        <v>132</v>
      </c>
      <c r="AI85" s="24" t="s">
        <v>798</v>
      </c>
      <c r="AJ85" s="140" t="s">
        <v>1620</v>
      </c>
      <c r="AK85" s="24" t="s">
        <v>204</v>
      </c>
      <c r="AL85" s="24" t="s">
        <v>204</v>
      </c>
      <c r="AM85" s="24" t="s">
        <v>178</v>
      </c>
      <c r="AT85" s="24" t="s">
        <v>120</v>
      </c>
      <c r="AU85" s="24">
        <v>4</v>
      </c>
      <c r="AW85" s="24" t="s">
        <v>142</v>
      </c>
      <c r="BA85" s="53"/>
      <c r="BM85" s="395"/>
      <c r="BN85" s="395"/>
      <c r="BR85" s="395"/>
      <c r="BS85" s="395"/>
      <c r="GM85" s="12"/>
      <c r="GQ85" s="12"/>
      <c r="HL85" s="24">
        <f>970/22.7273</f>
        <v>42.679948784061459</v>
      </c>
      <c r="HM85" s="24">
        <f>610/22.7273</f>
        <v>26.839967792038649</v>
      </c>
      <c r="HP85" s="24">
        <f>400/22.7273</f>
        <v>17.599978880025343</v>
      </c>
      <c r="IA85" s="24">
        <v>140</v>
      </c>
      <c r="IB85" s="24">
        <v>204</v>
      </c>
      <c r="IE85" s="24">
        <v>58</v>
      </c>
    </row>
    <row r="86" spans="1:249" s="24" customFormat="1" x14ac:dyDescent="0.25">
      <c r="A86" s="24">
        <v>7</v>
      </c>
      <c r="B86" s="24" t="s">
        <v>187</v>
      </c>
      <c r="C86" s="24" t="s">
        <v>188</v>
      </c>
      <c r="D86" s="24">
        <v>1999</v>
      </c>
      <c r="E86" s="24">
        <v>1995</v>
      </c>
      <c r="F86" s="24" t="s">
        <v>128</v>
      </c>
      <c r="G86" s="24" t="s">
        <v>189</v>
      </c>
      <c r="H86" s="24" t="s">
        <v>2831</v>
      </c>
      <c r="I86" s="24">
        <v>45.23</v>
      </c>
      <c r="J86" s="24">
        <v>-122.76</v>
      </c>
      <c r="K86" s="24">
        <v>48.4</v>
      </c>
      <c r="O86" s="24">
        <v>1040</v>
      </c>
      <c r="P86" s="24" t="s">
        <v>134</v>
      </c>
      <c r="Q86" s="42">
        <v>2</v>
      </c>
      <c r="R86" s="42" t="s">
        <v>1741</v>
      </c>
      <c r="S86" s="42"/>
      <c r="T86" s="42" t="s">
        <v>1859</v>
      </c>
      <c r="U86" s="42" t="s">
        <v>1387</v>
      </c>
      <c r="V86" s="42" t="s">
        <v>1722</v>
      </c>
      <c r="W86" s="42" t="s">
        <v>1383</v>
      </c>
      <c r="X86" s="42" t="s">
        <v>1421</v>
      </c>
      <c r="Z86" s="321">
        <f>313/(313+540+147)*100</f>
        <v>31.3</v>
      </c>
      <c r="AA86" s="321">
        <f>540/(313+540+147)*100</f>
        <v>54</v>
      </c>
      <c r="AB86" s="24" t="s">
        <v>451</v>
      </c>
      <c r="AD86" s="24">
        <f>18/1000*100</f>
        <v>1.7999999999999998</v>
      </c>
      <c r="AF86" s="24" t="s">
        <v>1309</v>
      </c>
      <c r="AG86" s="24" t="s">
        <v>132</v>
      </c>
      <c r="AH86" s="138" t="s">
        <v>132</v>
      </c>
      <c r="AI86" s="24" t="s">
        <v>798</v>
      </c>
      <c r="AJ86" s="140" t="s">
        <v>1620</v>
      </c>
      <c r="AK86" s="24" t="s">
        <v>204</v>
      </c>
      <c r="AL86" s="24" t="s">
        <v>204</v>
      </c>
      <c r="AM86" s="24" t="s">
        <v>178</v>
      </c>
      <c r="AT86" s="24" t="s">
        <v>120</v>
      </c>
      <c r="AU86" s="24">
        <v>4</v>
      </c>
      <c r="AW86" s="24" t="s">
        <v>142</v>
      </c>
      <c r="BA86" s="53"/>
      <c r="BM86" s="395"/>
      <c r="BN86" s="395"/>
      <c r="BR86" s="395"/>
      <c r="BS86" s="395"/>
      <c r="GM86" s="12"/>
      <c r="GQ86" s="12"/>
      <c r="HL86" s="24">
        <f>276/22.7273</f>
        <v>12.143985427217487</v>
      </c>
      <c r="HM86" s="24">
        <f>260/22.7273</f>
        <v>11.439986272016474</v>
      </c>
      <c r="HP86" s="24">
        <f>116/22.7273</f>
        <v>5.1039938752073502</v>
      </c>
      <c r="IA86" s="24">
        <v>148</v>
      </c>
      <c r="IB86" s="24">
        <v>135</v>
      </c>
      <c r="IE86" s="24">
        <v>62</v>
      </c>
    </row>
    <row r="87" spans="1:249" s="24" customFormat="1" x14ac:dyDescent="0.25">
      <c r="A87" s="24">
        <v>7</v>
      </c>
      <c r="B87" s="24" t="s">
        <v>187</v>
      </c>
      <c r="C87" s="24" t="s">
        <v>188</v>
      </c>
      <c r="D87" s="24">
        <v>1999</v>
      </c>
      <c r="E87" s="24">
        <v>1995</v>
      </c>
      <c r="F87" s="24" t="s">
        <v>128</v>
      </c>
      <c r="G87" s="24" t="s">
        <v>189</v>
      </c>
      <c r="H87" s="24" t="s">
        <v>2831</v>
      </c>
      <c r="I87" s="24">
        <v>45.23</v>
      </c>
      <c r="J87" s="24">
        <v>-122.76</v>
      </c>
      <c r="K87" s="24">
        <v>48.4</v>
      </c>
      <c r="O87" s="24">
        <v>1040</v>
      </c>
      <c r="P87" s="24" t="s">
        <v>134</v>
      </c>
      <c r="Q87" s="42">
        <v>2</v>
      </c>
      <c r="R87" s="42" t="s">
        <v>1741</v>
      </c>
      <c r="S87" s="42"/>
      <c r="T87" s="42" t="s">
        <v>1859</v>
      </c>
      <c r="U87" s="42" t="s">
        <v>1388</v>
      </c>
      <c r="V87" s="42" t="s">
        <v>1722</v>
      </c>
      <c r="W87" s="42" t="s">
        <v>1383</v>
      </c>
      <c r="X87" s="42" t="s">
        <v>1421</v>
      </c>
      <c r="Z87" s="321">
        <f>313/(313+540+147)*100</f>
        <v>31.3</v>
      </c>
      <c r="AA87" s="321">
        <f>540/(313+540+147)*100</f>
        <v>54</v>
      </c>
      <c r="AB87" s="24" t="s">
        <v>451</v>
      </c>
      <c r="AC87" s="24">
        <v>6.3</v>
      </c>
      <c r="AD87" s="24">
        <f>9.4/1000*100</f>
        <v>0.94000000000000006</v>
      </c>
      <c r="AE87" s="24">
        <v>7</v>
      </c>
      <c r="AF87" s="24" t="s">
        <v>1309</v>
      </c>
      <c r="AG87" s="24" t="s">
        <v>132</v>
      </c>
      <c r="AH87" s="138" t="s">
        <v>132</v>
      </c>
      <c r="AI87" s="24" t="s">
        <v>798</v>
      </c>
      <c r="AJ87" s="140" t="s">
        <v>1620</v>
      </c>
      <c r="AK87" s="24" t="s">
        <v>204</v>
      </c>
      <c r="AL87" s="24" t="s">
        <v>204</v>
      </c>
      <c r="AM87" s="24" t="s">
        <v>178</v>
      </c>
      <c r="AT87" s="24" t="s">
        <v>120</v>
      </c>
      <c r="AU87" s="24">
        <v>4</v>
      </c>
      <c r="AW87" s="24" t="s">
        <v>142</v>
      </c>
      <c r="BA87" s="53"/>
      <c r="BM87" s="395"/>
      <c r="BN87" s="395"/>
      <c r="BR87" s="395"/>
      <c r="BS87" s="395"/>
      <c r="GM87" s="12"/>
      <c r="GQ87" s="12"/>
      <c r="HL87" s="24">
        <f>352/22.7273</f>
        <v>15.487981414422302</v>
      </c>
      <c r="HM87" s="24">
        <f>90/22.7273</f>
        <v>3.9599952480057024</v>
      </c>
      <c r="HP87" s="24">
        <f>144/22.7273</f>
        <v>6.3359923968091243</v>
      </c>
      <c r="IA87" s="24">
        <v>86</v>
      </c>
      <c r="IB87" s="24">
        <v>45</v>
      </c>
      <c r="IE87" s="24">
        <v>35</v>
      </c>
    </row>
    <row r="88" spans="1:249" s="24" customFormat="1" x14ac:dyDescent="0.25">
      <c r="A88" s="24">
        <v>7</v>
      </c>
      <c r="B88" s="24" t="s">
        <v>187</v>
      </c>
      <c r="C88" s="24" t="s">
        <v>188</v>
      </c>
      <c r="D88" s="24">
        <v>1999</v>
      </c>
      <c r="E88" s="24">
        <v>1995</v>
      </c>
      <c r="F88" s="24" t="s">
        <v>128</v>
      </c>
      <c r="G88" s="24" t="s">
        <v>189</v>
      </c>
      <c r="H88" s="24" t="s">
        <v>2831</v>
      </c>
      <c r="I88" s="24">
        <v>45.23</v>
      </c>
      <c r="J88" s="24">
        <v>-122.76</v>
      </c>
      <c r="K88" s="24">
        <v>48.4</v>
      </c>
      <c r="O88" s="24">
        <v>1040</v>
      </c>
      <c r="P88" s="24" t="s">
        <v>134</v>
      </c>
      <c r="Q88" s="42">
        <v>2</v>
      </c>
      <c r="R88" s="42" t="s">
        <v>1741</v>
      </c>
      <c r="S88" s="42"/>
      <c r="T88" s="42" t="s">
        <v>1859</v>
      </c>
      <c r="U88" s="42" t="s">
        <v>1389</v>
      </c>
      <c r="V88" s="42" t="s">
        <v>1722</v>
      </c>
      <c r="W88" s="42" t="s">
        <v>1383</v>
      </c>
      <c r="X88" s="42" t="s">
        <v>1421</v>
      </c>
      <c r="Z88" s="321">
        <f>313/(313+540+147)*100</f>
        <v>31.3</v>
      </c>
      <c r="AA88" s="321">
        <f>540/(313+540+147)*100</f>
        <v>54</v>
      </c>
      <c r="AB88" s="24" t="s">
        <v>451</v>
      </c>
      <c r="AD88" s="24">
        <f>6.5/1000*100</f>
        <v>0.65</v>
      </c>
      <c r="AF88" s="24" t="s">
        <v>1309</v>
      </c>
      <c r="AG88" s="24" t="s">
        <v>132</v>
      </c>
      <c r="AH88" s="138" t="s">
        <v>132</v>
      </c>
      <c r="AI88" s="24" t="s">
        <v>798</v>
      </c>
      <c r="AJ88" s="140" t="s">
        <v>1620</v>
      </c>
      <c r="AK88" s="24" t="s">
        <v>204</v>
      </c>
      <c r="AL88" s="24" t="s">
        <v>204</v>
      </c>
      <c r="AM88" s="24" t="s">
        <v>178</v>
      </c>
      <c r="AT88" s="24" t="s">
        <v>120</v>
      </c>
      <c r="AU88" s="24">
        <v>4</v>
      </c>
      <c r="AW88" s="24" t="s">
        <v>142</v>
      </c>
      <c r="BA88" s="53"/>
      <c r="BM88" s="395"/>
      <c r="BN88" s="395"/>
      <c r="BR88" s="395"/>
      <c r="BS88" s="395"/>
      <c r="GM88" s="12"/>
      <c r="GQ88" s="12"/>
      <c r="HL88" s="24">
        <f>60/22.7273</f>
        <v>2.6399968320038014</v>
      </c>
      <c r="HM88" s="24">
        <f>150/22.7273</f>
        <v>6.5999920800095042</v>
      </c>
      <c r="HP88" s="24">
        <f>26/22.7273</f>
        <v>1.1439986272016474</v>
      </c>
      <c r="IA88" s="24">
        <v>28</v>
      </c>
      <c r="IB88" s="24">
        <v>29</v>
      </c>
      <c r="IE88" s="24">
        <v>12</v>
      </c>
    </row>
    <row r="89" spans="1:249" s="24" customFormat="1" x14ac:dyDescent="0.25">
      <c r="A89" s="24">
        <v>7</v>
      </c>
      <c r="B89" s="24" t="s">
        <v>187</v>
      </c>
      <c r="C89" s="24" t="s">
        <v>188</v>
      </c>
      <c r="D89" s="24">
        <v>1999</v>
      </c>
      <c r="E89" s="24">
        <v>1995</v>
      </c>
      <c r="F89" s="24" t="s">
        <v>128</v>
      </c>
      <c r="G89" s="24" t="s">
        <v>189</v>
      </c>
      <c r="H89" s="24" t="s">
        <v>2831</v>
      </c>
      <c r="I89" s="24">
        <v>45.23</v>
      </c>
      <c r="J89" s="24">
        <v>-122.76</v>
      </c>
      <c r="K89" s="24">
        <v>48.4</v>
      </c>
      <c r="O89" s="24">
        <v>1040</v>
      </c>
      <c r="P89" s="24" t="s">
        <v>134</v>
      </c>
      <c r="Q89" s="42">
        <v>2</v>
      </c>
      <c r="R89" s="42" t="s">
        <v>1741</v>
      </c>
      <c r="S89" s="42"/>
      <c r="T89" s="42" t="s">
        <v>1859</v>
      </c>
      <c r="U89" s="42" t="s">
        <v>1390</v>
      </c>
      <c r="V89" s="42" t="s">
        <v>1722</v>
      </c>
      <c r="W89" s="42" t="s">
        <v>1383</v>
      </c>
      <c r="X89" s="42" t="s">
        <v>1421</v>
      </c>
      <c r="Z89" s="321">
        <f>313/(313+540+147)*100</f>
        <v>31.3</v>
      </c>
      <c r="AA89" s="321">
        <f>540/(313+540+147)*100</f>
        <v>54</v>
      </c>
      <c r="AB89" s="24" t="s">
        <v>451</v>
      </c>
      <c r="AC89" s="24">
        <v>6.2</v>
      </c>
      <c r="AD89" s="24">
        <f>4.7/1000*100</f>
        <v>0.47000000000000003</v>
      </c>
      <c r="AE89" s="24">
        <v>0.7</v>
      </c>
      <c r="AF89" s="24" t="s">
        <v>1309</v>
      </c>
      <c r="AG89" s="24" t="s">
        <v>132</v>
      </c>
      <c r="AH89" s="138" t="s">
        <v>132</v>
      </c>
      <c r="AI89" s="24" t="s">
        <v>798</v>
      </c>
      <c r="AJ89" s="140" t="s">
        <v>1620</v>
      </c>
      <c r="AK89" s="24" t="s">
        <v>204</v>
      </c>
      <c r="AL89" s="24" t="s">
        <v>204</v>
      </c>
      <c r="AM89" s="24" t="s">
        <v>178</v>
      </c>
      <c r="AT89" s="24" t="s">
        <v>120</v>
      </c>
      <c r="AU89" s="24">
        <v>4</v>
      </c>
      <c r="AW89" s="24" t="s">
        <v>142</v>
      </c>
      <c r="BA89" s="53"/>
      <c r="BM89" s="395"/>
      <c r="BN89" s="395"/>
      <c r="BR89" s="395"/>
      <c r="BS89" s="395"/>
      <c r="GM89" s="12"/>
      <c r="GQ89" s="12"/>
      <c r="HL89" s="24">
        <f>80/22.7273</f>
        <v>3.5199957760050689</v>
      </c>
      <c r="HM89" s="24">
        <f>70/22.7273</f>
        <v>3.0799963040044354</v>
      </c>
      <c r="HP89" s="24">
        <f>33/22.7273</f>
        <v>1.4519982576020909</v>
      </c>
    </row>
    <row r="90" spans="1:249" s="151" customFormat="1" x14ac:dyDescent="0.25">
      <c r="A90" s="151">
        <v>8</v>
      </c>
      <c r="B90" s="151" t="s">
        <v>198</v>
      </c>
      <c r="C90" s="151" t="s">
        <v>199</v>
      </c>
      <c r="D90" s="151">
        <v>2016</v>
      </c>
      <c r="E90" s="151">
        <v>2010</v>
      </c>
      <c r="F90" s="151" t="s">
        <v>200</v>
      </c>
      <c r="G90" s="151" t="s">
        <v>201</v>
      </c>
      <c r="H90" s="151" t="s">
        <v>2831</v>
      </c>
      <c r="I90" s="151">
        <f>42+4/60</f>
        <v>42.06666666666667</v>
      </c>
      <c r="J90" s="151">
        <f>-86-21/60</f>
        <v>-86.35</v>
      </c>
      <c r="K90" s="151">
        <v>205</v>
      </c>
      <c r="Q90" s="152">
        <v>1</v>
      </c>
      <c r="R90" s="152" t="s">
        <v>1735</v>
      </c>
      <c r="S90" s="152"/>
      <c r="T90" s="152" t="s">
        <v>1860</v>
      </c>
      <c r="U90" s="152" t="s">
        <v>1381</v>
      </c>
      <c r="V90" s="152" t="s">
        <v>1381</v>
      </c>
      <c r="W90" s="152" t="s">
        <v>1381</v>
      </c>
      <c r="X90" s="152" t="s">
        <v>1381</v>
      </c>
      <c r="Z90" s="324"/>
      <c r="AA90" s="324"/>
      <c r="AB90" s="151" t="s">
        <v>203</v>
      </c>
      <c r="AF90" s="151" t="s">
        <v>1315</v>
      </c>
      <c r="AG90" s="151" t="s">
        <v>132</v>
      </c>
      <c r="AH90" s="151" t="s">
        <v>132</v>
      </c>
      <c r="AI90" s="151" t="s">
        <v>1622</v>
      </c>
      <c r="AJ90" s="151" t="s">
        <v>1620</v>
      </c>
      <c r="AK90" s="151" t="s">
        <v>207</v>
      </c>
      <c r="AL90" s="151" t="s">
        <v>207</v>
      </c>
      <c r="AM90" s="151" t="s">
        <v>178</v>
      </c>
      <c r="AN90" s="151" t="s">
        <v>206</v>
      </c>
      <c r="AO90" s="151" t="s">
        <v>206</v>
      </c>
      <c r="AP90" s="151" t="s">
        <v>178</v>
      </c>
      <c r="AR90" s="151" t="s">
        <v>205</v>
      </c>
      <c r="AT90" s="151" t="s">
        <v>120</v>
      </c>
      <c r="AU90" s="154">
        <v>4</v>
      </c>
      <c r="AV90" s="154"/>
      <c r="AW90" s="154" t="s">
        <v>175</v>
      </c>
      <c r="AY90" s="151">
        <f>528.88*10</f>
        <v>5288.8</v>
      </c>
      <c r="BB90" s="154"/>
      <c r="BH90" s="151">
        <f>5.09*1000</f>
        <v>5090</v>
      </c>
      <c r="BI90" s="151">
        <f>4.94*1000</f>
        <v>4940</v>
      </c>
      <c r="BM90" s="398"/>
      <c r="BN90" s="398"/>
      <c r="BR90" s="398"/>
      <c r="BS90" s="398"/>
      <c r="FI90" s="151">
        <f>(40+13+41+3+326)/5</f>
        <v>84.6</v>
      </c>
      <c r="FJ90" s="151">
        <f>(9+4+40+2+127)/5</f>
        <v>36.4</v>
      </c>
      <c r="FM90" s="151" t="s">
        <v>720</v>
      </c>
      <c r="FS90" s="151">
        <f>(0+0.77+1.87+3.67)/4</f>
        <v>1.5775000000000001</v>
      </c>
      <c r="FT90" s="151">
        <f>(0+3.17+4.6+6.17)/4</f>
        <v>3.4849999999999999</v>
      </c>
      <c r="FW90" s="200" t="s">
        <v>721</v>
      </c>
      <c r="FX90" s="200"/>
      <c r="FY90" s="200"/>
      <c r="FZ90" s="200"/>
      <c r="GA90" s="200"/>
      <c r="GB90" s="200"/>
      <c r="GC90" s="200"/>
      <c r="GD90" s="200"/>
      <c r="GE90" s="200"/>
      <c r="GF90" s="200"/>
      <c r="GG90" s="200"/>
      <c r="GH90" s="200"/>
      <c r="GI90" s="200"/>
      <c r="GJ90" s="200"/>
      <c r="GK90" s="200"/>
      <c r="GL90" s="200"/>
      <c r="IO90" s="151" t="s">
        <v>1704</v>
      </c>
    </row>
    <row r="91" spans="1:249" s="151" customFormat="1" x14ac:dyDescent="0.25">
      <c r="A91" s="151">
        <v>8</v>
      </c>
      <c r="B91" s="151" t="s">
        <v>198</v>
      </c>
      <c r="C91" s="151" t="s">
        <v>199</v>
      </c>
      <c r="D91" s="151">
        <v>2016</v>
      </c>
      <c r="E91" s="151">
        <v>2011</v>
      </c>
      <c r="F91" s="151" t="s">
        <v>200</v>
      </c>
      <c r="G91" s="151" t="s">
        <v>201</v>
      </c>
      <c r="H91" s="151" t="s">
        <v>2831</v>
      </c>
      <c r="I91" s="151">
        <f>42+4/60</f>
        <v>42.06666666666667</v>
      </c>
      <c r="J91" s="151">
        <f>-86-21/60</f>
        <v>-86.35</v>
      </c>
      <c r="K91" s="151">
        <v>205</v>
      </c>
      <c r="Q91" s="152">
        <v>2</v>
      </c>
      <c r="R91" s="152" t="s">
        <v>1735</v>
      </c>
      <c r="S91" s="152"/>
      <c r="T91" s="152" t="s">
        <v>1860</v>
      </c>
      <c r="U91" s="152" t="s">
        <v>1381</v>
      </c>
      <c r="V91" s="152" t="s">
        <v>1381</v>
      </c>
      <c r="W91" s="152" t="s">
        <v>1381</v>
      </c>
      <c r="X91" s="152" t="s">
        <v>1381</v>
      </c>
      <c r="Z91" s="324"/>
      <c r="AA91" s="324"/>
      <c r="AB91" s="151" t="s">
        <v>203</v>
      </c>
      <c r="AF91" s="151" t="s">
        <v>1315</v>
      </c>
      <c r="AG91" s="151" t="s">
        <v>132</v>
      </c>
      <c r="AH91" s="151" t="s">
        <v>132</v>
      </c>
      <c r="AI91" s="151" t="s">
        <v>1622</v>
      </c>
      <c r="AJ91" s="151" t="s">
        <v>1620</v>
      </c>
      <c r="AK91" s="151" t="s">
        <v>207</v>
      </c>
      <c r="AL91" s="151" t="s">
        <v>207</v>
      </c>
      <c r="AM91" s="151" t="s">
        <v>178</v>
      </c>
      <c r="AN91" s="151" t="s">
        <v>206</v>
      </c>
      <c r="AO91" s="151" t="s">
        <v>206</v>
      </c>
      <c r="AP91" s="151" t="s">
        <v>178</v>
      </c>
      <c r="AR91" s="151" t="s">
        <v>205</v>
      </c>
      <c r="AT91" s="151" t="s">
        <v>120</v>
      </c>
      <c r="AU91" s="154">
        <v>4</v>
      </c>
      <c r="AV91" s="154"/>
      <c r="AW91" s="154" t="s">
        <v>175</v>
      </c>
      <c r="AY91" s="151">
        <f>372.96*10</f>
        <v>3729.6</v>
      </c>
      <c r="BB91" s="154"/>
      <c r="BH91" s="151">
        <f>5.31*1000</f>
        <v>5310</v>
      </c>
      <c r="BI91" s="151">
        <f>5.01*1000</f>
        <v>5010</v>
      </c>
      <c r="BM91" s="398"/>
      <c r="BN91" s="398"/>
      <c r="BR91" s="398"/>
      <c r="BS91" s="398"/>
      <c r="FI91" s="151">
        <f>(24+0+5+391+16)/5</f>
        <v>87.2</v>
      </c>
      <c r="FJ91" s="151">
        <f>(2+0+15+260+4)/5</f>
        <v>56.2</v>
      </c>
      <c r="FM91" s="151" t="s">
        <v>720</v>
      </c>
      <c r="FS91" s="151">
        <f>(8.74+0.7+2.32+7.31)/4</f>
        <v>4.7675000000000001</v>
      </c>
      <c r="FT91" s="151">
        <f>(8.36+0.59+2.43+6.66)/4</f>
        <v>4.51</v>
      </c>
      <c r="FW91" s="200" t="s">
        <v>721</v>
      </c>
      <c r="FX91" s="200"/>
      <c r="FY91" s="200"/>
      <c r="FZ91" s="200"/>
      <c r="GA91" s="200"/>
      <c r="GB91" s="200"/>
      <c r="GC91" s="200"/>
      <c r="GD91" s="200"/>
      <c r="GE91" s="200"/>
      <c r="GF91" s="200"/>
      <c r="GG91" s="200"/>
      <c r="GH91" s="200"/>
      <c r="GI91" s="200"/>
      <c r="GJ91" s="200"/>
      <c r="GK91" s="200"/>
      <c r="GL91" s="200"/>
      <c r="IO91" s="151" t="s">
        <v>1704</v>
      </c>
    </row>
    <row r="92" spans="1:249" s="151" customFormat="1" x14ac:dyDescent="0.25">
      <c r="A92" s="151">
        <v>8</v>
      </c>
      <c r="B92" s="151" t="s">
        <v>198</v>
      </c>
      <c r="C92" s="151" t="s">
        <v>199</v>
      </c>
      <c r="D92" s="151">
        <v>2016</v>
      </c>
      <c r="E92" s="151">
        <v>2010</v>
      </c>
      <c r="F92" s="151" t="s">
        <v>200</v>
      </c>
      <c r="G92" s="151" t="s">
        <v>201</v>
      </c>
      <c r="H92" s="151" t="s">
        <v>2831</v>
      </c>
      <c r="I92" s="151">
        <f>42+4/60</f>
        <v>42.06666666666667</v>
      </c>
      <c r="J92" s="151">
        <f>-86-21/60</f>
        <v>-86.35</v>
      </c>
      <c r="K92" s="151">
        <v>205</v>
      </c>
      <c r="Q92" s="152">
        <v>1</v>
      </c>
      <c r="R92" s="152" t="s">
        <v>1735</v>
      </c>
      <c r="S92" s="152"/>
      <c r="T92" s="152" t="s">
        <v>1860</v>
      </c>
      <c r="U92" s="152" t="s">
        <v>1381</v>
      </c>
      <c r="V92" s="152" t="s">
        <v>1381</v>
      </c>
      <c r="W92" s="152" t="s">
        <v>1381</v>
      </c>
      <c r="X92" s="152" t="s">
        <v>1381</v>
      </c>
      <c r="Z92" s="324"/>
      <c r="AA92" s="324"/>
      <c r="AB92" s="151" t="s">
        <v>203</v>
      </c>
      <c r="AF92" s="151" t="s">
        <v>1315</v>
      </c>
      <c r="AG92" s="151" t="s">
        <v>132</v>
      </c>
      <c r="AH92" s="151" t="s">
        <v>132</v>
      </c>
      <c r="AI92" s="151" t="s">
        <v>1622</v>
      </c>
      <c r="AJ92" s="151" t="s">
        <v>1620</v>
      </c>
      <c r="AK92" s="151" t="s">
        <v>207</v>
      </c>
      <c r="AL92" s="151" t="s">
        <v>207</v>
      </c>
      <c r="AM92" s="151" t="s">
        <v>178</v>
      </c>
      <c r="AN92" s="151" t="s">
        <v>206</v>
      </c>
      <c r="AO92" s="151" t="s">
        <v>206</v>
      </c>
      <c r="AP92" s="151" t="s">
        <v>178</v>
      </c>
      <c r="AR92" s="151" t="s">
        <v>205</v>
      </c>
      <c r="AT92" s="151" t="s">
        <v>120</v>
      </c>
      <c r="AU92" s="154">
        <v>4</v>
      </c>
      <c r="AV92" s="154"/>
      <c r="AW92" s="154" t="s">
        <v>175</v>
      </c>
      <c r="AY92" s="151">
        <f>528.88*10</f>
        <v>5288.8</v>
      </c>
      <c r="BB92" s="154"/>
      <c r="BM92" s="398"/>
      <c r="BN92" s="398"/>
      <c r="BR92" s="398"/>
      <c r="BS92" s="398"/>
      <c r="FS92" s="172">
        <f>1/((3.83+1.45+0.51+0.06+1.54)/5)</f>
        <v>0.67658998646820023</v>
      </c>
      <c r="FT92" s="172">
        <f>1/((7.05+0.33+0.22+1.39+0.72)/5)</f>
        <v>0.51493305870236861</v>
      </c>
      <c r="FU92" s="172"/>
      <c r="FV92" s="172"/>
      <c r="FW92" s="200" t="s">
        <v>1769</v>
      </c>
      <c r="FX92" s="200"/>
      <c r="FY92" s="200"/>
      <c r="FZ92" s="200"/>
      <c r="GA92" s="200"/>
      <c r="GB92" s="200"/>
      <c r="GC92" s="200"/>
      <c r="GD92" s="200"/>
      <c r="GE92" s="200"/>
      <c r="GF92" s="200"/>
      <c r="GG92" s="200"/>
      <c r="GH92" s="200"/>
      <c r="GI92" s="200"/>
      <c r="GJ92" s="200"/>
      <c r="GK92" s="200"/>
      <c r="GL92" s="200"/>
      <c r="IO92" s="151" t="s">
        <v>1704</v>
      </c>
    </row>
    <row r="93" spans="1:249" s="151" customFormat="1" x14ac:dyDescent="0.25">
      <c r="A93" s="151">
        <v>8</v>
      </c>
      <c r="B93" s="151" t="s">
        <v>198</v>
      </c>
      <c r="C93" s="151" t="s">
        <v>199</v>
      </c>
      <c r="D93" s="151">
        <v>2016</v>
      </c>
      <c r="E93" s="151">
        <v>2011</v>
      </c>
      <c r="F93" s="151" t="s">
        <v>200</v>
      </c>
      <c r="G93" s="151" t="s">
        <v>201</v>
      </c>
      <c r="H93" s="151" t="s">
        <v>2831</v>
      </c>
      <c r="I93" s="151">
        <f>42+4/60</f>
        <v>42.06666666666667</v>
      </c>
      <c r="J93" s="151">
        <f>-86-21/60</f>
        <v>-86.35</v>
      </c>
      <c r="K93" s="151">
        <v>205</v>
      </c>
      <c r="Q93" s="152">
        <v>2</v>
      </c>
      <c r="R93" s="152" t="s">
        <v>1735</v>
      </c>
      <c r="S93" s="152"/>
      <c r="T93" s="152" t="s">
        <v>1860</v>
      </c>
      <c r="U93" s="152" t="s">
        <v>1381</v>
      </c>
      <c r="V93" s="152" t="s">
        <v>1381</v>
      </c>
      <c r="W93" s="152" t="s">
        <v>1381</v>
      </c>
      <c r="X93" s="152" t="s">
        <v>1381</v>
      </c>
      <c r="Z93" s="324"/>
      <c r="AA93" s="324"/>
      <c r="AB93" s="151" t="s">
        <v>203</v>
      </c>
      <c r="AF93" s="151" t="s">
        <v>1315</v>
      </c>
      <c r="AG93" s="151" t="s">
        <v>132</v>
      </c>
      <c r="AH93" s="151" t="s">
        <v>132</v>
      </c>
      <c r="AI93" s="151" t="s">
        <v>1622</v>
      </c>
      <c r="AJ93" s="151" t="s">
        <v>1620</v>
      </c>
      <c r="AK93" s="151" t="s">
        <v>207</v>
      </c>
      <c r="AL93" s="151" t="s">
        <v>207</v>
      </c>
      <c r="AM93" s="151" t="s">
        <v>178</v>
      </c>
      <c r="AN93" s="151" t="s">
        <v>206</v>
      </c>
      <c r="AO93" s="151" t="s">
        <v>206</v>
      </c>
      <c r="AP93" s="151" t="s">
        <v>178</v>
      </c>
      <c r="AR93" s="151" t="s">
        <v>205</v>
      </c>
      <c r="AT93" s="151" t="s">
        <v>120</v>
      </c>
      <c r="AU93" s="154">
        <v>4</v>
      </c>
      <c r="AV93" s="154"/>
      <c r="AW93" s="154" t="s">
        <v>175</v>
      </c>
      <c r="AY93" s="151">
        <f>372.96*10</f>
        <v>3729.6</v>
      </c>
      <c r="BB93" s="154"/>
      <c r="BM93" s="398"/>
      <c r="BN93" s="398"/>
      <c r="BR93" s="398"/>
      <c r="BS93" s="398"/>
      <c r="FS93" s="172">
        <f>1/((0.7+0.05+0.2+0.02+0.21)/5)</f>
        <v>4.2372881355932206</v>
      </c>
      <c r="FT93" s="172">
        <f>1/((0.71+0.16+0.07+0.02+0.13)/5)</f>
        <v>4.5871559633027532</v>
      </c>
      <c r="FU93" s="172"/>
      <c r="FV93" s="172"/>
      <c r="FW93" s="200" t="s">
        <v>1769</v>
      </c>
      <c r="FX93" s="200"/>
      <c r="FY93" s="200"/>
      <c r="FZ93" s="200"/>
      <c r="GA93" s="200"/>
      <c r="GB93" s="200"/>
      <c r="GC93" s="200"/>
      <c r="GD93" s="200"/>
      <c r="GE93" s="200"/>
      <c r="GF93" s="200"/>
      <c r="GG93" s="200"/>
      <c r="GH93" s="200"/>
      <c r="GI93" s="200"/>
      <c r="GJ93" s="200"/>
      <c r="GK93" s="200"/>
      <c r="GL93" s="200"/>
      <c r="IO93" s="151" t="s">
        <v>1704</v>
      </c>
    </row>
    <row r="94" spans="1:249" s="24" customFormat="1" x14ac:dyDescent="0.25">
      <c r="A94" s="24">
        <v>9</v>
      </c>
      <c r="B94" s="24" t="s">
        <v>209</v>
      </c>
      <c r="C94" s="24" t="s">
        <v>210</v>
      </c>
      <c r="D94" s="24">
        <v>1992</v>
      </c>
      <c r="E94" s="24">
        <v>1985</v>
      </c>
      <c r="F94" s="24" t="s">
        <v>212</v>
      </c>
      <c r="G94" s="24" t="s">
        <v>211</v>
      </c>
      <c r="H94" s="24" t="s">
        <v>2831</v>
      </c>
      <c r="I94" s="24">
        <f t="shared" ref="I94:I99" si="5">33+54/60</f>
        <v>33.9</v>
      </c>
      <c r="J94" s="24">
        <f t="shared" ref="J94:J99" si="6">-82-24/60</f>
        <v>-82.4</v>
      </c>
      <c r="K94" s="24">
        <v>130.1</v>
      </c>
      <c r="Q94" s="42">
        <v>3</v>
      </c>
      <c r="R94" s="42" t="s">
        <v>1729</v>
      </c>
      <c r="S94" s="42"/>
      <c r="T94" s="42" t="s">
        <v>1861</v>
      </c>
      <c r="U94" s="42" t="s">
        <v>1391</v>
      </c>
      <c r="V94" s="42" t="s">
        <v>1725</v>
      </c>
      <c r="W94" s="42" t="s">
        <v>1391</v>
      </c>
      <c r="X94" s="42" t="s">
        <v>1391</v>
      </c>
      <c r="Z94" s="321">
        <f>54.1/(54.1+14.6+5.8)*100</f>
        <v>72.617449664429529</v>
      </c>
      <c r="AA94" s="321">
        <f>14.6/(54.1+14.6+5.8)*100</f>
        <v>19.597315436241612</v>
      </c>
      <c r="AB94" s="24" t="s">
        <v>797</v>
      </c>
      <c r="AF94" s="24" t="s">
        <v>1316</v>
      </c>
      <c r="AG94" s="24" t="s">
        <v>1525</v>
      </c>
      <c r="AH94" s="138" t="s">
        <v>578</v>
      </c>
      <c r="AI94" s="24" t="s">
        <v>159</v>
      </c>
      <c r="AJ94" s="140" t="s">
        <v>159</v>
      </c>
      <c r="AN94" s="24" t="s">
        <v>220</v>
      </c>
      <c r="AO94" s="24" t="s">
        <v>219</v>
      </c>
      <c r="AP94" s="24" t="s">
        <v>503</v>
      </c>
      <c r="AT94" s="24" t="s">
        <v>120</v>
      </c>
      <c r="AU94" s="24">
        <v>3</v>
      </c>
      <c r="BA94" s="53"/>
      <c r="BB94" s="24" t="s">
        <v>214</v>
      </c>
      <c r="BM94" s="395"/>
      <c r="BN94" s="395"/>
      <c r="BR94" s="395"/>
      <c r="BS94" s="395"/>
      <c r="DF94" s="24">
        <f>0.61*1000</f>
        <v>610</v>
      </c>
      <c r="DG94" s="24">
        <f>0.87*1000</f>
        <v>870</v>
      </c>
      <c r="DJ94" s="24" t="s">
        <v>166</v>
      </c>
      <c r="DU94" s="24">
        <f>(26.7+29.5)/2</f>
        <v>28.1</v>
      </c>
      <c r="DV94" s="24">
        <f>(51.3+50.7)/2</f>
        <v>51</v>
      </c>
      <c r="DY94" s="24" t="s">
        <v>1688</v>
      </c>
      <c r="GM94" s="12"/>
      <c r="GQ94" s="12"/>
    </row>
    <row r="95" spans="1:249" s="24" customFormat="1" x14ac:dyDescent="0.25">
      <c r="A95" s="24">
        <v>9</v>
      </c>
      <c r="B95" s="24" t="s">
        <v>209</v>
      </c>
      <c r="C95" s="24" t="s">
        <v>210</v>
      </c>
      <c r="D95" s="24">
        <v>1992</v>
      </c>
      <c r="E95" s="24">
        <v>1985</v>
      </c>
      <c r="F95" s="24" t="s">
        <v>212</v>
      </c>
      <c r="G95" s="24" t="s">
        <v>211</v>
      </c>
      <c r="H95" s="24" t="s">
        <v>2831</v>
      </c>
      <c r="I95" s="24">
        <f t="shared" si="5"/>
        <v>33.9</v>
      </c>
      <c r="J95" s="24">
        <f t="shared" si="6"/>
        <v>-82.4</v>
      </c>
      <c r="K95" s="24">
        <v>130.1</v>
      </c>
      <c r="Q95" s="42">
        <v>3</v>
      </c>
      <c r="R95" s="42" t="s">
        <v>1729</v>
      </c>
      <c r="S95" s="42"/>
      <c r="T95" s="42" t="s">
        <v>1861</v>
      </c>
      <c r="U95" s="42" t="s">
        <v>1391</v>
      </c>
      <c r="V95" s="42" t="s">
        <v>1725</v>
      </c>
      <c r="W95" s="42" t="s">
        <v>1391</v>
      </c>
      <c r="X95" s="42" t="s">
        <v>1391</v>
      </c>
      <c r="Z95" s="321">
        <f>47/(47+20.4+10.7)*100</f>
        <v>60.179257362355941</v>
      </c>
      <c r="AA95" s="321">
        <f>20.4/(47+20.4+10.7)*100</f>
        <v>26.120358514724707</v>
      </c>
      <c r="AB95" s="24" t="s">
        <v>797</v>
      </c>
      <c r="AF95" s="24" t="s">
        <v>1316</v>
      </c>
      <c r="AG95" s="24" t="s">
        <v>1525</v>
      </c>
      <c r="AH95" s="138" t="s">
        <v>578</v>
      </c>
      <c r="AI95" s="24" t="s">
        <v>159</v>
      </c>
      <c r="AJ95" s="140" t="s">
        <v>159</v>
      </c>
      <c r="AN95" s="24" t="s">
        <v>220</v>
      </c>
      <c r="AO95" s="24" t="s">
        <v>219</v>
      </c>
      <c r="AP95" s="24" t="s">
        <v>503</v>
      </c>
      <c r="AT95" s="24" t="s">
        <v>120</v>
      </c>
      <c r="AU95" s="24">
        <v>3</v>
      </c>
      <c r="BA95" s="53"/>
      <c r="BB95" s="24" t="s">
        <v>215</v>
      </c>
      <c r="BM95" s="395"/>
      <c r="BN95" s="395"/>
      <c r="BR95" s="395"/>
      <c r="BS95" s="395"/>
      <c r="DF95" s="24">
        <f>0.59*1000</f>
        <v>590</v>
      </c>
      <c r="DG95" s="24">
        <f>0.88*1000</f>
        <v>880</v>
      </c>
      <c r="DJ95" s="24" t="s">
        <v>166</v>
      </c>
      <c r="DU95" s="24">
        <f>(32.9+20.5)/2</f>
        <v>26.7</v>
      </c>
      <c r="DV95" s="24">
        <f>(51.8+46.4)/2</f>
        <v>49.099999999999994</v>
      </c>
      <c r="DY95" s="24" t="s">
        <v>1688</v>
      </c>
      <c r="GM95" s="12"/>
      <c r="GQ95" s="12"/>
    </row>
    <row r="96" spans="1:249" s="24" customFormat="1" x14ac:dyDescent="0.25">
      <c r="A96" s="24">
        <v>9</v>
      </c>
      <c r="B96" s="24" t="s">
        <v>209</v>
      </c>
      <c r="C96" s="24" t="s">
        <v>210</v>
      </c>
      <c r="D96" s="24">
        <v>1992</v>
      </c>
      <c r="E96" s="24">
        <v>1985</v>
      </c>
      <c r="F96" s="24" t="s">
        <v>212</v>
      </c>
      <c r="G96" s="24" t="s">
        <v>211</v>
      </c>
      <c r="H96" s="24" t="s">
        <v>2831</v>
      </c>
      <c r="I96" s="24">
        <f t="shared" si="5"/>
        <v>33.9</v>
      </c>
      <c r="J96" s="24">
        <f t="shared" si="6"/>
        <v>-82.4</v>
      </c>
      <c r="K96" s="24">
        <v>130.1</v>
      </c>
      <c r="Q96" s="42">
        <v>3</v>
      </c>
      <c r="R96" s="42" t="s">
        <v>1729</v>
      </c>
      <c r="S96" s="42"/>
      <c r="T96" s="42" t="s">
        <v>1861</v>
      </c>
      <c r="U96" s="42" t="s">
        <v>1391</v>
      </c>
      <c r="V96" s="42" t="s">
        <v>1725</v>
      </c>
      <c r="W96" s="42" t="s">
        <v>1391</v>
      </c>
      <c r="X96" s="42" t="s">
        <v>1391</v>
      </c>
      <c r="Z96" s="321">
        <f>42.5/(42.5+21.3+19)*100</f>
        <v>51.328502415458942</v>
      </c>
      <c r="AA96" s="321">
        <f>21.3/(42.5+21.3+19)*100</f>
        <v>25.724637681159422</v>
      </c>
      <c r="AB96" s="24" t="s">
        <v>797</v>
      </c>
      <c r="AF96" s="24" t="s">
        <v>1316</v>
      </c>
      <c r="AG96" s="24" t="s">
        <v>1525</v>
      </c>
      <c r="AH96" s="138" t="s">
        <v>578</v>
      </c>
      <c r="AI96" s="24" t="s">
        <v>159</v>
      </c>
      <c r="AJ96" s="140" t="s">
        <v>159</v>
      </c>
      <c r="AN96" s="24" t="s">
        <v>220</v>
      </c>
      <c r="AO96" s="24" t="s">
        <v>219</v>
      </c>
      <c r="AP96" s="24" t="s">
        <v>503</v>
      </c>
      <c r="AT96" s="24" t="s">
        <v>120</v>
      </c>
      <c r="AU96" s="24">
        <v>3</v>
      </c>
      <c r="BA96" s="53"/>
      <c r="BB96" s="24" t="s">
        <v>216</v>
      </c>
      <c r="BM96" s="395"/>
      <c r="BN96" s="395"/>
      <c r="BR96" s="395"/>
      <c r="BS96" s="395"/>
      <c r="DF96" s="24">
        <f>0.65*1000</f>
        <v>650</v>
      </c>
      <c r="DG96" s="24">
        <f>0.91*1000</f>
        <v>910</v>
      </c>
      <c r="DJ96" s="24" t="s">
        <v>166</v>
      </c>
      <c r="DU96" s="24">
        <f>(35.9+20.2)/2</f>
        <v>28.049999999999997</v>
      </c>
      <c r="DV96" s="24">
        <f>(46+41.6)/2</f>
        <v>43.8</v>
      </c>
      <c r="DY96" s="24" t="s">
        <v>1688</v>
      </c>
      <c r="GM96" s="12"/>
      <c r="GQ96" s="12"/>
    </row>
    <row r="97" spans="1:199" s="24" customFormat="1" x14ac:dyDescent="0.25">
      <c r="A97" s="24">
        <v>9</v>
      </c>
      <c r="B97" s="24" t="s">
        <v>209</v>
      </c>
      <c r="C97" s="24" t="s">
        <v>210</v>
      </c>
      <c r="D97" s="24">
        <v>1992</v>
      </c>
      <c r="E97" s="24">
        <v>1985</v>
      </c>
      <c r="F97" s="24" t="s">
        <v>212</v>
      </c>
      <c r="G97" s="24" t="s">
        <v>211</v>
      </c>
      <c r="H97" s="24" t="s">
        <v>2831</v>
      </c>
      <c r="I97" s="24">
        <f t="shared" si="5"/>
        <v>33.9</v>
      </c>
      <c r="J97" s="24">
        <f t="shared" si="6"/>
        <v>-82.4</v>
      </c>
      <c r="K97" s="24">
        <v>130.1</v>
      </c>
      <c r="Q97" s="42">
        <v>3</v>
      </c>
      <c r="R97" s="42" t="s">
        <v>1729</v>
      </c>
      <c r="S97" s="42"/>
      <c r="T97" s="42" t="s">
        <v>1861</v>
      </c>
      <c r="U97" s="42" t="s">
        <v>1391</v>
      </c>
      <c r="V97" s="42" t="s">
        <v>1725</v>
      </c>
      <c r="W97" s="42" t="s">
        <v>1391</v>
      </c>
      <c r="X97" s="42" t="s">
        <v>1391</v>
      </c>
      <c r="Z97" s="321">
        <f>54.1/(54.1+14.6+5.8)*100</f>
        <v>72.617449664429529</v>
      </c>
      <c r="AA97" s="321">
        <f>14.6/(54.1+14.6+5.8)*100</f>
        <v>19.597315436241612</v>
      </c>
      <c r="AB97" s="24" t="s">
        <v>797</v>
      </c>
      <c r="AF97" s="24" t="s">
        <v>1316</v>
      </c>
      <c r="AG97" s="24" t="s">
        <v>1525</v>
      </c>
      <c r="AH97" s="138" t="s">
        <v>578</v>
      </c>
      <c r="AI97" s="24" t="s">
        <v>221</v>
      </c>
      <c r="AJ97" s="140" t="s">
        <v>221</v>
      </c>
      <c r="AN97" s="24" t="s">
        <v>220</v>
      </c>
      <c r="AO97" s="24" t="s">
        <v>219</v>
      </c>
      <c r="AP97" s="24" t="s">
        <v>503</v>
      </c>
      <c r="AT97" s="24" t="s">
        <v>120</v>
      </c>
      <c r="AU97" s="24">
        <v>3</v>
      </c>
      <c r="BA97" s="53"/>
      <c r="BB97" s="24" t="s">
        <v>214</v>
      </c>
      <c r="BM97" s="395"/>
      <c r="BN97" s="395"/>
      <c r="BR97" s="395"/>
      <c r="BS97" s="395"/>
      <c r="DF97" s="24">
        <f>0.5*1000</f>
        <v>500</v>
      </c>
      <c r="DG97" s="24">
        <f>0.87*1000</f>
        <v>870</v>
      </c>
      <c r="DJ97" s="24" t="s">
        <v>166</v>
      </c>
      <c r="DU97" s="24">
        <f>(33+25.7)/2</f>
        <v>29.35</v>
      </c>
      <c r="DV97" s="24">
        <f>(51.3+50.7)/2</f>
        <v>51</v>
      </c>
      <c r="DY97" s="24" t="s">
        <v>1688</v>
      </c>
      <c r="GM97" s="12"/>
      <c r="GQ97" s="12"/>
    </row>
    <row r="98" spans="1:199" s="24" customFormat="1" x14ac:dyDescent="0.25">
      <c r="A98" s="24">
        <v>9</v>
      </c>
      <c r="B98" s="24" t="s">
        <v>209</v>
      </c>
      <c r="C98" s="24" t="s">
        <v>210</v>
      </c>
      <c r="D98" s="24">
        <v>1992</v>
      </c>
      <c r="E98" s="24">
        <v>1985</v>
      </c>
      <c r="F98" s="24" t="s">
        <v>212</v>
      </c>
      <c r="G98" s="24" t="s">
        <v>211</v>
      </c>
      <c r="H98" s="24" t="s">
        <v>2831</v>
      </c>
      <c r="I98" s="24">
        <f t="shared" si="5"/>
        <v>33.9</v>
      </c>
      <c r="J98" s="24">
        <f t="shared" si="6"/>
        <v>-82.4</v>
      </c>
      <c r="K98" s="24">
        <v>130.1</v>
      </c>
      <c r="Q98" s="42">
        <v>3</v>
      </c>
      <c r="R98" s="42" t="s">
        <v>1729</v>
      </c>
      <c r="S98" s="42"/>
      <c r="T98" s="42" t="s">
        <v>1861</v>
      </c>
      <c r="U98" s="42" t="s">
        <v>1391</v>
      </c>
      <c r="V98" s="42" t="s">
        <v>1725</v>
      </c>
      <c r="W98" s="42" t="s">
        <v>1391</v>
      </c>
      <c r="X98" s="42" t="s">
        <v>1391</v>
      </c>
      <c r="Z98" s="321">
        <f>47/(47+20.4+10.7)*100</f>
        <v>60.179257362355941</v>
      </c>
      <c r="AA98" s="321">
        <f>20.4/(47+20.4+10.7)*100</f>
        <v>26.120358514724707</v>
      </c>
      <c r="AB98" s="24" t="s">
        <v>797</v>
      </c>
      <c r="AF98" s="24" t="s">
        <v>1316</v>
      </c>
      <c r="AG98" s="24" t="s">
        <v>1525</v>
      </c>
      <c r="AH98" s="138" t="s">
        <v>578</v>
      </c>
      <c r="AI98" s="24" t="s">
        <v>221</v>
      </c>
      <c r="AJ98" s="140" t="s">
        <v>221</v>
      </c>
      <c r="AN98" s="24" t="s">
        <v>220</v>
      </c>
      <c r="AO98" s="24" t="s">
        <v>219</v>
      </c>
      <c r="AP98" s="24" t="s">
        <v>503</v>
      </c>
      <c r="AT98" s="24" t="s">
        <v>120</v>
      </c>
      <c r="AU98" s="24">
        <v>3</v>
      </c>
      <c r="BA98" s="53"/>
      <c r="BB98" s="24" t="s">
        <v>215</v>
      </c>
      <c r="BM98" s="395"/>
      <c r="BN98" s="395"/>
      <c r="BR98" s="395"/>
      <c r="BS98" s="395"/>
      <c r="DF98" s="24">
        <f>0.59*1000</f>
        <v>590</v>
      </c>
      <c r="DG98" s="24">
        <f>0.88*1000</f>
        <v>880</v>
      </c>
      <c r="DJ98" s="24" t="s">
        <v>166</v>
      </c>
      <c r="DU98" s="24">
        <f>(38.6+20.1)/2</f>
        <v>29.35</v>
      </c>
      <c r="DV98" s="24">
        <f>(51.8+46.4)/2</f>
        <v>49.099999999999994</v>
      </c>
      <c r="DY98" s="24" t="s">
        <v>1688</v>
      </c>
      <c r="GM98" s="12"/>
      <c r="GQ98" s="12"/>
    </row>
    <row r="99" spans="1:199" s="24" customFormat="1" x14ac:dyDescent="0.25">
      <c r="A99" s="24">
        <v>9</v>
      </c>
      <c r="B99" s="24" t="s">
        <v>209</v>
      </c>
      <c r="C99" s="24" t="s">
        <v>210</v>
      </c>
      <c r="D99" s="24">
        <v>1992</v>
      </c>
      <c r="E99" s="24">
        <v>1985</v>
      </c>
      <c r="F99" s="24" t="s">
        <v>212</v>
      </c>
      <c r="G99" s="24" t="s">
        <v>211</v>
      </c>
      <c r="H99" s="24" t="s">
        <v>2831</v>
      </c>
      <c r="I99" s="24">
        <f t="shared" si="5"/>
        <v>33.9</v>
      </c>
      <c r="J99" s="24">
        <f t="shared" si="6"/>
        <v>-82.4</v>
      </c>
      <c r="K99" s="24">
        <v>130.1</v>
      </c>
      <c r="Q99" s="42">
        <v>3</v>
      </c>
      <c r="R99" s="42" t="s">
        <v>1729</v>
      </c>
      <c r="S99" s="42"/>
      <c r="T99" s="42" t="s">
        <v>1861</v>
      </c>
      <c r="U99" s="42" t="s">
        <v>1391</v>
      </c>
      <c r="V99" s="42" t="s">
        <v>1725</v>
      </c>
      <c r="W99" s="42" t="s">
        <v>1391</v>
      </c>
      <c r="X99" s="42" t="s">
        <v>1391</v>
      </c>
      <c r="Z99" s="321">
        <f>42.5/(42.5+21.3+19)*100</f>
        <v>51.328502415458942</v>
      </c>
      <c r="AA99" s="321">
        <f>21.3/(42.5+21.3+19)*100</f>
        <v>25.724637681159422</v>
      </c>
      <c r="AB99" s="24" t="s">
        <v>797</v>
      </c>
      <c r="AF99" s="24" t="s">
        <v>1316</v>
      </c>
      <c r="AG99" s="24" t="s">
        <v>1525</v>
      </c>
      <c r="AH99" s="138" t="s">
        <v>578</v>
      </c>
      <c r="AI99" s="24" t="s">
        <v>221</v>
      </c>
      <c r="AJ99" s="140" t="s">
        <v>221</v>
      </c>
      <c r="AN99" s="24" t="s">
        <v>220</v>
      </c>
      <c r="AO99" s="24" t="s">
        <v>219</v>
      </c>
      <c r="AP99" s="24" t="s">
        <v>503</v>
      </c>
      <c r="AT99" s="24" t="s">
        <v>120</v>
      </c>
      <c r="AU99" s="24">
        <v>3</v>
      </c>
      <c r="BA99" s="53"/>
      <c r="BB99" s="24" t="s">
        <v>216</v>
      </c>
      <c r="BM99" s="395"/>
      <c r="BN99" s="395"/>
      <c r="BR99" s="395"/>
      <c r="BS99" s="395"/>
      <c r="DF99" s="24">
        <f>0.64*1000</f>
        <v>640</v>
      </c>
      <c r="DG99" s="24">
        <f>0.91*1000</f>
        <v>910</v>
      </c>
      <c r="DJ99" s="24" t="s">
        <v>166</v>
      </c>
      <c r="DU99" s="24">
        <f>(34.5+21)/2</f>
        <v>27.75</v>
      </c>
      <c r="DV99" s="24">
        <f>(46+41.6)/2</f>
        <v>43.8</v>
      </c>
      <c r="DY99" s="24" t="s">
        <v>1688</v>
      </c>
      <c r="GM99" s="12"/>
      <c r="GQ99" s="12"/>
    </row>
    <row r="100" spans="1:199" s="21" customFormat="1" x14ac:dyDescent="0.25">
      <c r="A100" s="21">
        <v>10</v>
      </c>
      <c r="B100" s="201" t="s">
        <v>222</v>
      </c>
      <c r="C100" s="21" t="s">
        <v>223</v>
      </c>
      <c r="D100" s="21">
        <v>2015</v>
      </c>
      <c r="E100" s="21">
        <v>2010</v>
      </c>
      <c r="F100" s="21" t="s">
        <v>224</v>
      </c>
      <c r="G100" s="21" t="s">
        <v>225</v>
      </c>
      <c r="H100" s="21" t="s">
        <v>2831</v>
      </c>
      <c r="I100" s="21">
        <v>43.064999999999998</v>
      </c>
      <c r="J100" s="21">
        <v>-89.534999999999997</v>
      </c>
      <c r="K100" s="21">
        <v>331.7</v>
      </c>
      <c r="Q100" s="43">
        <v>1</v>
      </c>
      <c r="R100" s="43" t="s">
        <v>1856</v>
      </c>
      <c r="S100" s="43"/>
      <c r="T100" s="43" t="s">
        <v>1862</v>
      </c>
      <c r="U100" s="43" t="s">
        <v>1386</v>
      </c>
      <c r="V100" s="43" t="s">
        <v>1724</v>
      </c>
      <c r="W100" s="43" t="s">
        <v>1386</v>
      </c>
      <c r="X100" s="43" t="s">
        <v>1386</v>
      </c>
      <c r="Z100" s="322"/>
      <c r="AA100" s="322"/>
      <c r="AB100" s="21" t="s">
        <v>451</v>
      </c>
      <c r="AC100" s="21">
        <v>7.1</v>
      </c>
      <c r="AD100" s="21">
        <v>2.9</v>
      </c>
      <c r="AF100" s="21" t="s">
        <v>1317</v>
      </c>
      <c r="AG100" s="21" t="s">
        <v>231</v>
      </c>
      <c r="AH100" s="138" t="s">
        <v>1585</v>
      </c>
      <c r="AI100" s="21" t="s">
        <v>230</v>
      </c>
      <c r="AJ100" s="141" t="s">
        <v>1621</v>
      </c>
      <c r="AN100" s="21" t="s">
        <v>232</v>
      </c>
      <c r="AO100" s="21" t="s">
        <v>232</v>
      </c>
      <c r="AP100" s="21" t="s">
        <v>178</v>
      </c>
      <c r="AT100" s="21" t="s">
        <v>120</v>
      </c>
      <c r="AU100" s="21">
        <v>4</v>
      </c>
      <c r="BA100" s="54"/>
      <c r="BH100" s="21">
        <f>(40+24.2)/2*1000</f>
        <v>32100</v>
      </c>
      <c r="BI100" s="21">
        <f>(31.5+25.7)/2*1000</f>
        <v>28600</v>
      </c>
      <c r="BL100" s="21" t="s">
        <v>236</v>
      </c>
      <c r="BM100" s="396"/>
      <c r="BN100" s="396"/>
      <c r="BR100" s="396"/>
      <c r="BS100" s="396"/>
      <c r="BW100" s="21">
        <v>11.22</v>
      </c>
      <c r="BX100" s="21">
        <v>8.83</v>
      </c>
      <c r="CA100" s="21" t="s">
        <v>346</v>
      </c>
      <c r="FI100" s="21">
        <v>2320</v>
      </c>
      <c r="FJ100" s="21">
        <v>630</v>
      </c>
      <c r="GM100" s="12"/>
      <c r="GQ100" s="12"/>
    </row>
    <row r="101" spans="1:199" s="21" customFormat="1" x14ac:dyDescent="0.25">
      <c r="A101" s="21">
        <v>10</v>
      </c>
      <c r="B101" s="201" t="s">
        <v>222</v>
      </c>
      <c r="C101" s="21" t="s">
        <v>223</v>
      </c>
      <c r="D101" s="21">
        <v>2015</v>
      </c>
      <c r="E101" s="21">
        <v>2011</v>
      </c>
      <c r="F101" s="21" t="s">
        <v>224</v>
      </c>
      <c r="G101" s="21" t="s">
        <v>225</v>
      </c>
      <c r="H101" s="21" t="s">
        <v>2831</v>
      </c>
      <c r="I101" s="21">
        <v>43.064999999999998</v>
      </c>
      <c r="J101" s="21">
        <v>-89.534999999999997</v>
      </c>
      <c r="K101" s="21">
        <v>331.7</v>
      </c>
      <c r="Q101" s="43">
        <v>2</v>
      </c>
      <c r="R101" s="43" t="s">
        <v>1856</v>
      </c>
      <c r="S101" s="43"/>
      <c r="T101" s="43" t="s">
        <v>1863</v>
      </c>
      <c r="U101" s="43" t="s">
        <v>1386</v>
      </c>
      <c r="V101" s="43" t="s">
        <v>1724</v>
      </c>
      <c r="W101" s="43" t="s">
        <v>1386</v>
      </c>
      <c r="X101" s="43" t="s">
        <v>1386</v>
      </c>
      <c r="Z101" s="322"/>
      <c r="AA101" s="322"/>
      <c r="AB101" s="21" t="s">
        <v>451</v>
      </c>
      <c r="AC101" s="21">
        <v>7.1</v>
      </c>
      <c r="AD101" s="21">
        <v>2.9</v>
      </c>
      <c r="AF101" s="21" t="s">
        <v>1317</v>
      </c>
      <c r="AG101" s="21" t="s">
        <v>231</v>
      </c>
      <c r="AH101" s="138" t="s">
        <v>1585</v>
      </c>
      <c r="AI101" s="21" t="s">
        <v>230</v>
      </c>
      <c r="AJ101" s="141" t="s">
        <v>1621</v>
      </c>
      <c r="AN101" s="21" t="s">
        <v>232</v>
      </c>
      <c r="AO101" s="21" t="s">
        <v>232</v>
      </c>
      <c r="AP101" s="21" t="s">
        <v>178</v>
      </c>
      <c r="AT101" s="21" t="s">
        <v>120</v>
      </c>
      <c r="AU101" s="21">
        <v>4</v>
      </c>
      <c r="BA101" s="54"/>
      <c r="BM101" s="396"/>
      <c r="BN101" s="396"/>
      <c r="BR101" s="396"/>
      <c r="BS101" s="396"/>
      <c r="BW101" s="21">
        <v>17.41</v>
      </c>
      <c r="BX101" s="21">
        <v>15.03</v>
      </c>
      <c r="CA101" s="21" t="s">
        <v>346</v>
      </c>
      <c r="FI101" s="21">
        <v>1130</v>
      </c>
      <c r="FJ101" s="21">
        <v>230</v>
      </c>
      <c r="GM101" s="12"/>
      <c r="GQ101" s="12"/>
    </row>
    <row r="102" spans="1:199" s="21" customFormat="1" x14ac:dyDescent="0.25">
      <c r="A102" s="21">
        <v>10</v>
      </c>
      <c r="B102" s="201" t="s">
        <v>222</v>
      </c>
      <c r="C102" s="21" t="s">
        <v>223</v>
      </c>
      <c r="D102" s="21">
        <v>2015</v>
      </c>
      <c r="E102" s="21">
        <v>2011</v>
      </c>
      <c r="F102" s="21" t="s">
        <v>224</v>
      </c>
      <c r="G102" s="21" t="s">
        <v>226</v>
      </c>
      <c r="H102" s="21" t="s">
        <v>2831</v>
      </c>
      <c r="I102" s="21">
        <v>43.314</v>
      </c>
      <c r="J102" s="21">
        <v>-89.335999999999999</v>
      </c>
      <c r="K102" s="21">
        <v>326.5</v>
      </c>
      <c r="Q102" s="43">
        <v>2</v>
      </c>
      <c r="R102" s="43" t="s">
        <v>1856</v>
      </c>
      <c r="S102" s="43"/>
      <c r="T102" s="43" t="s">
        <v>1864</v>
      </c>
      <c r="U102" s="43" t="s">
        <v>1386</v>
      </c>
      <c r="V102" s="43" t="s">
        <v>1724</v>
      </c>
      <c r="W102" s="43" t="s">
        <v>1386</v>
      </c>
      <c r="X102" s="43" t="s">
        <v>1386</v>
      </c>
      <c r="Z102" s="322"/>
      <c r="AA102" s="322"/>
      <c r="AB102" s="21" t="s">
        <v>451</v>
      </c>
      <c r="AC102" s="21">
        <v>7.3</v>
      </c>
      <c r="AD102" s="21">
        <v>4</v>
      </c>
      <c r="AF102" s="21" t="s">
        <v>1317</v>
      </c>
      <c r="AG102" s="21" t="s">
        <v>231</v>
      </c>
      <c r="AH102" s="138" t="s">
        <v>1585</v>
      </c>
      <c r="AI102" s="21" t="s">
        <v>230</v>
      </c>
      <c r="AJ102" s="141" t="s">
        <v>1621</v>
      </c>
      <c r="AN102" s="21" t="s">
        <v>232</v>
      </c>
      <c r="AO102" s="21" t="s">
        <v>232</v>
      </c>
      <c r="AP102" s="21" t="s">
        <v>178</v>
      </c>
      <c r="AT102" s="21" t="s">
        <v>120</v>
      </c>
      <c r="AU102" s="21">
        <v>4</v>
      </c>
      <c r="BA102" s="54"/>
      <c r="BM102" s="396"/>
      <c r="BN102" s="396"/>
      <c r="BR102" s="396"/>
      <c r="BS102" s="396"/>
      <c r="BW102" s="21">
        <v>27.1</v>
      </c>
      <c r="BX102" s="21">
        <v>18.3</v>
      </c>
      <c r="CA102" s="21" t="s">
        <v>346</v>
      </c>
      <c r="FI102" s="21">
        <v>610</v>
      </c>
      <c r="FJ102" s="21">
        <v>60</v>
      </c>
      <c r="GM102" s="12"/>
      <c r="GQ102" s="12"/>
    </row>
    <row r="103" spans="1:199" s="21" customFormat="1" x14ac:dyDescent="0.25">
      <c r="A103" s="21">
        <v>10</v>
      </c>
      <c r="B103" s="201" t="s">
        <v>222</v>
      </c>
      <c r="C103" s="21" t="s">
        <v>223</v>
      </c>
      <c r="D103" s="21">
        <v>2015</v>
      </c>
      <c r="E103" s="21">
        <v>2010</v>
      </c>
      <c r="F103" s="21" t="s">
        <v>224</v>
      </c>
      <c r="G103" s="21" t="s">
        <v>225</v>
      </c>
      <c r="H103" s="21" t="s">
        <v>2831</v>
      </c>
      <c r="I103" s="21">
        <v>43.064999999999998</v>
      </c>
      <c r="J103" s="21">
        <v>-89.534999999999997</v>
      </c>
      <c r="K103" s="21">
        <v>331.7</v>
      </c>
      <c r="Q103" s="43">
        <v>1</v>
      </c>
      <c r="R103" s="43" t="s">
        <v>1856</v>
      </c>
      <c r="S103" s="43"/>
      <c r="T103" s="43" t="s">
        <v>1862</v>
      </c>
      <c r="U103" s="43" t="s">
        <v>1386</v>
      </c>
      <c r="V103" s="43" t="s">
        <v>1724</v>
      </c>
      <c r="W103" s="43" t="s">
        <v>1386</v>
      </c>
      <c r="X103" s="43" t="s">
        <v>1386</v>
      </c>
      <c r="Z103" s="322"/>
      <c r="AA103" s="322"/>
      <c r="AB103" s="21" t="s">
        <v>451</v>
      </c>
      <c r="AC103" s="21">
        <v>7.1</v>
      </c>
      <c r="AD103" s="21">
        <v>2.9</v>
      </c>
      <c r="AF103" s="21" t="s">
        <v>1317</v>
      </c>
      <c r="AG103" s="21" t="s">
        <v>1526</v>
      </c>
      <c r="AH103" s="138" t="s">
        <v>1585</v>
      </c>
      <c r="AI103" s="21" t="s">
        <v>230</v>
      </c>
      <c r="AJ103" s="141" t="s">
        <v>1621</v>
      </c>
      <c r="AN103" s="21" t="s">
        <v>232</v>
      </c>
      <c r="AO103" s="21" t="s">
        <v>232</v>
      </c>
      <c r="AP103" s="21" t="s">
        <v>178</v>
      </c>
      <c r="AT103" s="21" t="s">
        <v>120</v>
      </c>
      <c r="AU103" s="21">
        <v>4</v>
      </c>
      <c r="BA103" s="54"/>
      <c r="BH103" s="21">
        <f t="shared" ref="BH103:BH109" si="7">(40+24.2)/2*1000</f>
        <v>32100</v>
      </c>
      <c r="BI103" s="21">
        <f>(42.1+29.8)/2*1000</f>
        <v>35950</v>
      </c>
      <c r="BL103" s="21" t="s">
        <v>236</v>
      </c>
      <c r="BM103" s="396"/>
      <c r="BN103" s="396"/>
      <c r="BR103" s="396"/>
      <c r="BS103" s="396"/>
      <c r="BW103" s="21">
        <v>11.22</v>
      </c>
      <c r="BX103" s="21">
        <v>9.34</v>
      </c>
      <c r="CA103" s="21" t="s">
        <v>346</v>
      </c>
      <c r="FI103" s="21">
        <v>2320</v>
      </c>
      <c r="FJ103" s="21">
        <v>2040</v>
      </c>
      <c r="GM103" s="12"/>
      <c r="GQ103" s="12"/>
    </row>
    <row r="104" spans="1:199" s="21" customFormat="1" x14ac:dyDescent="0.25">
      <c r="A104" s="21">
        <v>10</v>
      </c>
      <c r="B104" s="201" t="s">
        <v>222</v>
      </c>
      <c r="C104" s="21" t="s">
        <v>223</v>
      </c>
      <c r="D104" s="21">
        <v>2015</v>
      </c>
      <c r="E104" s="21">
        <v>2011</v>
      </c>
      <c r="F104" s="21" t="s">
        <v>224</v>
      </c>
      <c r="G104" s="21" t="s">
        <v>225</v>
      </c>
      <c r="H104" s="21" t="s">
        <v>2831</v>
      </c>
      <c r="I104" s="21">
        <v>43.064999999999998</v>
      </c>
      <c r="J104" s="21">
        <v>-89.534999999999997</v>
      </c>
      <c r="K104" s="21">
        <v>331.7</v>
      </c>
      <c r="Q104" s="43">
        <v>2</v>
      </c>
      <c r="R104" s="43" t="s">
        <v>1856</v>
      </c>
      <c r="S104" s="43"/>
      <c r="T104" s="43" t="s">
        <v>1863</v>
      </c>
      <c r="U104" s="43" t="s">
        <v>1386</v>
      </c>
      <c r="V104" s="43" t="s">
        <v>1724</v>
      </c>
      <c r="W104" s="43" t="s">
        <v>1386</v>
      </c>
      <c r="X104" s="43" t="s">
        <v>1386</v>
      </c>
      <c r="Z104" s="322"/>
      <c r="AA104" s="322"/>
      <c r="AB104" s="21" t="s">
        <v>451</v>
      </c>
      <c r="AC104" s="21">
        <v>7.1</v>
      </c>
      <c r="AD104" s="21">
        <v>2.9</v>
      </c>
      <c r="AF104" s="21" t="s">
        <v>1317</v>
      </c>
      <c r="AG104" s="21" t="s">
        <v>1526</v>
      </c>
      <c r="AH104" s="138" t="s">
        <v>1585</v>
      </c>
      <c r="AI104" s="21" t="s">
        <v>230</v>
      </c>
      <c r="AJ104" s="141" t="s">
        <v>1621</v>
      </c>
      <c r="AN104" s="21" t="s">
        <v>232</v>
      </c>
      <c r="AO104" s="21" t="s">
        <v>232</v>
      </c>
      <c r="AP104" s="21" t="s">
        <v>178</v>
      </c>
      <c r="AT104" s="21" t="s">
        <v>120</v>
      </c>
      <c r="AU104" s="21">
        <v>4</v>
      </c>
      <c r="BA104" s="54"/>
      <c r="BM104" s="396"/>
      <c r="BN104" s="396"/>
      <c r="BR104" s="396"/>
      <c r="BS104" s="396"/>
      <c r="BW104" s="21">
        <v>17.41</v>
      </c>
      <c r="BX104" s="21">
        <v>15.54</v>
      </c>
      <c r="CA104" s="21" t="s">
        <v>346</v>
      </c>
      <c r="FI104" s="21">
        <v>1130</v>
      </c>
      <c r="FJ104" s="21">
        <v>270</v>
      </c>
      <c r="GM104" s="12"/>
      <c r="GQ104" s="12"/>
    </row>
    <row r="105" spans="1:199" s="21" customFormat="1" x14ac:dyDescent="0.25">
      <c r="A105" s="21">
        <v>10</v>
      </c>
      <c r="B105" s="201" t="s">
        <v>222</v>
      </c>
      <c r="C105" s="21" t="s">
        <v>223</v>
      </c>
      <c r="D105" s="21">
        <v>2015</v>
      </c>
      <c r="E105" s="21">
        <v>2011</v>
      </c>
      <c r="F105" s="21" t="s">
        <v>224</v>
      </c>
      <c r="G105" s="21" t="s">
        <v>226</v>
      </c>
      <c r="H105" s="21" t="s">
        <v>2831</v>
      </c>
      <c r="I105" s="21">
        <v>43.314</v>
      </c>
      <c r="J105" s="21">
        <v>-89.335999999999999</v>
      </c>
      <c r="K105" s="21">
        <v>326.5</v>
      </c>
      <c r="Q105" s="43">
        <v>2</v>
      </c>
      <c r="R105" s="43" t="s">
        <v>1856</v>
      </c>
      <c r="S105" s="43"/>
      <c r="T105" s="43" t="s">
        <v>1864</v>
      </c>
      <c r="U105" s="43" t="s">
        <v>1386</v>
      </c>
      <c r="V105" s="43" t="s">
        <v>1724</v>
      </c>
      <c r="W105" s="43" t="s">
        <v>1386</v>
      </c>
      <c r="X105" s="43" t="s">
        <v>1386</v>
      </c>
      <c r="Z105" s="322"/>
      <c r="AA105" s="322"/>
      <c r="AB105" s="21" t="s">
        <v>451</v>
      </c>
      <c r="AC105" s="21">
        <v>7.3</v>
      </c>
      <c r="AD105" s="21">
        <v>4</v>
      </c>
      <c r="AF105" s="21" t="s">
        <v>1317</v>
      </c>
      <c r="AG105" s="21" t="s">
        <v>1526</v>
      </c>
      <c r="AH105" s="138" t="s">
        <v>1585</v>
      </c>
      <c r="AI105" s="21" t="s">
        <v>230</v>
      </c>
      <c r="AJ105" s="141" t="s">
        <v>1621</v>
      </c>
      <c r="AN105" s="21" t="s">
        <v>232</v>
      </c>
      <c r="AO105" s="21" t="s">
        <v>232</v>
      </c>
      <c r="AP105" s="21" t="s">
        <v>178</v>
      </c>
      <c r="AT105" s="21" t="s">
        <v>120</v>
      </c>
      <c r="AU105" s="21">
        <v>4</v>
      </c>
      <c r="BA105" s="54"/>
      <c r="BM105" s="396"/>
      <c r="BN105" s="396"/>
      <c r="BR105" s="396"/>
      <c r="BS105" s="396"/>
      <c r="BW105" s="21">
        <v>27.1</v>
      </c>
      <c r="BX105" s="21">
        <v>19.45</v>
      </c>
      <c r="CA105" s="21" t="s">
        <v>346</v>
      </c>
      <c r="FI105" s="21">
        <v>610</v>
      </c>
      <c r="FJ105" s="21">
        <v>330</v>
      </c>
      <c r="GM105" s="12"/>
      <c r="GQ105" s="12"/>
    </row>
    <row r="106" spans="1:199" s="21" customFormat="1" x14ac:dyDescent="0.25">
      <c r="A106" s="21">
        <v>10</v>
      </c>
      <c r="B106" s="201" t="s">
        <v>222</v>
      </c>
      <c r="C106" s="21" t="s">
        <v>223</v>
      </c>
      <c r="D106" s="21">
        <v>2015</v>
      </c>
      <c r="E106" s="21">
        <v>2010</v>
      </c>
      <c r="F106" s="21" t="s">
        <v>224</v>
      </c>
      <c r="G106" s="21" t="s">
        <v>225</v>
      </c>
      <c r="H106" s="21" t="s">
        <v>2831</v>
      </c>
      <c r="I106" s="21">
        <v>43.064999999999998</v>
      </c>
      <c r="J106" s="21">
        <v>-89.534999999999997</v>
      </c>
      <c r="K106" s="21">
        <v>331.7</v>
      </c>
      <c r="Q106" s="43">
        <v>1</v>
      </c>
      <c r="R106" s="43" t="s">
        <v>1856</v>
      </c>
      <c r="S106" s="43"/>
      <c r="T106" s="43" t="s">
        <v>1862</v>
      </c>
      <c r="U106" s="43" t="s">
        <v>1386</v>
      </c>
      <c r="V106" s="43" t="s">
        <v>1724</v>
      </c>
      <c r="W106" s="43" t="s">
        <v>1386</v>
      </c>
      <c r="X106" s="43" t="s">
        <v>1386</v>
      </c>
      <c r="Z106" s="322"/>
      <c r="AA106" s="322"/>
      <c r="AB106" s="21" t="s">
        <v>451</v>
      </c>
      <c r="AC106" s="21">
        <v>7.1</v>
      </c>
      <c r="AD106" s="21">
        <v>2.9</v>
      </c>
      <c r="AF106" s="21" t="s">
        <v>1317</v>
      </c>
      <c r="AG106" s="21" t="s">
        <v>231</v>
      </c>
      <c r="AH106" s="138" t="s">
        <v>1585</v>
      </c>
      <c r="AI106" s="21" t="s">
        <v>230</v>
      </c>
      <c r="AJ106" s="141" t="s">
        <v>1621</v>
      </c>
      <c r="AN106" s="21" t="s">
        <v>232</v>
      </c>
      <c r="AO106" s="21" t="s">
        <v>219</v>
      </c>
      <c r="AP106" s="21" t="s">
        <v>503</v>
      </c>
      <c r="AT106" s="21" t="s">
        <v>120</v>
      </c>
      <c r="AU106" s="21">
        <v>4</v>
      </c>
      <c r="BA106" s="54"/>
      <c r="BH106" s="21">
        <f t="shared" si="7"/>
        <v>32100</v>
      </c>
      <c r="BI106" s="21">
        <f>(6.5+0.7+7.8+0)/4*1000</f>
        <v>3750</v>
      </c>
      <c r="BL106" s="21" t="s">
        <v>236</v>
      </c>
      <c r="BM106" s="396"/>
      <c r="BN106" s="396"/>
      <c r="BR106" s="396"/>
      <c r="BS106" s="396"/>
      <c r="BW106" s="21">
        <v>11.22</v>
      </c>
      <c r="BX106" s="21">
        <v>4.84</v>
      </c>
      <c r="CA106" s="21" t="s">
        <v>346</v>
      </c>
      <c r="GM106" s="12"/>
      <c r="GQ106" s="12"/>
    </row>
    <row r="107" spans="1:199" s="21" customFormat="1" x14ac:dyDescent="0.25">
      <c r="A107" s="21">
        <v>10</v>
      </c>
      <c r="B107" s="201" t="s">
        <v>222</v>
      </c>
      <c r="C107" s="21" t="s">
        <v>223</v>
      </c>
      <c r="D107" s="21">
        <v>2015</v>
      </c>
      <c r="E107" s="21">
        <v>2011</v>
      </c>
      <c r="F107" s="21" t="s">
        <v>224</v>
      </c>
      <c r="G107" s="21" t="s">
        <v>225</v>
      </c>
      <c r="H107" s="21" t="s">
        <v>2831</v>
      </c>
      <c r="I107" s="21">
        <v>43.064999999999998</v>
      </c>
      <c r="J107" s="21">
        <v>-89.534999999999997</v>
      </c>
      <c r="K107" s="21">
        <v>331.7</v>
      </c>
      <c r="Q107" s="43">
        <v>2</v>
      </c>
      <c r="R107" s="43" t="s">
        <v>1856</v>
      </c>
      <c r="S107" s="43"/>
      <c r="T107" s="43" t="s">
        <v>1863</v>
      </c>
      <c r="U107" s="43" t="s">
        <v>1386</v>
      </c>
      <c r="V107" s="43" t="s">
        <v>1724</v>
      </c>
      <c r="W107" s="43" t="s">
        <v>1386</v>
      </c>
      <c r="X107" s="43" t="s">
        <v>1386</v>
      </c>
      <c r="Z107" s="322"/>
      <c r="AA107" s="322"/>
      <c r="AB107" s="21" t="s">
        <v>451</v>
      </c>
      <c r="AC107" s="21">
        <v>7.1</v>
      </c>
      <c r="AD107" s="21">
        <v>2.9</v>
      </c>
      <c r="AF107" s="21" t="s">
        <v>1317</v>
      </c>
      <c r="AG107" s="21" t="s">
        <v>231</v>
      </c>
      <c r="AH107" s="138" t="s">
        <v>1585</v>
      </c>
      <c r="AI107" s="21" t="s">
        <v>230</v>
      </c>
      <c r="AJ107" s="141" t="s">
        <v>1621</v>
      </c>
      <c r="AN107" s="21" t="s">
        <v>232</v>
      </c>
      <c r="AO107" s="21" t="s">
        <v>219</v>
      </c>
      <c r="AP107" s="21" t="s">
        <v>503</v>
      </c>
      <c r="AT107" s="21" t="s">
        <v>120</v>
      </c>
      <c r="AU107" s="21">
        <v>4</v>
      </c>
      <c r="BA107" s="54"/>
      <c r="BM107" s="396"/>
      <c r="BN107" s="396"/>
      <c r="BR107" s="396"/>
      <c r="BS107" s="396"/>
      <c r="BW107" s="21">
        <v>17.41</v>
      </c>
      <c r="BX107" s="21">
        <v>11.04</v>
      </c>
      <c r="CA107" s="21" t="s">
        <v>346</v>
      </c>
      <c r="GM107" s="12"/>
      <c r="GQ107" s="12"/>
    </row>
    <row r="108" spans="1:199" s="21" customFormat="1" x14ac:dyDescent="0.25">
      <c r="A108" s="21">
        <v>10</v>
      </c>
      <c r="B108" s="201" t="s">
        <v>222</v>
      </c>
      <c r="C108" s="21" t="s">
        <v>223</v>
      </c>
      <c r="D108" s="21">
        <v>2015</v>
      </c>
      <c r="E108" s="21">
        <v>2011</v>
      </c>
      <c r="F108" s="21" t="s">
        <v>224</v>
      </c>
      <c r="G108" s="21" t="s">
        <v>226</v>
      </c>
      <c r="H108" s="21" t="s">
        <v>2831</v>
      </c>
      <c r="I108" s="21">
        <v>43.314</v>
      </c>
      <c r="J108" s="21">
        <v>-89.335999999999999</v>
      </c>
      <c r="K108" s="21">
        <v>326.5</v>
      </c>
      <c r="Q108" s="43">
        <v>2</v>
      </c>
      <c r="R108" s="43" t="s">
        <v>1856</v>
      </c>
      <c r="S108" s="43"/>
      <c r="T108" s="43" t="s">
        <v>1864</v>
      </c>
      <c r="U108" s="43" t="s">
        <v>1386</v>
      </c>
      <c r="V108" s="43" t="s">
        <v>1724</v>
      </c>
      <c r="W108" s="43" t="s">
        <v>1386</v>
      </c>
      <c r="X108" s="43" t="s">
        <v>1386</v>
      </c>
      <c r="Z108" s="322"/>
      <c r="AA108" s="322"/>
      <c r="AB108" s="21" t="s">
        <v>451</v>
      </c>
      <c r="AC108" s="21">
        <v>7.3</v>
      </c>
      <c r="AD108" s="21">
        <v>4</v>
      </c>
      <c r="AF108" s="21" t="s">
        <v>1317</v>
      </c>
      <c r="AG108" s="21" t="s">
        <v>231</v>
      </c>
      <c r="AH108" s="138" t="s">
        <v>1585</v>
      </c>
      <c r="AI108" s="21" t="s">
        <v>230</v>
      </c>
      <c r="AJ108" s="141" t="s">
        <v>1621</v>
      </c>
      <c r="AN108" s="21" t="s">
        <v>232</v>
      </c>
      <c r="AO108" s="21" t="s">
        <v>219</v>
      </c>
      <c r="AP108" s="21" t="s">
        <v>503</v>
      </c>
      <c r="AT108" s="21" t="s">
        <v>120</v>
      </c>
      <c r="AU108" s="21">
        <v>4</v>
      </c>
      <c r="BA108" s="54"/>
      <c r="BM108" s="396"/>
      <c r="BN108" s="396"/>
      <c r="BR108" s="396"/>
      <c r="BS108" s="396"/>
      <c r="BW108" s="21">
        <v>27.1</v>
      </c>
      <c r="BX108" s="21">
        <v>13.22</v>
      </c>
      <c r="CA108" s="21" t="s">
        <v>346</v>
      </c>
      <c r="GM108" s="12"/>
      <c r="GQ108" s="12"/>
    </row>
    <row r="109" spans="1:199" s="21" customFormat="1" x14ac:dyDescent="0.25">
      <c r="A109" s="21">
        <v>10</v>
      </c>
      <c r="B109" s="201" t="s">
        <v>222</v>
      </c>
      <c r="C109" s="21" t="s">
        <v>223</v>
      </c>
      <c r="D109" s="21">
        <v>2015</v>
      </c>
      <c r="E109" s="21">
        <v>2010</v>
      </c>
      <c r="F109" s="21" t="s">
        <v>224</v>
      </c>
      <c r="G109" s="21" t="s">
        <v>225</v>
      </c>
      <c r="H109" s="21" t="s">
        <v>2831</v>
      </c>
      <c r="I109" s="21">
        <v>43.064999999999998</v>
      </c>
      <c r="J109" s="21">
        <v>-89.534999999999997</v>
      </c>
      <c r="K109" s="21">
        <v>331.7</v>
      </c>
      <c r="Q109" s="43">
        <v>1</v>
      </c>
      <c r="R109" s="43" t="s">
        <v>1856</v>
      </c>
      <c r="S109" s="43"/>
      <c r="T109" s="43" t="s">
        <v>1862</v>
      </c>
      <c r="U109" s="43" t="s">
        <v>1386</v>
      </c>
      <c r="V109" s="43" t="s">
        <v>1724</v>
      </c>
      <c r="W109" s="43" t="s">
        <v>1386</v>
      </c>
      <c r="X109" s="43" t="s">
        <v>1386</v>
      </c>
      <c r="Z109" s="322"/>
      <c r="AA109" s="322"/>
      <c r="AB109" s="21" t="s">
        <v>451</v>
      </c>
      <c r="AC109" s="21">
        <v>7.1</v>
      </c>
      <c r="AD109" s="21">
        <v>2.9</v>
      </c>
      <c r="AF109" s="21" t="s">
        <v>1317</v>
      </c>
      <c r="AG109" s="21" t="s">
        <v>1526</v>
      </c>
      <c r="AH109" s="138" t="s">
        <v>1585</v>
      </c>
      <c r="AI109" s="21" t="s">
        <v>230</v>
      </c>
      <c r="AJ109" s="141" t="s">
        <v>1621</v>
      </c>
      <c r="AN109" s="21" t="s">
        <v>232</v>
      </c>
      <c r="AO109" s="21" t="s">
        <v>219</v>
      </c>
      <c r="AP109" s="21" t="s">
        <v>503</v>
      </c>
      <c r="AT109" s="21" t="s">
        <v>120</v>
      </c>
      <c r="AU109" s="21">
        <v>4</v>
      </c>
      <c r="BA109" s="54"/>
      <c r="BH109" s="21">
        <f t="shared" si="7"/>
        <v>32100</v>
      </c>
      <c r="BI109" s="21">
        <f>(2.1+0+13.4+8.1)/4*1000</f>
        <v>5900</v>
      </c>
      <c r="BL109" s="21" t="s">
        <v>236</v>
      </c>
      <c r="BM109" s="396"/>
      <c r="BN109" s="396"/>
      <c r="BR109" s="396"/>
      <c r="BS109" s="396"/>
      <c r="BW109" s="21">
        <v>11.22</v>
      </c>
      <c r="BX109" s="21">
        <v>5.04</v>
      </c>
      <c r="CA109" s="21" t="s">
        <v>346</v>
      </c>
      <c r="GM109" s="12"/>
      <c r="GQ109" s="12"/>
    </row>
    <row r="110" spans="1:199" s="21" customFormat="1" x14ac:dyDescent="0.25">
      <c r="A110" s="21">
        <v>10</v>
      </c>
      <c r="B110" s="201" t="s">
        <v>222</v>
      </c>
      <c r="C110" s="21" t="s">
        <v>223</v>
      </c>
      <c r="D110" s="21">
        <v>2015</v>
      </c>
      <c r="E110" s="21">
        <v>2011</v>
      </c>
      <c r="F110" s="21" t="s">
        <v>224</v>
      </c>
      <c r="G110" s="21" t="s">
        <v>225</v>
      </c>
      <c r="H110" s="21" t="s">
        <v>2831</v>
      </c>
      <c r="I110" s="21">
        <v>43.064999999999998</v>
      </c>
      <c r="J110" s="21">
        <v>-89.534999999999997</v>
      </c>
      <c r="K110" s="21">
        <v>331.7</v>
      </c>
      <c r="Q110" s="43">
        <v>2</v>
      </c>
      <c r="R110" s="43" t="s">
        <v>1856</v>
      </c>
      <c r="S110" s="43"/>
      <c r="T110" s="43" t="s">
        <v>1863</v>
      </c>
      <c r="U110" s="43" t="s">
        <v>1386</v>
      </c>
      <c r="V110" s="43" t="s">
        <v>1724</v>
      </c>
      <c r="W110" s="43" t="s">
        <v>1386</v>
      </c>
      <c r="X110" s="43" t="s">
        <v>1386</v>
      </c>
      <c r="Z110" s="322"/>
      <c r="AA110" s="322"/>
      <c r="AB110" s="21" t="s">
        <v>451</v>
      </c>
      <c r="AC110" s="21">
        <v>7.1</v>
      </c>
      <c r="AD110" s="21">
        <v>2.9</v>
      </c>
      <c r="AF110" s="21" t="s">
        <v>1317</v>
      </c>
      <c r="AG110" s="21" t="s">
        <v>1526</v>
      </c>
      <c r="AH110" s="138" t="s">
        <v>1585</v>
      </c>
      <c r="AI110" s="21" t="s">
        <v>230</v>
      </c>
      <c r="AJ110" s="141" t="s">
        <v>1621</v>
      </c>
      <c r="AN110" s="21" t="s">
        <v>232</v>
      </c>
      <c r="AO110" s="21" t="s">
        <v>219</v>
      </c>
      <c r="AP110" s="21" t="s">
        <v>503</v>
      </c>
      <c r="AT110" s="21" t="s">
        <v>120</v>
      </c>
      <c r="AU110" s="21">
        <v>4</v>
      </c>
      <c r="BA110" s="54"/>
      <c r="BM110" s="396"/>
      <c r="BN110" s="396"/>
      <c r="BR110" s="396"/>
      <c r="BS110" s="396"/>
      <c r="BW110" s="21">
        <v>17.41</v>
      </c>
      <c r="BX110" s="21">
        <v>11.24</v>
      </c>
      <c r="CA110" s="21" t="s">
        <v>346</v>
      </c>
      <c r="GM110" s="12"/>
      <c r="GQ110" s="12"/>
    </row>
    <row r="111" spans="1:199" s="21" customFormat="1" x14ac:dyDescent="0.25">
      <c r="A111" s="21">
        <v>10</v>
      </c>
      <c r="B111" s="201" t="s">
        <v>222</v>
      </c>
      <c r="C111" s="21" t="s">
        <v>223</v>
      </c>
      <c r="D111" s="21">
        <v>2015</v>
      </c>
      <c r="E111" s="21">
        <v>2011</v>
      </c>
      <c r="F111" s="21" t="s">
        <v>224</v>
      </c>
      <c r="G111" s="21" t="s">
        <v>226</v>
      </c>
      <c r="H111" s="21" t="s">
        <v>2831</v>
      </c>
      <c r="I111" s="21">
        <v>43.314</v>
      </c>
      <c r="J111" s="21">
        <v>-89.335999999999999</v>
      </c>
      <c r="K111" s="21">
        <v>326.5</v>
      </c>
      <c r="Q111" s="43">
        <v>2</v>
      </c>
      <c r="R111" s="43" t="s">
        <v>1856</v>
      </c>
      <c r="S111" s="43"/>
      <c r="T111" s="43" t="s">
        <v>1864</v>
      </c>
      <c r="U111" s="43" t="s">
        <v>1386</v>
      </c>
      <c r="V111" s="43" t="s">
        <v>1724</v>
      </c>
      <c r="W111" s="43" t="s">
        <v>1386</v>
      </c>
      <c r="X111" s="43" t="s">
        <v>1386</v>
      </c>
      <c r="Z111" s="322"/>
      <c r="AA111" s="322"/>
      <c r="AB111" s="21" t="s">
        <v>451</v>
      </c>
      <c r="AC111" s="21">
        <v>7.3</v>
      </c>
      <c r="AD111" s="21">
        <v>4</v>
      </c>
      <c r="AF111" s="21" t="s">
        <v>1317</v>
      </c>
      <c r="AG111" s="21" t="s">
        <v>1526</v>
      </c>
      <c r="AH111" s="138" t="s">
        <v>1585</v>
      </c>
      <c r="AI111" s="21" t="s">
        <v>230</v>
      </c>
      <c r="AJ111" s="141" t="s">
        <v>1621</v>
      </c>
      <c r="AN111" s="21" t="s">
        <v>232</v>
      </c>
      <c r="AO111" s="21" t="s">
        <v>219</v>
      </c>
      <c r="AP111" s="21" t="s">
        <v>503</v>
      </c>
      <c r="AT111" s="21" t="s">
        <v>120</v>
      </c>
      <c r="AU111" s="21">
        <v>4</v>
      </c>
      <c r="BA111" s="54"/>
      <c r="BM111" s="396"/>
      <c r="BN111" s="396"/>
      <c r="BR111" s="396"/>
      <c r="BS111" s="396"/>
      <c r="BW111" s="21">
        <v>27.1</v>
      </c>
      <c r="BX111" s="21">
        <v>11.8</v>
      </c>
      <c r="CA111" s="21" t="s">
        <v>346</v>
      </c>
      <c r="GM111" s="12"/>
      <c r="GQ111" s="12"/>
    </row>
    <row r="112" spans="1:199" s="24" customFormat="1" x14ac:dyDescent="0.25">
      <c r="A112" s="24">
        <v>11</v>
      </c>
      <c r="B112" s="24" t="s">
        <v>237</v>
      </c>
      <c r="C112" s="24" t="s">
        <v>238</v>
      </c>
      <c r="D112" s="24">
        <v>2010</v>
      </c>
      <c r="E112" s="24">
        <v>2005</v>
      </c>
      <c r="F112" s="24" t="s">
        <v>128</v>
      </c>
      <c r="G112" s="24" t="s">
        <v>240</v>
      </c>
      <c r="H112" s="24" t="s">
        <v>2831</v>
      </c>
      <c r="I112" s="24">
        <v>39.03</v>
      </c>
      <c r="J112" s="24">
        <v>-76.91</v>
      </c>
      <c r="K112" s="24">
        <v>34.6</v>
      </c>
      <c r="Q112" s="42">
        <v>1</v>
      </c>
      <c r="R112" s="42" t="s">
        <v>1735</v>
      </c>
      <c r="S112" s="42"/>
      <c r="T112" s="42" t="s">
        <v>1865</v>
      </c>
      <c r="U112" s="42" t="s">
        <v>1386</v>
      </c>
      <c r="V112" s="42" t="s">
        <v>1724</v>
      </c>
      <c r="W112" s="42" t="s">
        <v>1386</v>
      </c>
      <c r="X112" s="42" t="s">
        <v>1386</v>
      </c>
      <c r="Z112" s="321">
        <f t="shared" ref="Z112:Z129" si="8">(63+83)/2</f>
        <v>73</v>
      </c>
      <c r="AA112" s="321">
        <f t="shared" ref="AA112:AA129" si="9">(7+27)/2</f>
        <v>17</v>
      </c>
      <c r="AB112" s="24" t="s">
        <v>241</v>
      </c>
      <c r="AF112" s="24" t="s">
        <v>1318</v>
      </c>
      <c r="AG112" s="24" t="s">
        <v>132</v>
      </c>
      <c r="AH112" s="138" t="s">
        <v>132</v>
      </c>
      <c r="AI112" s="24" t="s">
        <v>243</v>
      </c>
      <c r="AJ112" s="140" t="s">
        <v>1621</v>
      </c>
      <c r="AQ112" s="24" t="s">
        <v>242</v>
      </c>
      <c r="AR112" s="24" t="s">
        <v>242</v>
      </c>
      <c r="AS112" s="24" t="s">
        <v>178</v>
      </c>
      <c r="AT112" s="24" t="s">
        <v>239</v>
      </c>
      <c r="AU112" s="24">
        <v>4</v>
      </c>
      <c r="AW112" s="24" t="s">
        <v>142</v>
      </c>
      <c r="BA112" s="53"/>
      <c r="BH112" s="24">
        <v>56000</v>
      </c>
      <c r="BI112" s="24">
        <v>59600</v>
      </c>
      <c r="BM112" s="395"/>
      <c r="BN112" s="395"/>
      <c r="BR112" s="395"/>
      <c r="BS112" s="395"/>
      <c r="GH112" s="24">
        <f t="shared" ref="GH112:GH117" si="10">15.07*22.7273</f>
        <v>342.50041099999999</v>
      </c>
      <c r="GI112" s="24">
        <f>19.33*22.7273</f>
        <v>439.31870899999996</v>
      </c>
      <c r="GL112" s="24" t="s">
        <v>1709</v>
      </c>
    </row>
    <row r="113" spans="1:248" s="24" customFormat="1" x14ac:dyDescent="0.25">
      <c r="A113" s="24">
        <v>11</v>
      </c>
      <c r="B113" s="24" t="s">
        <v>237</v>
      </c>
      <c r="C113" s="24" t="s">
        <v>238</v>
      </c>
      <c r="D113" s="24">
        <v>2010</v>
      </c>
      <c r="E113" s="24">
        <v>2005</v>
      </c>
      <c r="F113" s="24" t="s">
        <v>128</v>
      </c>
      <c r="G113" s="24" t="s">
        <v>240</v>
      </c>
      <c r="H113" s="24" t="s">
        <v>2831</v>
      </c>
      <c r="I113" s="24">
        <v>39.03</v>
      </c>
      <c r="J113" s="24">
        <v>-76.91</v>
      </c>
      <c r="K113" s="24">
        <v>34.6</v>
      </c>
      <c r="Q113" s="42">
        <v>1</v>
      </c>
      <c r="R113" s="42" t="s">
        <v>1735</v>
      </c>
      <c r="S113" s="42"/>
      <c r="T113" s="42" t="s">
        <v>1865</v>
      </c>
      <c r="U113" s="42" t="s">
        <v>1386</v>
      </c>
      <c r="V113" s="42" t="s">
        <v>1724</v>
      </c>
      <c r="W113" s="42" t="s">
        <v>1386</v>
      </c>
      <c r="X113" s="42" t="s">
        <v>1386</v>
      </c>
      <c r="Z113" s="321">
        <f t="shared" si="8"/>
        <v>73</v>
      </c>
      <c r="AA113" s="321">
        <f t="shared" si="9"/>
        <v>17</v>
      </c>
      <c r="AB113" s="24" t="s">
        <v>241</v>
      </c>
      <c r="AF113" s="24" t="s">
        <v>1318</v>
      </c>
      <c r="AG113" s="24" t="s">
        <v>1527</v>
      </c>
      <c r="AH113" s="138" t="s">
        <v>132</v>
      </c>
      <c r="AI113" s="24" t="s">
        <v>243</v>
      </c>
      <c r="AJ113" s="140" t="s">
        <v>1621</v>
      </c>
      <c r="AQ113" s="24" t="s">
        <v>242</v>
      </c>
      <c r="AR113" s="24" t="s">
        <v>242</v>
      </c>
      <c r="AS113" s="24" t="s">
        <v>178</v>
      </c>
      <c r="AT113" s="24" t="s">
        <v>239</v>
      </c>
      <c r="AU113" s="24">
        <v>4</v>
      </c>
      <c r="AW113" s="24" t="s">
        <v>142</v>
      </c>
      <c r="BA113" s="53"/>
      <c r="BH113" s="24">
        <v>56000</v>
      </c>
      <c r="BI113" s="24">
        <v>55100</v>
      </c>
      <c r="BM113" s="395"/>
      <c r="BN113" s="395"/>
      <c r="BR113" s="395"/>
      <c r="BS113" s="395"/>
      <c r="GH113" s="24">
        <f t="shared" si="10"/>
        <v>342.50041099999999</v>
      </c>
      <c r="GI113" s="24">
        <f>18.39*22.7273</f>
        <v>417.95504699999998</v>
      </c>
      <c r="GL113" s="24" t="s">
        <v>1709</v>
      </c>
    </row>
    <row r="114" spans="1:248" s="24" customFormat="1" x14ac:dyDescent="0.25">
      <c r="A114" s="24">
        <v>11</v>
      </c>
      <c r="B114" s="24" t="s">
        <v>237</v>
      </c>
      <c r="C114" s="24" t="s">
        <v>238</v>
      </c>
      <c r="D114" s="24">
        <v>2010</v>
      </c>
      <c r="E114" s="24">
        <v>2005</v>
      </c>
      <c r="F114" s="24" t="s">
        <v>128</v>
      </c>
      <c r="G114" s="24" t="s">
        <v>240</v>
      </c>
      <c r="H114" s="24" t="s">
        <v>2831</v>
      </c>
      <c r="I114" s="24">
        <v>39.03</v>
      </c>
      <c r="J114" s="24">
        <v>-76.91</v>
      </c>
      <c r="K114" s="24">
        <v>34.6</v>
      </c>
      <c r="Q114" s="42">
        <v>1</v>
      </c>
      <c r="R114" s="42" t="s">
        <v>1735</v>
      </c>
      <c r="S114" s="42"/>
      <c r="T114" s="42" t="s">
        <v>1865</v>
      </c>
      <c r="U114" s="42" t="s">
        <v>1386</v>
      </c>
      <c r="V114" s="42" t="s">
        <v>1724</v>
      </c>
      <c r="W114" s="42" t="s">
        <v>1386</v>
      </c>
      <c r="X114" s="42" t="s">
        <v>1386</v>
      </c>
      <c r="Z114" s="321">
        <f t="shared" si="8"/>
        <v>73</v>
      </c>
      <c r="AA114" s="321">
        <f t="shared" si="9"/>
        <v>17</v>
      </c>
      <c r="AB114" s="24" t="s">
        <v>241</v>
      </c>
      <c r="AF114" s="24" t="s">
        <v>1318</v>
      </c>
      <c r="AG114" s="24" t="s">
        <v>1528</v>
      </c>
      <c r="AH114" s="138" t="s">
        <v>132</v>
      </c>
      <c r="AI114" s="24" t="s">
        <v>243</v>
      </c>
      <c r="AJ114" s="140" t="s">
        <v>1621</v>
      </c>
      <c r="AQ114" s="24" t="s">
        <v>242</v>
      </c>
      <c r="AR114" s="24" t="s">
        <v>242</v>
      </c>
      <c r="AS114" s="24" t="s">
        <v>178</v>
      </c>
      <c r="AT114" s="24" t="s">
        <v>239</v>
      </c>
      <c r="AU114" s="24">
        <v>4</v>
      </c>
      <c r="AW114" s="24" t="s">
        <v>142</v>
      </c>
      <c r="BA114" s="53"/>
      <c r="BH114" s="24">
        <v>56000</v>
      </c>
      <c r="BI114" s="24">
        <v>57900</v>
      </c>
      <c r="BM114" s="395"/>
      <c r="BN114" s="395"/>
      <c r="BR114" s="395"/>
      <c r="BS114" s="395"/>
      <c r="GH114" s="24">
        <f t="shared" si="10"/>
        <v>342.50041099999999</v>
      </c>
      <c r="GI114" s="24">
        <f>16.72*22.7273</f>
        <v>380.00045599999999</v>
      </c>
      <c r="GL114" s="24" t="s">
        <v>1709</v>
      </c>
    </row>
    <row r="115" spans="1:248" s="24" customFormat="1" x14ac:dyDescent="0.25">
      <c r="A115" s="24">
        <v>11</v>
      </c>
      <c r="B115" s="24" t="s">
        <v>237</v>
      </c>
      <c r="C115" s="24" t="s">
        <v>238</v>
      </c>
      <c r="D115" s="24">
        <v>2010</v>
      </c>
      <c r="E115" s="24">
        <v>2005</v>
      </c>
      <c r="F115" s="24" t="s">
        <v>128</v>
      </c>
      <c r="G115" s="24" t="s">
        <v>240</v>
      </c>
      <c r="H115" s="24" t="s">
        <v>2831</v>
      </c>
      <c r="I115" s="24">
        <v>39.03</v>
      </c>
      <c r="J115" s="24">
        <v>-76.91</v>
      </c>
      <c r="K115" s="24">
        <v>34.6</v>
      </c>
      <c r="Q115" s="42">
        <v>1</v>
      </c>
      <c r="R115" s="42" t="s">
        <v>1735</v>
      </c>
      <c r="S115" s="42"/>
      <c r="T115" s="42" t="s">
        <v>1865</v>
      </c>
      <c r="U115" s="42" t="s">
        <v>1386</v>
      </c>
      <c r="V115" s="42" t="s">
        <v>1724</v>
      </c>
      <c r="W115" s="42" t="s">
        <v>1386</v>
      </c>
      <c r="X115" s="42" t="s">
        <v>1386</v>
      </c>
      <c r="Z115" s="321">
        <f t="shared" si="8"/>
        <v>73</v>
      </c>
      <c r="AA115" s="321">
        <f t="shared" si="9"/>
        <v>17</v>
      </c>
      <c r="AB115" s="24" t="s">
        <v>241</v>
      </c>
      <c r="AF115" s="24" t="s">
        <v>1318</v>
      </c>
      <c r="AG115" s="24" t="s">
        <v>244</v>
      </c>
      <c r="AH115" s="138" t="s">
        <v>578</v>
      </c>
      <c r="AI115" s="24" t="s">
        <v>243</v>
      </c>
      <c r="AJ115" s="140" t="s">
        <v>1621</v>
      </c>
      <c r="AQ115" s="24" t="s">
        <v>242</v>
      </c>
      <c r="AR115" s="24" t="s">
        <v>242</v>
      </c>
      <c r="AS115" s="24" t="s">
        <v>178</v>
      </c>
      <c r="AT115" s="24" t="s">
        <v>239</v>
      </c>
      <c r="AU115" s="24">
        <v>4</v>
      </c>
      <c r="AW115" s="24" t="s">
        <v>142</v>
      </c>
      <c r="BA115" s="53"/>
      <c r="BH115" s="24">
        <v>56000</v>
      </c>
      <c r="BI115" s="24">
        <v>56000</v>
      </c>
      <c r="BM115" s="395"/>
      <c r="BN115" s="395"/>
      <c r="BR115" s="395"/>
      <c r="BS115" s="395"/>
      <c r="GH115" s="24">
        <f t="shared" si="10"/>
        <v>342.50041099999999</v>
      </c>
      <c r="GI115" s="24">
        <f>20.38*22.7273</f>
        <v>463.18237399999998</v>
      </c>
      <c r="GL115" s="24" t="s">
        <v>1709</v>
      </c>
    </row>
    <row r="116" spans="1:248" s="24" customFormat="1" x14ac:dyDescent="0.25">
      <c r="A116" s="24">
        <v>11</v>
      </c>
      <c r="B116" s="24" t="s">
        <v>237</v>
      </c>
      <c r="C116" s="24" t="s">
        <v>238</v>
      </c>
      <c r="D116" s="24">
        <v>2010</v>
      </c>
      <c r="E116" s="24">
        <v>2005</v>
      </c>
      <c r="F116" s="24" t="s">
        <v>128</v>
      </c>
      <c r="G116" s="24" t="s">
        <v>240</v>
      </c>
      <c r="H116" s="24" t="s">
        <v>2831</v>
      </c>
      <c r="I116" s="24">
        <v>39.03</v>
      </c>
      <c r="J116" s="24">
        <v>-76.91</v>
      </c>
      <c r="K116" s="24">
        <v>34.6</v>
      </c>
      <c r="Q116" s="42">
        <v>1</v>
      </c>
      <c r="R116" s="42" t="s">
        <v>1735</v>
      </c>
      <c r="S116" s="42"/>
      <c r="T116" s="42" t="s">
        <v>1865</v>
      </c>
      <c r="U116" s="42" t="s">
        <v>1386</v>
      </c>
      <c r="V116" s="42" t="s">
        <v>1724</v>
      </c>
      <c r="W116" s="42" t="s">
        <v>1386</v>
      </c>
      <c r="X116" s="42" t="s">
        <v>1386</v>
      </c>
      <c r="Z116" s="321">
        <f t="shared" si="8"/>
        <v>73</v>
      </c>
      <c r="AA116" s="321">
        <f t="shared" si="9"/>
        <v>17</v>
      </c>
      <c r="AB116" s="24" t="s">
        <v>241</v>
      </c>
      <c r="AF116" s="24" t="s">
        <v>1318</v>
      </c>
      <c r="AG116" s="24" t="s">
        <v>1529</v>
      </c>
      <c r="AH116" s="138" t="s">
        <v>578</v>
      </c>
      <c r="AI116" s="24" t="s">
        <v>243</v>
      </c>
      <c r="AJ116" s="140" t="s">
        <v>1621</v>
      </c>
      <c r="AQ116" s="24" t="s">
        <v>242</v>
      </c>
      <c r="AR116" s="24" t="s">
        <v>242</v>
      </c>
      <c r="AS116" s="24" t="s">
        <v>178</v>
      </c>
      <c r="AT116" s="24" t="s">
        <v>239</v>
      </c>
      <c r="AU116" s="24">
        <v>4</v>
      </c>
      <c r="AW116" s="24" t="s">
        <v>142</v>
      </c>
      <c r="BA116" s="53"/>
      <c r="BH116" s="24">
        <v>56000</v>
      </c>
      <c r="BI116" s="24">
        <v>44400</v>
      </c>
      <c r="BM116" s="395"/>
      <c r="BN116" s="395"/>
      <c r="BR116" s="395"/>
      <c r="BS116" s="395"/>
      <c r="GH116" s="24">
        <f t="shared" si="10"/>
        <v>342.50041099999999</v>
      </c>
      <c r="GI116" s="24">
        <f>19.04*22.7273</f>
        <v>432.72779199999997</v>
      </c>
      <c r="GL116" s="24" t="s">
        <v>1709</v>
      </c>
    </row>
    <row r="117" spans="1:248" s="24" customFormat="1" x14ac:dyDescent="0.25">
      <c r="A117" s="24">
        <v>11</v>
      </c>
      <c r="B117" s="24" t="s">
        <v>237</v>
      </c>
      <c r="C117" s="24" t="s">
        <v>238</v>
      </c>
      <c r="D117" s="24">
        <v>2010</v>
      </c>
      <c r="E117" s="24">
        <v>2005</v>
      </c>
      <c r="F117" s="24" t="s">
        <v>128</v>
      </c>
      <c r="G117" s="24" t="s">
        <v>240</v>
      </c>
      <c r="H117" s="24" t="s">
        <v>2831</v>
      </c>
      <c r="I117" s="24">
        <v>39.03</v>
      </c>
      <c r="J117" s="24">
        <v>-76.91</v>
      </c>
      <c r="K117" s="24">
        <v>34.6</v>
      </c>
      <c r="Q117" s="42">
        <v>1</v>
      </c>
      <c r="R117" s="42" t="s">
        <v>1735</v>
      </c>
      <c r="S117" s="42"/>
      <c r="T117" s="42" t="s">
        <v>1865</v>
      </c>
      <c r="U117" s="42" t="s">
        <v>1386</v>
      </c>
      <c r="V117" s="42" t="s">
        <v>1724</v>
      </c>
      <c r="W117" s="42" t="s">
        <v>1386</v>
      </c>
      <c r="X117" s="42" t="s">
        <v>1386</v>
      </c>
      <c r="Z117" s="321">
        <f t="shared" si="8"/>
        <v>73</v>
      </c>
      <c r="AA117" s="321">
        <f t="shared" si="9"/>
        <v>17</v>
      </c>
      <c r="AB117" s="24" t="s">
        <v>241</v>
      </c>
      <c r="AF117" s="24" t="s">
        <v>1318</v>
      </c>
      <c r="AG117" s="24" t="s">
        <v>1530</v>
      </c>
      <c r="AH117" s="138" t="s">
        <v>578</v>
      </c>
      <c r="AI117" s="24" t="s">
        <v>243</v>
      </c>
      <c r="AJ117" s="140" t="s">
        <v>1621</v>
      </c>
      <c r="AQ117" s="24" t="s">
        <v>242</v>
      </c>
      <c r="AR117" s="24" t="s">
        <v>242</v>
      </c>
      <c r="AS117" s="24" t="s">
        <v>178</v>
      </c>
      <c r="AT117" s="24" t="s">
        <v>239</v>
      </c>
      <c r="AU117" s="24">
        <v>4</v>
      </c>
      <c r="AW117" s="24" t="s">
        <v>142</v>
      </c>
      <c r="BA117" s="53"/>
      <c r="BH117" s="24">
        <v>56000</v>
      </c>
      <c r="BI117" s="24">
        <v>62300</v>
      </c>
      <c r="BM117" s="395"/>
      <c r="BN117" s="395"/>
      <c r="BR117" s="395"/>
      <c r="BS117" s="395"/>
      <c r="GH117" s="24">
        <f t="shared" si="10"/>
        <v>342.50041099999999</v>
      </c>
      <c r="GI117" s="24">
        <f>17.39*22.7273</f>
        <v>395.22774700000002</v>
      </c>
      <c r="GL117" s="24" t="s">
        <v>1709</v>
      </c>
    </row>
    <row r="118" spans="1:248" s="20" customFormat="1" x14ac:dyDescent="0.25">
      <c r="A118" s="24">
        <v>11</v>
      </c>
      <c r="B118" s="24" t="s">
        <v>237</v>
      </c>
      <c r="C118" s="24" t="s">
        <v>238</v>
      </c>
      <c r="D118" s="24">
        <v>2010</v>
      </c>
      <c r="E118" s="24">
        <v>2006</v>
      </c>
      <c r="F118" s="24" t="s">
        <v>128</v>
      </c>
      <c r="G118" s="24" t="s">
        <v>240</v>
      </c>
      <c r="H118" s="24" t="s">
        <v>2831</v>
      </c>
      <c r="I118" s="24">
        <v>39.03</v>
      </c>
      <c r="J118" s="24">
        <v>-76.91</v>
      </c>
      <c r="K118" s="24">
        <v>34.6</v>
      </c>
      <c r="L118" s="24"/>
      <c r="M118" s="24"/>
      <c r="N118" s="24"/>
      <c r="O118" s="24"/>
      <c r="P118" s="24"/>
      <c r="Q118" s="42">
        <v>2</v>
      </c>
      <c r="R118" s="42" t="s">
        <v>1735</v>
      </c>
      <c r="S118" s="42"/>
      <c r="T118" s="42" t="s">
        <v>1865</v>
      </c>
      <c r="U118" s="42" t="s">
        <v>1386</v>
      </c>
      <c r="V118" s="42" t="s">
        <v>1724</v>
      </c>
      <c r="W118" s="42" t="s">
        <v>1386</v>
      </c>
      <c r="X118" s="42" t="s">
        <v>1386</v>
      </c>
      <c r="Y118" s="24"/>
      <c r="Z118" s="321">
        <f t="shared" si="8"/>
        <v>73</v>
      </c>
      <c r="AA118" s="321">
        <f t="shared" si="9"/>
        <v>17</v>
      </c>
      <c r="AB118" s="24" t="s">
        <v>241</v>
      </c>
      <c r="AC118" s="24"/>
      <c r="AD118" s="24"/>
      <c r="AE118" s="24"/>
      <c r="AF118" s="24" t="s">
        <v>1318</v>
      </c>
      <c r="AG118" s="24" t="s">
        <v>132</v>
      </c>
      <c r="AH118" s="138" t="s">
        <v>132</v>
      </c>
      <c r="AI118" s="24" t="s">
        <v>243</v>
      </c>
      <c r="AJ118" s="140" t="s">
        <v>1621</v>
      </c>
      <c r="AK118" s="24"/>
      <c r="AL118" s="24"/>
      <c r="AM118" s="24"/>
      <c r="AN118" s="24"/>
      <c r="AO118" s="24"/>
      <c r="AP118" s="24"/>
      <c r="AQ118" s="24" t="s">
        <v>242</v>
      </c>
      <c r="AR118" s="24" t="s">
        <v>242</v>
      </c>
      <c r="AS118" s="24" t="s">
        <v>178</v>
      </c>
      <c r="AT118" s="24" t="s">
        <v>239</v>
      </c>
      <c r="AU118" s="24">
        <v>4</v>
      </c>
      <c r="AV118" s="24"/>
      <c r="AW118" s="24" t="s">
        <v>142</v>
      </c>
      <c r="BA118" s="54"/>
      <c r="BH118" s="20">
        <v>83900</v>
      </c>
      <c r="BI118" s="20">
        <v>80700</v>
      </c>
      <c r="BM118" s="400"/>
      <c r="BN118" s="400"/>
      <c r="BR118" s="400"/>
      <c r="BS118" s="400"/>
      <c r="GM118" s="12"/>
      <c r="GQ118" s="12"/>
      <c r="IK118" s="24"/>
      <c r="IL118" s="24"/>
      <c r="IM118" s="24"/>
      <c r="IN118" s="24"/>
    </row>
    <row r="119" spans="1:248" s="20" customFormat="1" x14ac:dyDescent="0.25">
      <c r="A119" s="24">
        <v>11</v>
      </c>
      <c r="B119" s="24" t="s">
        <v>237</v>
      </c>
      <c r="C119" s="24" t="s">
        <v>238</v>
      </c>
      <c r="D119" s="24">
        <v>2010</v>
      </c>
      <c r="E119" s="24">
        <v>2006</v>
      </c>
      <c r="F119" s="24" t="s">
        <v>128</v>
      </c>
      <c r="G119" s="24" t="s">
        <v>240</v>
      </c>
      <c r="H119" s="24" t="s">
        <v>2831</v>
      </c>
      <c r="I119" s="24">
        <v>39.03</v>
      </c>
      <c r="J119" s="24">
        <v>-76.91</v>
      </c>
      <c r="K119" s="24">
        <v>34.6</v>
      </c>
      <c r="L119" s="24"/>
      <c r="M119" s="24"/>
      <c r="N119" s="24"/>
      <c r="O119" s="24"/>
      <c r="P119" s="24"/>
      <c r="Q119" s="42">
        <v>2</v>
      </c>
      <c r="R119" s="42" t="s">
        <v>1735</v>
      </c>
      <c r="S119" s="42"/>
      <c r="T119" s="42" t="s">
        <v>1865</v>
      </c>
      <c r="U119" s="42" t="s">
        <v>1386</v>
      </c>
      <c r="V119" s="42" t="s">
        <v>1724</v>
      </c>
      <c r="W119" s="42" t="s">
        <v>1386</v>
      </c>
      <c r="X119" s="42" t="s">
        <v>1386</v>
      </c>
      <c r="Y119" s="24"/>
      <c r="Z119" s="321">
        <f t="shared" si="8"/>
        <v>73</v>
      </c>
      <c r="AA119" s="321">
        <f t="shared" si="9"/>
        <v>17</v>
      </c>
      <c r="AB119" s="24" t="s">
        <v>241</v>
      </c>
      <c r="AC119" s="24"/>
      <c r="AD119" s="24"/>
      <c r="AE119" s="24"/>
      <c r="AF119" s="24" t="s">
        <v>1318</v>
      </c>
      <c r="AG119" s="24" t="s">
        <v>1527</v>
      </c>
      <c r="AH119" s="138" t="s">
        <v>132</v>
      </c>
      <c r="AI119" s="24" t="s">
        <v>243</v>
      </c>
      <c r="AJ119" s="140" t="s">
        <v>1621</v>
      </c>
      <c r="AK119" s="24"/>
      <c r="AL119" s="24"/>
      <c r="AM119" s="24"/>
      <c r="AN119" s="24"/>
      <c r="AO119" s="24"/>
      <c r="AP119" s="24"/>
      <c r="AQ119" s="24" t="s">
        <v>242</v>
      </c>
      <c r="AR119" s="24" t="s">
        <v>242</v>
      </c>
      <c r="AS119" s="24" t="s">
        <v>178</v>
      </c>
      <c r="AT119" s="24" t="s">
        <v>239</v>
      </c>
      <c r="AU119" s="24">
        <v>4</v>
      </c>
      <c r="AV119" s="24"/>
      <c r="AW119" s="24" t="s">
        <v>142</v>
      </c>
      <c r="BA119" s="54"/>
      <c r="BH119" s="20">
        <v>83900</v>
      </c>
      <c r="BI119" s="20">
        <v>70900</v>
      </c>
      <c r="BM119" s="400"/>
      <c r="BN119" s="400"/>
      <c r="BR119" s="400"/>
      <c r="BS119" s="400"/>
      <c r="GM119" s="12"/>
      <c r="GQ119" s="12"/>
      <c r="IK119" s="24"/>
      <c r="IL119" s="24"/>
      <c r="IM119" s="24"/>
      <c r="IN119" s="24"/>
    </row>
    <row r="120" spans="1:248" s="20" customFormat="1" x14ac:dyDescent="0.25">
      <c r="A120" s="24">
        <v>11</v>
      </c>
      <c r="B120" s="24" t="s">
        <v>237</v>
      </c>
      <c r="C120" s="24" t="s">
        <v>238</v>
      </c>
      <c r="D120" s="24">
        <v>2010</v>
      </c>
      <c r="E120" s="24">
        <v>2006</v>
      </c>
      <c r="F120" s="24" t="s">
        <v>128</v>
      </c>
      <c r="G120" s="24" t="s">
        <v>240</v>
      </c>
      <c r="H120" s="24" t="s">
        <v>2831</v>
      </c>
      <c r="I120" s="24">
        <v>39.03</v>
      </c>
      <c r="J120" s="24">
        <v>-76.91</v>
      </c>
      <c r="K120" s="24">
        <v>34.6</v>
      </c>
      <c r="L120" s="24"/>
      <c r="M120" s="24"/>
      <c r="N120" s="24"/>
      <c r="O120" s="24"/>
      <c r="P120" s="24"/>
      <c r="Q120" s="42">
        <v>2</v>
      </c>
      <c r="R120" s="42" t="s">
        <v>1735</v>
      </c>
      <c r="S120" s="42"/>
      <c r="T120" s="42" t="s">
        <v>1865</v>
      </c>
      <c r="U120" s="42" t="s">
        <v>1386</v>
      </c>
      <c r="V120" s="42" t="s">
        <v>1724</v>
      </c>
      <c r="W120" s="42" t="s">
        <v>1386</v>
      </c>
      <c r="X120" s="42" t="s">
        <v>1386</v>
      </c>
      <c r="Y120" s="24"/>
      <c r="Z120" s="321">
        <f t="shared" si="8"/>
        <v>73</v>
      </c>
      <c r="AA120" s="321">
        <f t="shared" si="9"/>
        <v>17</v>
      </c>
      <c r="AB120" s="24" t="s">
        <v>241</v>
      </c>
      <c r="AC120" s="24"/>
      <c r="AD120" s="24"/>
      <c r="AE120" s="24"/>
      <c r="AF120" s="24" t="s">
        <v>1318</v>
      </c>
      <c r="AG120" s="24" t="s">
        <v>1528</v>
      </c>
      <c r="AH120" s="138" t="s">
        <v>132</v>
      </c>
      <c r="AI120" s="24" t="s">
        <v>243</v>
      </c>
      <c r="AJ120" s="140" t="s">
        <v>1621</v>
      </c>
      <c r="AK120" s="24"/>
      <c r="AL120" s="24"/>
      <c r="AM120" s="24"/>
      <c r="AN120" s="24"/>
      <c r="AO120" s="24"/>
      <c r="AP120" s="24"/>
      <c r="AQ120" s="24" t="s">
        <v>242</v>
      </c>
      <c r="AR120" s="24" t="s">
        <v>242</v>
      </c>
      <c r="AS120" s="24" t="s">
        <v>178</v>
      </c>
      <c r="AT120" s="24" t="s">
        <v>239</v>
      </c>
      <c r="AU120" s="24">
        <v>4</v>
      </c>
      <c r="AV120" s="24"/>
      <c r="AW120" s="24" t="s">
        <v>142</v>
      </c>
      <c r="BA120" s="54"/>
      <c r="BH120" s="20">
        <v>83900</v>
      </c>
      <c r="BI120" s="20">
        <v>84100</v>
      </c>
      <c r="BM120" s="400"/>
      <c r="BN120" s="400"/>
      <c r="BR120" s="400"/>
      <c r="BS120" s="400"/>
      <c r="GM120" s="12"/>
      <c r="GQ120" s="12"/>
      <c r="IK120" s="24"/>
      <c r="IL120" s="24"/>
      <c r="IM120" s="24"/>
      <c r="IN120" s="24"/>
    </row>
    <row r="121" spans="1:248" s="20" customFormat="1" x14ac:dyDescent="0.25">
      <c r="A121" s="24">
        <v>11</v>
      </c>
      <c r="B121" s="24" t="s">
        <v>237</v>
      </c>
      <c r="C121" s="24" t="s">
        <v>238</v>
      </c>
      <c r="D121" s="24">
        <v>2010</v>
      </c>
      <c r="E121" s="24">
        <v>2006</v>
      </c>
      <c r="F121" s="24" t="s">
        <v>128</v>
      </c>
      <c r="G121" s="24" t="s">
        <v>240</v>
      </c>
      <c r="H121" s="24" t="s">
        <v>2831</v>
      </c>
      <c r="I121" s="24">
        <v>39.03</v>
      </c>
      <c r="J121" s="24">
        <v>-76.91</v>
      </c>
      <c r="K121" s="24">
        <v>34.6</v>
      </c>
      <c r="L121" s="24"/>
      <c r="M121" s="24"/>
      <c r="N121" s="24"/>
      <c r="O121" s="24"/>
      <c r="P121" s="24"/>
      <c r="Q121" s="42">
        <v>2</v>
      </c>
      <c r="R121" s="42" t="s">
        <v>1735</v>
      </c>
      <c r="S121" s="42"/>
      <c r="T121" s="42" t="s">
        <v>1865</v>
      </c>
      <c r="U121" s="42" t="s">
        <v>1386</v>
      </c>
      <c r="V121" s="42" t="s">
        <v>1724</v>
      </c>
      <c r="W121" s="42" t="s">
        <v>1386</v>
      </c>
      <c r="X121" s="42" t="s">
        <v>1386</v>
      </c>
      <c r="Y121" s="24"/>
      <c r="Z121" s="321">
        <f t="shared" si="8"/>
        <v>73</v>
      </c>
      <c r="AA121" s="321">
        <f t="shared" si="9"/>
        <v>17</v>
      </c>
      <c r="AB121" s="24" t="s">
        <v>241</v>
      </c>
      <c r="AC121" s="24"/>
      <c r="AD121" s="24"/>
      <c r="AE121" s="24"/>
      <c r="AF121" s="24" t="s">
        <v>1318</v>
      </c>
      <c r="AG121" s="24" t="s">
        <v>244</v>
      </c>
      <c r="AH121" s="138" t="s">
        <v>578</v>
      </c>
      <c r="AI121" s="24" t="s">
        <v>243</v>
      </c>
      <c r="AJ121" s="140" t="s">
        <v>1621</v>
      </c>
      <c r="AK121" s="24"/>
      <c r="AL121" s="24"/>
      <c r="AM121" s="24"/>
      <c r="AN121" s="24"/>
      <c r="AO121" s="24"/>
      <c r="AP121" s="24"/>
      <c r="AQ121" s="24" t="s">
        <v>242</v>
      </c>
      <c r="AR121" s="24" t="s">
        <v>242</v>
      </c>
      <c r="AS121" s="24" t="s">
        <v>178</v>
      </c>
      <c r="AT121" s="24" t="s">
        <v>239</v>
      </c>
      <c r="AU121" s="24">
        <v>4</v>
      </c>
      <c r="AV121" s="24"/>
      <c r="AW121" s="24" t="s">
        <v>142</v>
      </c>
      <c r="BA121" s="54"/>
      <c r="BH121" s="20">
        <v>83900</v>
      </c>
      <c r="BI121" s="20">
        <v>82100</v>
      </c>
      <c r="BM121" s="400"/>
      <c r="BN121" s="400"/>
      <c r="BR121" s="400"/>
      <c r="BS121" s="400"/>
      <c r="GM121" s="12"/>
      <c r="GQ121" s="12"/>
      <c r="IK121" s="24"/>
      <c r="IL121" s="24"/>
      <c r="IM121" s="24"/>
      <c r="IN121" s="24"/>
    </row>
    <row r="122" spans="1:248" s="20" customFormat="1" x14ac:dyDescent="0.25">
      <c r="A122" s="24">
        <v>11</v>
      </c>
      <c r="B122" s="24" t="s">
        <v>237</v>
      </c>
      <c r="C122" s="24" t="s">
        <v>238</v>
      </c>
      <c r="D122" s="24">
        <v>2010</v>
      </c>
      <c r="E122" s="24">
        <v>2006</v>
      </c>
      <c r="F122" s="24" t="s">
        <v>128</v>
      </c>
      <c r="G122" s="24" t="s">
        <v>240</v>
      </c>
      <c r="H122" s="24" t="s">
        <v>2831</v>
      </c>
      <c r="I122" s="24">
        <v>39.03</v>
      </c>
      <c r="J122" s="24">
        <v>-76.91</v>
      </c>
      <c r="K122" s="24">
        <v>34.6</v>
      </c>
      <c r="L122" s="24"/>
      <c r="M122" s="24"/>
      <c r="N122" s="24"/>
      <c r="O122" s="24"/>
      <c r="P122" s="24"/>
      <c r="Q122" s="42">
        <v>2</v>
      </c>
      <c r="R122" s="42" t="s">
        <v>1735</v>
      </c>
      <c r="S122" s="42"/>
      <c r="T122" s="42" t="s">
        <v>1865</v>
      </c>
      <c r="U122" s="42" t="s">
        <v>1386</v>
      </c>
      <c r="V122" s="42" t="s">
        <v>1724</v>
      </c>
      <c r="W122" s="42" t="s">
        <v>1386</v>
      </c>
      <c r="X122" s="42" t="s">
        <v>1386</v>
      </c>
      <c r="Y122" s="24"/>
      <c r="Z122" s="321">
        <f t="shared" si="8"/>
        <v>73</v>
      </c>
      <c r="AA122" s="321">
        <f t="shared" si="9"/>
        <v>17</v>
      </c>
      <c r="AB122" s="24" t="s">
        <v>241</v>
      </c>
      <c r="AC122" s="24"/>
      <c r="AD122" s="24"/>
      <c r="AE122" s="24"/>
      <c r="AF122" s="24" t="s">
        <v>1318</v>
      </c>
      <c r="AG122" s="24" t="s">
        <v>1529</v>
      </c>
      <c r="AH122" s="138" t="s">
        <v>578</v>
      </c>
      <c r="AI122" s="24" t="s">
        <v>243</v>
      </c>
      <c r="AJ122" s="140" t="s">
        <v>1621</v>
      </c>
      <c r="AK122" s="24"/>
      <c r="AL122" s="24"/>
      <c r="AM122" s="24"/>
      <c r="AN122" s="24"/>
      <c r="AO122" s="24"/>
      <c r="AP122" s="24"/>
      <c r="AQ122" s="24" t="s">
        <v>242</v>
      </c>
      <c r="AR122" s="24" t="s">
        <v>242</v>
      </c>
      <c r="AS122" s="24" t="s">
        <v>178</v>
      </c>
      <c r="AT122" s="24" t="s">
        <v>239</v>
      </c>
      <c r="AU122" s="24">
        <v>4</v>
      </c>
      <c r="AV122" s="24"/>
      <c r="AW122" s="24" t="s">
        <v>142</v>
      </c>
      <c r="BA122" s="54"/>
      <c r="BH122" s="20">
        <v>83900</v>
      </c>
      <c r="BI122" s="20">
        <v>59300</v>
      </c>
      <c r="BM122" s="400"/>
      <c r="BN122" s="400"/>
      <c r="BR122" s="400"/>
      <c r="BS122" s="400"/>
      <c r="GM122" s="12"/>
      <c r="GQ122" s="12"/>
      <c r="IK122" s="24"/>
      <c r="IL122" s="24"/>
      <c r="IM122" s="24"/>
      <c r="IN122" s="24"/>
    </row>
    <row r="123" spans="1:248" s="20" customFormat="1" x14ac:dyDescent="0.25">
      <c r="A123" s="24">
        <v>11</v>
      </c>
      <c r="B123" s="24" t="s">
        <v>237</v>
      </c>
      <c r="C123" s="24" t="s">
        <v>238</v>
      </c>
      <c r="D123" s="24">
        <v>2010</v>
      </c>
      <c r="E123" s="24">
        <v>2006</v>
      </c>
      <c r="F123" s="24" t="s">
        <v>128</v>
      </c>
      <c r="G123" s="24" t="s">
        <v>240</v>
      </c>
      <c r="H123" s="24" t="s">
        <v>2831</v>
      </c>
      <c r="I123" s="24">
        <v>39.03</v>
      </c>
      <c r="J123" s="24">
        <v>-76.91</v>
      </c>
      <c r="K123" s="24">
        <v>34.6</v>
      </c>
      <c r="L123" s="24"/>
      <c r="M123" s="24"/>
      <c r="N123" s="24"/>
      <c r="O123" s="24"/>
      <c r="P123" s="24"/>
      <c r="Q123" s="42">
        <v>2</v>
      </c>
      <c r="R123" s="42" t="s">
        <v>1735</v>
      </c>
      <c r="S123" s="42"/>
      <c r="T123" s="42" t="s">
        <v>1865</v>
      </c>
      <c r="U123" s="42" t="s">
        <v>1386</v>
      </c>
      <c r="V123" s="42" t="s">
        <v>1724</v>
      </c>
      <c r="W123" s="42" t="s">
        <v>1386</v>
      </c>
      <c r="X123" s="42" t="s">
        <v>1386</v>
      </c>
      <c r="Y123" s="24"/>
      <c r="Z123" s="321">
        <f t="shared" si="8"/>
        <v>73</v>
      </c>
      <c r="AA123" s="321">
        <f t="shared" si="9"/>
        <v>17</v>
      </c>
      <c r="AB123" s="24" t="s">
        <v>241</v>
      </c>
      <c r="AC123" s="24"/>
      <c r="AD123" s="24"/>
      <c r="AE123" s="24"/>
      <c r="AF123" s="24" t="s">
        <v>1318</v>
      </c>
      <c r="AG123" s="24" t="s">
        <v>1530</v>
      </c>
      <c r="AH123" s="138" t="s">
        <v>578</v>
      </c>
      <c r="AI123" s="24" t="s">
        <v>243</v>
      </c>
      <c r="AJ123" s="140" t="s">
        <v>1621</v>
      </c>
      <c r="AK123" s="24"/>
      <c r="AL123" s="24"/>
      <c r="AM123" s="24"/>
      <c r="AN123" s="24"/>
      <c r="AO123" s="24"/>
      <c r="AP123" s="24"/>
      <c r="AQ123" s="24" t="s">
        <v>242</v>
      </c>
      <c r="AR123" s="24" t="s">
        <v>242</v>
      </c>
      <c r="AS123" s="24" t="s">
        <v>178</v>
      </c>
      <c r="AT123" s="24" t="s">
        <v>239</v>
      </c>
      <c r="AU123" s="24">
        <v>4</v>
      </c>
      <c r="AV123" s="24"/>
      <c r="AW123" s="24" t="s">
        <v>142</v>
      </c>
      <c r="BA123" s="54"/>
      <c r="BH123" s="20">
        <v>83900</v>
      </c>
      <c r="BI123" s="20">
        <v>82600</v>
      </c>
      <c r="BM123" s="400"/>
      <c r="BN123" s="400"/>
      <c r="BR123" s="400"/>
      <c r="BS123" s="400"/>
      <c r="GM123" s="12"/>
      <c r="GQ123" s="12"/>
      <c r="IK123" s="24"/>
      <c r="IL123" s="24"/>
      <c r="IM123" s="24"/>
      <c r="IN123" s="24"/>
    </row>
    <row r="124" spans="1:248" s="20" customFormat="1" x14ac:dyDescent="0.25">
      <c r="A124" s="24">
        <v>11</v>
      </c>
      <c r="B124" s="24" t="s">
        <v>237</v>
      </c>
      <c r="C124" s="24" t="s">
        <v>238</v>
      </c>
      <c r="D124" s="24">
        <v>2010</v>
      </c>
      <c r="E124" s="24">
        <v>2007</v>
      </c>
      <c r="F124" s="24" t="s">
        <v>128</v>
      </c>
      <c r="G124" s="24" t="s">
        <v>240</v>
      </c>
      <c r="H124" s="24" t="s">
        <v>2831</v>
      </c>
      <c r="I124" s="24">
        <v>39.03</v>
      </c>
      <c r="J124" s="24">
        <v>-76.91</v>
      </c>
      <c r="K124" s="24">
        <v>34.6</v>
      </c>
      <c r="L124" s="24"/>
      <c r="M124" s="24"/>
      <c r="N124" s="24"/>
      <c r="O124" s="24"/>
      <c r="P124" s="24"/>
      <c r="Q124" s="42">
        <v>3</v>
      </c>
      <c r="R124" s="42" t="s">
        <v>1735</v>
      </c>
      <c r="S124" s="42"/>
      <c r="T124" s="42" t="s">
        <v>1865</v>
      </c>
      <c r="U124" s="42" t="s">
        <v>1386</v>
      </c>
      <c r="V124" s="42" t="s">
        <v>1724</v>
      </c>
      <c r="W124" s="42" t="s">
        <v>1386</v>
      </c>
      <c r="X124" s="42" t="s">
        <v>1386</v>
      </c>
      <c r="Y124" s="24"/>
      <c r="Z124" s="321">
        <f t="shared" si="8"/>
        <v>73</v>
      </c>
      <c r="AA124" s="321">
        <f t="shared" si="9"/>
        <v>17</v>
      </c>
      <c r="AB124" s="24" t="s">
        <v>241</v>
      </c>
      <c r="AC124" s="24"/>
      <c r="AD124" s="24"/>
      <c r="AE124" s="24"/>
      <c r="AF124" s="24" t="s">
        <v>1318</v>
      </c>
      <c r="AG124" s="24" t="s">
        <v>132</v>
      </c>
      <c r="AH124" s="138" t="s">
        <v>132</v>
      </c>
      <c r="AI124" s="24" t="s">
        <v>243</v>
      </c>
      <c r="AJ124" s="140" t="s">
        <v>1621</v>
      </c>
      <c r="AK124" s="24"/>
      <c r="AL124" s="24"/>
      <c r="AM124" s="24"/>
      <c r="AN124" s="24"/>
      <c r="AO124" s="24"/>
      <c r="AP124" s="24"/>
      <c r="AQ124" s="24" t="s">
        <v>242</v>
      </c>
      <c r="AR124" s="24" t="s">
        <v>242</v>
      </c>
      <c r="AS124" s="24" t="s">
        <v>178</v>
      </c>
      <c r="AT124" s="24" t="s">
        <v>239</v>
      </c>
      <c r="AU124" s="24">
        <v>4</v>
      </c>
      <c r="AV124" s="24"/>
      <c r="AW124" s="24" t="s">
        <v>142</v>
      </c>
      <c r="BA124" s="54"/>
      <c r="BH124" s="20">
        <v>88000</v>
      </c>
      <c r="BI124" s="20">
        <v>77800</v>
      </c>
      <c r="BM124" s="400"/>
      <c r="BN124" s="400"/>
      <c r="BR124" s="400"/>
      <c r="BS124" s="400"/>
      <c r="GM124" s="12"/>
      <c r="GQ124" s="12"/>
      <c r="IK124" s="24"/>
      <c r="IL124" s="24"/>
      <c r="IM124" s="24"/>
      <c r="IN124" s="24"/>
    </row>
    <row r="125" spans="1:248" s="20" customFormat="1" x14ac:dyDescent="0.25">
      <c r="A125" s="24">
        <v>11</v>
      </c>
      <c r="B125" s="24" t="s">
        <v>237</v>
      </c>
      <c r="C125" s="24" t="s">
        <v>238</v>
      </c>
      <c r="D125" s="24">
        <v>2010</v>
      </c>
      <c r="E125" s="24">
        <v>2007</v>
      </c>
      <c r="F125" s="24" t="s">
        <v>128</v>
      </c>
      <c r="G125" s="24" t="s">
        <v>240</v>
      </c>
      <c r="H125" s="24" t="s">
        <v>2831</v>
      </c>
      <c r="I125" s="24">
        <v>39.03</v>
      </c>
      <c r="J125" s="24">
        <v>-76.91</v>
      </c>
      <c r="K125" s="24">
        <v>34.6</v>
      </c>
      <c r="L125" s="24"/>
      <c r="M125" s="24"/>
      <c r="N125" s="24"/>
      <c r="O125" s="24"/>
      <c r="P125" s="24"/>
      <c r="Q125" s="42">
        <v>3</v>
      </c>
      <c r="R125" s="42" t="s">
        <v>1735</v>
      </c>
      <c r="S125" s="42"/>
      <c r="T125" s="42" t="s">
        <v>1865</v>
      </c>
      <c r="U125" s="42" t="s">
        <v>1386</v>
      </c>
      <c r="V125" s="42" t="s">
        <v>1724</v>
      </c>
      <c r="W125" s="42" t="s">
        <v>1386</v>
      </c>
      <c r="X125" s="42" t="s">
        <v>1386</v>
      </c>
      <c r="Y125" s="24"/>
      <c r="Z125" s="321">
        <f t="shared" si="8"/>
        <v>73</v>
      </c>
      <c r="AA125" s="321">
        <f t="shared" si="9"/>
        <v>17</v>
      </c>
      <c r="AB125" s="24" t="s">
        <v>241</v>
      </c>
      <c r="AC125" s="24"/>
      <c r="AD125" s="24"/>
      <c r="AE125" s="24"/>
      <c r="AF125" s="24" t="s">
        <v>1318</v>
      </c>
      <c r="AG125" s="24" t="s">
        <v>1527</v>
      </c>
      <c r="AH125" s="138" t="s">
        <v>132</v>
      </c>
      <c r="AI125" s="24" t="s">
        <v>243</v>
      </c>
      <c r="AJ125" s="140" t="s">
        <v>1621</v>
      </c>
      <c r="AK125" s="24"/>
      <c r="AL125" s="24"/>
      <c r="AM125" s="24"/>
      <c r="AN125" s="24"/>
      <c r="AO125" s="24"/>
      <c r="AP125" s="24"/>
      <c r="AQ125" s="24" t="s">
        <v>242</v>
      </c>
      <c r="AR125" s="24" t="s">
        <v>242</v>
      </c>
      <c r="AS125" s="24" t="s">
        <v>178</v>
      </c>
      <c r="AT125" s="24" t="s">
        <v>239</v>
      </c>
      <c r="AU125" s="24">
        <v>4</v>
      </c>
      <c r="AV125" s="24"/>
      <c r="AW125" s="24" t="s">
        <v>142</v>
      </c>
      <c r="BA125" s="54"/>
      <c r="BH125" s="20">
        <v>88000</v>
      </c>
      <c r="BI125" s="20">
        <v>65600</v>
      </c>
      <c r="BM125" s="400"/>
      <c r="BN125" s="400"/>
      <c r="BR125" s="400"/>
      <c r="BS125" s="400"/>
      <c r="GM125" s="12"/>
      <c r="GQ125" s="12"/>
      <c r="IK125" s="24"/>
      <c r="IL125" s="24"/>
      <c r="IM125" s="24"/>
      <c r="IN125" s="24"/>
    </row>
    <row r="126" spans="1:248" s="20" customFormat="1" x14ac:dyDescent="0.25">
      <c r="A126" s="24">
        <v>11</v>
      </c>
      <c r="B126" s="24" t="s">
        <v>237</v>
      </c>
      <c r="C126" s="24" t="s">
        <v>238</v>
      </c>
      <c r="D126" s="24">
        <v>2010</v>
      </c>
      <c r="E126" s="24">
        <v>2007</v>
      </c>
      <c r="F126" s="24" t="s">
        <v>128</v>
      </c>
      <c r="G126" s="24" t="s">
        <v>240</v>
      </c>
      <c r="H126" s="24" t="s">
        <v>2831</v>
      </c>
      <c r="I126" s="24">
        <v>39.03</v>
      </c>
      <c r="J126" s="24">
        <v>-76.91</v>
      </c>
      <c r="K126" s="24">
        <v>34.6</v>
      </c>
      <c r="L126" s="24"/>
      <c r="M126" s="24"/>
      <c r="N126" s="24"/>
      <c r="O126" s="24"/>
      <c r="P126" s="24"/>
      <c r="Q126" s="42">
        <v>3</v>
      </c>
      <c r="R126" s="42" t="s">
        <v>1735</v>
      </c>
      <c r="S126" s="42"/>
      <c r="T126" s="42" t="s">
        <v>1865</v>
      </c>
      <c r="U126" s="42" t="s">
        <v>1386</v>
      </c>
      <c r="V126" s="42" t="s">
        <v>1724</v>
      </c>
      <c r="W126" s="42" t="s">
        <v>1386</v>
      </c>
      <c r="X126" s="42" t="s">
        <v>1386</v>
      </c>
      <c r="Y126" s="24"/>
      <c r="Z126" s="321">
        <f t="shared" si="8"/>
        <v>73</v>
      </c>
      <c r="AA126" s="321">
        <f t="shared" si="9"/>
        <v>17</v>
      </c>
      <c r="AB126" s="24" t="s">
        <v>241</v>
      </c>
      <c r="AC126" s="24"/>
      <c r="AD126" s="24"/>
      <c r="AE126" s="24"/>
      <c r="AF126" s="24" t="s">
        <v>1318</v>
      </c>
      <c r="AG126" s="24" t="s">
        <v>1528</v>
      </c>
      <c r="AH126" s="138" t="s">
        <v>132</v>
      </c>
      <c r="AI126" s="24" t="s">
        <v>243</v>
      </c>
      <c r="AJ126" s="140" t="s">
        <v>1621</v>
      </c>
      <c r="AK126" s="24"/>
      <c r="AL126" s="24"/>
      <c r="AM126" s="24"/>
      <c r="AN126" s="24"/>
      <c r="AO126" s="24"/>
      <c r="AP126" s="24"/>
      <c r="AQ126" s="24" t="s">
        <v>242</v>
      </c>
      <c r="AR126" s="24" t="s">
        <v>242</v>
      </c>
      <c r="AS126" s="24" t="s">
        <v>178</v>
      </c>
      <c r="AT126" s="24" t="s">
        <v>239</v>
      </c>
      <c r="AU126" s="24">
        <v>4</v>
      </c>
      <c r="AV126" s="24"/>
      <c r="AW126" s="24" t="s">
        <v>142</v>
      </c>
      <c r="BA126" s="54"/>
      <c r="BH126" s="20">
        <v>88000</v>
      </c>
      <c r="BI126" s="20">
        <v>82000</v>
      </c>
      <c r="BM126" s="400"/>
      <c r="BN126" s="400"/>
      <c r="BR126" s="400"/>
      <c r="BS126" s="400"/>
      <c r="GM126" s="12"/>
      <c r="GQ126" s="12"/>
      <c r="IK126" s="24"/>
      <c r="IL126" s="24"/>
      <c r="IM126" s="24"/>
      <c r="IN126" s="24"/>
    </row>
    <row r="127" spans="1:248" s="20" customFormat="1" x14ac:dyDescent="0.25">
      <c r="A127" s="24">
        <v>11</v>
      </c>
      <c r="B127" s="24" t="s">
        <v>237</v>
      </c>
      <c r="C127" s="24" t="s">
        <v>238</v>
      </c>
      <c r="D127" s="24">
        <v>2010</v>
      </c>
      <c r="E127" s="24">
        <v>2007</v>
      </c>
      <c r="F127" s="24" t="s">
        <v>128</v>
      </c>
      <c r="G127" s="24" t="s">
        <v>240</v>
      </c>
      <c r="H127" s="24" t="s">
        <v>2831</v>
      </c>
      <c r="I127" s="24">
        <v>39.03</v>
      </c>
      <c r="J127" s="24">
        <v>-76.91</v>
      </c>
      <c r="K127" s="24">
        <v>34.6</v>
      </c>
      <c r="L127" s="24"/>
      <c r="M127" s="24"/>
      <c r="N127" s="24"/>
      <c r="O127" s="24"/>
      <c r="P127" s="24"/>
      <c r="Q127" s="42">
        <v>3</v>
      </c>
      <c r="R127" s="42" t="s">
        <v>1735</v>
      </c>
      <c r="S127" s="42"/>
      <c r="T127" s="42" t="s">
        <v>1865</v>
      </c>
      <c r="U127" s="42" t="s">
        <v>1386</v>
      </c>
      <c r="V127" s="42" t="s">
        <v>1724</v>
      </c>
      <c r="W127" s="42" t="s">
        <v>1386</v>
      </c>
      <c r="X127" s="42" t="s">
        <v>1386</v>
      </c>
      <c r="Y127" s="24"/>
      <c r="Z127" s="321">
        <f t="shared" si="8"/>
        <v>73</v>
      </c>
      <c r="AA127" s="321">
        <f t="shared" si="9"/>
        <v>17</v>
      </c>
      <c r="AB127" s="24" t="s">
        <v>241</v>
      </c>
      <c r="AC127" s="24"/>
      <c r="AD127" s="24"/>
      <c r="AE127" s="24"/>
      <c r="AF127" s="24" t="s">
        <v>1318</v>
      </c>
      <c r="AG127" s="24" t="s">
        <v>244</v>
      </c>
      <c r="AH127" s="138" t="s">
        <v>578</v>
      </c>
      <c r="AI127" s="24" t="s">
        <v>243</v>
      </c>
      <c r="AJ127" s="140" t="s">
        <v>1621</v>
      </c>
      <c r="AK127" s="24"/>
      <c r="AL127" s="24"/>
      <c r="AM127" s="24"/>
      <c r="AN127" s="24"/>
      <c r="AO127" s="24"/>
      <c r="AP127" s="24"/>
      <c r="AQ127" s="24" t="s">
        <v>242</v>
      </c>
      <c r="AR127" s="24" t="s">
        <v>242</v>
      </c>
      <c r="AS127" s="24" t="s">
        <v>178</v>
      </c>
      <c r="AT127" s="24" t="s">
        <v>239</v>
      </c>
      <c r="AU127" s="24">
        <v>4</v>
      </c>
      <c r="AV127" s="24"/>
      <c r="AW127" s="24" t="s">
        <v>142</v>
      </c>
      <c r="BA127" s="54"/>
      <c r="BH127" s="20">
        <v>88000</v>
      </c>
      <c r="BI127" s="20">
        <v>92200</v>
      </c>
      <c r="BM127" s="400"/>
      <c r="BN127" s="400"/>
      <c r="BR127" s="400"/>
      <c r="BS127" s="400"/>
      <c r="GM127" s="12"/>
      <c r="GQ127" s="12"/>
      <c r="IK127" s="24"/>
      <c r="IL127" s="24"/>
      <c r="IM127" s="24"/>
      <c r="IN127" s="24"/>
    </row>
    <row r="128" spans="1:248" s="20" customFormat="1" x14ac:dyDescent="0.25">
      <c r="A128" s="24">
        <v>11</v>
      </c>
      <c r="B128" s="24" t="s">
        <v>237</v>
      </c>
      <c r="C128" s="24" t="s">
        <v>238</v>
      </c>
      <c r="D128" s="24">
        <v>2010</v>
      </c>
      <c r="E128" s="24">
        <v>2007</v>
      </c>
      <c r="F128" s="24" t="s">
        <v>128</v>
      </c>
      <c r="G128" s="24" t="s">
        <v>240</v>
      </c>
      <c r="H128" s="24" t="s">
        <v>2831</v>
      </c>
      <c r="I128" s="24">
        <v>39.03</v>
      </c>
      <c r="J128" s="24">
        <v>-76.91</v>
      </c>
      <c r="K128" s="24">
        <v>34.6</v>
      </c>
      <c r="L128" s="24"/>
      <c r="M128" s="24"/>
      <c r="N128" s="24"/>
      <c r="O128" s="24"/>
      <c r="P128" s="24"/>
      <c r="Q128" s="42">
        <v>3</v>
      </c>
      <c r="R128" s="42" t="s">
        <v>1735</v>
      </c>
      <c r="S128" s="42"/>
      <c r="T128" s="42" t="s">
        <v>1865</v>
      </c>
      <c r="U128" s="42" t="s">
        <v>1386</v>
      </c>
      <c r="V128" s="42" t="s">
        <v>1724</v>
      </c>
      <c r="W128" s="42" t="s">
        <v>1386</v>
      </c>
      <c r="X128" s="42" t="s">
        <v>1386</v>
      </c>
      <c r="Y128" s="24"/>
      <c r="Z128" s="321">
        <f t="shared" si="8"/>
        <v>73</v>
      </c>
      <c r="AA128" s="321">
        <f t="shared" si="9"/>
        <v>17</v>
      </c>
      <c r="AB128" s="24" t="s">
        <v>241</v>
      </c>
      <c r="AC128" s="24"/>
      <c r="AD128" s="24"/>
      <c r="AE128" s="24"/>
      <c r="AF128" s="24" t="s">
        <v>1318</v>
      </c>
      <c r="AG128" s="24" t="s">
        <v>1529</v>
      </c>
      <c r="AH128" s="138" t="s">
        <v>578</v>
      </c>
      <c r="AI128" s="24" t="s">
        <v>243</v>
      </c>
      <c r="AJ128" s="140" t="s">
        <v>1621</v>
      </c>
      <c r="AK128" s="24"/>
      <c r="AL128" s="24"/>
      <c r="AM128" s="24"/>
      <c r="AN128" s="24"/>
      <c r="AO128" s="24"/>
      <c r="AP128" s="24"/>
      <c r="AQ128" s="24" t="s">
        <v>242</v>
      </c>
      <c r="AR128" s="24" t="s">
        <v>242</v>
      </c>
      <c r="AS128" s="24" t="s">
        <v>178</v>
      </c>
      <c r="AT128" s="24" t="s">
        <v>239</v>
      </c>
      <c r="AU128" s="24">
        <v>4</v>
      </c>
      <c r="AV128" s="24"/>
      <c r="AW128" s="24" t="s">
        <v>142</v>
      </c>
      <c r="BA128" s="54"/>
      <c r="BH128" s="20">
        <v>88000</v>
      </c>
      <c r="BI128" s="20">
        <v>80200</v>
      </c>
      <c r="BM128" s="400"/>
      <c r="BN128" s="400"/>
      <c r="BR128" s="400"/>
      <c r="BS128" s="400"/>
      <c r="GM128" s="12"/>
      <c r="GQ128" s="12"/>
      <c r="IK128" s="24"/>
      <c r="IL128" s="24"/>
      <c r="IM128" s="24"/>
      <c r="IN128" s="24"/>
    </row>
    <row r="129" spans="1:249" s="20" customFormat="1" x14ac:dyDescent="0.25">
      <c r="A129" s="24">
        <v>11</v>
      </c>
      <c r="B129" s="24" t="s">
        <v>237</v>
      </c>
      <c r="C129" s="24" t="s">
        <v>238</v>
      </c>
      <c r="D129" s="24">
        <v>2010</v>
      </c>
      <c r="E129" s="24">
        <v>2007</v>
      </c>
      <c r="F129" s="24" t="s">
        <v>128</v>
      </c>
      <c r="G129" s="24" t="s">
        <v>240</v>
      </c>
      <c r="H129" s="24" t="s">
        <v>2831</v>
      </c>
      <c r="I129" s="24">
        <v>39.03</v>
      </c>
      <c r="J129" s="24">
        <v>-76.91</v>
      </c>
      <c r="K129" s="24">
        <v>34.6</v>
      </c>
      <c r="L129" s="24"/>
      <c r="M129" s="24"/>
      <c r="N129" s="24"/>
      <c r="O129" s="24"/>
      <c r="P129" s="24"/>
      <c r="Q129" s="42">
        <v>3</v>
      </c>
      <c r="R129" s="42" t="s">
        <v>1735</v>
      </c>
      <c r="S129" s="42"/>
      <c r="T129" s="42" t="s">
        <v>1865</v>
      </c>
      <c r="U129" s="42" t="s">
        <v>1386</v>
      </c>
      <c r="V129" s="42" t="s">
        <v>1724</v>
      </c>
      <c r="W129" s="42" t="s">
        <v>1386</v>
      </c>
      <c r="X129" s="42" t="s">
        <v>1386</v>
      </c>
      <c r="Y129" s="24"/>
      <c r="Z129" s="321">
        <f t="shared" si="8"/>
        <v>73</v>
      </c>
      <c r="AA129" s="321">
        <f t="shared" si="9"/>
        <v>17</v>
      </c>
      <c r="AB129" s="24" t="s">
        <v>241</v>
      </c>
      <c r="AC129" s="24"/>
      <c r="AD129" s="24"/>
      <c r="AE129" s="24"/>
      <c r="AF129" s="24" t="s">
        <v>1318</v>
      </c>
      <c r="AG129" s="24" t="s">
        <v>1530</v>
      </c>
      <c r="AH129" s="138" t="s">
        <v>578</v>
      </c>
      <c r="AI129" s="24" t="s">
        <v>243</v>
      </c>
      <c r="AJ129" s="140" t="s">
        <v>1621</v>
      </c>
      <c r="AK129" s="24"/>
      <c r="AL129" s="24"/>
      <c r="AM129" s="24"/>
      <c r="AN129" s="24"/>
      <c r="AO129" s="24"/>
      <c r="AP129" s="24"/>
      <c r="AQ129" s="24" t="s">
        <v>242</v>
      </c>
      <c r="AR129" s="24" t="s">
        <v>242</v>
      </c>
      <c r="AS129" s="24" t="s">
        <v>178</v>
      </c>
      <c r="AT129" s="24" t="s">
        <v>239</v>
      </c>
      <c r="AU129" s="24">
        <v>4</v>
      </c>
      <c r="AV129" s="24"/>
      <c r="AW129" s="24" t="s">
        <v>142</v>
      </c>
      <c r="BA129" s="54"/>
      <c r="BH129" s="20">
        <v>88000</v>
      </c>
      <c r="BI129" s="20">
        <v>93000</v>
      </c>
      <c r="BM129" s="400"/>
      <c r="BN129" s="400"/>
      <c r="BR129" s="400"/>
      <c r="BS129" s="400"/>
      <c r="GM129" s="12"/>
      <c r="GQ129" s="12"/>
      <c r="IK129" s="24"/>
      <c r="IL129" s="24"/>
      <c r="IM129" s="24"/>
      <c r="IN129" s="24"/>
    </row>
    <row r="130" spans="1:249" s="28" customFormat="1" x14ac:dyDescent="0.25">
      <c r="A130" s="28">
        <v>12</v>
      </c>
      <c r="B130" s="28" t="s">
        <v>266</v>
      </c>
      <c r="C130" s="28" t="s">
        <v>267</v>
      </c>
      <c r="D130" s="28">
        <v>1984</v>
      </c>
      <c r="E130" s="28">
        <v>1980</v>
      </c>
      <c r="F130" s="28" t="s">
        <v>268</v>
      </c>
      <c r="G130" s="28" t="s">
        <v>274</v>
      </c>
      <c r="H130" s="28" t="s">
        <v>2831</v>
      </c>
      <c r="I130" s="28">
        <v>34.36</v>
      </c>
      <c r="J130" s="28">
        <v>-80.010000000000005</v>
      </c>
      <c r="K130" s="28">
        <v>61.3</v>
      </c>
      <c r="Q130" s="46">
        <v>2</v>
      </c>
      <c r="R130" s="46" t="s">
        <v>1867</v>
      </c>
      <c r="S130" s="46"/>
      <c r="T130" s="46" t="s">
        <v>1866</v>
      </c>
      <c r="U130" s="46" t="s">
        <v>1386</v>
      </c>
      <c r="V130" s="46" t="s">
        <v>1724</v>
      </c>
      <c r="W130" s="46" t="s">
        <v>1386</v>
      </c>
      <c r="X130" s="46" t="s">
        <v>1386</v>
      </c>
      <c r="Z130" s="326"/>
      <c r="AA130" s="326"/>
      <c r="AB130" s="28" t="s">
        <v>176</v>
      </c>
      <c r="AF130" s="28" t="s">
        <v>1319</v>
      </c>
      <c r="AG130" s="28" t="s">
        <v>132</v>
      </c>
      <c r="AH130" s="138" t="s">
        <v>132</v>
      </c>
      <c r="AI130" s="28" t="s">
        <v>1600</v>
      </c>
      <c r="AJ130" s="141" t="s">
        <v>159</v>
      </c>
      <c r="AN130" s="28" t="s">
        <v>232</v>
      </c>
      <c r="AO130" s="28" t="s">
        <v>269</v>
      </c>
      <c r="AP130" s="28" t="s">
        <v>503</v>
      </c>
      <c r="AQ130" s="28" t="s">
        <v>242</v>
      </c>
      <c r="AR130" s="28" t="s">
        <v>242</v>
      </c>
      <c r="AS130" s="28" t="s">
        <v>178</v>
      </c>
      <c r="AU130" s="28">
        <v>3</v>
      </c>
      <c r="AW130" s="28" t="s">
        <v>175</v>
      </c>
      <c r="BA130" s="54"/>
      <c r="BH130" s="28">
        <f>0.85*1000</f>
        <v>850</v>
      </c>
      <c r="BI130" s="28">
        <f>0.94*1000</f>
        <v>940</v>
      </c>
      <c r="BL130" s="28" t="s">
        <v>270</v>
      </c>
      <c r="BM130" s="401"/>
      <c r="BN130" s="401"/>
      <c r="BR130" s="401"/>
      <c r="BS130" s="401"/>
      <c r="EY130" s="28">
        <f>12.35/100</f>
        <v>0.1235</v>
      </c>
      <c r="EZ130" s="28">
        <f>4.74/100</f>
        <v>4.7400000000000005E-2</v>
      </c>
      <c r="GM130" s="12"/>
      <c r="GQ130" s="12"/>
      <c r="IO130" s="28" t="s">
        <v>272</v>
      </c>
    </row>
    <row r="131" spans="1:249" s="28" customFormat="1" x14ac:dyDescent="0.25">
      <c r="A131" s="28">
        <v>12</v>
      </c>
      <c r="B131" s="28" t="s">
        <v>266</v>
      </c>
      <c r="C131" s="28" t="s">
        <v>267</v>
      </c>
      <c r="D131" s="28">
        <v>1984</v>
      </c>
      <c r="E131" s="28">
        <v>1980</v>
      </c>
      <c r="F131" s="28" t="s">
        <v>268</v>
      </c>
      <c r="G131" s="28" t="s">
        <v>274</v>
      </c>
      <c r="H131" s="28" t="s">
        <v>2831</v>
      </c>
      <c r="I131" s="28">
        <v>34.36</v>
      </c>
      <c r="J131" s="28">
        <v>-80.010000000000005</v>
      </c>
      <c r="K131" s="28">
        <v>61.3</v>
      </c>
      <c r="Q131" s="46">
        <v>2</v>
      </c>
      <c r="R131" s="46" t="s">
        <v>1867</v>
      </c>
      <c r="S131" s="46"/>
      <c r="T131" s="46" t="s">
        <v>1866</v>
      </c>
      <c r="U131" s="46" t="s">
        <v>1386</v>
      </c>
      <c r="V131" s="46" t="s">
        <v>1724</v>
      </c>
      <c r="W131" s="46" t="s">
        <v>1386</v>
      </c>
      <c r="X131" s="46" t="s">
        <v>1386</v>
      </c>
      <c r="Z131" s="326"/>
      <c r="AA131" s="326"/>
      <c r="AB131" s="28" t="s">
        <v>176</v>
      </c>
      <c r="AF131" s="28" t="s">
        <v>1319</v>
      </c>
      <c r="AG131" s="28" t="s">
        <v>132</v>
      </c>
      <c r="AH131" s="138" t="s">
        <v>132</v>
      </c>
      <c r="AI131" s="28" t="s">
        <v>1601</v>
      </c>
      <c r="AJ131" s="141" t="s">
        <v>159</v>
      </c>
      <c r="AN131" s="28" t="s">
        <v>232</v>
      </c>
      <c r="AO131" s="28" t="s">
        <v>269</v>
      </c>
      <c r="AP131" s="28" t="s">
        <v>503</v>
      </c>
      <c r="AQ131" s="28" t="s">
        <v>242</v>
      </c>
      <c r="AR131" s="28" t="s">
        <v>242</v>
      </c>
      <c r="AS131" s="28" t="s">
        <v>178</v>
      </c>
      <c r="AU131" s="28">
        <v>3</v>
      </c>
      <c r="AW131" s="28" t="s">
        <v>175</v>
      </c>
      <c r="BA131" s="54"/>
      <c r="BH131" s="28">
        <f>1.03*1000</f>
        <v>1030</v>
      </c>
      <c r="BI131" s="28">
        <f>0.99*1000</f>
        <v>990</v>
      </c>
      <c r="BL131" s="28" t="s">
        <v>270</v>
      </c>
      <c r="BM131" s="401"/>
      <c r="BN131" s="401"/>
      <c r="BR131" s="401"/>
      <c r="BS131" s="401"/>
      <c r="GM131" s="12"/>
      <c r="GQ131" s="12"/>
      <c r="IO131" s="28" t="s">
        <v>272</v>
      </c>
    </row>
    <row r="132" spans="1:249" s="28" customFormat="1" x14ac:dyDescent="0.25">
      <c r="A132" s="28">
        <v>12</v>
      </c>
      <c r="B132" s="28" t="s">
        <v>266</v>
      </c>
      <c r="C132" s="28" t="s">
        <v>267</v>
      </c>
      <c r="D132" s="28">
        <v>1984</v>
      </c>
      <c r="E132" s="28">
        <v>1980</v>
      </c>
      <c r="F132" s="28" t="s">
        <v>268</v>
      </c>
      <c r="G132" s="28" t="s">
        <v>274</v>
      </c>
      <c r="H132" s="28" t="s">
        <v>2831</v>
      </c>
      <c r="I132" s="28">
        <v>34.36</v>
      </c>
      <c r="J132" s="28">
        <v>-80.010000000000005</v>
      </c>
      <c r="K132" s="28">
        <v>61.3</v>
      </c>
      <c r="Q132" s="46">
        <v>2</v>
      </c>
      <c r="R132" s="46" t="s">
        <v>1867</v>
      </c>
      <c r="S132" s="46"/>
      <c r="T132" s="46" t="s">
        <v>1866</v>
      </c>
      <c r="U132" s="46" t="s">
        <v>1386</v>
      </c>
      <c r="V132" s="46" t="s">
        <v>1724</v>
      </c>
      <c r="W132" s="46" t="s">
        <v>1386</v>
      </c>
      <c r="X132" s="46" t="s">
        <v>1386</v>
      </c>
      <c r="Z132" s="326"/>
      <c r="AA132" s="326"/>
      <c r="AB132" s="28" t="s">
        <v>176</v>
      </c>
      <c r="AF132" s="28" t="s">
        <v>1319</v>
      </c>
      <c r="AG132" s="28" t="s">
        <v>132</v>
      </c>
      <c r="AH132" s="138" t="s">
        <v>132</v>
      </c>
      <c r="AI132" s="28" t="s">
        <v>1602</v>
      </c>
      <c r="AJ132" s="141" t="s">
        <v>159</v>
      </c>
      <c r="AN132" s="28" t="s">
        <v>232</v>
      </c>
      <c r="AO132" s="28" t="s">
        <v>269</v>
      </c>
      <c r="AP132" s="28" t="s">
        <v>503</v>
      </c>
      <c r="AQ132" s="28" t="s">
        <v>242</v>
      </c>
      <c r="AR132" s="28" t="s">
        <v>242</v>
      </c>
      <c r="AS132" s="28" t="s">
        <v>178</v>
      </c>
      <c r="AU132" s="28">
        <v>3</v>
      </c>
      <c r="AW132" s="28" t="s">
        <v>175</v>
      </c>
      <c r="BA132" s="54"/>
      <c r="BH132" s="28">
        <f>1.08*1000</f>
        <v>1080</v>
      </c>
      <c r="BI132" s="28">
        <f>1.19*1000</f>
        <v>1190</v>
      </c>
      <c r="BL132" s="28" t="s">
        <v>270</v>
      </c>
      <c r="BM132" s="401"/>
      <c r="BN132" s="401"/>
      <c r="BR132" s="401"/>
      <c r="BS132" s="401"/>
      <c r="GM132" s="12"/>
      <c r="GQ132" s="12"/>
      <c r="IO132" s="28" t="s">
        <v>272</v>
      </c>
    </row>
    <row r="133" spans="1:249" s="28" customFormat="1" x14ac:dyDescent="0.25">
      <c r="A133" s="28">
        <v>12</v>
      </c>
      <c r="B133" s="28" t="s">
        <v>266</v>
      </c>
      <c r="C133" s="28" t="s">
        <v>267</v>
      </c>
      <c r="D133" s="28">
        <v>1984</v>
      </c>
      <c r="E133" s="28">
        <v>1980</v>
      </c>
      <c r="F133" s="28" t="s">
        <v>268</v>
      </c>
      <c r="G133" s="28" t="s">
        <v>274</v>
      </c>
      <c r="H133" s="28" t="s">
        <v>2831</v>
      </c>
      <c r="I133" s="28">
        <v>34.36</v>
      </c>
      <c r="J133" s="28">
        <v>-80.010000000000005</v>
      </c>
      <c r="K133" s="28">
        <v>61.3</v>
      </c>
      <c r="Q133" s="46">
        <v>2</v>
      </c>
      <c r="R133" s="46" t="s">
        <v>1867</v>
      </c>
      <c r="S133" s="46"/>
      <c r="T133" s="46" t="s">
        <v>1866</v>
      </c>
      <c r="U133" s="46" t="s">
        <v>1386</v>
      </c>
      <c r="V133" s="46" t="s">
        <v>1724</v>
      </c>
      <c r="W133" s="46" t="s">
        <v>1386</v>
      </c>
      <c r="X133" s="46" t="s">
        <v>1386</v>
      </c>
      <c r="Z133" s="326"/>
      <c r="AA133" s="326"/>
      <c r="AB133" s="28" t="s">
        <v>176</v>
      </c>
      <c r="AF133" s="28" t="s">
        <v>1319</v>
      </c>
      <c r="AG133" s="28" t="s">
        <v>132</v>
      </c>
      <c r="AH133" s="138" t="s">
        <v>132</v>
      </c>
      <c r="AI133" s="28" t="s">
        <v>1600</v>
      </c>
      <c r="AJ133" s="141" t="s">
        <v>159</v>
      </c>
      <c r="AN133" s="28" t="s">
        <v>232</v>
      </c>
      <c r="AO133" s="28" t="s">
        <v>269</v>
      </c>
      <c r="AP133" s="28" t="s">
        <v>503</v>
      </c>
      <c r="AQ133" s="28" t="s">
        <v>242</v>
      </c>
      <c r="AR133" s="28" t="s">
        <v>242</v>
      </c>
      <c r="AS133" s="28" t="s">
        <v>178</v>
      </c>
      <c r="AU133" s="28">
        <v>3</v>
      </c>
      <c r="AW133" s="28" t="s">
        <v>175</v>
      </c>
      <c r="BA133" s="54"/>
      <c r="BH133" s="28">
        <f>0.96*1000</f>
        <v>960</v>
      </c>
      <c r="BI133" s="28">
        <f>0.84*1000</f>
        <v>840</v>
      </c>
      <c r="BL133" s="28" t="s">
        <v>271</v>
      </c>
      <c r="BM133" s="401"/>
      <c r="BN133" s="401"/>
      <c r="BR133" s="401"/>
      <c r="BS133" s="401"/>
      <c r="GM133" s="12"/>
      <c r="GQ133" s="12"/>
      <c r="IO133" s="28" t="s">
        <v>272</v>
      </c>
    </row>
    <row r="134" spans="1:249" s="28" customFormat="1" x14ac:dyDescent="0.25">
      <c r="A134" s="28">
        <v>12</v>
      </c>
      <c r="B134" s="28" t="s">
        <v>266</v>
      </c>
      <c r="C134" s="28" t="s">
        <v>267</v>
      </c>
      <c r="D134" s="28">
        <v>1984</v>
      </c>
      <c r="E134" s="28">
        <v>1980</v>
      </c>
      <c r="F134" s="28" t="s">
        <v>268</v>
      </c>
      <c r="G134" s="28" t="s">
        <v>274</v>
      </c>
      <c r="H134" s="28" t="s">
        <v>2831</v>
      </c>
      <c r="I134" s="28">
        <v>34.36</v>
      </c>
      <c r="J134" s="28">
        <v>-80.010000000000005</v>
      </c>
      <c r="K134" s="28">
        <v>61.3</v>
      </c>
      <c r="Q134" s="46">
        <v>2</v>
      </c>
      <c r="R134" s="46" t="s">
        <v>1867</v>
      </c>
      <c r="S134" s="46"/>
      <c r="T134" s="46" t="s">
        <v>1866</v>
      </c>
      <c r="U134" s="46" t="s">
        <v>1386</v>
      </c>
      <c r="V134" s="46" t="s">
        <v>1724</v>
      </c>
      <c r="W134" s="46" t="s">
        <v>1386</v>
      </c>
      <c r="X134" s="46" t="s">
        <v>1386</v>
      </c>
      <c r="Z134" s="326"/>
      <c r="AA134" s="326"/>
      <c r="AB134" s="28" t="s">
        <v>176</v>
      </c>
      <c r="AF134" s="28" t="s">
        <v>1319</v>
      </c>
      <c r="AG134" s="28" t="s">
        <v>132</v>
      </c>
      <c r="AH134" s="138" t="s">
        <v>132</v>
      </c>
      <c r="AI134" s="28" t="s">
        <v>1601</v>
      </c>
      <c r="AJ134" s="141" t="s">
        <v>159</v>
      </c>
      <c r="AN134" s="28" t="s">
        <v>232</v>
      </c>
      <c r="AO134" s="28" t="s">
        <v>269</v>
      </c>
      <c r="AP134" s="28" t="s">
        <v>503</v>
      </c>
      <c r="AQ134" s="28" t="s">
        <v>242</v>
      </c>
      <c r="AR134" s="28" t="s">
        <v>242</v>
      </c>
      <c r="AS134" s="28" t="s">
        <v>178</v>
      </c>
      <c r="AU134" s="28">
        <v>3</v>
      </c>
      <c r="AW134" s="28" t="s">
        <v>175</v>
      </c>
      <c r="BA134" s="54"/>
      <c r="BH134" s="28">
        <f>0.93*1000</f>
        <v>930</v>
      </c>
      <c r="BI134" s="28">
        <f>0.87*1000</f>
        <v>870</v>
      </c>
      <c r="BL134" s="28" t="s">
        <v>271</v>
      </c>
      <c r="BM134" s="401"/>
      <c r="BN134" s="401"/>
      <c r="BR134" s="401"/>
      <c r="BS134" s="401"/>
      <c r="GM134" s="12"/>
      <c r="GQ134" s="12"/>
      <c r="IO134" s="28" t="s">
        <v>272</v>
      </c>
    </row>
    <row r="135" spans="1:249" s="28" customFormat="1" x14ac:dyDescent="0.25">
      <c r="A135" s="28">
        <v>12</v>
      </c>
      <c r="B135" s="28" t="s">
        <v>266</v>
      </c>
      <c r="C135" s="28" t="s">
        <v>267</v>
      </c>
      <c r="D135" s="28">
        <v>1984</v>
      </c>
      <c r="E135" s="28">
        <v>1980</v>
      </c>
      <c r="F135" s="28" t="s">
        <v>268</v>
      </c>
      <c r="G135" s="28" t="s">
        <v>274</v>
      </c>
      <c r="H135" s="28" t="s">
        <v>2831</v>
      </c>
      <c r="I135" s="28">
        <v>34.36</v>
      </c>
      <c r="J135" s="28">
        <v>-80.010000000000005</v>
      </c>
      <c r="K135" s="28">
        <v>61.3</v>
      </c>
      <c r="Q135" s="46">
        <v>2</v>
      </c>
      <c r="R135" s="46" t="s">
        <v>1867</v>
      </c>
      <c r="S135" s="46"/>
      <c r="T135" s="46" t="s">
        <v>1866</v>
      </c>
      <c r="U135" s="46" t="s">
        <v>1386</v>
      </c>
      <c r="V135" s="46" t="s">
        <v>1724</v>
      </c>
      <c r="W135" s="46" t="s">
        <v>1386</v>
      </c>
      <c r="X135" s="46" t="s">
        <v>1386</v>
      </c>
      <c r="Z135" s="326"/>
      <c r="AA135" s="326"/>
      <c r="AB135" s="28" t="s">
        <v>176</v>
      </c>
      <c r="AF135" s="28" t="s">
        <v>1319</v>
      </c>
      <c r="AG135" s="28" t="s">
        <v>132</v>
      </c>
      <c r="AH135" s="138" t="s">
        <v>132</v>
      </c>
      <c r="AI135" s="28" t="s">
        <v>1602</v>
      </c>
      <c r="AJ135" s="141" t="s">
        <v>159</v>
      </c>
      <c r="AN135" s="28" t="s">
        <v>232</v>
      </c>
      <c r="AO135" s="28" t="s">
        <v>269</v>
      </c>
      <c r="AP135" s="28" t="s">
        <v>503</v>
      </c>
      <c r="AQ135" s="28" t="s">
        <v>242</v>
      </c>
      <c r="AR135" s="28" t="s">
        <v>242</v>
      </c>
      <c r="AS135" s="28" t="s">
        <v>178</v>
      </c>
      <c r="AU135" s="28">
        <v>3</v>
      </c>
      <c r="AW135" s="28" t="s">
        <v>175</v>
      </c>
      <c r="BA135" s="54"/>
      <c r="BH135" s="28">
        <f>1.01*1000</f>
        <v>1010</v>
      </c>
      <c r="BI135" s="28">
        <f>0.89*1000</f>
        <v>890</v>
      </c>
      <c r="BL135" s="28" t="s">
        <v>271</v>
      </c>
      <c r="BM135" s="401"/>
      <c r="BN135" s="401"/>
      <c r="BR135" s="401"/>
      <c r="BS135" s="401"/>
      <c r="GM135" s="12"/>
      <c r="GQ135" s="12"/>
      <c r="IO135" s="28" t="s">
        <v>272</v>
      </c>
    </row>
    <row r="136" spans="1:249" s="28" customFormat="1" x14ac:dyDescent="0.25">
      <c r="A136" s="28">
        <v>12</v>
      </c>
      <c r="B136" s="28" t="s">
        <v>266</v>
      </c>
      <c r="C136" s="28" t="s">
        <v>267</v>
      </c>
      <c r="D136" s="28">
        <v>1984</v>
      </c>
      <c r="E136" s="28">
        <v>1980</v>
      </c>
      <c r="F136" s="28" t="s">
        <v>268</v>
      </c>
      <c r="G136" s="28" t="s">
        <v>274</v>
      </c>
      <c r="H136" s="28" t="s">
        <v>2831</v>
      </c>
      <c r="I136" s="28">
        <v>34.36</v>
      </c>
      <c r="J136" s="28">
        <v>-80.010000000000005</v>
      </c>
      <c r="K136" s="28">
        <v>61.3</v>
      </c>
      <c r="Q136" s="46">
        <v>2</v>
      </c>
      <c r="R136" s="46" t="s">
        <v>1867</v>
      </c>
      <c r="S136" s="46"/>
      <c r="T136" s="46" t="s">
        <v>1866</v>
      </c>
      <c r="U136" s="46" t="s">
        <v>1386</v>
      </c>
      <c r="V136" s="46" t="s">
        <v>1724</v>
      </c>
      <c r="W136" s="46" t="s">
        <v>1386</v>
      </c>
      <c r="X136" s="46" t="s">
        <v>1386</v>
      </c>
      <c r="Z136" s="326"/>
      <c r="AA136" s="326"/>
      <c r="AB136" s="28" t="s">
        <v>176</v>
      </c>
      <c r="AF136" s="28" t="s">
        <v>1319</v>
      </c>
      <c r="AG136" s="28" t="s">
        <v>132</v>
      </c>
      <c r="AH136" s="138" t="s">
        <v>132</v>
      </c>
      <c r="AI136" s="28" t="s">
        <v>1600</v>
      </c>
      <c r="AJ136" s="141" t="s">
        <v>159</v>
      </c>
      <c r="AN136" s="28" t="s">
        <v>232</v>
      </c>
      <c r="AO136" s="28" t="s">
        <v>269</v>
      </c>
      <c r="AP136" s="28" t="s">
        <v>503</v>
      </c>
      <c r="AQ136" s="28" t="s">
        <v>242</v>
      </c>
      <c r="AR136" s="28" t="s">
        <v>242</v>
      </c>
      <c r="AS136" s="28" t="s">
        <v>178</v>
      </c>
      <c r="AU136" s="28">
        <v>3</v>
      </c>
      <c r="AW136" s="28" t="s">
        <v>175</v>
      </c>
      <c r="BA136" s="54"/>
      <c r="BH136" s="28">
        <f>1.01*1000</f>
        <v>1010</v>
      </c>
      <c r="BI136" s="28">
        <f>1.08*1000</f>
        <v>1080</v>
      </c>
      <c r="BL136" s="28" t="s">
        <v>270</v>
      </c>
      <c r="BM136" s="401"/>
      <c r="BN136" s="401"/>
      <c r="BR136" s="401"/>
      <c r="BS136" s="401"/>
      <c r="GM136" s="12"/>
      <c r="GQ136" s="12"/>
      <c r="IO136" s="28" t="s">
        <v>273</v>
      </c>
    </row>
    <row r="137" spans="1:249" s="28" customFormat="1" x14ac:dyDescent="0.25">
      <c r="A137" s="28">
        <v>12</v>
      </c>
      <c r="B137" s="28" t="s">
        <v>266</v>
      </c>
      <c r="C137" s="28" t="s">
        <v>267</v>
      </c>
      <c r="D137" s="28">
        <v>1984</v>
      </c>
      <c r="E137" s="28">
        <v>1980</v>
      </c>
      <c r="F137" s="28" t="s">
        <v>268</v>
      </c>
      <c r="G137" s="28" t="s">
        <v>274</v>
      </c>
      <c r="H137" s="28" t="s">
        <v>2831</v>
      </c>
      <c r="I137" s="28">
        <v>34.36</v>
      </c>
      <c r="J137" s="28">
        <v>-80.010000000000005</v>
      </c>
      <c r="K137" s="28">
        <v>61.3</v>
      </c>
      <c r="Q137" s="46">
        <v>2</v>
      </c>
      <c r="R137" s="46" t="s">
        <v>1867</v>
      </c>
      <c r="S137" s="46"/>
      <c r="T137" s="46" t="s">
        <v>1866</v>
      </c>
      <c r="U137" s="46" t="s">
        <v>1386</v>
      </c>
      <c r="V137" s="46" t="s">
        <v>1724</v>
      </c>
      <c r="W137" s="46" t="s">
        <v>1386</v>
      </c>
      <c r="X137" s="46" t="s">
        <v>1386</v>
      </c>
      <c r="Z137" s="326"/>
      <c r="AA137" s="326"/>
      <c r="AB137" s="28" t="s">
        <v>176</v>
      </c>
      <c r="AF137" s="28" t="s">
        <v>1319</v>
      </c>
      <c r="AG137" s="28" t="s">
        <v>132</v>
      </c>
      <c r="AH137" s="138" t="s">
        <v>132</v>
      </c>
      <c r="AI137" s="28" t="s">
        <v>1601</v>
      </c>
      <c r="AJ137" s="141" t="s">
        <v>159</v>
      </c>
      <c r="AN137" s="28" t="s">
        <v>232</v>
      </c>
      <c r="AO137" s="28" t="s">
        <v>269</v>
      </c>
      <c r="AP137" s="28" t="s">
        <v>503</v>
      </c>
      <c r="AQ137" s="28" t="s">
        <v>242</v>
      </c>
      <c r="AR137" s="28" t="s">
        <v>242</v>
      </c>
      <c r="AS137" s="28" t="s">
        <v>178</v>
      </c>
      <c r="AU137" s="28">
        <v>3</v>
      </c>
      <c r="AW137" s="28" t="s">
        <v>175</v>
      </c>
      <c r="BA137" s="54"/>
      <c r="BH137" s="28">
        <f>1.1*1000</f>
        <v>1100</v>
      </c>
      <c r="BI137" s="28">
        <f>0.81*1000</f>
        <v>810</v>
      </c>
      <c r="BL137" s="28" t="s">
        <v>270</v>
      </c>
      <c r="BM137" s="401"/>
      <c r="BN137" s="401"/>
      <c r="BR137" s="401"/>
      <c r="BS137" s="401"/>
      <c r="GM137" s="12"/>
      <c r="GQ137" s="12"/>
      <c r="IO137" s="28" t="s">
        <v>273</v>
      </c>
    </row>
    <row r="138" spans="1:249" s="28" customFormat="1" x14ac:dyDescent="0.25">
      <c r="A138" s="28">
        <v>12</v>
      </c>
      <c r="B138" s="28" t="s">
        <v>266</v>
      </c>
      <c r="C138" s="28" t="s">
        <v>267</v>
      </c>
      <c r="D138" s="28">
        <v>1984</v>
      </c>
      <c r="E138" s="28">
        <v>1980</v>
      </c>
      <c r="F138" s="28" t="s">
        <v>268</v>
      </c>
      <c r="G138" s="28" t="s">
        <v>274</v>
      </c>
      <c r="H138" s="28" t="s">
        <v>2831</v>
      </c>
      <c r="I138" s="28">
        <v>34.36</v>
      </c>
      <c r="J138" s="28">
        <v>-80.010000000000005</v>
      </c>
      <c r="K138" s="28">
        <v>61.3</v>
      </c>
      <c r="Q138" s="46">
        <v>2</v>
      </c>
      <c r="R138" s="46" t="s">
        <v>1867</v>
      </c>
      <c r="S138" s="46"/>
      <c r="T138" s="46" t="s">
        <v>1866</v>
      </c>
      <c r="U138" s="46" t="s">
        <v>1386</v>
      </c>
      <c r="V138" s="46" t="s">
        <v>1724</v>
      </c>
      <c r="W138" s="46" t="s">
        <v>1386</v>
      </c>
      <c r="X138" s="46" t="s">
        <v>1386</v>
      </c>
      <c r="Z138" s="326"/>
      <c r="AA138" s="326"/>
      <c r="AB138" s="28" t="s">
        <v>176</v>
      </c>
      <c r="AF138" s="28" t="s">
        <v>1319</v>
      </c>
      <c r="AG138" s="28" t="s">
        <v>132</v>
      </c>
      <c r="AH138" s="138" t="s">
        <v>132</v>
      </c>
      <c r="AI138" s="28" t="s">
        <v>1602</v>
      </c>
      <c r="AJ138" s="141" t="s">
        <v>159</v>
      </c>
      <c r="AN138" s="28" t="s">
        <v>232</v>
      </c>
      <c r="AO138" s="28" t="s">
        <v>269</v>
      </c>
      <c r="AP138" s="28" t="s">
        <v>503</v>
      </c>
      <c r="AQ138" s="28" t="s">
        <v>242</v>
      </c>
      <c r="AR138" s="28" t="s">
        <v>242</v>
      </c>
      <c r="AS138" s="28" t="s">
        <v>178</v>
      </c>
      <c r="AU138" s="28">
        <v>3</v>
      </c>
      <c r="AW138" s="28" t="s">
        <v>175</v>
      </c>
      <c r="BA138" s="54"/>
      <c r="BH138" s="28">
        <f>1.08*1000</f>
        <v>1080</v>
      </c>
      <c r="BI138" s="28">
        <f>0.92*1000</f>
        <v>920</v>
      </c>
      <c r="BL138" s="28" t="s">
        <v>270</v>
      </c>
      <c r="BM138" s="401"/>
      <c r="BN138" s="401"/>
      <c r="BR138" s="401"/>
      <c r="BS138" s="401"/>
      <c r="GM138" s="12"/>
      <c r="GQ138" s="12"/>
      <c r="IO138" s="28" t="s">
        <v>273</v>
      </c>
    </row>
    <row r="139" spans="1:249" s="28" customFormat="1" x14ac:dyDescent="0.25">
      <c r="A139" s="28">
        <v>12</v>
      </c>
      <c r="B139" s="28" t="s">
        <v>266</v>
      </c>
      <c r="C139" s="28" t="s">
        <v>267</v>
      </c>
      <c r="D139" s="28">
        <v>1984</v>
      </c>
      <c r="E139" s="28">
        <v>1980</v>
      </c>
      <c r="F139" s="28" t="s">
        <v>268</v>
      </c>
      <c r="G139" s="28" t="s">
        <v>274</v>
      </c>
      <c r="H139" s="28" t="s">
        <v>2831</v>
      </c>
      <c r="I139" s="28">
        <v>34.36</v>
      </c>
      <c r="J139" s="28">
        <v>-80.010000000000005</v>
      </c>
      <c r="K139" s="28">
        <v>61.3</v>
      </c>
      <c r="Q139" s="46">
        <v>2</v>
      </c>
      <c r="R139" s="46" t="s">
        <v>1867</v>
      </c>
      <c r="S139" s="46"/>
      <c r="T139" s="46" t="s">
        <v>1866</v>
      </c>
      <c r="U139" s="46" t="s">
        <v>1386</v>
      </c>
      <c r="V139" s="46" t="s">
        <v>1724</v>
      </c>
      <c r="W139" s="46" t="s">
        <v>1386</v>
      </c>
      <c r="X139" s="46" t="s">
        <v>1386</v>
      </c>
      <c r="Z139" s="326"/>
      <c r="AA139" s="326"/>
      <c r="AB139" s="28" t="s">
        <v>176</v>
      </c>
      <c r="AF139" s="28" t="s">
        <v>1319</v>
      </c>
      <c r="AG139" s="28" t="s">
        <v>132</v>
      </c>
      <c r="AH139" s="138" t="s">
        <v>132</v>
      </c>
      <c r="AI139" s="28" t="s">
        <v>1600</v>
      </c>
      <c r="AJ139" s="141" t="s">
        <v>159</v>
      </c>
      <c r="AN139" s="28" t="s">
        <v>232</v>
      </c>
      <c r="AO139" s="28" t="s">
        <v>269</v>
      </c>
      <c r="AP139" s="28" t="s">
        <v>503</v>
      </c>
      <c r="AQ139" s="28" t="s">
        <v>242</v>
      </c>
      <c r="AR139" s="28" t="s">
        <v>242</v>
      </c>
      <c r="AS139" s="28" t="s">
        <v>178</v>
      </c>
      <c r="AU139" s="28">
        <v>3</v>
      </c>
      <c r="AW139" s="28" t="s">
        <v>175</v>
      </c>
      <c r="BA139" s="54"/>
      <c r="BH139" s="28">
        <f>0.81*1000</f>
        <v>810</v>
      </c>
      <c r="BI139" s="28">
        <f>0.99*1000</f>
        <v>990</v>
      </c>
      <c r="BL139" s="28" t="s">
        <v>271</v>
      </c>
      <c r="BM139" s="401"/>
      <c r="BN139" s="401"/>
      <c r="BR139" s="401"/>
      <c r="BS139" s="401"/>
      <c r="GM139" s="12"/>
      <c r="GQ139" s="12"/>
      <c r="IO139" s="28" t="s">
        <v>273</v>
      </c>
    </row>
    <row r="140" spans="1:249" s="28" customFormat="1" x14ac:dyDescent="0.25">
      <c r="A140" s="28">
        <v>12</v>
      </c>
      <c r="B140" s="28" t="s">
        <v>266</v>
      </c>
      <c r="C140" s="28" t="s">
        <v>267</v>
      </c>
      <c r="D140" s="28">
        <v>1984</v>
      </c>
      <c r="E140" s="28">
        <v>1980</v>
      </c>
      <c r="F140" s="28" t="s">
        <v>268</v>
      </c>
      <c r="G140" s="28" t="s">
        <v>274</v>
      </c>
      <c r="H140" s="28" t="s">
        <v>2831</v>
      </c>
      <c r="I140" s="28">
        <v>34.36</v>
      </c>
      <c r="J140" s="28">
        <v>-80.010000000000005</v>
      </c>
      <c r="K140" s="28">
        <v>61.3</v>
      </c>
      <c r="Q140" s="46">
        <v>2</v>
      </c>
      <c r="R140" s="46" t="s">
        <v>1867</v>
      </c>
      <c r="S140" s="46"/>
      <c r="T140" s="46" t="s">
        <v>1866</v>
      </c>
      <c r="U140" s="46" t="s">
        <v>1386</v>
      </c>
      <c r="V140" s="46" t="s">
        <v>1724</v>
      </c>
      <c r="W140" s="46" t="s">
        <v>1386</v>
      </c>
      <c r="X140" s="46" t="s">
        <v>1386</v>
      </c>
      <c r="Z140" s="326"/>
      <c r="AA140" s="326"/>
      <c r="AB140" s="28" t="s">
        <v>176</v>
      </c>
      <c r="AF140" s="28" t="s">
        <v>1319</v>
      </c>
      <c r="AG140" s="28" t="s">
        <v>132</v>
      </c>
      <c r="AH140" s="138" t="s">
        <v>132</v>
      </c>
      <c r="AI140" s="28" t="s">
        <v>1601</v>
      </c>
      <c r="AJ140" s="141" t="s">
        <v>159</v>
      </c>
      <c r="AN140" s="28" t="s">
        <v>232</v>
      </c>
      <c r="AO140" s="28" t="s">
        <v>269</v>
      </c>
      <c r="AP140" s="28" t="s">
        <v>503</v>
      </c>
      <c r="AQ140" s="28" t="s">
        <v>242</v>
      </c>
      <c r="AR140" s="28" t="s">
        <v>242</v>
      </c>
      <c r="AS140" s="28" t="s">
        <v>178</v>
      </c>
      <c r="AU140" s="28">
        <v>3</v>
      </c>
      <c r="AW140" s="28" t="s">
        <v>175</v>
      </c>
      <c r="BA140" s="54"/>
      <c r="BH140" s="28">
        <f>1.06*1000</f>
        <v>1060</v>
      </c>
      <c r="BI140" s="28">
        <f>0.97*1000</f>
        <v>970</v>
      </c>
      <c r="BL140" s="28" t="s">
        <v>271</v>
      </c>
      <c r="BM140" s="401"/>
      <c r="BN140" s="401"/>
      <c r="BR140" s="401"/>
      <c r="BS140" s="401"/>
      <c r="GM140" s="12"/>
      <c r="GQ140" s="12"/>
      <c r="IO140" s="28" t="s">
        <v>273</v>
      </c>
    </row>
    <row r="141" spans="1:249" s="28" customFormat="1" x14ac:dyDescent="0.25">
      <c r="A141" s="28">
        <v>12</v>
      </c>
      <c r="B141" s="28" t="s">
        <v>266</v>
      </c>
      <c r="C141" s="28" t="s">
        <v>267</v>
      </c>
      <c r="D141" s="28">
        <v>1984</v>
      </c>
      <c r="E141" s="28">
        <v>1980</v>
      </c>
      <c r="F141" s="28" t="s">
        <v>268</v>
      </c>
      <c r="G141" s="28" t="s">
        <v>274</v>
      </c>
      <c r="H141" s="28" t="s">
        <v>2831</v>
      </c>
      <c r="I141" s="28">
        <v>34.36</v>
      </c>
      <c r="J141" s="28">
        <v>-80.010000000000005</v>
      </c>
      <c r="K141" s="28">
        <v>61.3</v>
      </c>
      <c r="Q141" s="46">
        <v>2</v>
      </c>
      <c r="R141" s="46" t="s">
        <v>1867</v>
      </c>
      <c r="S141" s="46"/>
      <c r="T141" s="46" t="s">
        <v>1866</v>
      </c>
      <c r="U141" s="46" t="s">
        <v>1386</v>
      </c>
      <c r="V141" s="46" t="s">
        <v>1724</v>
      </c>
      <c r="W141" s="46" t="s">
        <v>1386</v>
      </c>
      <c r="X141" s="46" t="s">
        <v>1386</v>
      </c>
      <c r="Z141" s="326"/>
      <c r="AA141" s="326"/>
      <c r="AB141" s="28" t="s">
        <v>176</v>
      </c>
      <c r="AF141" s="28" t="s">
        <v>1319</v>
      </c>
      <c r="AG141" s="28" t="s">
        <v>132</v>
      </c>
      <c r="AH141" s="138" t="s">
        <v>132</v>
      </c>
      <c r="AI141" s="28" t="s">
        <v>1602</v>
      </c>
      <c r="AJ141" s="141" t="s">
        <v>159</v>
      </c>
      <c r="AN141" s="28" t="s">
        <v>232</v>
      </c>
      <c r="AO141" s="28" t="s">
        <v>269</v>
      </c>
      <c r="AP141" s="28" t="s">
        <v>503</v>
      </c>
      <c r="AQ141" s="28" t="s">
        <v>242</v>
      </c>
      <c r="AR141" s="28" t="s">
        <v>242</v>
      </c>
      <c r="AS141" s="28" t="s">
        <v>178</v>
      </c>
      <c r="AU141" s="28">
        <v>3</v>
      </c>
      <c r="AW141" s="28" t="s">
        <v>175</v>
      </c>
      <c r="BA141" s="54"/>
      <c r="BH141" s="28">
        <f>1.14*1000</f>
        <v>1140</v>
      </c>
      <c r="BI141" s="28">
        <f>1.02*1000</f>
        <v>1020</v>
      </c>
      <c r="BL141" s="28" t="s">
        <v>271</v>
      </c>
      <c r="BM141" s="401"/>
      <c r="BN141" s="401"/>
      <c r="BR141" s="401"/>
      <c r="BS141" s="401"/>
      <c r="GM141" s="12"/>
      <c r="GQ141" s="12"/>
      <c r="IO141" s="28" t="s">
        <v>273</v>
      </c>
    </row>
    <row r="142" spans="1:249" s="28" customFormat="1" x14ac:dyDescent="0.25">
      <c r="A142" s="28">
        <v>12</v>
      </c>
      <c r="B142" s="28" t="s">
        <v>266</v>
      </c>
      <c r="C142" s="28" t="s">
        <v>267</v>
      </c>
      <c r="D142" s="28">
        <v>1984</v>
      </c>
      <c r="E142" s="28">
        <v>1980</v>
      </c>
      <c r="F142" s="28" t="s">
        <v>268</v>
      </c>
      <c r="G142" s="28" t="s">
        <v>275</v>
      </c>
      <c r="H142" s="28" t="s">
        <v>2831</v>
      </c>
      <c r="I142" s="28">
        <v>34.200000000000003</v>
      </c>
      <c r="J142" s="28">
        <v>-79.760000000000005</v>
      </c>
      <c r="K142" s="28">
        <v>44.3</v>
      </c>
      <c r="Q142" s="46">
        <v>3</v>
      </c>
      <c r="R142" s="46" t="s">
        <v>1867</v>
      </c>
      <c r="S142" s="46"/>
      <c r="T142" s="46" t="s">
        <v>1866</v>
      </c>
      <c r="U142" s="46" t="s">
        <v>1386</v>
      </c>
      <c r="V142" s="46" t="s">
        <v>1724</v>
      </c>
      <c r="W142" s="46" t="s">
        <v>1386</v>
      </c>
      <c r="X142" s="46" t="s">
        <v>1386</v>
      </c>
      <c r="Z142" s="326"/>
      <c r="AA142" s="326"/>
      <c r="AB142" s="28" t="s">
        <v>176</v>
      </c>
      <c r="AF142" s="28" t="s">
        <v>1319</v>
      </c>
      <c r="AG142" s="28" t="s">
        <v>132</v>
      </c>
      <c r="AH142" s="138" t="s">
        <v>132</v>
      </c>
      <c r="AI142" s="28" t="s">
        <v>1600</v>
      </c>
      <c r="AJ142" s="141" t="s">
        <v>159</v>
      </c>
      <c r="AN142" s="28" t="s">
        <v>232</v>
      </c>
      <c r="AO142" s="28" t="s">
        <v>269</v>
      </c>
      <c r="AP142" s="28" t="s">
        <v>503</v>
      </c>
      <c r="AQ142" s="28" t="s">
        <v>242</v>
      </c>
      <c r="AR142" s="28" t="s">
        <v>242</v>
      </c>
      <c r="AS142" s="28" t="s">
        <v>178</v>
      </c>
      <c r="AU142" s="28">
        <v>3</v>
      </c>
      <c r="AW142" s="28" t="s">
        <v>175</v>
      </c>
      <c r="BA142" s="54"/>
      <c r="BH142" s="28">
        <f>2.06*1000</f>
        <v>2060</v>
      </c>
      <c r="BI142" s="28">
        <f>1.6*1000</f>
        <v>1600</v>
      </c>
      <c r="BL142" s="28" t="s">
        <v>270</v>
      </c>
      <c r="BM142" s="401"/>
      <c r="BN142" s="401"/>
      <c r="BR142" s="401"/>
      <c r="BS142" s="401"/>
      <c r="GM142" s="12"/>
      <c r="GQ142" s="12"/>
      <c r="IO142" s="28" t="s">
        <v>272</v>
      </c>
    </row>
    <row r="143" spans="1:249" s="28" customFormat="1" x14ac:dyDescent="0.25">
      <c r="A143" s="28">
        <v>12</v>
      </c>
      <c r="B143" s="28" t="s">
        <v>266</v>
      </c>
      <c r="C143" s="28" t="s">
        <v>267</v>
      </c>
      <c r="D143" s="28">
        <v>1984</v>
      </c>
      <c r="E143" s="28">
        <v>1980</v>
      </c>
      <c r="F143" s="28" t="s">
        <v>268</v>
      </c>
      <c r="G143" s="28" t="s">
        <v>275</v>
      </c>
      <c r="H143" s="28" t="s">
        <v>2831</v>
      </c>
      <c r="I143" s="28">
        <v>34.200000000000003</v>
      </c>
      <c r="J143" s="28">
        <v>-79.760000000000005</v>
      </c>
      <c r="K143" s="28">
        <v>44.3</v>
      </c>
      <c r="Q143" s="46">
        <v>3</v>
      </c>
      <c r="R143" s="46" t="s">
        <v>1867</v>
      </c>
      <c r="S143" s="46"/>
      <c r="T143" s="46" t="s">
        <v>1866</v>
      </c>
      <c r="U143" s="46" t="s">
        <v>1386</v>
      </c>
      <c r="V143" s="46" t="s">
        <v>1724</v>
      </c>
      <c r="W143" s="46" t="s">
        <v>1386</v>
      </c>
      <c r="X143" s="46" t="s">
        <v>1386</v>
      </c>
      <c r="Z143" s="326"/>
      <c r="AA143" s="326"/>
      <c r="AB143" s="28" t="s">
        <v>176</v>
      </c>
      <c r="AF143" s="28" t="s">
        <v>1319</v>
      </c>
      <c r="AG143" s="28" t="s">
        <v>132</v>
      </c>
      <c r="AH143" s="138" t="s">
        <v>132</v>
      </c>
      <c r="AI143" s="28" t="s">
        <v>1601</v>
      </c>
      <c r="AJ143" s="141" t="s">
        <v>159</v>
      </c>
      <c r="AN143" s="28" t="s">
        <v>232</v>
      </c>
      <c r="AO143" s="28" t="s">
        <v>269</v>
      </c>
      <c r="AP143" s="28" t="s">
        <v>503</v>
      </c>
      <c r="AQ143" s="28" t="s">
        <v>242</v>
      </c>
      <c r="AR143" s="28" t="s">
        <v>242</v>
      </c>
      <c r="AS143" s="28" t="s">
        <v>178</v>
      </c>
      <c r="AU143" s="28">
        <v>3</v>
      </c>
      <c r="AW143" s="28" t="s">
        <v>175</v>
      </c>
      <c r="BA143" s="54"/>
      <c r="BM143" s="401"/>
      <c r="BN143" s="401"/>
      <c r="BR143" s="401"/>
      <c r="BS143" s="401"/>
      <c r="GM143" s="12"/>
      <c r="GQ143" s="12"/>
      <c r="IO143" s="28" t="s">
        <v>272</v>
      </c>
    </row>
    <row r="144" spans="1:249" s="28" customFormat="1" x14ac:dyDescent="0.25">
      <c r="A144" s="28">
        <v>12</v>
      </c>
      <c r="B144" s="28" t="s">
        <v>266</v>
      </c>
      <c r="C144" s="28" t="s">
        <v>267</v>
      </c>
      <c r="D144" s="28">
        <v>1984</v>
      </c>
      <c r="E144" s="28">
        <v>1980</v>
      </c>
      <c r="F144" s="28" t="s">
        <v>268</v>
      </c>
      <c r="G144" s="28" t="s">
        <v>275</v>
      </c>
      <c r="H144" s="28" t="s">
        <v>2831</v>
      </c>
      <c r="I144" s="28">
        <v>34.200000000000003</v>
      </c>
      <c r="J144" s="28">
        <v>-79.760000000000005</v>
      </c>
      <c r="K144" s="28">
        <v>44.3</v>
      </c>
      <c r="Q144" s="46">
        <v>3</v>
      </c>
      <c r="R144" s="46" t="s">
        <v>1867</v>
      </c>
      <c r="S144" s="46"/>
      <c r="T144" s="46" t="s">
        <v>1866</v>
      </c>
      <c r="U144" s="46" t="s">
        <v>1386</v>
      </c>
      <c r="V144" s="46" t="s">
        <v>1724</v>
      </c>
      <c r="W144" s="46" t="s">
        <v>1386</v>
      </c>
      <c r="X144" s="46" t="s">
        <v>1386</v>
      </c>
      <c r="Z144" s="326"/>
      <c r="AA144" s="326"/>
      <c r="AB144" s="28" t="s">
        <v>176</v>
      </c>
      <c r="AF144" s="28" t="s">
        <v>1319</v>
      </c>
      <c r="AG144" s="28" t="s">
        <v>132</v>
      </c>
      <c r="AH144" s="138" t="s">
        <v>132</v>
      </c>
      <c r="AI144" s="28" t="s">
        <v>1602</v>
      </c>
      <c r="AJ144" s="141" t="s">
        <v>159</v>
      </c>
      <c r="AN144" s="28" t="s">
        <v>232</v>
      </c>
      <c r="AO144" s="28" t="s">
        <v>269</v>
      </c>
      <c r="AP144" s="28" t="s">
        <v>503</v>
      </c>
      <c r="AQ144" s="28" t="s">
        <v>242</v>
      </c>
      <c r="AR144" s="28" t="s">
        <v>242</v>
      </c>
      <c r="AS144" s="28" t="s">
        <v>178</v>
      </c>
      <c r="AU144" s="28">
        <v>3</v>
      </c>
      <c r="AW144" s="28" t="s">
        <v>175</v>
      </c>
      <c r="BA144" s="54"/>
      <c r="BH144" s="28">
        <f>2*1000</f>
        <v>2000</v>
      </c>
      <c r="BI144" s="28">
        <f>1.68*1000</f>
        <v>1680</v>
      </c>
      <c r="BL144" s="28" t="s">
        <v>270</v>
      </c>
      <c r="BM144" s="401"/>
      <c r="BN144" s="401"/>
      <c r="BR144" s="401"/>
      <c r="BS144" s="401"/>
      <c r="GM144" s="12"/>
      <c r="GQ144" s="12"/>
      <c r="IO144" s="28" t="s">
        <v>272</v>
      </c>
    </row>
    <row r="145" spans="1:249" s="28" customFormat="1" x14ac:dyDescent="0.25">
      <c r="A145" s="28">
        <v>12</v>
      </c>
      <c r="B145" s="28" t="s">
        <v>266</v>
      </c>
      <c r="C145" s="28" t="s">
        <v>267</v>
      </c>
      <c r="D145" s="28">
        <v>1984</v>
      </c>
      <c r="E145" s="28">
        <v>1980</v>
      </c>
      <c r="F145" s="28" t="s">
        <v>268</v>
      </c>
      <c r="G145" s="28" t="s">
        <v>275</v>
      </c>
      <c r="H145" s="28" t="s">
        <v>2831</v>
      </c>
      <c r="I145" s="28">
        <v>34.200000000000003</v>
      </c>
      <c r="J145" s="28">
        <v>-79.760000000000005</v>
      </c>
      <c r="K145" s="28">
        <v>44.3</v>
      </c>
      <c r="Q145" s="46">
        <v>3</v>
      </c>
      <c r="R145" s="46" t="s">
        <v>1867</v>
      </c>
      <c r="S145" s="46"/>
      <c r="T145" s="46" t="s">
        <v>1866</v>
      </c>
      <c r="U145" s="46" t="s">
        <v>1386</v>
      </c>
      <c r="V145" s="46" t="s">
        <v>1724</v>
      </c>
      <c r="W145" s="46" t="s">
        <v>1386</v>
      </c>
      <c r="X145" s="46" t="s">
        <v>1386</v>
      </c>
      <c r="Z145" s="326"/>
      <c r="AA145" s="326"/>
      <c r="AB145" s="28" t="s">
        <v>176</v>
      </c>
      <c r="AF145" s="28" t="s">
        <v>1319</v>
      </c>
      <c r="AG145" s="28" t="s">
        <v>132</v>
      </c>
      <c r="AH145" s="138" t="s">
        <v>132</v>
      </c>
      <c r="AI145" s="28" t="s">
        <v>1600</v>
      </c>
      <c r="AJ145" s="141" t="s">
        <v>159</v>
      </c>
      <c r="AN145" s="28" t="s">
        <v>232</v>
      </c>
      <c r="AO145" s="28" t="s">
        <v>269</v>
      </c>
      <c r="AP145" s="28" t="s">
        <v>503</v>
      </c>
      <c r="AQ145" s="28" t="s">
        <v>242</v>
      </c>
      <c r="AR145" s="28" t="s">
        <v>242</v>
      </c>
      <c r="AS145" s="28" t="s">
        <v>178</v>
      </c>
      <c r="AU145" s="28">
        <v>3</v>
      </c>
      <c r="AW145" s="28" t="s">
        <v>175</v>
      </c>
      <c r="BA145" s="54"/>
      <c r="BH145" s="28">
        <f>1.86*1000</f>
        <v>1860</v>
      </c>
      <c r="BI145" s="28">
        <f>1.89*1000</f>
        <v>1890</v>
      </c>
      <c r="BL145" s="28" t="s">
        <v>271</v>
      </c>
      <c r="BM145" s="401"/>
      <c r="BN145" s="401"/>
      <c r="BR145" s="401"/>
      <c r="BS145" s="401"/>
      <c r="GM145" s="12"/>
      <c r="GQ145" s="12"/>
      <c r="IO145" s="28" t="s">
        <v>272</v>
      </c>
    </row>
    <row r="146" spans="1:249" s="28" customFormat="1" x14ac:dyDescent="0.25">
      <c r="A146" s="28">
        <v>12</v>
      </c>
      <c r="B146" s="28" t="s">
        <v>266</v>
      </c>
      <c r="C146" s="28" t="s">
        <v>267</v>
      </c>
      <c r="D146" s="28">
        <v>1984</v>
      </c>
      <c r="E146" s="28">
        <v>1980</v>
      </c>
      <c r="F146" s="28" t="s">
        <v>268</v>
      </c>
      <c r="G146" s="28" t="s">
        <v>275</v>
      </c>
      <c r="H146" s="28" t="s">
        <v>2831</v>
      </c>
      <c r="I146" s="28">
        <v>34.200000000000003</v>
      </c>
      <c r="J146" s="28">
        <v>-79.760000000000005</v>
      </c>
      <c r="K146" s="28">
        <v>44.3</v>
      </c>
      <c r="Q146" s="46">
        <v>3</v>
      </c>
      <c r="R146" s="46" t="s">
        <v>1867</v>
      </c>
      <c r="S146" s="46"/>
      <c r="T146" s="46" t="s">
        <v>1866</v>
      </c>
      <c r="U146" s="46" t="s">
        <v>1386</v>
      </c>
      <c r="V146" s="46" t="s">
        <v>1724</v>
      </c>
      <c r="W146" s="46" t="s">
        <v>1386</v>
      </c>
      <c r="X146" s="46" t="s">
        <v>1386</v>
      </c>
      <c r="Z146" s="326"/>
      <c r="AA146" s="326"/>
      <c r="AB146" s="28" t="s">
        <v>176</v>
      </c>
      <c r="AF146" s="28" t="s">
        <v>1319</v>
      </c>
      <c r="AG146" s="28" t="s">
        <v>132</v>
      </c>
      <c r="AH146" s="138" t="s">
        <v>132</v>
      </c>
      <c r="AI146" s="28" t="s">
        <v>1601</v>
      </c>
      <c r="AJ146" s="141" t="s">
        <v>159</v>
      </c>
      <c r="AN146" s="28" t="s">
        <v>232</v>
      </c>
      <c r="AO146" s="28" t="s">
        <v>269</v>
      </c>
      <c r="AP146" s="28" t="s">
        <v>503</v>
      </c>
      <c r="AQ146" s="28" t="s">
        <v>242</v>
      </c>
      <c r="AR146" s="28" t="s">
        <v>242</v>
      </c>
      <c r="AS146" s="28" t="s">
        <v>178</v>
      </c>
      <c r="AU146" s="28">
        <v>3</v>
      </c>
      <c r="AW146" s="28" t="s">
        <v>175</v>
      </c>
      <c r="BA146" s="54"/>
      <c r="BH146" s="28">
        <f>1.9*1000</f>
        <v>1900</v>
      </c>
      <c r="BI146" s="28">
        <f>1.93*1000</f>
        <v>1930</v>
      </c>
      <c r="BL146" s="28" t="s">
        <v>271</v>
      </c>
      <c r="BM146" s="401"/>
      <c r="BN146" s="401"/>
      <c r="BR146" s="401"/>
      <c r="BS146" s="401"/>
      <c r="GM146" s="12"/>
      <c r="GQ146" s="12"/>
      <c r="IO146" s="28" t="s">
        <v>272</v>
      </c>
    </row>
    <row r="147" spans="1:249" s="28" customFormat="1" x14ac:dyDescent="0.25">
      <c r="A147" s="28">
        <v>12</v>
      </c>
      <c r="B147" s="28" t="s">
        <v>266</v>
      </c>
      <c r="C147" s="28" t="s">
        <v>267</v>
      </c>
      <c r="D147" s="28">
        <v>1984</v>
      </c>
      <c r="E147" s="28">
        <v>1980</v>
      </c>
      <c r="F147" s="28" t="s">
        <v>268</v>
      </c>
      <c r="G147" s="28" t="s">
        <v>275</v>
      </c>
      <c r="H147" s="28" t="s">
        <v>2831</v>
      </c>
      <c r="I147" s="28">
        <v>34.200000000000003</v>
      </c>
      <c r="J147" s="28">
        <v>-79.760000000000005</v>
      </c>
      <c r="K147" s="28">
        <v>44.3</v>
      </c>
      <c r="Q147" s="46">
        <v>3</v>
      </c>
      <c r="R147" s="46" t="s">
        <v>1867</v>
      </c>
      <c r="S147" s="46"/>
      <c r="T147" s="46" t="s">
        <v>1866</v>
      </c>
      <c r="U147" s="46" t="s">
        <v>1386</v>
      </c>
      <c r="V147" s="46" t="s">
        <v>1724</v>
      </c>
      <c r="W147" s="46" t="s">
        <v>1386</v>
      </c>
      <c r="X147" s="46" t="s">
        <v>1386</v>
      </c>
      <c r="Z147" s="326"/>
      <c r="AA147" s="326"/>
      <c r="AB147" s="28" t="s">
        <v>176</v>
      </c>
      <c r="AF147" s="28" t="s">
        <v>1319</v>
      </c>
      <c r="AG147" s="28" t="s">
        <v>132</v>
      </c>
      <c r="AH147" s="138" t="s">
        <v>132</v>
      </c>
      <c r="AI147" s="28" t="s">
        <v>1602</v>
      </c>
      <c r="AJ147" s="141" t="s">
        <v>159</v>
      </c>
      <c r="AN147" s="28" t="s">
        <v>232</v>
      </c>
      <c r="AO147" s="28" t="s">
        <v>269</v>
      </c>
      <c r="AP147" s="28" t="s">
        <v>503</v>
      </c>
      <c r="AQ147" s="28" t="s">
        <v>242</v>
      </c>
      <c r="AR147" s="28" t="s">
        <v>242</v>
      </c>
      <c r="AS147" s="28" t="s">
        <v>178</v>
      </c>
      <c r="AU147" s="28">
        <v>3</v>
      </c>
      <c r="AW147" s="28" t="s">
        <v>175</v>
      </c>
      <c r="BA147" s="54"/>
      <c r="BH147" s="28">
        <f>2.05*1000</f>
        <v>2050</v>
      </c>
      <c r="BI147" s="28">
        <f>2.09*1000</f>
        <v>2090</v>
      </c>
      <c r="BL147" s="28" t="s">
        <v>271</v>
      </c>
      <c r="BM147" s="401"/>
      <c r="BN147" s="401"/>
      <c r="BR147" s="401"/>
      <c r="BS147" s="401"/>
      <c r="GM147" s="12"/>
      <c r="GQ147" s="12"/>
      <c r="IO147" s="28" t="s">
        <v>272</v>
      </c>
    </row>
    <row r="148" spans="1:249" s="28" customFormat="1" x14ac:dyDescent="0.25">
      <c r="A148" s="28">
        <v>12</v>
      </c>
      <c r="B148" s="28" t="s">
        <v>266</v>
      </c>
      <c r="C148" s="28" t="s">
        <v>267</v>
      </c>
      <c r="D148" s="28">
        <v>1984</v>
      </c>
      <c r="E148" s="28">
        <v>1980</v>
      </c>
      <c r="F148" s="28" t="s">
        <v>268</v>
      </c>
      <c r="G148" s="28" t="s">
        <v>275</v>
      </c>
      <c r="H148" s="28" t="s">
        <v>2831</v>
      </c>
      <c r="I148" s="28">
        <v>34.200000000000003</v>
      </c>
      <c r="J148" s="28">
        <v>-79.760000000000005</v>
      </c>
      <c r="K148" s="28">
        <v>44.3</v>
      </c>
      <c r="Q148" s="46">
        <v>3</v>
      </c>
      <c r="R148" s="46" t="s">
        <v>1867</v>
      </c>
      <c r="S148" s="46"/>
      <c r="T148" s="46" t="s">
        <v>1866</v>
      </c>
      <c r="U148" s="46" t="s">
        <v>1386</v>
      </c>
      <c r="V148" s="46" t="s">
        <v>1724</v>
      </c>
      <c r="W148" s="46" t="s">
        <v>1386</v>
      </c>
      <c r="X148" s="46" t="s">
        <v>1386</v>
      </c>
      <c r="Z148" s="326"/>
      <c r="AA148" s="326"/>
      <c r="AB148" s="28" t="s">
        <v>176</v>
      </c>
      <c r="AF148" s="28" t="s">
        <v>1319</v>
      </c>
      <c r="AG148" s="28" t="s">
        <v>132</v>
      </c>
      <c r="AH148" s="138" t="s">
        <v>132</v>
      </c>
      <c r="AI148" s="28" t="s">
        <v>1600</v>
      </c>
      <c r="AJ148" s="141" t="s">
        <v>159</v>
      </c>
      <c r="AN148" s="28" t="s">
        <v>232</v>
      </c>
      <c r="AO148" s="28" t="s">
        <v>269</v>
      </c>
      <c r="AP148" s="28" t="s">
        <v>503</v>
      </c>
      <c r="AQ148" s="28" t="s">
        <v>242</v>
      </c>
      <c r="AR148" s="28" t="s">
        <v>242</v>
      </c>
      <c r="AS148" s="28" t="s">
        <v>178</v>
      </c>
      <c r="AU148" s="28">
        <v>3</v>
      </c>
      <c r="AW148" s="28" t="s">
        <v>175</v>
      </c>
      <c r="BA148" s="54"/>
      <c r="BH148" s="28">
        <f>2*1000</f>
        <v>2000</v>
      </c>
      <c r="BI148" s="28">
        <f>1.9*1000</f>
        <v>1900</v>
      </c>
      <c r="BL148" s="28" t="s">
        <v>270</v>
      </c>
      <c r="BM148" s="401"/>
      <c r="BN148" s="401"/>
      <c r="BR148" s="401"/>
      <c r="BS148" s="401"/>
      <c r="GM148" s="12"/>
      <c r="GQ148" s="12"/>
      <c r="IO148" s="28" t="s">
        <v>273</v>
      </c>
    </row>
    <row r="149" spans="1:249" s="28" customFormat="1" x14ac:dyDescent="0.25">
      <c r="A149" s="28">
        <v>12</v>
      </c>
      <c r="B149" s="28" t="s">
        <v>266</v>
      </c>
      <c r="C149" s="28" t="s">
        <v>267</v>
      </c>
      <c r="D149" s="28">
        <v>1984</v>
      </c>
      <c r="E149" s="28">
        <v>1980</v>
      </c>
      <c r="F149" s="28" t="s">
        <v>268</v>
      </c>
      <c r="G149" s="28" t="s">
        <v>275</v>
      </c>
      <c r="H149" s="28" t="s">
        <v>2831</v>
      </c>
      <c r="I149" s="28">
        <v>34.200000000000003</v>
      </c>
      <c r="J149" s="28">
        <v>-79.760000000000005</v>
      </c>
      <c r="K149" s="28">
        <v>44.3</v>
      </c>
      <c r="Q149" s="46">
        <v>3</v>
      </c>
      <c r="R149" s="46" t="s">
        <v>1867</v>
      </c>
      <c r="S149" s="46"/>
      <c r="T149" s="46" t="s">
        <v>1866</v>
      </c>
      <c r="U149" s="46" t="s">
        <v>1386</v>
      </c>
      <c r="V149" s="46" t="s">
        <v>1724</v>
      </c>
      <c r="W149" s="46" t="s">
        <v>1386</v>
      </c>
      <c r="X149" s="46" t="s">
        <v>1386</v>
      </c>
      <c r="Z149" s="326"/>
      <c r="AA149" s="326"/>
      <c r="AB149" s="28" t="s">
        <v>176</v>
      </c>
      <c r="AF149" s="28" t="s">
        <v>1319</v>
      </c>
      <c r="AG149" s="28" t="s">
        <v>132</v>
      </c>
      <c r="AH149" s="138" t="s">
        <v>132</v>
      </c>
      <c r="AI149" s="28" t="s">
        <v>1601</v>
      </c>
      <c r="AJ149" s="141" t="s">
        <v>159</v>
      </c>
      <c r="AN149" s="28" t="s">
        <v>232</v>
      </c>
      <c r="AO149" s="28" t="s">
        <v>269</v>
      </c>
      <c r="AP149" s="28" t="s">
        <v>503</v>
      </c>
      <c r="AQ149" s="28" t="s">
        <v>242</v>
      </c>
      <c r="AR149" s="28" t="s">
        <v>242</v>
      </c>
      <c r="AS149" s="28" t="s">
        <v>178</v>
      </c>
      <c r="AU149" s="28">
        <v>3</v>
      </c>
      <c r="AW149" s="28" t="s">
        <v>175</v>
      </c>
      <c r="BA149" s="54"/>
      <c r="BH149" s="28">
        <f>1.98*1000</f>
        <v>1980</v>
      </c>
      <c r="BI149" s="28">
        <f>1.91*1000</f>
        <v>1910</v>
      </c>
      <c r="BL149" s="28" t="s">
        <v>270</v>
      </c>
      <c r="BM149" s="401"/>
      <c r="BN149" s="401"/>
      <c r="BR149" s="401"/>
      <c r="BS149" s="401"/>
      <c r="GM149" s="12"/>
      <c r="GQ149" s="12"/>
      <c r="IO149" s="28" t="s">
        <v>273</v>
      </c>
    </row>
    <row r="150" spans="1:249" s="28" customFormat="1" x14ac:dyDescent="0.25">
      <c r="A150" s="28">
        <v>12</v>
      </c>
      <c r="B150" s="28" t="s">
        <v>266</v>
      </c>
      <c r="C150" s="28" t="s">
        <v>267</v>
      </c>
      <c r="D150" s="28">
        <v>1984</v>
      </c>
      <c r="E150" s="28">
        <v>1980</v>
      </c>
      <c r="F150" s="28" t="s">
        <v>268</v>
      </c>
      <c r="G150" s="28" t="s">
        <v>275</v>
      </c>
      <c r="H150" s="28" t="s">
        <v>2831</v>
      </c>
      <c r="I150" s="28">
        <v>34.200000000000003</v>
      </c>
      <c r="J150" s="28">
        <v>-79.760000000000005</v>
      </c>
      <c r="K150" s="28">
        <v>44.3</v>
      </c>
      <c r="Q150" s="46">
        <v>3</v>
      </c>
      <c r="R150" s="46" t="s">
        <v>1867</v>
      </c>
      <c r="S150" s="46"/>
      <c r="T150" s="46" t="s">
        <v>1866</v>
      </c>
      <c r="U150" s="46" t="s">
        <v>1386</v>
      </c>
      <c r="V150" s="46" t="s">
        <v>1724</v>
      </c>
      <c r="W150" s="46" t="s">
        <v>1386</v>
      </c>
      <c r="X150" s="46" t="s">
        <v>1386</v>
      </c>
      <c r="Z150" s="326"/>
      <c r="AA150" s="326"/>
      <c r="AB150" s="28" t="s">
        <v>176</v>
      </c>
      <c r="AF150" s="28" t="s">
        <v>1319</v>
      </c>
      <c r="AG150" s="28" t="s">
        <v>132</v>
      </c>
      <c r="AH150" s="138" t="s">
        <v>132</v>
      </c>
      <c r="AI150" s="28" t="s">
        <v>1602</v>
      </c>
      <c r="AJ150" s="141" t="s">
        <v>159</v>
      </c>
      <c r="AN150" s="28" t="s">
        <v>232</v>
      </c>
      <c r="AO150" s="28" t="s">
        <v>269</v>
      </c>
      <c r="AP150" s="28" t="s">
        <v>503</v>
      </c>
      <c r="AQ150" s="28" t="s">
        <v>242</v>
      </c>
      <c r="AR150" s="28" t="s">
        <v>242</v>
      </c>
      <c r="AS150" s="28" t="s">
        <v>178</v>
      </c>
      <c r="AU150" s="28">
        <v>3</v>
      </c>
      <c r="AW150" s="28" t="s">
        <v>175</v>
      </c>
      <c r="BA150" s="54"/>
      <c r="BH150" s="28">
        <f>2.27*1000</f>
        <v>2270</v>
      </c>
      <c r="BI150" s="28">
        <f>2.12*1000</f>
        <v>2120</v>
      </c>
      <c r="BL150" s="28" t="s">
        <v>270</v>
      </c>
      <c r="BM150" s="401"/>
      <c r="BN150" s="401"/>
      <c r="BR150" s="401"/>
      <c r="BS150" s="401"/>
      <c r="GM150" s="12"/>
      <c r="GQ150" s="12"/>
      <c r="IO150" s="28" t="s">
        <v>273</v>
      </c>
    </row>
    <row r="151" spans="1:249" s="28" customFormat="1" x14ac:dyDescent="0.25">
      <c r="A151" s="28">
        <v>12</v>
      </c>
      <c r="B151" s="28" t="s">
        <v>266</v>
      </c>
      <c r="C151" s="28" t="s">
        <v>267</v>
      </c>
      <c r="D151" s="28">
        <v>1984</v>
      </c>
      <c r="E151" s="28">
        <v>1980</v>
      </c>
      <c r="F151" s="28" t="s">
        <v>268</v>
      </c>
      <c r="G151" s="28" t="s">
        <v>275</v>
      </c>
      <c r="H151" s="28" t="s">
        <v>2831</v>
      </c>
      <c r="I151" s="28">
        <v>34.200000000000003</v>
      </c>
      <c r="J151" s="28">
        <v>-79.760000000000005</v>
      </c>
      <c r="K151" s="28">
        <v>44.3</v>
      </c>
      <c r="Q151" s="46">
        <v>3</v>
      </c>
      <c r="R151" s="46" t="s">
        <v>1867</v>
      </c>
      <c r="S151" s="46"/>
      <c r="T151" s="46" t="s">
        <v>1866</v>
      </c>
      <c r="U151" s="46" t="s">
        <v>1386</v>
      </c>
      <c r="V151" s="46" t="s">
        <v>1724</v>
      </c>
      <c r="W151" s="46" t="s">
        <v>1386</v>
      </c>
      <c r="X151" s="46" t="s">
        <v>1386</v>
      </c>
      <c r="Z151" s="326"/>
      <c r="AA151" s="326"/>
      <c r="AB151" s="28" t="s">
        <v>176</v>
      </c>
      <c r="AF151" s="28" t="s">
        <v>1319</v>
      </c>
      <c r="AG151" s="28" t="s">
        <v>132</v>
      </c>
      <c r="AH151" s="138" t="s">
        <v>132</v>
      </c>
      <c r="AI151" s="28" t="s">
        <v>1600</v>
      </c>
      <c r="AJ151" s="141" t="s">
        <v>159</v>
      </c>
      <c r="AN151" s="28" t="s">
        <v>232</v>
      </c>
      <c r="AO151" s="28" t="s">
        <v>269</v>
      </c>
      <c r="AP151" s="28" t="s">
        <v>503</v>
      </c>
      <c r="AQ151" s="28" t="s">
        <v>242</v>
      </c>
      <c r="AR151" s="28" t="s">
        <v>242</v>
      </c>
      <c r="AS151" s="28" t="s">
        <v>178</v>
      </c>
      <c r="AU151" s="28">
        <v>3</v>
      </c>
      <c r="AW151" s="28" t="s">
        <v>175</v>
      </c>
      <c r="BA151" s="54"/>
      <c r="BH151" s="28">
        <f>1.95*1000</f>
        <v>1950</v>
      </c>
      <c r="BI151" s="28">
        <f>1.92*1000</f>
        <v>1920</v>
      </c>
      <c r="BL151" s="28" t="s">
        <v>271</v>
      </c>
      <c r="BM151" s="401"/>
      <c r="BN151" s="401"/>
      <c r="BR151" s="401"/>
      <c r="BS151" s="401"/>
      <c r="GM151" s="12"/>
      <c r="GQ151" s="12"/>
      <c r="IO151" s="28" t="s">
        <v>273</v>
      </c>
    </row>
    <row r="152" spans="1:249" s="28" customFormat="1" x14ac:dyDescent="0.25">
      <c r="A152" s="28">
        <v>12</v>
      </c>
      <c r="B152" s="28" t="s">
        <v>266</v>
      </c>
      <c r="C152" s="28" t="s">
        <v>267</v>
      </c>
      <c r="D152" s="28">
        <v>1984</v>
      </c>
      <c r="E152" s="28">
        <v>1980</v>
      </c>
      <c r="F152" s="28" t="s">
        <v>268</v>
      </c>
      <c r="G152" s="28" t="s">
        <v>275</v>
      </c>
      <c r="H152" s="28" t="s">
        <v>2831</v>
      </c>
      <c r="I152" s="28">
        <v>34.200000000000003</v>
      </c>
      <c r="J152" s="28">
        <v>-79.760000000000005</v>
      </c>
      <c r="K152" s="28">
        <v>44.3</v>
      </c>
      <c r="Q152" s="46">
        <v>3</v>
      </c>
      <c r="R152" s="46" t="s">
        <v>1867</v>
      </c>
      <c r="S152" s="46"/>
      <c r="T152" s="46" t="s">
        <v>1866</v>
      </c>
      <c r="U152" s="46" t="s">
        <v>1386</v>
      </c>
      <c r="V152" s="46" t="s">
        <v>1724</v>
      </c>
      <c r="W152" s="46" t="s">
        <v>1386</v>
      </c>
      <c r="X152" s="46" t="s">
        <v>1386</v>
      </c>
      <c r="Z152" s="326"/>
      <c r="AA152" s="326"/>
      <c r="AB152" s="28" t="s">
        <v>176</v>
      </c>
      <c r="AF152" s="28" t="s">
        <v>1319</v>
      </c>
      <c r="AG152" s="28" t="s">
        <v>132</v>
      </c>
      <c r="AH152" s="138" t="s">
        <v>132</v>
      </c>
      <c r="AI152" s="28" t="s">
        <v>1601</v>
      </c>
      <c r="AJ152" s="141" t="s">
        <v>159</v>
      </c>
      <c r="AN152" s="28" t="s">
        <v>232</v>
      </c>
      <c r="AO152" s="28" t="s">
        <v>269</v>
      </c>
      <c r="AP152" s="28" t="s">
        <v>503</v>
      </c>
      <c r="AQ152" s="28" t="s">
        <v>242</v>
      </c>
      <c r="AR152" s="28" t="s">
        <v>242</v>
      </c>
      <c r="AS152" s="28" t="s">
        <v>178</v>
      </c>
      <c r="AU152" s="28">
        <v>3</v>
      </c>
      <c r="AW152" s="28" t="s">
        <v>175</v>
      </c>
      <c r="BA152" s="54"/>
      <c r="BH152" s="28">
        <f>2.14*1000</f>
        <v>2140</v>
      </c>
      <c r="BI152" s="28">
        <f>2.02*1000</f>
        <v>2020</v>
      </c>
      <c r="BL152" s="28" t="s">
        <v>271</v>
      </c>
      <c r="BM152" s="401"/>
      <c r="BN152" s="401"/>
      <c r="BR152" s="401"/>
      <c r="BS152" s="401"/>
      <c r="GM152" s="12"/>
      <c r="GQ152" s="12"/>
      <c r="IO152" s="28" t="s">
        <v>273</v>
      </c>
    </row>
    <row r="153" spans="1:249" s="28" customFormat="1" x14ac:dyDescent="0.25">
      <c r="A153" s="28">
        <v>12</v>
      </c>
      <c r="B153" s="28" t="s">
        <v>266</v>
      </c>
      <c r="C153" s="28" t="s">
        <v>267</v>
      </c>
      <c r="D153" s="28">
        <v>1984</v>
      </c>
      <c r="E153" s="28">
        <v>1980</v>
      </c>
      <c r="F153" s="28" t="s">
        <v>268</v>
      </c>
      <c r="G153" s="28" t="s">
        <v>275</v>
      </c>
      <c r="H153" s="28" t="s">
        <v>2831</v>
      </c>
      <c r="I153" s="28">
        <v>34.200000000000003</v>
      </c>
      <c r="J153" s="28">
        <v>-79.760000000000005</v>
      </c>
      <c r="K153" s="28">
        <v>44.3</v>
      </c>
      <c r="Q153" s="46">
        <v>3</v>
      </c>
      <c r="R153" s="46" t="s">
        <v>1867</v>
      </c>
      <c r="S153" s="46"/>
      <c r="T153" s="46" t="s">
        <v>1866</v>
      </c>
      <c r="U153" s="46" t="s">
        <v>1386</v>
      </c>
      <c r="V153" s="46" t="s">
        <v>1724</v>
      </c>
      <c r="W153" s="46" t="s">
        <v>1386</v>
      </c>
      <c r="X153" s="46" t="s">
        <v>1386</v>
      </c>
      <c r="Z153" s="326"/>
      <c r="AA153" s="326"/>
      <c r="AB153" s="28" t="s">
        <v>176</v>
      </c>
      <c r="AF153" s="28" t="s">
        <v>1319</v>
      </c>
      <c r="AG153" s="28" t="s">
        <v>132</v>
      </c>
      <c r="AH153" s="138" t="s">
        <v>132</v>
      </c>
      <c r="AI153" s="28" t="s">
        <v>1602</v>
      </c>
      <c r="AJ153" s="141" t="s">
        <v>159</v>
      </c>
      <c r="AN153" s="28" t="s">
        <v>232</v>
      </c>
      <c r="AO153" s="28" t="s">
        <v>269</v>
      </c>
      <c r="AP153" s="28" t="s">
        <v>503</v>
      </c>
      <c r="AQ153" s="28" t="s">
        <v>242</v>
      </c>
      <c r="AR153" s="28" t="s">
        <v>242</v>
      </c>
      <c r="AS153" s="28" t="s">
        <v>178</v>
      </c>
      <c r="AU153" s="28">
        <v>3</v>
      </c>
      <c r="AW153" s="28" t="s">
        <v>175</v>
      </c>
      <c r="BA153" s="54"/>
      <c r="BH153" s="28">
        <f>2.17*1000</f>
        <v>2170</v>
      </c>
      <c r="BI153" s="28">
        <f>2*1000</f>
        <v>2000</v>
      </c>
      <c r="BL153" s="28" t="s">
        <v>271</v>
      </c>
      <c r="BM153" s="401"/>
      <c r="BN153" s="401"/>
      <c r="BR153" s="401"/>
      <c r="BS153" s="401"/>
      <c r="GM153" s="12"/>
      <c r="GQ153" s="12"/>
      <c r="IO153" s="28" t="s">
        <v>273</v>
      </c>
    </row>
    <row r="154" spans="1:249" s="24" customFormat="1" x14ac:dyDescent="0.25">
      <c r="A154" s="24">
        <v>13</v>
      </c>
      <c r="B154" s="24" t="s">
        <v>266</v>
      </c>
      <c r="C154" s="24" t="s">
        <v>276</v>
      </c>
      <c r="D154" s="24">
        <v>1991</v>
      </c>
      <c r="E154" s="24">
        <v>1987</v>
      </c>
      <c r="F154" s="202" t="s">
        <v>277</v>
      </c>
      <c r="G154" s="24" t="s">
        <v>278</v>
      </c>
      <c r="H154" s="24" t="s">
        <v>2831</v>
      </c>
      <c r="I154" s="24">
        <v>50.53</v>
      </c>
      <c r="J154" s="24">
        <f t="shared" ref="J154:J173" si="11">-103.67</f>
        <v>-103.67</v>
      </c>
      <c r="K154" s="24">
        <v>579.1</v>
      </c>
      <c r="Q154" s="42" t="s">
        <v>1869</v>
      </c>
      <c r="R154" s="42" t="s">
        <v>1869</v>
      </c>
      <c r="S154" s="42"/>
      <c r="T154" s="42" t="s">
        <v>1868</v>
      </c>
      <c r="U154" s="42" t="s">
        <v>1386</v>
      </c>
      <c r="V154" s="42" t="s">
        <v>1724</v>
      </c>
      <c r="W154" s="42" t="s">
        <v>1386</v>
      </c>
      <c r="X154" s="42" t="s">
        <v>1386</v>
      </c>
      <c r="Y154" s="24">
        <f>(0.95+1.22)/2</f>
        <v>1.085</v>
      </c>
      <c r="Z154" s="321">
        <v>16.3</v>
      </c>
      <c r="AA154" s="321">
        <v>20.6</v>
      </c>
      <c r="AB154" s="24" t="s">
        <v>797</v>
      </c>
      <c r="AF154" s="24" t="s">
        <v>1320</v>
      </c>
      <c r="AG154" s="24" t="s">
        <v>279</v>
      </c>
      <c r="AH154" s="138" t="s">
        <v>578</v>
      </c>
      <c r="AI154" s="24" t="s">
        <v>1540</v>
      </c>
      <c r="AJ154" s="140" t="s">
        <v>117</v>
      </c>
      <c r="AK154" s="24" t="s">
        <v>281</v>
      </c>
      <c r="AL154" s="24" t="s">
        <v>289</v>
      </c>
      <c r="AM154" s="24" t="s">
        <v>503</v>
      </c>
      <c r="AQ154" s="24" t="s">
        <v>162</v>
      </c>
      <c r="AR154" s="24" t="s">
        <v>162</v>
      </c>
      <c r="AS154" s="24" t="s">
        <v>178</v>
      </c>
      <c r="AT154" s="24" t="s">
        <v>120</v>
      </c>
      <c r="AU154" s="24">
        <v>6</v>
      </c>
      <c r="AW154" s="24" t="s">
        <v>142</v>
      </c>
      <c r="AX154" s="24">
        <f>112*1000</f>
        <v>112000</v>
      </c>
      <c r="AZ154" s="24">
        <f>50/0.96</f>
        <v>52.083333333333336</v>
      </c>
      <c r="BA154" s="53"/>
      <c r="BM154" s="395"/>
      <c r="BN154" s="395"/>
      <c r="BR154" s="395">
        <f>36.3*0.00061*100</f>
        <v>2.2142999999999997</v>
      </c>
      <c r="BS154" s="395">
        <f>39.5*0.00061*100</f>
        <v>2.4095</v>
      </c>
      <c r="BV154" s="24" t="s">
        <v>1675</v>
      </c>
      <c r="BW154" s="24">
        <f>BR154/12.5*10000</f>
        <v>1771.4399999999996</v>
      </c>
      <c r="BX154" s="24">
        <f>BS154/11.8*10000</f>
        <v>2041.9491525423728</v>
      </c>
      <c r="CA154" s="24" t="s">
        <v>814</v>
      </c>
      <c r="GM154" s="12"/>
      <c r="GQ154" s="12"/>
      <c r="HL154" s="24">
        <f>184*0.61/24</f>
        <v>4.6766666666666667</v>
      </c>
      <c r="HM154" s="24">
        <f>214*0.61/24</f>
        <v>5.439166666666666</v>
      </c>
      <c r="IA154" s="24">
        <f>905*1000000/1627500</f>
        <v>556.06758832565288</v>
      </c>
      <c r="IB154" s="24">
        <f>987*1000000/1627500</f>
        <v>606.45161290322585</v>
      </c>
      <c r="IF154" s="24">
        <f>79*1000000/1627500</f>
        <v>48.540706605222731</v>
      </c>
      <c r="IG154" s="24">
        <f>125*1000000/1627500</f>
        <v>76.804915514592935</v>
      </c>
      <c r="IO154" s="24" t="s">
        <v>293</v>
      </c>
    </row>
    <row r="155" spans="1:249" s="24" customFormat="1" x14ac:dyDescent="0.25">
      <c r="A155" s="24">
        <v>13</v>
      </c>
      <c r="B155" s="24" t="s">
        <v>266</v>
      </c>
      <c r="C155" s="24" t="s">
        <v>276</v>
      </c>
      <c r="D155" s="24">
        <v>1991</v>
      </c>
      <c r="E155" s="24">
        <v>1987</v>
      </c>
      <c r="F155" s="202" t="s">
        <v>277</v>
      </c>
      <c r="G155" s="24" t="s">
        <v>278</v>
      </c>
      <c r="H155" s="24" t="s">
        <v>2831</v>
      </c>
      <c r="I155" s="24">
        <v>50.53</v>
      </c>
      <c r="J155" s="24">
        <f t="shared" si="11"/>
        <v>-103.67</v>
      </c>
      <c r="K155" s="24">
        <v>579.1</v>
      </c>
      <c r="Q155" s="42" t="s">
        <v>1869</v>
      </c>
      <c r="R155" s="42" t="s">
        <v>1869</v>
      </c>
      <c r="S155" s="42"/>
      <c r="T155" s="42" t="s">
        <v>1868</v>
      </c>
      <c r="U155" s="42" t="s">
        <v>1386</v>
      </c>
      <c r="V155" s="42" t="s">
        <v>1724</v>
      </c>
      <c r="W155" s="42" t="s">
        <v>1386</v>
      </c>
      <c r="X155" s="42" t="s">
        <v>1386</v>
      </c>
      <c r="Y155" s="24">
        <f t="shared" ref="Y155:Y173" si="12">(0.95+1.22)/2</f>
        <v>1.085</v>
      </c>
      <c r="Z155" s="321">
        <v>16.3</v>
      </c>
      <c r="AA155" s="321">
        <v>20.6</v>
      </c>
      <c r="AB155" s="24" t="s">
        <v>797</v>
      </c>
      <c r="AF155" s="24" t="s">
        <v>1320</v>
      </c>
      <c r="AG155" s="24" t="s">
        <v>279</v>
      </c>
      <c r="AH155" s="138" t="s">
        <v>578</v>
      </c>
      <c r="AI155" s="24" t="s">
        <v>1540</v>
      </c>
      <c r="AJ155" s="140" t="s">
        <v>117</v>
      </c>
      <c r="AK155" s="24" t="s">
        <v>281</v>
      </c>
      <c r="AL155" s="24" t="s">
        <v>289</v>
      </c>
      <c r="AM155" s="24" t="s">
        <v>503</v>
      </c>
      <c r="AQ155" s="24" t="s">
        <v>280</v>
      </c>
      <c r="AR155" s="24" t="s">
        <v>162</v>
      </c>
      <c r="AS155" s="24" t="s">
        <v>503</v>
      </c>
      <c r="AT155" s="24" t="s">
        <v>120</v>
      </c>
      <c r="AU155" s="24">
        <v>6</v>
      </c>
      <c r="AW155" s="24" t="s">
        <v>142</v>
      </c>
      <c r="AX155" s="24">
        <f t="shared" ref="AX155:AX163" si="13">112*1000</f>
        <v>112000</v>
      </c>
      <c r="AZ155" s="24">
        <f t="shared" ref="AZ155:AZ163" si="14">50/0.96</f>
        <v>52.083333333333336</v>
      </c>
      <c r="BA155" s="53"/>
      <c r="BM155" s="395"/>
      <c r="BN155" s="395"/>
      <c r="BR155" s="395">
        <f>37.9*0.00061*100</f>
        <v>2.3118999999999996</v>
      </c>
      <c r="BS155" s="395">
        <f>39.5*0.00061*100</f>
        <v>2.4095</v>
      </c>
      <c r="BV155" s="24" t="s">
        <v>1675</v>
      </c>
      <c r="BW155" s="24">
        <f>BR155/12.6*10000</f>
        <v>1834.8412698412696</v>
      </c>
      <c r="BX155" s="24">
        <f>BS155/11.8*10000</f>
        <v>2041.9491525423728</v>
      </c>
      <c r="CA155" s="24" t="s">
        <v>814</v>
      </c>
      <c r="GM155" s="12"/>
      <c r="GQ155" s="12"/>
      <c r="HL155" s="24">
        <f>178*0.61/24</f>
        <v>4.5241666666666669</v>
      </c>
      <c r="HM155" s="24">
        <f t="shared" ref="HM155:HM158" si="15">214*0.61/24</f>
        <v>5.439166666666666</v>
      </c>
      <c r="IA155" s="24">
        <f>815*1000000/1627500</f>
        <v>500.76804915514595</v>
      </c>
      <c r="IB155" s="24">
        <f t="shared" ref="IB155:IB158" si="16">987*1000000/1627500</f>
        <v>606.45161290322585</v>
      </c>
      <c r="IF155" s="24">
        <f>75*1000000/1627500</f>
        <v>46.082949308755758</v>
      </c>
      <c r="IG155" s="24">
        <f t="shared" ref="IG155:IG158" si="17">125*1000000/1627500</f>
        <v>76.804915514592935</v>
      </c>
      <c r="IO155" s="24" t="s">
        <v>293</v>
      </c>
    </row>
    <row r="156" spans="1:249" s="24" customFormat="1" x14ac:dyDescent="0.25">
      <c r="A156" s="24">
        <v>13</v>
      </c>
      <c r="B156" s="24" t="s">
        <v>266</v>
      </c>
      <c r="C156" s="24" t="s">
        <v>276</v>
      </c>
      <c r="D156" s="24">
        <v>1991</v>
      </c>
      <c r="E156" s="24">
        <v>1987</v>
      </c>
      <c r="F156" s="202" t="s">
        <v>277</v>
      </c>
      <c r="G156" s="24" t="s">
        <v>278</v>
      </c>
      <c r="H156" s="24" t="s">
        <v>2831</v>
      </c>
      <c r="I156" s="24">
        <v>50.53</v>
      </c>
      <c r="J156" s="24">
        <f t="shared" si="11"/>
        <v>-103.67</v>
      </c>
      <c r="K156" s="24">
        <v>579.1</v>
      </c>
      <c r="Q156" s="42" t="s">
        <v>1869</v>
      </c>
      <c r="R156" s="42" t="s">
        <v>1869</v>
      </c>
      <c r="S156" s="42"/>
      <c r="T156" s="42" t="s">
        <v>1868</v>
      </c>
      <c r="U156" s="42" t="s">
        <v>1386</v>
      </c>
      <c r="V156" s="42" t="s">
        <v>1724</v>
      </c>
      <c r="W156" s="42" t="s">
        <v>1386</v>
      </c>
      <c r="X156" s="42" t="s">
        <v>1386</v>
      </c>
      <c r="Y156" s="24">
        <f t="shared" si="12"/>
        <v>1.085</v>
      </c>
      <c r="Z156" s="321">
        <v>16.3</v>
      </c>
      <c r="AA156" s="321">
        <v>20.6</v>
      </c>
      <c r="AB156" s="24" t="s">
        <v>797</v>
      </c>
      <c r="AF156" s="24" t="s">
        <v>1320</v>
      </c>
      <c r="AG156" s="24" t="s">
        <v>279</v>
      </c>
      <c r="AH156" s="138" t="s">
        <v>578</v>
      </c>
      <c r="AI156" s="24" t="s">
        <v>1540</v>
      </c>
      <c r="AJ156" s="140" t="s">
        <v>117</v>
      </c>
      <c r="AK156" s="24" t="s">
        <v>1382</v>
      </c>
      <c r="AL156" s="24" t="s">
        <v>289</v>
      </c>
      <c r="AM156" s="24" t="s">
        <v>503</v>
      </c>
      <c r="AQ156" s="24" t="s">
        <v>162</v>
      </c>
      <c r="AR156" s="24" t="s">
        <v>162</v>
      </c>
      <c r="AS156" s="24" t="s">
        <v>503</v>
      </c>
      <c r="AT156" s="24" t="s">
        <v>120</v>
      </c>
      <c r="AU156" s="24">
        <v>6</v>
      </c>
      <c r="AW156" s="24" t="s">
        <v>142</v>
      </c>
      <c r="AX156" s="24">
        <f t="shared" si="13"/>
        <v>112000</v>
      </c>
      <c r="AZ156" s="24">
        <f t="shared" si="14"/>
        <v>52.083333333333336</v>
      </c>
      <c r="BA156" s="53"/>
      <c r="BM156" s="395"/>
      <c r="BN156" s="395"/>
      <c r="BR156" s="395">
        <f>36.4*0.00061*100</f>
        <v>2.2203999999999997</v>
      </c>
      <c r="BS156" s="395">
        <f t="shared" ref="BS156:BS158" si="18">39.5*0.00061*100</f>
        <v>2.4095</v>
      </c>
      <c r="BV156" s="24" t="s">
        <v>1675</v>
      </c>
      <c r="BW156" s="24">
        <f>BR156/12.5*10000</f>
        <v>1776.32</v>
      </c>
      <c r="BX156" s="24">
        <f>BS156/11.8*10000</f>
        <v>2041.9491525423728</v>
      </c>
      <c r="CA156" s="24" t="s">
        <v>814</v>
      </c>
      <c r="GM156" s="12"/>
      <c r="GQ156" s="12"/>
      <c r="HL156" s="24">
        <f>200*0.61/24</f>
        <v>5.083333333333333</v>
      </c>
      <c r="HM156" s="24">
        <f t="shared" si="15"/>
        <v>5.439166666666666</v>
      </c>
      <c r="IA156" s="24">
        <f>804*1000000/1627500</f>
        <v>494.00921658986175</v>
      </c>
      <c r="IB156" s="24">
        <f t="shared" si="16"/>
        <v>606.45161290322585</v>
      </c>
      <c r="IF156" s="24">
        <f>89*1000000/1627500</f>
        <v>54.685099846390166</v>
      </c>
      <c r="IG156" s="24">
        <f t="shared" si="17"/>
        <v>76.804915514592935</v>
      </c>
      <c r="IO156" s="24" t="s">
        <v>293</v>
      </c>
    </row>
    <row r="157" spans="1:249" s="24" customFormat="1" x14ac:dyDescent="0.25">
      <c r="A157" s="24">
        <v>13</v>
      </c>
      <c r="B157" s="24" t="s">
        <v>266</v>
      </c>
      <c r="C157" s="24" t="s">
        <v>276</v>
      </c>
      <c r="D157" s="24">
        <v>1991</v>
      </c>
      <c r="E157" s="24">
        <v>1987</v>
      </c>
      <c r="F157" s="202" t="s">
        <v>277</v>
      </c>
      <c r="G157" s="24" t="s">
        <v>278</v>
      </c>
      <c r="H157" s="24" t="s">
        <v>2831</v>
      </c>
      <c r="I157" s="24">
        <v>50.53</v>
      </c>
      <c r="J157" s="24">
        <f t="shared" si="11"/>
        <v>-103.67</v>
      </c>
      <c r="K157" s="24">
        <v>579.1</v>
      </c>
      <c r="Q157" s="42" t="s">
        <v>1869</v>
      </c>
      <c r="R157" s="42" t="s">
        <v>1869</v>
      </c>
      <c r="S157" s="42"/>
      <c r="T157" s="42" t="s">
        <v>1868</v>
      </c>
      <c r="U157" s="42" t="s">
        <v>1386</v>
      </c>
      <c r="V157" s="42" t="s">
        <v>1724</v>
      </c>
      <c r="W157" s="42" t="s">
        <v>1386</v>
      </c>
      <c r="X157" s="42" t="s">
        <v>1386</v>
      </c>
      <c r="Y157" s="24">
        <f t="shared" si="12"/>
        <v>1.085</v>
      </c>
      <c r="Z157" s="321">
        <v>16.3</v>
      </c>
      <c r="AA157" s="321">
        <v>20.6</v>
      </c>
      <c r="AB157" s="24" t="s">
        <v>797</v>
      </c>
      <c r="AF157" s="24" t="s">
        <v>1320</v>
      </c>
      <c r="AG157" s="24" t="s">
        <v>279</v>
      </c>
      <c r="AH157" s="138" t="s">
        <v>578</v>
      </c>
      <c r="AI157" s="24" t="s">
        <v>1540</v>
      </c>
      <c r="AJ157" s="140" t="s">
        <v>117</v>
      </c>
      <c r="AK157" s="24" t="s">
        <v>1382</v>
      </c>
      <c r="AL157" s="24" t="s">
        <v>289</v>
      </c>
      <c r="AM157" s="24" t="s">
        <v>503</v>
      </c>
      <c r="AQ157" s="24" t="s">
        <v>280</v>
      </c>
      <c r="AR157" s="24" t="s">
        <v>162</v>
      </c>
      <c r="AS157" s="24" t="s">
        <v>503</v>
      </c>
      <c r="AT157" s="24" t="s">
        <v>120</v>
      </c>
      <c r="AU157" s="24">
        <v>6</v>
      </c>
      <c r="AW157" s="24" t="s">
        <v>142</v>
      </c>
      <c r="AX157" s="24">
        <f t="shared" si="13"/>
        <v>112000</v>
      </c>
      <c r="AZ157" s="24">
        <f t="shared" si="14"/>
        <v>52.083333333333336</v>
      </c>
      <c r="BA157" s="53"/>
      <c r="BM157" s="395"/>
      <c r="BN157" s="395"/>
      <c r="BR157" s="395">
        <f>38.5*0.00061*100</f>
        <v>2.3485</v>
      </c>
      <c r="BS157" s="395">
        <f t="shared" si="18"/>
        <v>2.4095</v>
      </c>
      <c r="BV157" s="24" t="s">
        <v>1675</v>
      </c>
      <c r="BW157" s="24">
        <f>BR157/11.9*10000</f>
        <v>1973.5294117647059</v>
      </c>
      <c r="BX157" s="24">
        <f>BS157/11.8*10000</f>
        <v>2041.9491525423728</v>
      </c>
      <c r="CA157" s="24" t="s">
        <v>814</v>
      </c>
      <c r="GM157" s="12"/>
      <c r="GQ157" s="12"/>
      <c r="HL157" s="24">
        <f>193*0.61/24</f>
        <v>4.9054166666666665</v>
      </c>
      <c r="HM157" s="24">
        <f t="shared" si="15"/>
        <v>5.439166666666666</v>
      </c>
      <c r="IA157" s="24">
        <f>891*1000000/1627500</f>
        <v>547.46543778801845</v>
      </c>
      <c r="IB157" s="24">
        <f t="shared" si="16"/>
        <v>606.45161290322585</v>
      </c>
      <c r="IF157" s="24">
        <f>88*1000000/1627500</f>
        <v>54.070660522273428</v>
      </c>
      <c r="IG157" s="24">
        <f t="shared" si="17"/>
        <v>76.804915514592935</v>
      </c>
      <c r="IO157" s="24" t="s">
        <v>293</v>
      </c>
    </row>
    <row r="158" spans="1:249" s="24" customFormat="1" x14ac:dyDescent="0.25">
      <c r="A158" s="24">
        <v>13</v>
      </c>
      <c r="B158" s="24" t="s">
        <v>266</v>
      </c>
      <c r="C158" s="24" t="s">
        <v>276</v>
      </c>
      <c r="D158" s="24">
        <v>1991</v>
      </c>
      <c r="E158" s="24">
        <v>1987</v>
      </c>
      <c r="F158" s="202" t="s">
        <v>277</v>
      </c>
      <c r="G158" s="24" t="s">
        <v>278</v>
      </c>
      <c r="H158" s="24" t="s">
        <v>2831</v>
      </c>
      <c r="I158" s="24">
        <v>50.53</v>
      </c>
      <c r="J158" s="24">
        <f t="shared" si="11"/>
        <v>-103.67</v>
      </c>
      <c r="K158" s="24">
        <v>579.1</v>
      </c>
      <c r="Q158" s="42" t="s">
        <v>1869</v>
      </c>
      <c r="R158" s="42" t="s">
        <v>1869</v>
      </c>
      <c r="S158" s="42"/>
      <c r="T158" s="42" t="s">
        <v>1868</v>
      </c>
      <c r="U158" s="42" t="s">
        <v>1386</v>
      </c>
      <c r="V158" s="42" t="s">
        <v>1724</v>
      </c>
      <c r="W158" s="42" t="s">
        <v>1386</v>
      </c>
      <c r="X158" s="42" t="s">
        <v>1386</v>
      </c>
      <c r="Y158" s="24">
        <f t="shared" si="12"/>
        <v>1.085</v>
      </c>
      <c r="Z158" s="321">
        <v>16.3</v>
      </c>
      <c r="AA158" s="321">
        <v>20.6</v>
      </c>
      <c r="AB158" s="24" t="s">
        <v>797</v>
      </c>
      <c r="AF158" s="24" t="s">
        <v>1320</v>
      </c>
      <c r="AG158" s="24" t="s">
        <v>279</v>
      </c>
      <c r="AH158" s="138" t="s">
        <v>578</v>
      </c>
      <c r="AI158" s="24" t="s">
        <v>1540</v>
      </c>
      <c r="AJ158" s="140" t="s">
        <v>117</v>
      </c>
      <c r="AK158" s="24" t="s">
        <v>1382</v>
      </c>
      <c r="AL158" s="24" t="s">
        <v>289</v>
      </c>
      <c r="AM158" s="24" t="s">
        <v>503</v>
      </c>
      <c r="AQ158" s="24" t="s">
        <v>282</v>
      </c>
      <c r="AR158" s="24" t="s">
        <v>162</v>
      </c>
      <c r="AS158" s="24" t="s">
        <v>503</v>
      </c>
      <c r="AT158" s="24" t="s">
        <v>120</v>
      </c>
      <c r="AU158" s="24">
        <v>6</v>
      </c>
      <c r="AW158" s="24" t="s">
        <v>142</v>
      </c>
      <c r="AX158" s="24">
        <f t="shared" si="13"/>
        <v>112000</v>
      </c>
      <c r="AZ158" s="24">
        <f t="shared" si="14"/>
        <v>52.083333333333336</v>
      </c>
      <c r="BA158" s="53"/>
      <c r="BM158" s="395"/>
      <c r="BN158" s="395"/>
      <c r="BR158" s="395">
        <f>38.2*0.00061*100</f>
        <v>2.3302</v>
      </c>
      <c r="BS158" s="395">
        <f t="shared" si="18"/>
        <v>2.4095</v>
      </c>
      <c r="BV158" s="24" t="s">
        <v>1675</v>
      </c>
      <c r="BW158" s="24">
        <f>BR158/12.7*10000</f>
        <v>1834.8031496062995</v>
      </c>
      <c r="BX158" s="24">
        <f>BS158/11.8*10000</f>
        <v>2041.9491525423728</v>
      </c>
      <c r="CA158" s="24" t="s">
        <v>814</v>
      </c>
      <c r="GM158" s="12"/>
      <c r="GQ158" s="12"/>
      <c r="HL158" s="24">
        <f>168*0.61/24</f>
        <v>4.2700000000000005</v>
      </c>
      <c r="HM158" s="24">
        <f t="shared" si="15"/>
        <v>5.439166666666666</v>
      </c>
      <c r="IA158" s="24">
        <f>833*1000000/1627500</f>
        <v>511.8279569892473</v>
      </c>
      <c r="IB158" s="24">
        <f t="shared" si="16"/>
        <v>606.45161290322585</v>
      </c>
      <c r="IF158" s="24">
        <f>80*1000000/1627500</f>
        <v>49.155145929339476</v>
      </c>
      <c r="IG158" s="24">
        <f t="shared" si="17"/>
        <v>76.804915514592935</v>
      </c>
      <c r="IO158" s="24" t="s">
        <v>293</v>
      </c>
    </row>
    <row r="159" spans="1:249" s="32" customFormat="1" x14ac:dyDescent="0.25">
      <c r="A159" s="32">
        <v>13</v>
      </c>
      <c r="B159" s="32" t="s">
        <v>266</v>
      </c>
      <c r="C159" s="32" t="s">
        <v>276</v>
      </c>
      <c r="D159" s="32">
        <v>1991</v>
      </c>
      <c r="E159" s="32">
        <v>1987</v>
      </c>
      <c r="F159" s="203" t="s">
        <v>277</v>
      </c>
      <c r="G159" s="32" t="s">
        <v>278</v>
      </c>
      <c r="H159" s="24" t="s">
        <v>2831</v>
      </c>
      <c r="I159" s="32">
        <v>50.53</v>
      </c>
      <c r="J159" s="32">
        <f t="shared" si="11"/>
        <v>-103.67</v>
      </c>
      <c r="K159" s="32">
        <v>579.1</v>
      </c>
      <c r="Q159" s="44" t="s">
        <v>1869</v>
      </c>
      <c r="R159" s="44" t="s">
        <v>1869</v>
      </c>
      <c r="S159" s="44"/>
      <c r="T159" s="44" t="s">
        <v>1868</v>
      </c>
      <c r="U159" s="44" t="s">
        <v>1386</v>
      </c>
      <c r="V159" s="44" t="s">
        <v>1724</v>
      </c>
      <c r="W159" s="44" t="s">
        <v>1386</v>
      </c>
      <c r="X159" s="44" t="s">
        <v>1386</v>
      </c>
      <c r="Y159" s="32">
        <f>(0.95+1.22)/2</f>
        <v>1.085</v>
      </c>
      <c r="Z159" s="323">
        <v>16.3</v>
      </c>
      <c r="AA159" s="323">
        <v>20.6</v>
      </c>
      <c r="AB159" s="32" t="s">
        <v>797</v>
      </c>
      <c r="AF159" s="32" t="s">
        <v>1320</v>
      </c>
      <c r="AG159" s="32" t="s">
        <v>279</v>
      </c>
      <c r="AH159" s="138" t="s">
        <v>578</v>
      </c>
      <c r="AI159" s="32" t="s">
        <v>1540</v>
      </c>
      <c r="AJ159" s="140" t="s">
        <v>117</v>
      </c>
      <c r="AK159" s="32" t="s">
        <v>281</v>
      </c>
      <c r="AL159" s="32" t="s">
        <v>288</v>
      </c>
      <c r="AM159" s="32" t="s">
        <v>503</v>
      </c>
      <c r="AQ159" s="32" t="s">
        <v>162</v>
      </c>
      <c r="AR159" s="24" t="s">
        <v>162</v>
      </c>
      <c r="AS159" s="32" t="s">
        <v>178</v>
      </c>
      <c r="AT159" s="32" t="s">
        <v>120</v>
      </c>
      <c r="AU159" s="32">
        <v>6</v>
      </c>
      <c r="AW159" s="32" t="s">
        <v>142</v>
      </c>
      <c r="AX159" s="32">
        <f t="shared" si="13"/>
        <v>112000</v>
      </c>
      <c r="AZ159" s="32">
        <f t="shared" si="14"/>
        <v>52.083333333333336</v>
      </c>
      <c r="BA159" s="53"/>
      <c r="BM159" s="397"/>
      <c r="BN159" s="397"/>
      <c r="BR159" s="397">
        <f>36.3*0.00061*100</f>
        <v>2.2142999999999997</v>
      </c>
      <c r="BS159" s="397">
        <f>39.9*0.00061*100</f>
        <v>2.4339</v>
      </c>
      <c r="BV159" s="32" t="s">
        <v>1675</v>
      </c>
      <c r="BW159" s="32">
        <f>BR159/12.5*10000</f>
        <v>1771.4399999999996</v>
      </c>
      <c r="BX159" s="32">
        <f>BS159/12*10000</f>
        <v>2028.25</v>
      </c>
      <c r="CA159" s="32" t="s">
        <v>814</v>
      </c>
      <c r="GM159" s="12"/>
      <c r="GQ159" s="12"/>
      <c r="HL159" s="32">
        <f>184*0.61/24</f>
        <v>4.6766666666666667</v>
      </c>
      <c r="HM159" s="32">
        <f>199*0.61/24</f>
        <v>5.0579166666666664</v>
      </c>
      <c r="IA159" s="32">
        <f>905*1000000/1627500</f>
        <v>556.06758832565288</v>
      </c>
      <c r="IB159" s="32">
        <f>1094*1000000/1627500</f>
        <v>672.19662058371739</v>
      </c>
      <c r="IF159" s="32">
        <v>48.540706605222702</v>
      </c>
      <c r="IG159" s="32">
        <f>124*1000000/1627500</f>
        <v>76.19047619047619</v>
      </c>
      <c r="IO159" s="32" t="s">
        <v>293</v>
      </c>
    </row>
    <row r="160" spans="1:249" s="32" customFormat="1" x14ac:dyDescent="0.25">
      <c r="A160" s="32">
        <v>13</v>
      </c>
      <c r="B160" s="32" t="s">
        <v>266</v>
      </c>
      <c r="C160" s="32" t="s">
        <v>276</v>
      </c>
      <c r="D160" s="32">
        <v>1991</v>
      </c>
      <c r="E160" s="32">
        <v>1987</v>
      </c>
      <c r="F160" s="203" t="s">
        <v>277</v>
      </c>
      <c r="G160" s="32" t="s">
        <v>278</v>
      </c>
      <c r="H160" s="24" t="s">
        <v>2831</v>
      </c>
      <c r="I160" s="32">
        <v>50.53</v>
      </c>
      <c r="J160" s="32">
        <f t="shared" si="11"/>
        <v>-103.67</v>
      </c>
      <c r="K160" s="32">
        <v>579.1</v>
      </c>
      <c r="Q160" s="44" t="s">
        <v>1869</v>
      </c>
      <c r="R160" s="44" t="s">
        <v>1869</v>
      </c>
      <c r="S160" s="44"/>
      <c r="T160" s="44" t="s">
        <v>1868</v>
      </c>
      <c r="U160" s="44" t="s">
        <v>1386</v>
      </c>
      <c r="V160" s="44" t="s">
        <v>1724</v>
      </c>
      <c r="W160" s="44" t="s">
        <v>1386</v>
      </c>
      <c r="X160" s="44" t="s">
        <v>1386</v>
      </c>
      <c r="Y160" s="32">
        <f t="shared" si="12"/>
        <v>1.085</v>
      </c>
      <c r="Z160" s="323">
        <v>16.3</v>
      </c>
      <c r="AA160" s="323">
        <v>20.6</v>
      </c>
      <c r="AB160" s="32" t="s">
        <v>797</v>
      </c>
      <c r="AF160" s="32" t="s">
        <v>1320</v>
      </c>
      <c r="AG160" s="32" t="s">
        <v>279</v>
      </c>
      <c r="AH160" s="138" t="s">
        <v>578</v>
      </c>
      <c r="AI160" s="32" t="s">
        <v>1540</v>
      </c>
      <c r="AJ160" s="140" t="s">
        <v>117</v>
      </c>
      <c r="AK160" s="32" t="s">
        <v>281</v>
      </c>
      <c r="AL160" s="32" t="s">
        <v>288</v>
      </c>
      <c r="AM160" s="32" t="s">
        <v>503</v>
      </c>
      <c r="AQ160" s="32" t="s">
        <v>280</v>
      </c>
      <c r="AR160" s="24" t="s">
        <v>162</v>
      </c>
      <c r="AS160" s="32" t="s">
        <v>503</v>
      </c>
      <c r="AT160" s="32" t="s">
        <v>120</v>
      </c>
      <c r="AU160" s="32">
        <v>6</v>
      </c>
      <c r="AW160" s="32" t="s">
        <v>142</v>
      </c>
      <c r="AX160" s="32">
        <f t="shared" si="13"/>
        <v>112000</v>
      </c>
      <c r="AZ160" s="32">
        <f t="shared" si="14"/>
        <v>52.083333333333336</v>
      </c>
      <c r="BA160" s="53"/>
      <c r="BM160" s="397"/>
      <c r="BN160" s="397"/>
      <c r="BR160" s="397">
        <f>37.9*0.00061*100</f>
        <v>2.3118999999999996</v>
      </c>
      <c r="BS160" s="397">
        <f t="shared" ref="BS160:BS163" si="19">39.9*0.00061*100</f>
        <v>2.4339</v>
      </c>
      <c r="BV160" s="32" t="s">
        <v>1675</v>
      </c>
      <c r="BW160" s="32">
        <f>BR160/12.6*10000</f>
        <v>1834.8412698412696</v>
      </c>
      <c r="BX160" s="32">
        <f>BS160/12*10000</f>
        <v>2028.25</v>
      </c>
      <c r="CA160" s="32" t="s">
        <v>814</v>
      </c>
      <c r="GM160" s="12"/>
      <c r="GQ160" s="12"/>
      <c r="HL160" s="32">
        <f>178*0.61/24</f>
        <v>4.5241666666666669</v>
      </c>
      <c r="HM160" s="32">
        <f t="shared" ref="HM160:HM163" si="20">199*0.61/24</f>
        <v>5.0579166666666664</v>
      </c>
      <c r="IA160" s="32">
        <f>815*1000000/1627500</f>
        <v>500.76804915514595</v>
      </c>
      <c r="IB160" s="32">
        <f t="shared" ref="IB160:IB163" si="21">1094*1000000/1627500</f>
        <v>672.19662058371739</v>
      </c>
      <c r="IF160" s="32">
        <v>46.082949308755758</v>
      </c>
      <c r="IG160" s="32">
        <f t="shared" ref="IG160:IG163" si="22">124*1000000/1627500</f>
        <v>76.19047619047619</v>
      </c>
      <c r="IO160" s="32" t="s">
        <v>293</v>
      </c>
    </row>
    <row r="161" spans="1:249" s="32" customFormat="1" x14ac:dyDescent="0.25">
      <c r="A161" s="32">
        <v>13</v>
      </c>
      <c r="B161" s="32" t="s">
        <v>266</v>
      </c>
      <c r="C161" s="32" t="s">
        <v>276</v>
      </c>
      <c r="D161" s="32">
        <v>1991</v>
      </c>
      <c r="E161" s="32">
        <v>1987</v>
      </c>
      <c r="F161" s="203" t="s">
        <v>277</v>
      </c>
      <c r="G161" s="32" t="s">
        <v>278</v>
      </c>
      <c r="H161" s="24" t="s">
        <v>2831</v>
      </c>
      <c r="I161" s="32">
        <v>50.53</v>
      </c>
      <c r="J161" s="32">
        <f t="shared" si="11"/>
        <v>-103.67</v>
      </c>
      <c r="K161" s="32">
        <v>579.1</v>
      </c>
      <c r="Q161" s="44" t="s">
        <v>1869</v>
      </c>
      <c r="R161" s="44" t="s">
        <v>1869</v>
      </c>
      <c r="S161" s="44"/>
      <c r="T161" s="44" t="s">
        <v>1868</v>
      </c>
      <c r="U161" s="44" t="s">
        <v>1386</v>
      </c>
      <c r="V161" s="44" t="s">
        <v>1724</v>
      </c>
      <c r="W161" s="44" t="s">
        <v>1386</v>
      </c>
      <c r="X161" s="44" t="s">
        <v>1386</v>
      </c>
      <c r="Y161" s="32">
        <f t="shared" si="12"/>
        <v>1.085</v>
      </c>
      <c r="Z161" s="323">
        <v>16.3</v>
      </c>
      <c r="AA161" s="323">
        <v>20.6</v>
      </c>
      <c r="AB161" s="32" t="s">
        <v>797</v>
      </c>
      <c r="AF161" s="32" t="s">
        <v>1320</v>
      </c>
      <c r="AG161" s="32" t="s">
        <v>279</v>
      </c>
      <c r="AH161" s="138" t="s">
        <v>578</v>
      </c>
      <c r="AI161" s="32" t="s">
        <v>1540</v>
      </c>
      <c r="AJ161" s="140" t="s">
        <v>117</v>
      </c>
      <c r="AK161" s="32" t="s">
        <v>1382</v>
      </c>
      <c r="AL161" s="32" t="s">
        <v>288</v>
      </c>
      <c r="AM161" s="32" t="s">
        <v>503</v>
      </c>
      <c r="AQ161" s="32" t="s">
        <v>162</v>
      </c>
      <c r="AR161" s="24" t="s">
        <v>162</v>
      </c>
      <c r="AS161" s="32" t="s">
        <v>503</v>
      </c>
      <c r="AT161" s="32" t="s">
        <v>120</v>
      </c>
      <c r="AU161" s="32">
        <v>6</v>
      </c>
      <c r="AW161" s="32" t="s">
        <v>142</v>
      </c>
      <c r="AX161" s="32">
        <f t="shared" si="13"/>
        <v>112000</v>
      </c>
      <c r="AZ161" s="32">
        <f t="shared" si="14"/>
        <v>52.083333333333336</v>
      </c>
      <c r="BA161" s="53"/>
      <c r="BM161" s="397"/>
      <c r="BN161" s="397"/>
      <c r="BR161" s="397">
        <f>36.4*0.00061*100</f>
        <v>2.2203999999999997</v>
      </c>
      <c r="BS161" s="397">
        <f t="shared" si="19"/>
        <v>2.4339</v>
      </c>
      <c r="BV161" s="32" t="s">
        <v>1675</v>
      </c>
      <c r="BW161" s="32">
        <f>BR161/12.5*10000</f>
        <v>1776.32</v>
      </c>
      <c r="BX161" s="32">
        <f>BS161/12*10000</f>
        <v>2028.25</v>
      </c>
      <c r="CA161" s="32" t="s">
        <v>814</v>
      </c>
      <c r="GM161" s="12"/>
      <c r="GQ161" s="12"/>
      <c r="HL161" s="32">
        <f>200*0.61/24</f>
        <v>5.083333333333333</v>
      </c>
      <c r="HM161" s="32">
        <f t="shared" si="20"/>
        <v>5.0579166666666664</v>
      </c>
      <c r="IA161" s="32">
        <f>804*1000000/1627500</f>
        <v>494.00921658986175</v>
      </c>
      <c r="IB161" s="32">
        <f t="shared" si="21"/>
        <v>672.19662058371739</v>
      </c>
      <c r="IF161" s="32">
        <v>54.685099846390166</v>
      </c>
      <c r="IG161" s="32">
        <f t="shared" si="22"/>
        <v>76.19047619047619</v>
      </c>
      <c r="IO161" s="32" t="s">
        <v>293</v>
      </c>
    </row>
    <row r="162" spans="1:249" s="32" customFormat="1" x14ac:dyDescent="0.25">
      <c r="A162" s="32">
        <v>13</v>
      </c>
      <c r="B162" s="32" t="s">
        <v>266</v>
      </c>
      <c r="C162" s="32" t="s">
        <v>276</v>
      </c>
      <c r="D162" s="32">
        <v>1991</v>
      </c>
      <c r="E162" s="32">
        <v>1987</v>
      </c>
      <c r="F162" s="203" t="s">
        <v>277</v>
      </c>
      <c r="G162" s="32" t="s">
        <v>278</v>
      </c>
      <c r="H162" s="24" t="s">
        <v>2831</v>
      </c>
      <c r="I162" s="32">
        <v>50.53</v>
      </c>
      <c r="J162" s="32">
        <f t="shared" si="11"/>
        <v>-103.67</v>
      </c>
      <c r="K162" s="32">
        <v>579.1</v>
      </c>
      <c r="Q162" s="44" t="s">
        <v>1869</v>
      </c>
      <c r="R162" s="44" t="s">
        <v>1869</v>
      </c>
      <c r="S162" s="44"/>
      <c r="T162" s="44" t="s">
        <v>1868</v>
      </c>
      <c r="U162" s="44" t="s">
        <v>1386</v>
      </c>
      <c r="V162" s="44" t="s">
        <v>1724</v>
      </c>
      <c r="W162" s="44" t="s">
        <v>1386</v>
      </c>
      <c r="X162" s="44" t="s">
        <v>1386</v>
      </c>
      <c r="Y162" s="32">
        <f t="shared" si="12"/>
        <v>1.085</v>
      </c>
      <c r="Z162" s="323">
        <v>16.3</v>
      </c>
      <c r="AA162" s="323">
        <v>20.6</v>
      </c>
      <c r="AB162" s="32" t="s">
        <v>797</v>
      </c>
      <c r="AF162" s="32" t="s">
        <v>1320</v>
      </c>
      <c r="AG162" s="32" t="s">
        <v>279</v>
      </c>
      <c r="AH162" s="138" t="s">
        <v>578</v>
      </c>
      <c r="AI162" s="32" t="s">
        <v>1540</v>
      </c>
      <c r="AJ162" s="140" t="s">
        <v>117</v>
      </c>
      <c r="AK162" s="32" t="s">
        <v>1382</v>
      </c>
      <c r="AL162" s="32" t="s">
        <v>288</v>
      </c>
      <c r="AM162" s="32" t="s">
        <v>503</v>
      </c>
      <c r="AQ162" s="32" t="s">
        <v>280</v>
      </c>
      <c r="AR162" s="24" t="s">
        <v>162</v>
      </c>
      <c r="AS162" s="32" t="s">
        <v>503</v>
      </c>
      <c r="AT162" s="32" t="s">
        <v>120</v>
      </c>
      <c r="AU162" s="32">
        <v>6</v>
      </c>
      <c r="AW162" s="32" t="s">
        <v>142</v>
      </c>
      <c r="AX162" s="32">
        <f t="shared" si="13"/>
        <v>112000</v>
      </c>
      <c r="AZ162" s="32">
        <f t="shared" si="14"/>
        <v>52.083333333333336</v>
      </c>
      <c r="BA162" s="53"/>
      <c r="BM162" s="397"/>
      <c r="BN162" s="397"/>
      <c r="BR162" s="397">
        <f>38.5*0.00061*100</f>
        <v>2.3485</v>
      </c>
      <c r="BS162" s="397">
        <f t="shared" si="19"/>
        <v>2.4339</v>
      </c>
      <c r="BV162" s="32" t="s">
        <v>1675</v>
      </c>
      <c r="BW162" s="32">
        <f>BR162/11.9*10000</f>
        <v>1973.5294117647059</v>
      </c>
      <c r="BX162" s="32">
        <f>BS162/12*10000</f>
        <v>2028.25</v>
      </c>
      <c r="CA162" s="32" t="s">
        <v>814</v>
      </c>
      <c r="GM162" s="12"/>
      <c r="GQ162" s="12"/>
      <c r="HL162" s="32">
        <f>193*0.61/24</f>
        <v>4.9054166666666665</v>
      </c>
      <c r="HM162" s="32">
        <f t="shared" si="20"/>
        <v>5.0579166666666664</v>
      </c>
      <c r="IA162" s="32">
        <f>891*1000000/1627500</f>
        <v>547.46543778801845</v>
      </c>
      <c r="IB162" s="32">
        <f t="shared" si="21"/>
        <v>672.19662058371739</v>
      </c>
      <c r="IF162" s="32">
        <v>54.070660522273428</v>
      </c>
      <c r="IG162" s="32">
        <f t="shared" si="22"/>
        <v>76.19047619047619</v>
      </c>
      <c r="IO162" s="32" t="s">
        <v>293</v>
      </c>
    </row>
    <row r="163" spans="1:249" s="32" customFormat="1" x14ac:dyDescent="0.25">
      <c r="A163" s="32">
        <v>13</v>
      </c>
      <c r="B163" s="32" t="s">
        <v>266</v>
      </c>
      <c r="C163" s="32" t="s">
        <v>276</v>
      </c>
      <c r="D163" s="32">
        <v>1991</v>
      </c>
      <c r="E163" s="32">
        <v>1987</v>
      </c>
      <c r="F163" s="203" t="s">
        <v>277</v>
      </c>
      <c r="G163" s="32" t="s">
        <v>278</v>
      </c>
      <c r="H163" s="24" t="s">
        <v>2831</v>
      </c>
      <c r="I163" s="32">
        <v>50.53</v>
      </c>
      <c r="J163" s="32">
        <f t="shared" si="11"/>
        <v>-103.67</v>
      </c>
      <c r="K163" s="32">
        <v>579.1</v>
      </c>
      <c r="Q163" s="44" t="s">
        <v>1869</v>
      </c>
      <c r="R163" s="44" t="s">
        <v>1869</v>
      </c>
      <c r="S163" s="44"/>
      <c r="T163" s="44" t="s">
        <v>1868</v>
      </c>
      <c r="U163" s="44" t="s">
        <v>1386</v>
      </c>
      <c r="V163" s="44" t="s">
        <v>1724</v>
      </c>
      <c r="W163" s="44" t="s">
        <v>1386</v>
      </c>
      <c r="X163" s="44" t="s">
        <v>1386</v>
      </c>
      <c r="Y163" s="32">
        <f t="shared" si="12"/>
        <v>1.085</v>
      </c>
      <c r="Z163" s="323">
        <v>16.3</v>
      </c>
      <c r="AA163" s="323">
        <v>20.6</v>
      </c>
      <c r="AB163" s="32" t="s">
        <v>797</v>
      </c>
      <c r="AF163" s="32" t="s">
        <v>1320</v>
      </c>
      <c r="AG163" s="32" t="s">
        <v>279</v>
      </c>
      <c r="AH163" s="138" t="s">
        <v>578</v>
      </c>
      <c r="AI163" s="32" t="s">
        <v>1540</v>
      </c>
      <c r="AJ163" s="140" t="s">
        <v>117</v>
      </c>
      <c r="AK163" s="32" t="s">
        <v>1382</v>
      </c>
      <c r="AL163" s="32" t="s">
        <v>288</v>
      </c>
      <c r="AM163" s="32" t="s">
        <v>503</v>
      </c>
      <c r="AQ163" s="32" t="s">
        <v>282</v>
      </c>
      <c r="AR163" s="24" t="s">
        <v>162</v>
      </c>
      <c r="AS163" s="32" t="s">
        <v>503</v>
      </c>
      <c r="AT163" s="32" t="s">
        <v>120</v>
      </c>
      <c r="AU163" s="32">
        <v>6</v>
      </c>
      <c r="AW163" s="32" t="s">
        <v>142</v>
      </c>
      <c r="AX163" s="32">
        <f t="shared" si="13"/>
        <v>112000</v>
      </c>
      <c r="AZ163" s="32">
        <f t="shared" si="14"/>
        <v>52.083333333333336</v>
      </c>
      <c r="BA163" s="53"/>
      <c r="BM163" s="397"/>
      <c r="BN163" s="397"/>
      <c r="BR163" s="397">
        <f>38.2*0.00061*100</f>
        <v>2.3302</v>
      </c>
      <c r="BS163" s="397">
        <f t="shared" si="19"/>
        <v>2.4339</v>
      </c>
      <c r="BV163" s="32" t="s">
        <v>1675</v>
      </c>
      <c r="BW163" s="32">
        <f>BR163/12.7*10000</f>
        <v>1834.8031496062995</v>
      </c>
      <c r="BX163" s="32">
        <f>BS163/12*10000</f>
        <v>2028.25</v>
      </c>
      <c r="CA163" s="32" t="s">
        <v>814</v>
      </c>
      <c r="GM163" s="12"/>
      <c r="GQ163" s="12"/>
      <c r="HL163" s="32">
        <f>168*0.61/24</f>
        <v>4.2700000000000005</v>
      </c>
      <c r="HM163" s="32">
        <f t="shared" si="20"/>
        <v>5.0579166666666664</v>
      </c>
      <c r="IA163" s="32">
        <f>833*1000000/1627500</f>
        <v>511.8279569892473</v>
      </c>
      <c r="IB163" s="32">
        <f t="shared" si="21"/>
        <v>672.19662058371739</v>
      </c>
      <c r="IF163" s="32">
        <v>49.155145929339476</v>
      </c>
      <c r="IG163" s="32">
        <f t="shared" si="22"/>
        <v>76.19047619047619</v>
      </c>
      <c r="IO163" s="32" t="s">
        <v>293</v>
      </c>
    </row>
    <row r="164" spans="1:249" s="24" customFormat="1" x14ac:dyDescent="0.25">
      <c r="A164" s="24">
        <v>13</v>
      </c>
      <c r="B164" s="24" t="s">
        <v>266</v>
      </c>
      <c r="C164" s="24" t="s">
        <v>276</v>
      </c>
      <c r="D164" s="24">
        <v>1991</v>
      </c>
      <c r="E164" s="24">
        <v>1987</v>
      </c>
      <c r="F164" s="202" t="s">
        <v>277</v>
      </c>
      <c r="G164" s="24" t="s">
        <v>278</v>
      </c>
      <c r="H164" s="24" t="s">
        <v>2831</v>
      </c>
      <c r="I164" s="24">
        <v>50.53</v>
      </c>
      <c r="J164" s="24">
        <f t="shared" si="11"/>
        <v>-103.67</v>
      </c>
      <c r="K164" s="24">
        <v>579.1</v>
      </c>
      <c r="Q164" s="42" t="s">
        <v>1869</v>
      </c>
      <c r="R164" s="42" t="s">
        <v>1869</v>
      </c>
      <c r="S164" s="42"/>
      <c r="T164" s="42" t="s">
        <v>1868</v>
      </c>
      <c r="U164" s="42" t="s">
        <v>1386</v>
      </c>
      <c r="V164" s="42" t="s">
        <v>1724</v>
      </c>
      <c r="W164" s="42" t="s">
        <v>1386</v>
      </c>
      <c r="X164" s="42" t="s">
        <v>1386</v>
      </c>
      <c r="Y164" s="24">
        <f>(0.95+1.22)/2</f>
        <v>1.085</v>
      </c>
      <c r="Z164" s="321">
        <v>16.3</v>
      </c>
      <c r="AA164" s="321">
        <v>20.6</v>
      </c>
      <c r="AB164" s="24" t="s">
        <v>797</v>
      </c>
      <c r="AF164" s="24" t="s">
        <v>1320</v>
      </c>
      <c r="AG164" s="24" t="s">
        <v>1577</v>
      </c>
      <c r="AH164" s="138" t="s">
        <v>1586</v>
      </c>
      <c r="AI164" s="24" t="s">
        <v>1540</v>
      </c>
      <c r="AJ164" s="140" t="s">
        <v>117</v>
      </c>
      <c r="AK164" s="24" t="s">
        <v>281</v>
      </c>
      <c r="AL164" s="24" t="s">
        <v>290</v>
      </c>
      <c r="AM164" s="24" t="s">
        <v>503</v>
      </c>
      <c r="AQ164" s="24" t="s">
        <v>162</v>
      </c>
      <c r="AR164" s="24" t="s">
        <v>162</v>
      </c>
      <c r="AS164" s="24" t="s">
        <v>178</v>
      </c>
      <c r="AT164" s="24" t="s">
        <v>120</v>
      </c>
      <c r="AU164" s="24">
        <v>6</v>
      </c>
      <c r="AW164" s="24" t="s">
        <v>142</v>
      </c>
      <c r="AX164" s="24">
        <f>117*1000</f>
        <v>117000</v>
      </c>
      <c r="AZ164" s="24">
        <f>49/1.47</f>
        <v>33.333333333333336</v>
      </c>
      <c r="BA164" s="53"/>
      <c r="BM164" s="395"/>
      <c r="BN164" s="395"/>
      <c r="BR164" s="395">
        <f>36.3*0.00061*100</f>
        <v>2.2142999999999997</v>
      </c>
      <c r="BS164" s="395">
        <f>41.5*0.00061*100</f>
        <v>2.5314999999999999</v>
      </c>
      <c r="BV164" s="24" t="s">
        <v>1675</v>
      </c>
      <c r="BW164" s="24">
        <f>BR164/12.5*10000</f>
        <v>1771.4399999999996</v>
      </c>
      <c r="BX164" s="24">
        <f>BS164/12.2*10000</f>
        <v>2075</v>
      </c>
      <c r="CA164" s="24" t="s">
        <v>814</v>
      </c>
      <c r="GM164" s="12"/>
      <c r="GQ164" s="12"/>
      <c r="HL164" s="24">
        <f>184*0.61/24</f>
        <v>4.6766666666666667</v>
      </c>
      <c r="HM164" s="24">
        <f>227*0.61/24</f>
        <v>5.7695833333333333</v>
      </c>
      <c r="IA164" s="24">
        <f>905*1000000/1627500</f>
        <v>556.06758832565288</v>
      </c>
      <c r="IB164" s="24">
        <f>1074*1000000/1627500</f>
        <v>659.90783410138249</v>
      </c>
      <c r="IF164" s="24">
        <v>48.540706605222702</v>
      </c>
      <c r="IG164" s="24">
        <f>128*1000000/1627500</f>
        <v>78.64823348694317</v>
      </c>
      <c r="IO164" s="24" t="s">
        <v>293</v>
      </c>
    </row>
    <row r="165" spans="1:249" s="24" customFormat="1" x14ac:dyDescent="0.25">
      <c r="A165" s="24">
        <v>13</v>
      </c>
      <c r="B165" s="24" t="s">
        <v>266</v>
      </c>
      <c r="C165" s="24" t="s">
        <v>276</v>
      </c>
      <c r="D165" s="24">
        <v>1991</v>
      </c>
      <c r="E165" s="24">
        <v>1987</v>
      </c>
      <c r="F165" s="202" t="s">
        <v>277</v>
      </c>
      <c r="G165" s="24" t="s">
        <v>278</v>
      </c>
      <c r="H165" s="24" t="s">
        <v>2831</v>
      </c>
      <c r="I165" s="24">
        <v>50.53</v>
      </c>
      <c r="J165" s="24">
        <f t="shared" si="11"/>
        <v>-103.67</v>
      </c>
      <c r="K165" s="24">
        <v>579.1</v>
      </c>
      <c r="Q165" s="42" t="s">
        <v>1869</v>
      </c>
      <c r="R165" s="42" t="s">
        <v>1869</v>
      </c>
      <c r="S165" s="42"/>
      <c r="T165" s="42" t="s">
        <v>1868</v>
      </c>
      <c r="U165" s="42" t="s">
        <v>1386</v>
      </c>
      <c r="V165" s="42" t="s">
        <v>1724</v>
      </c>
      <c r="W165" s="42" t="s">
        <v>1386</v>
      </c>
      <c r="X165" s="42" t="s">
        <v>1386</v>
      </c>
      <c r="Y165" s="24">
        <f t="shared" si="12"/>
        <v>1.085</v>
      </c>
      <c r="Z165" s="321">
        <v>16.3</v>
      </c>
      <c r="AA165" s="321">
        <v>20.6</v>
      </c>
      <c r="AB165" s="24" t="s">
        <v>797</v>
      </c>
      <c r="AF165" s="24" t="s">
        <v>1320</v>
      </c>
      <c r="AG165" s="24" t="s">
        <v>1577</v>
      </c>
      <c r="AH165" s="138" t="s">
        <v>1586</v>
      </c>
      <c r="AI165" s="24" t="s">
        <v>1540</v>
      </c>
      <c r="AJ165" s="140" t="s">
        <v>117</v>
      </c>
      <c r="AK165" s="24" t="s">
        <v>281</v>
      </c>
      <c r="AL165" s="24" t="s">
        <v>290</v>
      </c>
      <c r="AM165" s="24" t="s">
        <v>503</v>
      </c>
      <c r="AQ165" s="24" t="s">
        <v>280</v>
      </c>
      <c r="AR165" s="24" t="s">
        <v>162</v>
      </c>
      <c r="AS165" s="24" t="s">
        <v>503</v>
      </c>
      <c r="AT165" s="24" t="s">
        <v>120</v>
      </c>
      <c r="AU165" s="24">
        <v>6</v>
      </c>
      <c r="AW165" s="24" t="s">
        <v>142</v>
      </c>
      <c r="AX165" s="24">
        <f t="shared" ref="AX165:AX173" si="23">117*1000</f>
        <v>117000</v>
      </c>
      <c r="AZ165" s="24">
        <f t="shared" ref="AZ165:AZ173" si="24">49/1.47</f>
        <v>33.333333333333336</v>
      </c>
      <c r="BA165" s="53"/>
      <c r="BM165" s="395"/>
      <c r="BN165" s="395"/>
      <c r="BR165" s="395">
        <f>37.9*0.00061*100</f>
        <v>2.3118999999999996</v>
      </c>
      <c r="BS165" s="395">
        <f t="shared" ref="BS165:BS168" si="25">41.5*0.00061*100</f>
        <v>2.5314999999999999</v>
      </c>
      <c r="BV165" s="24" t="s">
        <v>1675</v>
      </c>
      <c r="BW165" s="24">
        <f>BR165/12.6*10000</f>
        <v>1834.8412698412696</v>
      </c>
      <c r="BX165" s="24">
        <f>BS165/12.2*10000</f>
        <v>2075</v>
      </c>
      <c r="CA165" s="24" t="s">
        <v>814</v>
      </c>
      <c r="GM165" s="12"/>
      <c r="GQ165" s="12"/>
      <c r="HL165" s="24">
        <f>178*0.61/24</f>
        <v>4.5241666666666669</v>
      </c>
      <c r="HM165" s="24">
        <f t="shared" ref="HM165:HM168" si="26">227*0.61/24</f>
        <v>5.7695833333333333</v>
      </c>
      <c r="IA165" s="24">
        <f>815*1000000/1627500</f>
        <v>500.76804915514595</v>
      </c>
      <c r="IB165" s="24">
        <f t="shared" ref="IB165:IB168" si="27">1074*1000000/1627500</f>
        <v>659.90783410138249</v>
      </c>
      <c r="IF165" s="24">
        <v>46.082949308755758</v>
      </c>
      <c r="IG165" s="24">
        <f t="shared" ref="IG165:IG168" si="28">128*1000000/1627500</f>
        <v>78.64823348694317</v>
      </c>
      <c r="IO165" s="24" t="s">
        <v>293</v>
      </c>
    </row>
    <row r="166" spans="1:249" s="24" customFormat="1" x14ac:dyDescent="0.25">
      <c r="A166" s="24">
        <v>13</v>
      </c>
      <c r="B166" s="24" t="s">
        <v>266</v>
      </c>
      <c r="C166" s="24" t="s">
        <v>276</v>
      </c>
      <c r="D166" s="24">
        <v>1991</v>
      </c>
      <c r="E166" s="24">
        <v>1987</v>
      </c>
      <c r="F166" s="202" t="s">
        <v>277</v>
      </c>
      <c r="G166" s="24" t="s">
        <v>278</v>
      </c>
      <c r="H166" s="24" t="s">
        <v>2831</v>
      </c>
      <c r="I166" s="24">
        <v>50.53</v>
      </c>
      <c r="J166" s="24">
        <f t="shared" si="11"/>
        <v>-103.67</v>
      </c>
      <c r="K166" s="24">
        <v>579.1</v>
      </c>
      <c r="Q166" s="42" t="s">
        <v>1869</v>
      </c>
      <c r="R166" s="42" t="s">
        <v>1869</v>
      </c>
      <c r="S166" s="42"/>
      <c r="T166" s="42" t="s">
        <v>1868</v>
      </c>
      <c r="U166" s="42" t="s">
        <v>1386</v>
      </c>
      <c r="V166" s="42" t="s">
        <v>1724</v>
      </c>
      <c r="W166" s="42" t="s">
        <v>1386</v>
      </c>
      <c r="X166" s="42" t="s">
        <v>1386</v>
      </c>
      <c r="Y166" s="24">
        <f t="shared" si="12"/>
        <v>1.085</v>
      </c>
      <c r="Z166" s="321">
        <v>16.3</v>
      </c>
      <c r="AA166" s="321">
        <v>20.6</v>
      </c>
      <c r="AB166" s="24" t="s">
        <v>797</v>
      </c>
      <c r="AF166" s="24" t="s">
        <v>1320</v>
      </c>
      <c r="AG166" s="24" t="s">
        <v>1577</v>
      </c>
      <c r="AH166" s="138" t="s">
        <v>1586</v>
      </c>
      <c r="AI166" s="24" t="s">
        <v>1540</v>
      </c>
      <c r="AJ166" s="140" t="s">
        <v>117</v>
      </c>
      <c r="AK166" s="24" t="s">
        <v>1382</v>
      </c>
      <c r="AL166" s="24" t="s">
        <v>290</v>
      </c>
      <c r="AM166" s="24" t="s">
        <v>503</v>
      </c>
      <c r="AQ166" s="24" t="s">
        <v>162</v>
      </c>
      <c r="AR166" s="24" t="s">
        <v>162</v>
      </c>
      <c r="AS166" s="24" t="s">
        <v>503</v>
      </c>
      <c r="AT166" s="24" t="s">
        <v>120</v>
      </c>
      <c r="AU166" s="24">
        <v>6</v>
      </c>
      <c r="AW166" s="24" t="s">
        <v>142</v>
      </c>
      <c r="AX166" s="24">
        <f t="shared" si="23"/>
        <v>117000</v>
      </c>
      <c r="AZ166" s="24">
        <f t="shared" si="24"/>
        <v>33.333333333333336</v>
      </c>
      <c r="BA166" s="53"/>
      <c r="BM166" s="395"/>
      <c r="BN166" s="395"/>
      <c r="BR166" s="395">
        <f>36.4*0.00061*100</f>
        <v>2.2203999999999997</v>
      </c>
      <c r="BS166" s="395">
        <f t="shared" si="25"/>
        <v>2.5314999999999999</v>
      </c>
      <c r="BV166" s="24" t="s">
        <v>1675</v>
      </c>
      <c r="BW166" s="24">
        <f>BR166/12.5*10000</f>
        <v>1776.32</v>
      </c>
      <c r="BX166" s="24">
        <f>BS166/12.2*10000</f>
        <v>2075</v>
      </c>
      <c r="CA166" s="24" t="s">
        <v>814</v>
      </c>
      <c r="GM166" s="12"/>
      <c r="GQ166" s="12"/>
      <c r="HL166" s="24">
        <f>200*0.61/24</f>
        <v>5.083333333333333</v>
      </c>
      <c r="HM166" s="24">
        <f t="shared" si="26"/>
        <v>5.7695833333333333</v>
      </c>
      <c r="IA166" s="24">
        <f>804*1000000/1627500</f>
        <v>494.00921658986175</v>
      </c>
      <c r="IB166" s="24">
        <f t="shared" si="27"/>
        <v>659.90783410138249</v>
      </c>
      <c r="IF166" s="24">
        <v>54.685099846390166</v>
      </c>
      <c r="IG166" s="24">
        <f t="shared" si="28"/>
        <v>78.64823348694317</v>
      </c>
      <c r="IO166" s="24" t="s">
        <v>293</v>
      </c>
    </row>
    <row r="167" spans="1:249" s="24" customFormat="1" x14ac:dyDescent="0.25">
      <c r="A167" s="24">
        <v>13</v>
      </c>
      <c r="B167" s="24" t="s">
        <v>266</v>
      </c>
      <c r="C167" s="24" t="s">
        <v>276</v>
      </c>
      <c r="D167" s="24">
        <v>1991</v>
      </c>
      <c r="E167" s="24">
        <v>1987</v>
      </c>
      <c r="F167" s="202" t="s">
        <v>277</v>
      </c>
      <c r="G167" s="24" t="s">
        <v>278</v>
      </c>
      <c r="H167" s="24" t="s">
        <v>2831</v>
      </c>
      <c r="I167" s="24">
        <v>50.53</v>
      </c>
      <c r="J167" s="24">
        <f t="shared" si="11"/>
        <v>-103.67</v>
      </c>
      <c r="K167" s="24">
        <v>579.1</v>
      </c>
      <c r="Q167" s="42" t="s">
        <v>1869</v>
      </c>
      <c r="R167" s="42" t="s">
        <v>1869</v>
      </c>
      <c r="S167" s="42"/>
      <c r="T167" s="42" t="s">
        <v>1868</v>
      </c>
      <c r="U167" s="42" t="s">
        <v>1386</v>
      </c>
      <c r="V167" s="42" t="s">
        <v>1724</v>
      </c>
      <c r="W167" s="42" t="s">
        <v>1386</v>
      </c>
      <c r="X167" s="42" t="s">
        <v>1386</v>
      </c>
      <c r="Y167" s="24">
        <f t="shared" si="12"/>
        <v>1.085</v>
      </c>
      <c r="Z167" s="321">
        <v>16.3</v>
      </c>
      <c r="AA167" s="321">
        <v>20.6</v>
      </c>
      <c r="AB167" s="24" t="s">
        <v>797</v>
      </c>
      <c r="AF167" s="24" t="s">
        <v>1320</v>
      </c>
      <c r="AG167" s="24" t="s">
        <v>1577</v>
      </c>
      <c r="AH167" s="138" t="s">
        <v>1586</v>
      </c>
      <c r="AI167" s="24" t="s">
        <v>1540</v>
      </c>
      <c r="AJ167" s="140" t="s">
        <v>117</v>
      </c>
      <c r="AK167" s="24" t="s">
        <v>1382</v>
      </c>
      <c r="AL167" s="24" t="s">
        <v>290</v>
      </c>
      <c r="AM167" s="24" t="s">
        <v>503</v>
      </c>
      <c r="AQ167" s="24" t="s">
        <v>280</v>
      </c>
      <c r="AR167" s="24" t="s">
        <v>162</v>
      </c>
      <c r="AS167" s="24" t="s">
        <v>503</v>
      </c>
      <c r="AT167" s="24" t="s">
        <v>120</v>
      </c>
      <c r="AU167" s="24">
        <v>6</v>
      </c>
      <c r="AW167" s="24" t="s">
        <v>142</v>
      </c>
      <c r="AX167" s="24">
        <f t="shared" si="23"/>
        <v>117000</v>
      </c>
      <c r="AZ167" s="24">
        <f t="shared" si="24"/>
        <v>33.333333333333336</v>
      </c>
      <c r="BA167" s="53"/>
      <c r="BM167" s="395"/>
      <c r="BN167" s="395"/>
      <c r="BR167" s="395">
        <f>38.5*0.00061*100</f>
        <v>2.3485</v>
      </c>
      <c r="BS167" s="395">
        <f t="shared" si="25"/>
        <v>2.5314999999999999</v>
      </c>
      <c r="BV167" s="24" t="s">
        <v>1675</v>
      </c>
      <c r="BW167" s="24">
        <f>BR167/11.9*10000</f>
        <v>1973.5294117647059</v>
      </c>
      <c r="BX167" s="24">
        <f>BS167/12.2*10000</f>
        <v>2075</v>
      </c>
      <c r="CA167" s="24" t="s">
        <v>814</v>
      </c>
      <c r="GM167" s="12"/>
      <c r="GQ167" s="12"/>
      <c r="HL167" s="24">
        <f>193*0.61/24</f>
        <v>4.9054166666666665</v>
      </c>
      <c r="HM167" s="24">
        <f t="shared" si="26"/>
        <v>5.7695833333333333</v>
      </c>
      <c r="IA167" s="24">
        <f>891*1000000/1627500</f>
        <v>547.46543778801845</v>
      </c>
      <c r="IB167" s="24">
        <f t="shared" si="27"/>
        <v>659.90783410138249</v>
      </c>
      <c r="IF167" s="24">
        <v>54.070660522273428</v>
      </c>
      <c r="IG167" s="24">
        <f t="shared" si="28"/>
        <v>78.64823348694317</v>
      </c>
      <c r="IO167" s="24" t="s">
        <v>293</v>
      </c>
    </row>
    <row r="168" spans="1:249" s="24" customFormat="1" x14ac:dyDescent="0.25">
      <c r="A168" s="24">
        <v>13</v>
      </c>
      <c r="B168" s="24" t="s">
        <v>266</v>
      </c>
      <c r="C168" s="24" t="s">
        <v>276</v>
      </c>
      <c r="D168" s="24">
        <v>1991</v>
      </c>
      <c r="E168" s="24">
        <v>1987</v>
      </c>
      <c r="F168" s="202" t="s">
        <v>277</v>
      </c>
      <c r="G168" s="24" t="s">
        <v>278</v>
      </c>
      <c r="H168" s="24" t="s">
        <v>2831</v>
      </c>
      <c r="I168" s="24">
        <v>50.53</v>
      </c>
      <c r="J168" s="24">
        <f t="shared" si="11"/>
        <v>-103.67</v>
      </c>
      <c r="K168" s="24">
        <v>579.1</v>
      </c>
      <c r="Q168" s="42" t="s">
        <v>1869</v>
      </c>
      <c r="R168" s="42" t="s">
        <v>1869</v>
      </c>
      <c r="S168" s="42"/>
      <c r="T168" s="42" t="s">
        <v>1868</v>
      </c>
      <c r="U168" s="42" t="s">
        <v>1386</v>
      </c>
      <c r="V168" s="42" t="s">
        <v>1724</v>
      </c>
      <c r="W168" s="42" t="s">
        <v>1386</v>
      </c>
      <c r="X168" s="42" t="s">
        <v>1386</v>
      </c>
      <c r="Y168" s="24">
        <f t="shared" si="12"/>
        <v>1.085</v>
      </c>
      <c r="Z168" s="321">
        <v>16.3</v>
      </c>
      <c r="AA168" s="321">
        <v>20.6</v>
      </c>
      <c r="AB168" s="24" t="s">
        <v>797</v>
      </c>
      <c r="AF168" s="24" t="s">
        <v>1320</v>
      </c>
      <c r="AG168" s="24" t="s">
        <v>1577</v>
      </c>
      <c r="AH168" s="138" t="s">
        <v>1586</v>
      </c>
      <c r="AI168" s="24" t="s">
        <v>1540</v>
      </c>
      <c r="AJ168" s="140" t="s">
        <v>117</v>
      </c>
      <c r="AK168" s="24" t="s">
        <v>1382</v>
      </c>
      <c r="AL168" s="24" t="s">
        <v>290</v>
      </c>
      <c r="AM168" s="24" t="s">
        <v>503</v>
      </c>
      <c r="AQ168" s="24" t="s">
        <v>282</v>
      </c>
      <c r="AR168" s="24" t="s">
        <v>162</v>
      </c>
      <c r="AS168" s="24" t="s">
        <v>503</v>
      </c>
      <c r="AT168" s="24" t="s">
        <v>120</v>
      </c>
      <c r="AU168" s="24">
        <v>6</v>
      </c>
      <c r="AW168" s="24" t="s">
        <v>142</v>
      </c>
      <c r="AX168" s="24">
        <f t="shared" si="23"/>
        <v>117000</v>
      </c>
      <c r="AZ168" s="24">
        <f t="shared" si="24"/>
        <v>33.333333333333336</v>
      </c>
      <c r="BA168" s="53"/>
      <c r="BM168" s="395"/>
      <c r="BN168" s="395"/>
      <c r="BR168" s="395">
        <f>38.2*0.00061*100</f>
        <v>2.3302</v>
      </c>
      <c r="BS168" s="395">
        <f t="shared" si="25"/>
        <v>2.5314999999999999</v>
      </c>
      <c r="BV168" s="24" t="s">
        <v>1675</v>
      </c>
      <c r="BW168" s="24">
        <f>BR168/12.7*10000</f>
        <v>1834.8031496062995</v>
      </c>
      <c r="BX168" s="24">
        <f>BS168/12.2*10000</f>
        <v>2075</v>
      </c>
      <c r="CA168" s="24" t="s">
        <v>814</v>
      </c>
      <c r="GM168" s="12"/>
      <c r="GQ168" s="12"/>
      <c r="HL168" s="24">
        <f>168*0.61/24</f>
        <v>4.2700000000000005</v>
      </c>
      <c r="HM168" s="24">
        <f t="shared" si="26"/>
        <v>5.7695833333333333</v>
      </c>
      <c r="IA168" s="24">
        <f>833*1000000/1627500</f>
        <v>511.8279569892473</v>
      </c>
      <c r="IB168" s="24">
        <f t="shared" si="27"/>
        <v>659.90783410138249</v>
      </c>
      <c r="IF168" s="24">
        <v>49.155145929339476</v>
      </c>
      <c r="IG168" s="24">
        <f t="shared" si="28"/>
        <v>78.64823348694317</v>
      </c>
      <c r="IO168" s="24" t="s">
        <v>293</v>
      </c>
    </row>
    <row r="169" spans="1:249" s="32" customFormat="1" x14ac:dyDescent="0.25">
      <c r="A169" s="32">
        <v>13</v>
      </c>
      <c r="B169" s="32" t="s">
        <v>266</v>
      </c>
      <c r="C169" s="32" t="s">
        <v>276</v>
      </c>
      <c r="D169" s="32">
        <v>1991</v>
      </c>
      <c r="E169" s="32">
        <v>1987</v>
      </c>
      <c r="F169" s="203" t="s">
        <v>277</v>
      </c>
      <c r="G169" s="32" t="s">
        <v>278</v>
      </c>
      <c r="H169" s="24" t="s">
        <v>2831</v>
      </c>
      <c r="I169" s="32">
        <v>50.53</v>
      </c>
      <c r="J169" s="32">
        <f t="shared" si="11"/>
        <v>-103.67</v>
      </c>
      <c r="K169" s="32">
        <v>579.1</v>
      </c>
      <c r="Q169" s="44" t="s">
        <v>1869</v>
      </c>
      <c r="R169" s="44" t="s">
        <v>1869</v>
      </c>
      <c r="S169" s="44"/>
      <c r="T169" s="44" t="s">
        <v>1868</v>
      </c>
      <c r="U169" s="44" t="s">
        <v>1386</v>
      </c>
      <c r="V169" s="44" t="s">
        <v>1724</v>
      </c>
      <c r="W169" s="44" t="s">
        <v>1386</v>
      </c>
      <c r="X169" s="44" t="s">
        <v>1386</v>
      </c>
      <c r="Y169" s="32">
        <f>(0.95+1.22)/2</f>
        <v>1.085</v>
      </c>
      <c r="Z169" s="323">
        <v>16.3</v>
      </c>
      <c r="AA169" s="323">
        <v>20.6</v>
      </c>
      <c r="AB169" s="32" t="s">
        <v>797</v>
      </c>
      <c r="AF169" s="32" t="s">
        <v>1320</v>
      </c>
      <c r="AG169" s="32" t="s">
        <v>1577</v>
      </c>
      <c r="AH169" s="138" t="s">
        <v>1586</v>
      </c>
      <c r="AI169" s="32" t="s">
        <v>1540</v>
      </c>
      <c r="AJ169" s="140" t="s">
        <v>117</v>
      </c>
      <c r="AK169" s="32" t="s">
        <v>281</v>
      </c>
      <c r="AL169" s="32" t="s">
        <v>291</v>
      </c>
      <c r="AM169" s="32" t="s">
        <v>503</v>
      </c>
      <c r="AQ169" s="32" t="s">
        <v>162</v>
      </c>
      <c r="AR169" s="24" t="s">
        <v>162</v>
      </c>
      <c r="AS169" s="32" t="s">
        <v>178</v>
      </c>
      <c r="AT169" s="32" t="s">
        <v>120</v>
      </c>
      <c r="AU169" s="32">
        <v>6</v>
      </c>
      <c r="AW169" s="32" t="s">
        <v>142</v>
      </c>
      <c r="AX169" s="32">
        <f t="shared" si="23"/>
        <v>117000</v>
      </c>
      <c r="AZ169" s="32">
        <f t="shared" si="24"/>
        <v>33.333333333333336</v>
      </c>
      <c r="BA169" s="53"/>
      <c r="BM169" s="397"/>
      <c r="BN169" s="397"/>
      <c r="BR169" s="397">
        <f>36.3*0.00061*100</f>
        <v>2.2142999999999997</v>
      </c>
      <c r="BS169" s="397">
        <f>42.2*0.00061*100</f>
        <v>2.5742000000000003</v>
      </c>
      <c r="BV169" s="32" t="s">
        <v>1675</v>
      </c>
      <c r="BW169" s="32">
        <f>BR169/12.5*10000</f>
        <v>1771.4399999999996</v>
      </c>
      <c r="BX169" s="32">
        <f>BS169/11.5*10000</f>
        <v>2238.434782608696</v>
      </c>
      <c r="CA169" s="32" t="s">
        <v>814</v>
      </c>
      <c r="GM169" s="12"/>
      <c r="GQ169" s="12"/>
      <c r="HL169" s="32">
        <f>184*0.61/24</f>
        <v>4.6766666666666667</v>
      </c>
      <c r="HM169" s="32">
        <f>206*0.61/24</f>
        <v>5.2358333333333329</v>
      </c>
      <c r="IA169" s="32">
        <f>905*1000000/1627500</f>
        <v>556.06758832565288</v>
      </c>
      <c r="IB169" s="32">
        <f>1036*1000000/1627500</f>
        <v>636.55913978494618</v>
      </c>
      <c r="IF169" s="32">
        <v>48.540706605222731</v>
      </c>
      <c r="IG169" s="32">
        <f>136*1000000/1627500</f>
        <v>83.563748079877115</v>
      </c>
      <c r="IO169" s="32" t="s">
        <v>293</v>
      </c>
    </row>
    <row r="170" spans="1:249" s="32" customFormat="1" x14ac:dyDescent="0.25">
      <c r="A170" s="32">
        <v>13</v>
      </c>
      <c r="B170" s="32" t="s">
        <v>266</v>
      </c>
      <c r="C170" s="32" t="s">
        <v>276</v>
      </c>
      <c r="D170" s="32">
        <v>1991</v>
      </c>
      <c r="E170" s="32">
        <v>1987</v>
      </c>
      <c r="F170" s="203" t="s">
        <v>277</v>
      </c>
      <c r="G170" s="32" t="s">
        <v>278</v>
      </c>
      <c r="H170" s="24" t="s">
        <v>2831</v>
      </c>
      <c r="I170" s="32">
        <v>50.53</v>
      </c>
      <c r="J170" s="32">
        <f t="shared" si="11"/>
        <v>-103.67</v>
      </c>
      <c r="K170" s="32">
        <v>579.1</v>
      </c>
      <c r="Q170" s="44" t="s">
        <v>1869</v>
      </c>
      <c r="R170" s="44" t="s">
        <v>1869</v>
      </c>
      <c r="S170" s="44"/>
      <c r="T170" s="44" t="s">
        <v>1868</v>
      </c>
      <c r="U170" s="44" t="s">
        <v>1386</v>
      </c>
      <c r="V170" s="44" t="s">
        <v>1724</v>
      </c>
      <c r="W170" s="44" t="s">
        <v>1386</v>
      </c>
      <c r="X170" s="44" t="s">
        <v>1386</v>
      </c>
      <c r="Y170" s="32">
        <f t="shared" si="12"/>
        <v>1.085</v>
      </c>
      <c r="Z170" s="323">
        <v>16.3</v>
      </c>
      <c r="AA170" s="323">
        <v>20.6</v>
      </c>
      <c r="AB170" s="32" t="s">
        <v>797</v>
      </c>
      <c r="AF170" s="32" t="s">
        <v>1320</v>
      </c>
      <c r="AG170" s="32" t="s">
        <v>1577</v>
      </c>
      <c r="AH170" s="138" t="s">
        <v>1586</v>
      </c>
      <c r="AI170" s="32" t="s">
        <v>1540</v>
      </c>
      <c r="AJ170" s="140" t="s">
        <v>117</v>
      </c>
      <c r="AK170" s="32" t="s">
        <v>281</v>
      </c>
      <c r="AL170" s="32" t="s">
        <v>291</v>
      </c>
      <c r="AM170" s="32" t="s">
        <v>503</v>
      </c>
      <c r="AQ170" s="32" t="s">
        <v>280</v>
      </c>
      <c r="AR170" s="24" t="s">
        <v>162</v>
      </c>
      <c r="AS170" s="32" t="s">
        <v>503</v>
      </c>
      <c r="AT170" s="32" t="s">
        <v>120</v>
      </c>
      <c r="AU170" s="32">
        <v>6</v>
      </c>
      <c r="AW170" s="32" t="s">
        <v>142</v>
      </c>
      <c r="AX170" s="32">
        <f t="shared" si="23"/>
        <v>117000</v>
      </c>
      <c r="AZ170" s="32">
        <f t="shared" si="24"/>
        <v>33.333333333333336</v>
      </c>
      <c r="BA170" s="53"/>
      <c r="BM170" s="397"/>
      <c r="BN170" s="397"/>
      <c r="BR170" s="397">
        <f>37.9*0.00061*100</f>
        <v>2.3118999999999996</v>
      </c>
      <c r="BS170" s="397">
        <f t="shared" ref="BS170:BS173" si="29">42.2*0.00061*100</f>
        <v>2.5742000000000003</v>
      </c>
      <c r="BV170" s="32" t="s">
        <v>1675</v>
      </c>
      <c r="BW170" s="32">
        <f>BR170/12.6*10000</f>
        <v>1834.8412698412696</v>
      </c>
      <c r="BX170" s="32">
        <f>BS170/11.5*10000</f>
        <v>2238.434782608696</v>
      </c>
      <c r="CA170" s="32" t="s">
        <v>814</v>
      </c>
      <c r="GM170" s="12"/>
      <c r="GQ170" s="12"/>
      <c r="HL170" s="32">
        <f>178*0.61/24</f>
        <v>4.5241666666666669</v>
      </c>
      <c r="HM170" s="32">
        <f t="shared" ref="HM170:HM173" si="30">206*0.61/24</f>
        <v>5.2358333333333329</v>
      </c>
      <c r="IA170" s="32">
        <f>815*1000000/1627500</f>
        <v>500.76804915514595</v>
      </c>
      <c r="IB170" s="32">
        <f t="shared" ref="IB170:IB173" si="31">1036*1000000/1627500</f>
        <v>636.55913978494618</v>
      </c>
      <c r="IF170" s="32">
        <v>46.082949308755758</v>
      </c>
      <c r="IG170" s="32">
        <f t="shared" ref="IG170:IG173" si="32">136*1000000/1627500</f>
        <v>83.563748079877115</v>
      </c>
      <c r="IO170" s="32" t="s">
        <v>293</v>
      </c>
    </row>
    <row r="171" spans="1:249" s="32" customFormat="1" x14ac:dyDescent="0.25">
      <c r="A171" s="32">
        <v>13</v>
      </c>
      <c r="B171" s="32" t="s">
        <v>266</v>
      </c>
      <c r="C171" s="32" t="s">
        <v>276</v>
      </c>
      <c r="D171" s="32">
        <v>1991</v>
      </c>
      <c r="E171" s="32">
        <v>1987</v>
      </c>
      <c r="F171" s="203" t="s">
        <v>277</v>
      </c>
      <c r="G171" s="32" t="s">
        <v>278</v>
      </c>
      <c r="H171" s="24" t="s">
        <v>2831</v>
      </c>
      <c r="I171" s="32">
        <v>50.53</v>
      </c>
      <c r="J171" s="32">
        <f t="shared" si="11"/>
        <v>-103.67</v>
      </c>
      <c r="K171" s="32">
        <v>579.1</v>
      </c>
      <c r="Q171" s="44" t="s">
        <v>1869</v>
      </c>
      <c r="R171" s="44" t="s">
        <v>1869</v>
      </c>
      <c r="S171" s="44"/>
      <c r="T171" s="44" t="s">
        <v>1868</v>
      </c>
      <c r="U171" s="44" t="s">
        <v>1386</v>
      </c>
      <c r="V171" s="44" t="s">
        <v>1724</v>
      </c>
      <c r="W171" s="44" t="s">
        <v>1386</v>
      </c>
      <c r="X171" s="44" t="s">
        <v>1386</v>
      </c>
      <c r="Y171" s="32">
        <f t="shared" si="12"/>
        <v>1.085</v>
      </c>
      <c r="Z171" s="323">
        <v>16.3</v>
      </c>
      <c r="AA171" s="323">
        <v>20.6</v>
      </c>
      <c r="AB171" s="32" t="s">
        <v>797</v>
      </c>
      <c r="AF171" s="32" t="s">
        <v>1320</v>
      </c>
      <c r="AG171" s="32" t="s">
        <v>1577</v>
      </c>
      <c r="AH171" s="138" t="s">
        <v>1586</v>
      </c>
      <c r="AI171" s="32" t="s">
        <v>1540</v>
      </c>
      <c r="AJ171" s="140" t="s">
        <v>117</v>
      </c>
      <c r="AK171" s="32" t="s">
        <v>1382</v>
      </c>
      <c r="AL171" s="32" t="s">
        <v>291</v>
      </c>
      <c r="AM171" s="32" t="s">
        <v>503</v>
      </c>
      <c r="AQ171" s="32" t="s">
        <v>162</v>
      </c>
      <c r="AR171" s="24" t="s">
        <v>162</v>
      </c>
      <c r="AS171" s="32" t="s">
        <v>503</v>
      </c>
      <c r="AT171" s="32" t="s">
        <v>120</v>
      </c>
      <c r="AU171" s="32">
        <v>6</v>
      </c>
      <c r="AW171" s="32" t="s">
        <v>142</v>
      </c>
      <c r="AX171" s="32">
        <f t="shared" si="23"/>
        <v>117000</v>
      </c>
      <c r="AZ171" s="32">
        <f t="shared" si="24"/>
        <v>33.333333333333336</v>
      </c>
      <c r="BA171" s="53"/>
      <c r="BM171" s="397"/>
      <c r="BN171" s="397"/>
      <c r="BR171" s="397">
        <f>36.4*0.00061*100</f>
        <v>2.2203999999999997</v>
      </c>
      <c r="BS171" s="397">
        <f t="shared" si="29"/>
        <v>2.5742000000000003</v>
      </c>
      <c r="BV171" s="32" t="s">
        <v>1675</v>
      </c>
      <c r="BW171" s="32">
        <f>BR171/12.5*10000</f>
        <v>1776.32</v>
      </c>
      <c r="BX171" s="32">
        <f>BS171/11.5*10000</f>
        <v>2238.434782608696</v>
      </c>
      <c r="CA171" s="32" t="s">
        <v>814</v>
      </c>
      <c r="GM171" s="12"/>
      <c r="GQ171" s="12"/>
      <c r="HL171" s="32">
        <f>200*0.61/24</f>
        <v>5.083333333333333</v>
      </c>
      <c r="HM171" s="32">
        <f t="shared" si="30"/>
        <v>5.2358333333333329</v>
      </c>
      <c r="IA171" s="32">
        <f>804*1000000/1627500</f>
        <v>494.00921658986175</v>
      </c>
      <c r="IB171" s="32">
        <f t="shared" si="31"/>
        <v>636.55913978494618</v>
      </c>
      <c r="IF171" s="32">
        <v>54.685099846390166</v>
      </c>
      <c r="IG171" s="32">
        <f t="shared" si="32"/>
        <v>83.563748079877115</v>
      </c>
      <c r="IO171" s="32" t="s">
        <v>293</v>
      </c>
    </row>
    <row r="172" spans="1:249" s="32" customFormat="1" x14ac:dyDescent="0.25">
      <c r="A172" s="32">
        <v>13</v>
      </c>
      <c r="B172" s="32" t="s">
        <v>266</v>
      </c>
      <c r="C172" s="32" t="s">
        <v>276</v>
      </c>
      <c r="D172" s="32">
        <v>1991</v>
      </c>
      <c r="E172" s="32">
        <v>1987</v>
      </c>
      <c r="F172" s="203" t="s">
        <v>277</v>
      </c>
      <c r="G172" s="32" t="s">
        <v>278</v>
      </c>
      <c r="H172" s="24" t="s">
        <v>2831</v>
      </c>
      <c r="I172" s="32">
        <v>50.53</v>
      </c>
      <c r="J172" s="32">
        <f t="shared" si="11"/>
        <v>-103.67</v>
      </c>
      <c r="K172" s="32">
        <v>579.1</v>
      </c>
      <c r="Q172" s="44" t="s">
        <v>1869</v>
      </c>
      <c r="R172" s="44" t="s">
        <v>1869</v>
      </c>
      <c r="S172" s="44"/>
      <c r="T172" s="44" t="s">
        <v>1868</v>
      </c>
      <c r="U172" s="44" t="s">
        <v>1386</v>
      </c>
      <c r="V172" s="44" t="s">
        <v>1724</v>
      </c>
      <c r="W172" s="44" t="s">
        <v>1386</v>
      </c>
      <c r="X172" s="44" t="s">
        <v>1386</v>
      </c>
      <c r="Y172" s="32">
        <f t="shared" si="12"/>
        <v>1.085</v>
      </c>
      <c r="Z172" s="323">
        <v>16.3</v>
      </c>
      <c r="AA172" s="323">
        <v>20.6</v>
      </c>
      <c r="AB172" s="32" t="s">
        <v>797</v>
      </c>
      <c r="AF172" s="32" t="s">
        <v>1320</v>
      </c>
      <c r="AG172" s="32" t="s">
        <v>1577</v>
      </c>
      <c r="AH172" s="138" t="s">
        <v>1586</v>
      </c>
      <c r="AI172" s="32" t="s">
        <v>1540</v>
      </c>
      <c r="AJ172" s="140" t="s">
        <v>117</v>
      </c>
      <c r="AK172" s="32" t="s">
        <v>1382</v>
      </c>
      <c r="AL172" s="32" t="s">
        <v>291</v>
      </c>
      <c r="AM172" s="32" t="s">
        <v>503</v>
      </c>
      <c r="AQ172" s="32" t="s">
        <v>280</v>
      </c>
      <c r="AR172" s="24" t="s">
        <v>162</v>
      </c>
      <c r="AS172" s="32" t="s">
        <v>503</v>
      </c>
      <c r="AT172" s="32" t="s">
        <v>120</v>
      </c>
      <c r="AU172" s="32">
        <v>6</v>
      </c>
      <c r="AW172" s="32" t="s">
        <v>142</v>
      </c>
      <c r="AX172" s="32">
        <f t="shared" si="23"/>
        <v>117000</v>
      </c>
      <c r="AZ172" s="32">
        <f t="shared" si="24"/>
        <v>33.333333333333336</v>
      </c>
      <c r="BA172" s="53"/>
      <c r="BM172" s="397"/>
      <c r="BN172" s="397"/>
      <c r="BR172" s="397">
        <f>38.5*0.00061*100</f>
        <v>2.3485</v>
      </c>
      <c r="BS172" s="397">
        <f t="shared" si="29"/>
        <v>2.5742000000000003</v>
      </c>
      <c r="BV172" s="32" t="s">
        <v>1675</v>
      </c>
      <c r="BW172" s="32">
        <f>BR172/11.9*10000</f>
        <v>1973.5294117647059</v>
      </c>
      <c r="BX172" s="32">
        <f>BS172/11.5*10000</f>
        <v>2238.434782608696</v>
      </c>
      <c r="CA172" s="32" t="s">
        <v>814</v>
      </c>
      <c r="GM172" s="12"/>
      <c r="GQ172" s="12"/>
      <c r="HL172" s="32">
        <f>193*0.61/24</f>
        <v>4.9054166666666665</v>
      </c>
      <c r="HM172" s="32">
        <f t="shared" si="30"/>
        <v>5.2358333333333329</v>
      </c>
      <c r="IA172" s="32">
        <f>891*1000000/1627500</f>
        <v>547.46543778801845</v>
      </c>
      <c r="IB172" s="32">
        <f t="shared" si="31"/>
        <v>636.55913978494618</v>
      </c>
      <c r="IF172" s="32">
        <v>54.070660522273428</v>
      </c>
      <c r="IG172" s="32">
        <f t="shared" si="32"/>
        <v>83.563748079877115</v>
      </c>
      <c r="IO172" s="32" t="s">
        <v>293</v>
      </c>
    </row>
    <row r="173" spans="1:249" s="32" customFormat="1" x14ac:dyDescent="0.25">
      <c r="A173" s="32">
        <v>13</v>
      </c>
      <c r="B173" s="32" t="s">
        <v>266</v>
      </c>
      <c r="C173" s="32" t="s">
        <v>276</v>
      </c>
      <c r="D173" s="32">
        <v>1991</v>
      </c>
      <c r="E173" s="32">
        <v>1987</v>
      </c>
      <c r="F173" s="203" t="s">
        <v>277</v>
      </c>
      <c r="G173" s="32" t="s">
        <v>278</v>
      </c>
      <c r="H173" s="24" t="s">
        <v>2831</v>
      </c>
      <c r="I173" s="32">
        <v>50.53</v>
      </c>
      <c r="J173" s="32">
        <f t="shared" si="11"/>
        <v>-103.67</v>
      </c>
      <c r="K173" s="32">
        <v>579.1</v>
      </c>
      <c r="Q173" s="44" t="s">
        <v>1869</v>
      </c>
      <c r="R173" s="44" t="s">
        <v>1869</v>
      </c>
      <c r="S173" s="44"/>
      <c r="T173" s="44" t="s">
        <v>1868</v>
      </c>
      <c r="U173" s="44" t="s">
        <v>1386</v>
      </c>
      <c r="V173" s="44" t="s">
        <v>1724</v>
      </c>
      <c r="W173" s="44" t="s">
        <v>1386</v>
      </c>
      <c r="X173" s="44" t="s">
        <v>1386</v>
      </c>
      <c r="Y173" s="32">
        <f t="shared" si="12"/>
        <v>1.085</v>
      </c>
      <c r="Z173" s="323">
        <v>16.3</v>
      </c>
      <c r="AA173" s="323">
        <v>20.6</v>
      </c>
      <c r="AB173" s="32" t="s">
        <v>797</v>
      </c>
      <c r="AF173" s="32" t="s">
        <v>1320</v>
      </c>
      <c r="AG173" s="32" t="s">
        <v>1577</v>
      </c>
      <c r="AH173" s="138" t="s">
        <v>1586</v>
      </c>
      <c r="AI173" s="32" t="s">
        <v>1540</v>
      </c>
      <c r="AJ173" s="140" t="s">
        <v>117</v>
      </c>
      <c r="AK173" s="32" t="s">
        <v>1382</v>
      </c>
      <c r="AL173" s="32" t="s">
        <v>291</v>
      </c>
      <c r="AM173" s="32" t="s">
        <v>503</v>
      </c>
      <c r="AQ173" s="32" t="s">
        <v>282</v>
      </c>
      <c r="AR173" s="24" t="s">
        <v>162</v>
      </c>
      <c r="AS173" s="32" t="s">
        <v>503</v>
      </c>
      <c r="AT173" s="32" t="s">
        <v>120</v>
      </c>
      <c r="AU173" s="32">
        <v>6</v>
      </c>
      <c r="AW173" s="32" t="s">
        <v>142</v>
      </c>
      <c r="AX173" s="32">
        <f t="shared" si="23"/>
        <v>117000</v>
      </c>
      <c r="AZ173" s="32">
        <f t="shared" si="24"/>
        <v>33.333333333333336</v>
      </c>
      <c r="BA173" s="53"/>
      <c r="BM173" s="397"/>
      <c r="BN173" s="397"/>
      <c r="BR173" s="397">
        <f>38.2*0.00061*100</f>
        <v>2.3302</v>
      </c>
      <c r="BS173" s="397">
        <f t="shared" si="29"/>
        <v>2.5742000000000003</v>
      </c>
      <c r="BV173" s="32" t="s">
        <v>1675</v>
      </c>
      <c r="BW173" s="32">
        <f>BR173/12.7*10000</f>
        <v>1834.8031496062995</v>
      </c>
      <c r="BX173" s="32">
        <f>BS173/11.5*10000</f>
        <v>2238.434782608696</v>
      </c>
      <c r="CA173" s="32" t="s">
        <v>814</v>
      </c>
      <c r="GM173" s="12"/>
      <c r="GQ173" s="12"/>
      <c r="HL173" s="32">
        <f>168*0.61/24</f>
        <v>4.2700000000000005</v>
      </c>
      <c r="HM173" s="32">
        <f t="shared" si="30"/>
        <v>5.2358333333333329</v>
      </c>
      <c r="IA173" s="32">
        <f>833*1000000/1627500</f>
        <v>511.8279569892473</v>
      </c>
      <c r="IB173" s="32">
        <f t="shared" si="31"/>
        <v>636.55913978494618</v>
      </c>
      <c r="IF173" s="32">
        <v>49.155145929339476</v>
      </c>
      <c r="IG173" s="32">
        <f t="shared" si="32"/>
        <v>83.563748079877115</v>
      </c>
      <c r="IO173" s="32" t="s">
        <v>293</v>
      </c>
    </row>
    <row r="174" spans="1:249" s="21" customFormat="1" x14ac:dyDescent="0.25">
      <c r="A174" s="21">
        <v>14</v>
      </c>
      <c r="B174" s="21" t="s">
        <v>294</v>
      </c>
      <c r="C174" s="21" t="s">
        <v>295</v>
      </c>
      <c r="D174" s="21">
        <v>2011</v>
      </c>
      <c r="E174" s="21">
        <v>2008</v>
      </c>
      <c r="F174" s="21" t="s">
        <v>297</v>
      </c>
      <c r="G174" s="21" t="s">
        <v>296</v>
      </c>
      <c r="H174" s="21" t="s">
        <v>2831</v>
      </c>
      <c r="I174" s="21">
        <v>46.88</v>
      </c>
      <c r="J174" s="21">
        <v>-102.79</v>
      </c>
      <c r="K174" s="21">
        <v>735.8</v>
      </c>
      <c r="Q174" s="43" t="s">
        <v>1872</v>
      </c>
      <c r="R174" s="43" t="s">
        <v>1871</v>
      </c>
      <c r="S174" s="43"/>
      <c r="T174" s="43" t="s">
        <v>1870</v>
      </c>
      <c r="U174" s="43" t="s">
        <v>1381</v>
      </c>
      <c r="V174" s="43" t="s">
        <v>1381</v>
      </c>
      <c r="W174" s="43" t="s">
        <v>1381</v>
      </c>
      <c r="X174" s="43" t="s">
        <v>1381</v>
      </c>
      <c r="Z174" s="322"/>
      <c r="AA174" s="322"/>
      <c r="AB174" s="21" t="s">
        <v>140</v>
      </c>
      <c r="AG174" s="21" t="s">
        <v>244</v>
      </c>
      <c r="AH174" s="138" t="s">
        <v>578</v>
      </c>
      <c r="AI174" s="21" t="s">
        <v>230</v>
      </c>
      <c r="AJ174" s="141" t="s">
        <v>230</v>
      </c>
      <c r="AK174" s="21" t="s">
        <v>1623</v>
      </c>
      <c r="AL174" s="21" t="s">
        <v>1623</v>
      </c>
      <c r="AM174" s="21" t="s">
        <v>178</v>
      </c>
      <c r="AN174" s="21" t="s">
        <v>219</v>
      </c>
      <c r="AO174" s="21" t="s">
        <v>219</v>
      </c>
      <c r="AP174" s="21" t="s">
        <v>178</v>
      </c>
      <c r="AT174" s="21" t="s">
        <v>120</v>
      </c>
      <c r="AX174" s="21">
        <v>1728</v>
      </c>
      <c r="BA174" s="54" t="s">
        <v>298</v>
      </c>
      <c r="BM174" s="396"/>
      <c r="BN174" s="396"/>
      <c r="BR174" s="396"/>
      <c r="BS174" s="396"/>
      <c r="FI174" s="21">
        <v>309</v>
      </c>
      <c r="FJ174" s="21">
        <v>584</v>
      </c>
      <c r="GM174" s="12"/>
      <c r="GQ174" s="12"/>
      <c r="IO174" s="21" t="s">
        <v>711</v>
      </c>
    </row>
    <row r="175" spans="1:249" s="21" customFormat="1" x14ac:dyDescent="0.25">
      <c r="A175" s="21">
        <v>14</v>
      </c>
      <c r="B175" s="21" t="s">
        <v>294</v>
      </c>
      <c r="C175" s="21" t="s">
        <v>295</v>
      </c>
      <c r="D175" s="21">
        <v>2011</v>
      </c>
      <c r="E175" s="21">
        <v>2008</v>
      </c>
      <c r="F175" s="21" t="s">
        <v>297</v>
      </c>
      <c r="G175" s="21" t="s">
        <v>296</v>
      </c>
      <c r="H175" s="21" t="s">
        <v>2831</v>
      </c>
      <c r="I175" s="21">
        <v>46.88</v>
      </c>
      <c r="J175" s="21">
        <v>-102.79</v>
      </c>
      <c r="K175" s="21">
        <v>735.8</v>
      </c>
      <c r="Q175" s="43" t="s">
        <v>1872</v>
      </c>
      <c r="R175" s="43" t="s">
        <v>1871</v>
      </c>
      <c r="S175" s="43"/>
      <c r="T175" s="43" t="s">
        <v>1870</v>
      </c>
      <c r="U175" s="43" t="s">
        <v>1381</v>
      </c>
      <c r="V175" s="43" t="s">
        <v>1381</v>
      </c>
      <c r="W175" s="43" t="s">
        <v>1381</v>
      </c>
      <c r="X175" s="43" t="s">
        <v>1381</v>
      </c>
      <c r="Z175" s="322"/>
      <c r="AA175" s="322"/>
      <c r="AB175" s="21" t="s">
        <v>140</v>
      </c>
      <c r="AG175" s="21" t="s">
        <v>244</v>
      </c>
      <c r="AH175" s="138" t="s">
        <v>578</v>
      </c>
      <c r="AI175" s="21" t="s">
        <v>230</v>
      </c>
      <c r="AJ175" s="141" t="s">
        <v>230</v>
      </c>
      <c r="AK175" s="21" t="s">
        <v>1623</v>
      </c>
      <c r="AL175" s="21" t="s">
        <v>1623</v>
      </c>
      <c r="AM175" s="21" t="s">
        <v>178</v>
      </c>
      <c r="AN175" s="21" t="s">
        <v>219</v>
      </c>
      <c r="AO175" s="21" t="s">
        <v>219</v>
      </c>
      <c r="AP175" s="21" t="s">
        <v>178</v>
      </c>
      <c r="AT175" s="21" t="s">
        <v>120</v>
      </c>
      <c r="AX175" s="21">
        <v>1728</v>
      </c>
      <c r="BA175" s="54" t="s">
        <v>299</v>
      </c>
      <c r="BM175" s="396"/>
      <c r="BN175" s="396"/>
      <c r="BR175" s="396"/>
      <c r="BS175" s="396"/>
      <c r="FI175" s="21">
        <v>196</v>
      </c>
      <c r="FJ175" s="21">
        <v>584</v>
      </c>
      <c r="GM175" s="12"/>
      <c r="GQ175" s="12"/>
      <c r="IO175" s="21" t="s">
        <v>711</v>
      </c>
    </row>
    <row r="176" spans="1:249" s="21" customFormat="1" x14ac:dyDescent="0.25">
      <c r="A176" s="21">
        <v>14</v>
      </c>
      <c r="B176" s="21" t="s">
        <v>294</v>
      </c>
      <c r="C176" s="21" t="s">
        <v>295</v>
      </c>
      <c r="D176" s="21">
        <v>2011</v>
      </c>
      <c r="E176" s="21">
        <v>2008</v>
      </c>
      <c r="F176" s="21" t="s">
        <v>297</v>
      </c>
      <c r="G176" s="21" t="s">
        <v>296</v>
      </c>
      <c r="H176" s="21" t="s">
        <v>2831</v>
      </c>
      <c r="I176" s="21">
        <v>46.88</v>
      </c>
      <c r="J176" s="21">
        <v>-102.79</v>
      </c>
      <c r="K176" s="21">
        <v>735.8</v>
      </c>
      <c r="Q176" s="43" t="s">
        <v>1872</v>
      </c>
      <c r="R176" s="43" t="s">
        <v>1871</v>
      </c>
      <c r="S176" s="43"/>
      <c r="T176" s="43" t="s">
        <v>1870</v>
      </c>
      <c r="U176" s="43" t="s">
        <v>1381</v>
      </c>
      <c r="V176" s="43" t="s">
        <v>1381</v>
      </c>
      <c r="W176" s="43" t="s">
        <v>1381</v>
      </c>
      <c r="X176" s="43" t="s">
        <v>1381</v>
      </c>
      <c r="Z176" s="322"/>
      <c r="AA176" s="322"/>
      <c r="AB176" s="21" t="s">
        <v>140</v>
      </c>
      <c r="AG176" s="21" t="s">
        <v>244</v>
      </c>
      <c r="AH176" s="138" t="s">
        <v>578</v>
      </c>
      <c r="AI176" s="21" t="s">
        <v>230</v>
      </c>
      <c r="AJ176" s="141" t="s">
        <v>230</v>
      </c>
      <c r="AK176" s="21" t="s">
        <v>1623</v>
      </c>
      <c r="AL176" s="21" t="s">
        <v>1623</v>
      </c>
      <c r="AM176" s="21" t="s">
        <v>178</v>
      </c>
      <c r="AN176" s="21" t="s">
        <v>219</v>
      </c>
      <c r="AO176" s="21" t="s">
        <v>219</v>
      </c>
      <c r="AP176" s="21" t="s">
        <v>178</v>
      </c>
      <c r="AT176" s="21" t="s">
        <v>120</v>
      </c>
      <c r="AX176" s="21">
        <v>1728</v>
      </c>
      <c r="BA176" s="54" t="s">
        <v>300</v>
      </c>
      <c r="BM176" s="396"/>
      <c r="BN176" s="396"/>
      <c r="BR176" s="396"/>
      <c r="BS176" s="396"/>
      <c r="FI176" s="21">
        <v>569</v>
      </c>
      <c r="FJ176" s="21">
        <v>584</v>
      </c>
      <c r="GM176" s="12"/>
      <c r="GQ176" s="12"/>
      <c r="IO176" s="21" t="s">
        <v>711</v>
      </c>
    </row>
    <row r="177" spans="1:249" s="33" customFormat="1" x14ac:dyDescent="0.25">
      <c r="A177" s="33">
        <v>14</v>
      </c>
      <c r="B177" s="33" t="s">
        <v>294</v>
      </c>
      <c r="C177" s="33" t="s">
        <v>295</v>
      </c>
      <c r="D177" s="33">
        <v>2011</v>
      </c>
      <c r="E177" s="33">
        <v>2008</v>
      </c>
      <c r="F177" s="33" t="s">
        <v>297</v>
      </c>
      <c r="G177" s="33" t="s">
        <v>296</v>
      </c>
      <c r="H177" s="21" t="s">
        <v>2831</v>
      </c>
      <c r="I177" s="33">
        <v>46.88</v>
      </c>
      <c r="J177" s="33">
        <v>-102.79</v>
      </c>
      <c r="K177" s="33">
        <v>735.8</v>
      </c>
      <c r="Q177" s="47" t="s">
        <v>1872</v>
      </c>
      <c r="R177" s="47" t="s">
        <v>1871</v>
      </c>
      <c r="S177" s="47"/>
      <c r="T177" s="47" t="s">
        <v>1870</v>
      </c>
      <c r="U177" s="47" t="s">
        <v>1381</v>
      </c>
      <c r="V177" s="47" t="s">
        <v>1381</v>
      </c>
      <c r="W177" s="47" t="s">
        <v>1381</v>
      </c>
      <c r="X177" s="47" t="s">
        <v>1381</v>
      </c>
      <c r="Z177" s="327"/>
      <c r="AA177" s="327"/>
      <c r="AB177" s="33" t="s">
        <v>140</v>
      </c>
      <c r="AG177" s="33" t="s">
        <v>1567</v>
      </c>
      <c r="AH177" s="138" t="s">
        <v>132</v>
      </c>
      <c r="AI177" s="33" t="s">
        <v>230</v>
      </c>
      <c r="AJ177" s="141" t="s">
        <v>230</v>
      </c>
      <c r="AK177" s="33" t="s">
        <v>1623</v>
      </c>
      <c r="AL177" s="33" t="s">
        <v>1623</v>
      </c>
      <c r="AM177" s="33" t="s">
        <v>178</v>
      </c>
      <c r="AN177" s="33" t="s">
        <v>219</v>
      </c>
      <c r="AO177" s="33" t="s">
        <v>219</v>
      </c>
      <c r="AP177" s="33" t="s">
        <v>178</v>
      </c>
      <c r="AT177" s="33" t="s">
        <v>120</v>
      </c>
      <c r="AX177" s="33">
        <v>3615</v>
      </c>
      <c r="BA177" s="54" t="s">
        <v>298</v>
      </c>
      <c r="BM177" s="402"/>
      <c r="BN177" s="402"/>
      <c r="BR177" s="402"/>
      <c r="BS177" s="402"/>
      <c r="FI177" s="21">
        <v>309</v>
      </c>
      <c r="FJ177" s="33">
        <v>153</v>
      </c>
      <c r="GM177" s="12"/>
      <c r="GQ177" s="12"/>
      <c r="IO177" s="33" t="s">
        <v>711</v>
      </c>
    </row>
    <row r="178" spans="1:249" s="33" customFormat="1" x14ac:dyDescent="0.25">
      <c r="A178" s="33">
        <v>14</v>
      </c>
      <c r="B178" s="33" t="s">
        <v>294</v>
      </c>
      <c r="C178" s="33" t="s">
        <v>295</v>
      </c>
      <c r="D178" s="33">
        <v>2011</v>
      </c>
      <c r="E178" s="33">
        <v>2008</v>
      </c>
      <c r="F178" s="33" t="s">
        <v>297</v>
      </c>
      <c r="G178" s="33" t="s">
        <v>296</v>
      </c>
      <c r="H178" s="21" t="s">
        <v>2831</v>
      </c>
      <c r="I178" s="33">
        <v>46.88</v>
      </c>
      <c r="J178" s="33">
        <v>-102.79</v>
      </c>
      <c r="K178" s="33">
        <v>735.8</v>
      </c>
      <c r="Q178" s="47" t="s">
        <v>1872</v>
      </c>
      <c r="R178" s="47" t="s">
        <v>1871</v>
      </c>
      <c r="S178" s="47"/>
      <c r="T178" s="47" t="s">
        <v>1870</v>
      </c>
      <c r="U178" s="47" t="s">
        <v>1381</v>
      </c>
      <c r="V178" s="47" t="s">
        <v>1381</v>
      </c>
      <c r="W178" s="47" t="s">
        <v>1381</v>
      </c>
      <c r="X178" s="47" t="s">
        <v>1381</v>
      </c>
      <c r="Z178" s="327"/>
      <c r="AA178" s="327"/>
      <c r="AB178" s="33" t="s">
        <v>140</v>
      </c>
      <c r="AG178" s="33" t="s">
        <v>1567</v>
      </c>
      <c r="AH178" s="138" t="s">
        <v>132</v>
      </c>
      <c r="AI178" s="33" t="s">
        <v>230</v>
      </c>
      <c r="AJ178" s="141" t="s">
        <v>230</v>
      </c>
      <c r="AK178" s="33" t="s">
        <v>1623</v>
      </c>
      <c r="AL178" s="33" t="s">
        <v>1623</v>
      </c>
      <c r="AM178" s="33" t="s">
        <v>178</v>
      </c>
      <c r="AN178" s="33" t="s">
        <v>219</v>
      </c>
      <c r="AO178" s="33" t="s">
        <v>219</v>
      </c>
      <c r="AP178" s="33" t="s">
        <v>178</v>
      </c>
      <c r="AT178" s="33" t="s">
        <v>120</v>
      </c>
      <c r="AX178" s="33">
        <v>3615</v>
      </c>
      <c r="BA178" s="54" t="s">
        <v>299</v>
      </c>
      <c r="BM178" s="402"/>
      <c r="BN178" s="402"/>
      <c r="BR178" s="402"/>
      <c r="BS178" s="402"/>
      <c r="FI178" s="21">
        <v>196</v>
      </c>
      <c r="FJ178" s="33">
        <v>153</v>
      </c>
      <c r="GM178" s="12"/>
      <c r="GQ178" s="12"/>
      <c r="IO178" s="33" t="s">
        <v>711</v>
      </c>
    </row>
    <row r="179" spans="1:249" s="33" customFormat="1" x14ac:dyDescent="0.25">
      <c r="A179" s="33">
        <v>14</v>
      </c>
      <c r="B179" s="33" t="s">
        <v>294</v>
      </c>
      <c r="C179" s="33" t="s">
        <v>295</v>
      </c>
      <c r="D179" s="33">
        <v>2011</v>
      </c>
      <c r="E179" s="33">
        <v>2008</v>
      </c>
      <c r="F179" s="33" t="s">
        <v>297</v>
      </c>
      <c r="G179" s="33" t="s">
        <v>296</v>
      </c>
      <c r="H179" s="21" t="s">
        <v>2831</v>
      </c>
      <c r="I179" s="33">
        <v>46.88</v>
      </c>
      <c r="J179" s="33">
        <v>-102.79</v>
      </c>
      <c r="K179" s="33">
        <v>735.8</v>
      </c>
      <c r="Q179" s="47" t="s">
        <v>1872</v>
      </c>
      <c r="R179" s="47" t="s">
        <v>1871</v>
      </c>
      <c r="S179" s="47"/>
      <c r="T179" s="47" t="s">
        <v>1870</v>
      </c>
      <c r="U179" s="47" t="s">
        <v>1381</v>
      </c>
      <c r="V179" s="47" t="s">
        <v>1381</v>
      </c>
      <c r="W179" s="47" t="s">
        <v>1381</v>
      </c>
      <c r="X179" s="47" t="s">
        <v>1381</v>
      </c>
      <c r="Z179" s="327"/>
      <c r="AA179" s="327"/>
      <c r="AB179" s="33" t="s">
        <v>140</v>
      </c>
      <c r="AG179" s="33" t="s">
        <v>1567</v>
      </c>
      <c r="AH179" s="138" t="s">
        <v>132</v>
      </c>
      <c r="AI179" s="33" t="s">
        <v>230</v>
      </c>
      <c r="AJ179" s="141" t="s">
        <v>230</v>
      </c>
      <c r="AK179" s="33" t="s">
        <v>1623</v>
      </c>
      <c r="AL179" s="33" t="s">
        <v>1623</v>
      </c>
      <c r="AM179" s="33" t="s">
        <v>178</v>
      </c>
      <c r="AN179" s="33" t="s">
        <v>219</v>
      </c>
      <c r="AO179" s="33" t="s">
        <v>219</v>
      </c>
      <c r="AP179" s="33" t="s">
        <v>178</v>
      </c>
      <c r="AT179" s="33" t="s">
        <v>120</v>
      </c>
      <c r="AX179" s="33">
        <v>3615</v>
      </c>
      <c r="BA179" s="54" t="s">
        <v>300</v>
      </c>
      <c r="BM179" s="402"/>
      <c r="BN179" s="402"/>
      <c r="BR179" s="402"/>
      <c r="BS179" s="402"/>
      <c r="FI179" s="21">
        <v>569</v>
      </c>
      <c r="FJ179" s="33">
        <v>153</v>
      </c>
      <c r="GM179" s="12"/>
      <c r="GQ179" s="12"/>
      <c r="IO179" s="33" t="s">
        <v>711</v>
      </c>
    </row>
    <row r="180" spans="1:249" s="21" customFormat="1" x14ac:dyDescent="0.25">
      <c r="A180" s="21">
        <v>14</v>
      </c>
      <c r="B180" s="21" t="s">
        <v>294</v>
      </c>
      <c r="C180" s="21" t="s">
        <v>295</v>
      </c>
      <c r="D180" s="21">
        <v>2011</v>
      </c>
      <c r="E180" s="21">
        <v>2008</v>
      </c>
      <c r="F180" s="21" t="s">
        <v>297</v>
      </c>
      <c r="G180" s="21" t="s">
        <v>296</v>
      </c>
      <c r="H180" s="21" t="s">
        <v>2831</v>
      </c>
      <c r="I180" s="21">
        <v>46.88</v>
      </c>
      <c r="J180" s="21">
        <v>-102.79</v>
      </c>
      <c r="K180" s="21">
        <v>735.8</v>
      </c>
      <c r="Q180" s="43" t="s">
        <v>1872</v>
      </c>
      <c r="R180" s="43" t="s">
        <v>1871</v>
      </c>
      <c r="S180" s="43"/>
      <c r="T180" s="43" t="s">
        <v>1870</v>
      </c>
      <c r="U180" s="43" t="s">
        <v>1381</v>
      </c>
      <c r="V180" s="43" t="s">
        <v>1381</v>
      </c>
      <c r="W180" s="43" t="s">
        <v>1381</v>
      </c>
      <c r="X180" s="43" t="s">
        <v>1381</v>
      </c>
      <c r="Z180" s="322"/>
      <c r="AA180" s="322"/>
      <c r="AB180" s="21" t="s">
        <v>140</v>
      </c>
      <c r="AG180" s="21" t="s">
        <v>1531</v>
      </c>
      <c r="AH180" s="138" t="s">
        <v>1585</v>
      </c>
      <c r="AI180" s="21" t="s">
        <v>230</v>
      </c>
      <c r="AJ180" s="141" t="s">
        <v>230</v>
      </c>
      <c r="AK180" s="21" t="s">
        <v>1623</v>
      </c>
      <c r="AL180" s="21" t="s">
        <v>1623</v>
      </c>
      <c r="AM180" s="21" t="s">
        <v>178</v>
      </c>
      <c r="AN180" s="21" t="s">
        <v>219</v>
      </c>
      <c r="AO180" s="21" t="s">
        <v>219</v>
      </c>
      <c r="AP180" s="21" t="s">
        <v>178</v>
      </c>
      <c r="AT180" s="21" t="s">
        <v>120</v>
      </c>
      <c r="AX180" s="21">
        <v>4113</v>
      </c>
      <c r="BA180" s="54" t="s">
        <v>298</v>
      </c>
      <c r="BM180" s="396"/>
      <c r="BN180" s="396"/>
      <c r="BR180" s="396"/>
      <c r="BS180" s="396"/>
      <c r="FI180" s="21">
        <v>309</v>
      </c>
      <c r="FJ180" s="21">
        <v>274</v>
      </c>
      <c r="GM180" s="12"/>
      <c r="GQ180" s="12"/>
      <c r="IO180" s="21" t="s">
        <v>711</v>
      </c>
    </row>
    <row r="181" spans="1:249" s="21" customFormat="1" x14ac:dyDescent="0.25">
      <c r="A181" s="21">
        <v>14</v>
      </c>
      <c r="B181" s="21" t="s">
        <v>294</v>
      </c>
      <c r="C181" s="21" t="s">
        <v>295</v>
      </c>
      <c r="D181" s="21">
        <v>2011</v>
      </c>
      <c r="E181" s="21">
        <v>2008</v>
      </c>
      <c r="F181" s="21" t="s">
        <v>297</v>
      </c>
      <c r="G181" s="21" t="s">
        <v>296</v>
      </c>
      <c r="H181" s="21" t="s">
        <v>2831</v>
      </c>
      <c r="I181" s="21">
        <v>46.88</v>
      </c>
      <c r="J181" s="21">
        <v>-102.79</v>
      </c>
      <c r="K181" s="21">
        <v>735.8</v>
      </c>
      <c r="Q181" s="43" t="s">
        <v>1872</v>
      </c>
      <c r="R181" s="43" t="s">
        <v>1871</v>
      </c>
      <c r="S181" s="43"/>
      <c r="T181" s="43" t="s">
        <v>1870</v>
      </c>
      <c r="U181" s="43" t="s">
        <v>1381</v>
      </c>
      <c r="V181" s="43" t="s">
        <v>1381</v>
      </c>
      <c r="W181" s="43" t="s">
        <v>1381</v>
      </c>
      <c r="X181" s="43" t="s">
        <v>1381</v>
      </c>
      <c r="Z181" s="322"/>
      <c r="AA181" s="322"/>
      <c r="AB181" s="21" t="s">
        <v>140</v>
      </c>
      <c r="AG181" s="21" t="s">
        <v>1531</v>
      </c>
      <c r="AH181" s="138" t="s">
        <v>1585</v>
      </c>
      <c r="AI181" s="21" t="s">
        <v>230</v>
      </c>
      <c r="AJ181" s="141" t="s">
        <v>230</v>
      </c>
      <c r="AK181" s="21" t="s">
        <v>1623</v>
      </c>
      <c r="AL181" s="21" t="s">
        <v>1623</v>
      </c>
      <c r="AM181" s="21" t="s">
        <v>178</v>
      </c>
      <c r="AN181" s="21" t="s">
        <v>219</v>
      </c>
      <c r="AO181" s="21" t="s">
        <v>219</v>
      </c>
      <c r="AP181" s="21" t="s">
        <v>178</v>
      </c>
      <c r="AT181" s="21" t="s">
        <v>120</v>
      </c>
      <c r="AX181" s="21">
        <v>4113</v>
      </c>
      <c r="BA181" s="54" t="s">
        <v>299</v>
      </c>
      <c r="BM181" s="396"/>
      <c r="BN181" s="396"/>
      <c r="BR181" s="396"/>
      <c r="BS181" s="396"/>
      <c r="FI181" s="21">
        <v>196</v>
      </c>
      <c r="FJ181" s="21">
        <v>274</v>
      </c>
      <c r="GM181" s="12"/>
      <c r="GQ181" s="12"/>
      <c r="IO181" s="21" t="s">
        <v>711</v>
      </c>
    </row>
    <row r="182" spans="1:249" s="21" customFormat="1" x14ac:dyDescent="0.25">
      <c r="A182" s="21">
        <v>14</v>
      </c>
      <c r="B182" s="21" t="s">
        <v>294</v>
      </c>
      <c r="C182" s="21" t="s">
        <v>295</v>
      </c>
      <c r="D182" s="21">
        <v>2011</v>
      </c>
      <c r="E182" s="21">
        <v>2008</v>
      </c>
      <c r="F182" s="21" t="s">
        <v>297</v>
      </c>
      <c r="G182" s="21" t="s">
        <v>296</v>
      </c>
      <c r="H182" s="21" t="s">
        <v>2831</v>
      </c>
      <c r="I182" s="21">
        <v>46.88</v>
      </c>
      <c r="J182" s="21">
        <v>-102.79</v>
      </c>
      <c r="K182" s="21">
        <v>735.8</v>
      </c>
      <c r="Q182" s="43" t="s">
        <v>1872</v>
      </c>
      <c r="R182" s="43" t="s">
        <v>1871</v>
      </c>
      <c r="S182" s="43"/>
      <c r="T182" s="43" t="s">
        <v>1870</v>
      </c>
      <c r="U182" s="43" t="s">
        <v>1381</v>
      </c>
      <c r="V182" s="43" t="s">
        <v>1381</v>
      </c>
      <c r="W182" s="43" t="s">
        <v>1381</v>
      </c>
      <c r="X182" s="43" t="s">
        <v>1381</v>
      </c>
      <c r="Z182" s="322"/>
      <c r="AA182" s="322"/>
      <c r="AB182" s="21" t="s">
        <v>140</v>
      </c>
      <c r="AG182" s="21" t="s">
        <v>1531</v>
      </c>
      <c r="AH182" s="138" t="s">
        <v>1585</v>
      </c>
      <c r="AI182" s="21" t="s">
        <v>230</v>
      </c>
      <c r="AJ182" s="141" t="s">
        <v>230</v>
      </c>
      <c r="AK182" s="21" t="s">
        <v>1623</v>
      </c>
      <c r="AL182" s="21" t="s">
        <v>1623</v>
      </c>
      <c r="AM182" s="21" t="s">
        <v>178</v>
      </c>
      <c r="AN182" s="21" t="s">
        <v>219</v>
      </c>
      <c r="AO182" s="21" t="s">
        <v>219</v>
      </c>
      <c r="AP182" s="21" t="s">
        <v>178</v>
      </c>
      <c r="AT182" s="21" t="s">
        <v>120</v>
      </c>
      <c r="AX182" s="21">
        <v>4113</v>
      </c>
      <c r="BA182" s="54" t="s">
        <v>300</v>
      </c>
      <c r="BM182" s="396"/>
      <c r="BN182" s="396"/>
      <c r="BR182" s="396"/>
      <c r="BS182" s="396"/>
      <c r="FI182" s="21">
        <v>569</v>
      </c>
      <c r="FJ182" s="21">
        <v>274</v>
      </c>
      <c r="GM182" s="12"/>
      <c r="GQ182" s="12"/>
      <c r="IO182" s="21" t="s">
        <v>711</v>
      </c>
    </row>
    <row r="183" spans="1:249" s="5" customFormat="1" x14ac:dyDescent="0.25">
      <c r="A183" s="33">
        <v>14</v>
      </c>
      <c r="B183" s="33" t="s">
        <v>294</v>
      </c>
      <c r="C183" s="33" t="s">
        <v>295</v>
      </c>
      <c r="D183" s="33">
        <v>2011</v>
      </c>
      <c r="E183" s="33">
        <v>2008</v>
      </c>
      <c r="F183" s="33" t="s">
        <v>297</v>
      </c>
      <c r="G183" s="33" t="s">
        <v>296</v>
      </c>
      <c r="H183" s="21" t="s">
        <v>2831</v>
      </c>
      <c r="I183" s="33">
        <v>46.88</v>
      </c>
      <c r="J183" s="33">
        <v>-102.79</v>
      </c>
      <c r="K183" s="33">
        <v>735.8</v>
      </c>
      <c r="L183" s="33"/>
      <c r="M183" s="33"/>
      <c r="N183" s="33"/>
      <c r="O183" s="33"/>
      <c r="P183" s="33"/>
      <c r="Q183" s="47" t="s">
        <v>1872</v>
      </c>
      <c r="R183" s="47" t="s">
        <v>1871</v>
      </c>
      <c r="S183" s="47"/>
      <c r="T183" s="47" t="s">
        <v>1870</v>
      </c>
      <c r="U183" s="47" t="s">
        <v>1381</v>
      </c>
      <c r="V183" s="47" t="s">
        <v>1381</v>
      </c>
      <c r="W183" s="47" t="s">
        <v>1381</v>
      </c>
      <c r="X183" s="47" t="s">
        <v>1381</v>
      </c>
      <c r="Y183" s="33"/>
      <c r="Z183" s="327"/>
      <c r="AA183" s="327"/>
      <c r="AB183" s="33" t="s">
        <v>140</v>
      </c>
      <c r="AC183" s="33"/>
      <c r="AD183" s="33"/>
      <c r="AE183" s="33"/>
      <c r="AF183" s="33"/>
      <c r="AG183" s="33" t="s">
        <v>1578</v>
      </c>
      <c r="AH183" s="138" t="s">
        <v>1586</v>
      </c>
      <c r="AI183" s="33" t="s">
        <v>230</v>
      </c>
      <c r="AJ183" s="141" t="s">
        <v>230</v>
      </c>
      <c r="AK183" s="33" t="s">
        <v>1623</v>
      </c>
      <c r="AL183" s="33" t="s">
        <v>1623</v>
      </c>
      <c r="AM183" s="33" t="s">
        <v>178</v>
      </c>
      <c r="AN183" s="33" t="s">
        <v>219</v>
      </c>
      <c r="AO183" s="33" t="s">
        <v>219</v>
      </c>
      <c r="AP183" s="33" t="s">
        <v>178</v>
      </c>
      <c r="AQ183" s="33"/>
      <c r="AR183" s="33"/>
      <c r="AS183" s="33"/>
      <c r="AT183" s="33" t="s">
        <v>120</v>
      </c>
      <c r="AX183" s="5">
        <v>3535</v>
      </c>
      <c r="BA183" s="54" t="s">
        <v>298</v>
      </c>
      <c r="BM183" s="403"/>
      <c r="BN183" s="403"/>
      <c r="BR183" s="403"/>
      <c r="BS183" s="403"/>
      <c r="FI183" s="21">
        <v>309</v>
      </c>
      <c r="FJ183" s="5">
        <v>286</v>
      </c>
      <c r="GM183" s="12"/>
      <c r="GQ183" s="12"/>
      <c r="IK183" s="33"/>
      <c r="IL183" s="33"/>
      <c r="IM183" s="33"/>
      <c r="IN183" s="33"/>
      <c r="IO183" s="33" t="s">
        <v>711</v>
      </c>
    </row>
    <row r="184" spans="1:249" s="5" customFormat="1" x14ac:dyDescent="0.25">
      <c r="A184" s="33">
        <v>14</v>
      </c>
      <c r="B184" s="33" t="s">
        <v>294</v>
      </c>
      <c r="C184" s="33" t="s">
        <v>295</v>
      </c>
      <c r="D184" s="33">
        <v>2011</v>
      </c>
      <c r="E184" s="33">
        <v>2008</v>
      </c>
      <c r="F184" s="33" t="s">
        <v>297</v>
      </c>
      <c r="G184" s="33" t="s">
        <v>296</v>
      </c>
      <c r="H184" s="21" t="s">
        <v>2831</v>
      </c>
      <c r="I184" s="33">
        <v>46.88</v>
      </c>
      <c r="J184" s="33">
        <v>-102.79</v>
      </c>
      <c r="K184" s="33">
        <v>735.8</v>
      </c>
      <c r="L184" s="33"/>
      <c r="M184" s="33"/>
      <c r="N184" s="33"/>
      <c r="O184" s="33"/>
      <c r="P184" s="33"/>
      <c r="Q184" s="47" t="s">
        <v>1872</v>
      </c>
      <c r="R184" s="47" t="s">
        <v>1871</v>
      </c>
      <c r="S184" s="47"/>
      <c r="T184" s="47" t="s">
        <v>1870</v>
      </c>
      <c r="U184" s="47" t="s">
        <v>1381</v>
      </c>
      <c r="V184" s="47" t="s">
        <v>1381</v>
      </c>
      <c r="W184" s="47" t="s">
        <v>1381</v>
      </c>
      <c r="X184" s="47" t="s">
        <v>1381</v>
      </c>
      <c r="Y184" s="33"/>
      <c r="Z184" s="327"/>
      <c r="AA184" s="327"/>
      <c r="AB184" s="33" t="s">
        <v>140</v>
      </c>
      <c r="AC184" s="33"/>
      <c r="AD184" s="33"/>
      <c r="AE184" s="33"/>
      <c r="AF184" s="33"/>
      <c r="AG184" s="33" t="s">
        <v>1578</v>
      </c>
      <c r="AH184" s="138" t="s">
        <v>1586</v>
      </c>
      <c r="AI184" s="33" t="s">
        <v>230</v>
      </c>
      <c r="AJ184" s="141" t="s">
        <v>230</v>
      </c>
      <c r="AK184" s="33" t="s">
        <v>1623</v>
      </c>
      <c r="AL184" s="33" t="s">
        <v>1623</v>
      </c>
      <c r="AM184" s="33" t="s">
        <v>178</v>
      </c>
      <c r="AN184" s="33" t="s">
        <v>219</v>
      </c>
      <c r="AO184" s="33" t="s">
        <v>219</v>
      </c>
      <c r="AP184" s="33" t="s">
        <v>178</v>
      </c>
      <c r="AQ184" s="33"/>
      <c r="AR184" s="33"/>
      <c r="AS184" s="33"/>
      <c r="AT184" s="33" t="s">
        <v>120</v>
      </c>
      <c r="AX184" s="5">
        <v>3535</v>
      </c>
      <c r="BA184" s="54" t="s">
        <v>299</v>
      </c>
      <c r="BM184" s="403"/>
      <c r="BN184" s="403"/>
      <c r="BR184" s="403"/>
      <c r="BS184" s="403"/>
      <c r="FI184" s="21">
        <v>196</v>
      </c>
      <c r="FJ184" s="5">
        <v>286</v>
      </c>
      <c r="GM184" s="12"/>
      <c r="GQ184" s="12"/>
      <c r="IK184" s="33"/>
      <c r="IL184" s="33"/>
      <c r="IM184" s="33"/>
      <c r="IN184" s="33"/>
      <c r="IO184" s="33" t="s">
        <v>711</v>
      </c>
    </row>
    <row r="185" spans="1:249" s="5" customFormat="1" x14ac:dyDescent="0.25">
      <c r="A185" s="33">
        <v>14</v>
      </c>
      <c r="B185" s="33" t="s">
        <v>294</v>
      </c>
      <c r="C185" s="33" t="s">
        <v>295</v>
      </c>
      <c r="D185" s="33">
        <v>2011</v>
      </c>
      <c r="E185" s="33">
        <v>2008</v>
      </c>
      <c r="F185" s="33" t="s">
        <v>297</v>
      </c>
      <c r="G185" s="33" t="s">
        <v>296</v>
      </c>
      <c r="H185" s="21" t="s">
        <v>2831</v>
      </c>
      <c r="I185" s="33">
        <v>46.88</v>
      </c>
      <c r="J185" s="33">
        <v>-102.79</v>
      </c>
      <c r="K185" s="33">
        <v>735.8</v>
      </c>
      <c r="L185" s="33"/>
      <c r="M185" s="33"/>
      <c r="N185" s="33"/>
      <c r="O185" s="33"/>
      <c r="P185" s="33"/>
      <c r="Q185" s="47" t="s">
        <v>1872</v>
      </c>
      <c r="R185" s="47" t="s">
        <v>1871</v>
      </c>
      <c r="S185" s="47"/>
      <c r="T185" s="47" t="s">
        <v>1870</v>
      </c>
      <c r="U185" s="47" t="s">
        <v>1381</v>
      </c>
      <c r="V185" s="47" t="s">
        <v>1381</v>
      </c>
      <c r="W185" s="47" t="s">
        <v>1381</v>
      </c>
      <c r="X185" s="47" t="s">
        <v>1381</v>
      </c>
      <c r="Y185" s="33"/>
      <c r="Z185" s="327"/>
      <c r="AA185" s="327"/>
      <c r="AB185" s="33" t="s">
        <v>140</v>
      </c>
      <c r="AC185" s="33"/>
      <c r="AD185" s="33"/>
      <c r="AE185" s="33"/>
      <c r="AF185" s="33"/>
      <c r="AG185" s="33" t="s">
        <v>1578</v>
      </c>
      <c r="AH185" s="138" t="s">
        <v>1586</v>
      </c>
      <c r="AI185" s="33" t="s">
        <v>230</v>
      </c>
      <c r="AJ185" s="141" t="s">
        <v>230</v>
      </c>
      <c r="AK185" s="33" t="s">
        <v>1623</v>
      </c>
      <c r="AL185" s="33" t="s">
        <v>1623</v>
      </c>
      <c r="AM185" s="33" t="s">
        <v>178</v>
      </c>
      <c r="AN185" s="33" t="s">
        <v>219</v>
      </c>
      <c r="AO185" s="33" t="s">
        <v>219</v>
      </c>
      <c r="AP185" s="33" t="s">
        <v>178</v>
      </c>
      <c r="AQ185" s="33"/>
      <c r="AR185" s="33"/>
      <c r="AS185" s="33"/>
      <c r="AT185" s="33" t="s">
        <v>120</v>
      </c>
      <c r="AX185" s="5">
        <v>3535</v>
      </c>
      <c r="BA185" s="54" t="s">
        <v>300</v>
      </c>
      <c r="BM185" s="403"/>
      <c r="BN185" s="403"/>
      <c r="BR185" s="403"/>
      <c r="BS185" s="403"/>
      <c r="FI185" s="21">
        <v>569</v>
      </c>
      <c r="FJ185" s="5">
        <v>286</v>
      </c>
      <c r="GM185" s="12"/>
      <c r="GQ185" s="12"/>
      <c r="IK185" s="33"/>
      <c r="IL185" s="33"/>
      <c r="IM185" s="33"/>
      <c r="IN185" s="33"/>
      <c r="IO185" s="33" t="s">
        <v>711</v>
      </c>
    </row>
    <row r="186" spans="1:249" s="21" customFormat="1" x14ac:dyDescent="0.25">
      <c r="A186" s="21">
        <v>14</v>
      </c>
      <c r="B186" s="21" t="s">
        <v>294</v>
      </c>
      <c r="C186" s="21" t="s">
        <v>295</v>
      </c>
      <c r="D186" s="21">
        <v>2011</v>
      </c>
      <c r="E186" s="21">
        <v>2008</v>
      </c>
      <c r="F186" s="21" t="s">
        <v>297</v>
      </c>
      <c r="G186" s="21" t="s">
        <v>296</v>
      </c>
      <c r="H186" s="21" t="s">
        <v>2831</v>
      </c>
      <c r="I186" s="21">
        <v>46.88</v>
      </c>
      <c r="J186" s="21">
        <v>-102.79</v>
      </c>
      <c r="K186" s="21">
        <v>735.8</v>
      </c>
      <c r="Q186" s="43" t="s">
        <v>1872</v>
      </c>
      <c r="R186" s="43" t="s">
        <v>1871</v>
      </c>
      <c r="S186" s="43"/>
      <c r="T186" s="43" t="s">
        <v>1870</v>
      </c>
      <c r="U186" s="43" t="s">
        <v>1381</v>
      </c>
      <c r="V186" s="43" t="s">
        <v>1381</v>
      </c>
      <c r="W186" s="43" t="s">
        <v>1381</v>
      </c>
      <c r="X186" s="43" t="s">
        <v>1381</v>
      </c>
      <c r="Z186" s="322"/>
      <c r="AA186" s="322"/>
      <c r="AB186" s="21" t="s">
        <v>140</v>
      </c>
      <c r="AG186" s="21" t="s">
        <v>1578</v>
      </c>
      <c r="AH186" s="138" t="s">
        <v>1586</v>
      </c>
      <c r="AI186" s="21" t="s">
        <v>230</v>
      </c>
      <c r="AJ186" s="141" t="s">
        <v>230</v>
      </c>
      <c r="AK186" s="21" t="s">
        <v>1623</v>
      </c>
      <c r="AL186" s="21" t="s">
        <v>1623</v>
      </c>
      <c r="AM186" s="21" t="s">
        <v>178</v>
      </c>
      <c r="AN186" s="21" t="s">
        <v>219</v>
      </c>
      <c r="AO186" s="21" t="s">
        <v>219</v>
      </c>
      <c r="AP186" s="21" t="s">
        <v>178</v>
      </c>
      <c r="AT186" s="21" t="s">
        <v>120</v>
      </c>
      <c r="AX186" s="21">
        <v>2765</v>
      </c>
      <c r="BA186" s="54" t="s">
        <v>298</v>
      </c>
      <c r="BM186" s="396"/>
      <c r="BN186" s="396"/>
      <c r="BR186" s="396"/>
      <c r="BS186" s="396"/>
      <c r="FI186" s="21">
        <v>309</v>
      </c>
      <c r="FJ186" s="21">
        <v>172</v>
      </c>
      <c r="GM186" s="12"/>
      <c r="GQ186" s="12"/>
      <c r="IO186" s="21" t="s">
        <v>711</v>
      </c>
    </row>
    <row r="187" spans="1:249" s="21" customFormat="1" x14ac:dyDescent="0.25">
      <c r="A187" s="21">
        <v>14</v>
      </c>
      <c r="B187" s="21" t="s">
        <v>294</v>
      </c>
      <c r="C187" s="21" t="s">
        <v>295</v>
      </c>
      <c r="D187" s="21">
        <v>2011</v>
      </c>
      <c r="E187" s="21">
        <v>2008</v>
      </c>
      <c r="F187" s="21" t="s">
        <v>297</v>
      </c>
      <c r="G187" s="21" t="s">
        <v>296</v>
      </c>
      <c r="H187" s="21" t="s">
        <v>2831</v>
      </c>
      <c r="I187" s="21">
        <v>46.88</v>
      </c>
      <c r="J187" s="21">
        <v>-102.79</v>
      </c>
      <c r="K187" s="21">
        <v>735.8</v>
      </c>
      <c r="Q187" s="43" t="s">
        <v>1872</v>
      </c>
      <c r="R187" s="43" t="s">
        <v>1871</v>
      </c>
      <c r="S187" s="43"/>
      <c r="T187" s="43" t="s">
        <v>1870</v>
      </c>
      <c r="U187" s="43" t="s">
        <v>1381</v>
      </c>
      <c r="V187" s="43" t="s">
        <v>1381</v>
      </c>
      <c r="W187" s="43" t="s">
        <v>1381</v>
      </c>
      <c r="X187" s="43" t="s">
        <v>1381</v>
      </c>
      <c r="Z187" s="322"/>
      <c r="AA187" s="322"/>
      <c r="AB187" s="21" t="s">
        <v>140</v>
      </c>
      <c r="AG187" s="21" t="s">
        <v>1578</v>
      </c>
      <c r="AH187" s="138" t="s">
        <v>1586</v>
      </c>
      <c r="AI187" s="21" t="s">
        <v>230</v>
      </c>
      <c r="AJ187" s="141" t="s">
        <v>230</v>
      </c>
      <c r="AK187" s="21" t="s">
        <v>1623</v>
      </c>
      <c r="AL187" s="21" t="s">
        <v>1623</v>
      </c>
      <c r="AM187" s="21" t="s">
        <v>178</v>
      </c>
      <c r="AN187" s="21" t="s">
        <v>219</v>
      </c>
      <c r="AO187" s="21" t="s">
        <v>219</v>
      </c>
      <c r="AP187" s="21" t="s">
        <v>178</v>
      </c>
      <c r="AT187" s="21" t="s">
        <v>120</v>
      </c>
      <c r="AX187" s="21">
        <v>2765</v>
      </c>
      <c r="BA187" s="54" t="s">
        <v>299</v>
      </c>
      <c r="BM187" s="396"/>
      <c r="BN187" s="396"/>
      <c r="BR187" s="396"/>
      <c r="BS187" s="396"/>
      <c r="FI187" s="21">
        <v>196</v>
      </c>
      <c r="FJ187" s="21">
        <v>172</v>
      </c>
      <c r="GM187" s="12"/>
      <c r="GQ187" s="12"/>
      <c r="IO187" s="21" t="s">
        <v>711</v>
      </c>
    </row>
    <row r="188" spans="1:249" s="21" customFormat="1" x14ac:dyDescent="0.25">
      <c r="A188" s="21">
        <v>14</v>
      </c>
      <c r="B188" s="21" t="s">
        <v>294</v>
      </c>
      <c r="C188" s="21" t="s">
        <v>295</v>
      </c>
      <c r="D188" s="21">
        <v>2011</v>
      </c>
      <c r="E188" s="21">
        <v>2008</v>
      </c>
      <c r="F188" s="21" t="s">
        <v>297</v>
      </c>
      <c r="G188" s="21" t="s">
        <v>296</v>
      </c>
      <c r="H188" s="21" t="s">
        <v>2831</v>
      </c>
      <c r="I188" s="21">
        <v>46.88</v>
      </c>
      <c r="J188" s="21">
        <v>-102.79</v>
      </c>
      <c r="K188" s="21">
        <v>735.8</v>
      </c>
      <c r="Q188" s="43" t="s">
        <v>1872</v>
      </c>
      <c r="R188" s="43" t="s">
        <v>1871</v>
      </c>
      <c r="S188" s="43"/>
      <c r="T188" s="43" t="s">
        <v>1870</v>
      </c>
      <c r="U188" s="43" t="s">
        <v>1381</v>
      </c>
      <c r="V188" s="43" t="s">
        <v>1381</v>
      </c>
      <c r="W188" s="43" t="s">
        <v>1381</v>
      </c>
      <c r="X188" s="43" t="s">
        <v>1381</v>
      </c>
      <c r="Z188" s="322"/>
      <c r="AA188" s="322"/>
      <c r="AB188" s="21" t="s">
        <v>140</v>
      </c>
      <c r="AG188" s="21" t="s">
        <v>1578</v>
      </c>
      <c r="AH188" s="138" t="s">
        <v>1586</v>
      </c>
      <c r="AI188" s="21" t="s">
        <v>230</v>
      </c>
      <c r="AJ188" s="141" t="s">
        <v>230</v>
      </c>
      <c r="AK188" s="21" t="s">
        <v>1623</v>
      </c>
      <c r="AL188" s="21" t="s">
        <v>1623</v>
      </c>
      <c r="AM188" s="21" t="s">
        <v>178</v>
      </c>
      <c r="AN188" s="21" t="s">
        <v>219</v>
      </c>
      <c r="AO188" s="21" t="s">
        <v>219</v>
      </c>
      <c r="AP188" s="21" t="s">
        <v>178</v>
      </c>
      <c r="AT188" s="21" t="s">
        <v>120</v>
      </c>
      <c r="AX188" s="21">
        <v>2765</v>
      </c>
      <c r="BA188" s="54" t="s">
        <v>300</v>
      </c>
      <c r="BM188" s="396"/>
      <c r="BN188" s="396"/>
      <c r="BR188" s="396"/>
      <c r="BS188" s="396"/>
      <c r="FI188" s="21">
        <v>569</v>
      </c>
      <c r="FJ188" s="21">
        <v>172</v>
      </c>
      <c r="GM188" s="12"/>
      <c r="GQ188" s="12"/>
      <c r="IO188" s="21" t="s">
        <v>711</v>
      </c>
    </row>
    <row r="189" spans="1:249" s="5" customFormat="1" x14ac:dyDescent="0.25">
      <c r="A189" s="33">
        <v>14</v>
      </c>
      <c r="B189" s="33" t="s">
        <v>294</v>
      </c>
      <c r="C189" s="33" t="s">
        <v>295</v>
      </c>
      <c r="D189" s="33">
        <v>2011</v>
      </c>
      <c r="E189" s="33">
        <v>2009</v>
      </c>
      <c r="F189" s="33" t="s">
        <v>297</v>
      </c>
      <c r="G189" s="33" t="s">
        <v>296</v>
      </c>
      <c r="H189" s="21" t="s">
        <v>2831</v>
      </c>
      <c r="I189" s="33">
        <v>46.88</v>
      </c>
      <c r="J189" s="33">
        <v>-102.79</v>
      </c>
      <c r="K189" s="33">
        <v>735.8</v>
      </c>
      <c r="L189" s="33"/>
      <c r="M189" s="33"/>
      <c r="N189" s="33"/>
      <c r="O189" s="33"/>
      <c r="P189" s="33"/>
      <c r="Q189" s="47" t="s">
        <v>1734</v>
      </c>
      <c r="R189" s="47" t="s">
        <v>1871</v>
      </c>
      <c r="S189" s="47"/>
      <c r="T189" s="47" t="s">
        <v>1870</v>
      </c>
      <c r="U189" s="47" t="s">
        <v>1381</v>
      </c>
      <c r="V189" s="47" t="s">
        <v>1381</v>
      </c>
      <c r="W189" s="47" t="s">
        <v>1381</v>
      </c>
      <c r="X189" s="47" t="s">
        <v>1381</v>
      </c>
      <c r="Y189" s="33"/>
      <c r="Z189" s="327"/>
      <c r="AA189" s="327"/>
      <c r="AB189" s="33" t="s">
        <v>140</v>
      </c>
      <c r="AC189" s="33"/>
      <c r="AD189" s="33"/>
      <c r="AE189" s="33"/>
      <c r="AF189" s="33"/>
      <c r="AG189" s="33" t="s">
        <v>244</v>
      </c>
      <c r="AH189" s="138" t="s">
        <v>578</v>
      </c>
      <c r="AI189" s="33" t="s">
        <v>230</v>
      </c>
      <c r="AJ189" s="141" t="s">
        <v>230</v>
      </c>
      <c r="AK189" s="33" t="s">
        <v>1623</v>
      </c>
      <c r="AL189" s="33" t="s">
        <v>1623</v>
      </c>
      <c r="AM189" s="33" t="s">
        <v>178</v>
      </c>
      <c r="AN189" s="33" t="s">
        <v>219</v>
      </c>
      <c r="AO189" s="33" t="s">
        <v>219</v>
      </c>
      <c r="AP189" s="33" t="s">
        <v>178</v>
      </c>
      <c r="AQ189" s="33"/>
      <c r="AR189" s="33"/>
      <c r="AS189" s="33"/>
      <c r="AT189" s="33" t="s">
        <v>120</v>
      </c>
      <c r="AX189" s="5">
        <v>702</v>
      </c>
      <c r="BA189" s="54" t="s">
        <v>298</v>
      </c>
      <c r="BM189" s="403"/>
      <c r="BN189" s="403"/>
      <c r="BR189" s="403"/>
      <c r="BS189" s="403"/>
      <c r="FI189" s="5">
        <v>589</v>
      </c>
      <c r="FJ189" s="5">
        <v>1689</v>
      </c>
      <c r="GM189" s="12"/>
      <c r="GQ189" s="12"/>
      <c r="IK189" s="33"/>
      <c r="IL189" s="33"/>
      <c r="IM189" s="33"/>
      <c r="IN189" s="33"/>
      <c r="IO189" s="33" t="s">
        <v>711</v>
      </c>
    </row>
    <row r="190" spans="1:249" s="5" customFormat="1" x14ac:dyDescent="0.25">
      <c r="A190" s="33">
        <v>14</v>
      </c>
      <c r="B190" s="33" t="s">
        <v>294</v>
      </c>
      <c r="C190" s="33" t="s">
        <v>295</v>
      </c>
      <c r="D190" s="33">
        <v>2011</v>
      </c>
      <c r="E190" s="33">
        <v>2009</v>
      </c>
      <c r="F190" s="33" t="s">
        <v>297</v>
      </c>
      <c r="G190" s="33" t="s">
        <v>296</v>
      </c>
      <c r="H190" s="21" t="s">
        <v>2831</v>
      </c>
      <c r="I190" s="33">
        <v>46.88</v>
      </c>
      <c r="J190" s="33">
        <v>-102.79</v>
      </c>
      <c r="K190" s="33">
        <v>735.8</v>
      </c>
      <c r="L190" s="33"/>
      <c r="M190" s="33"/>
      <c r="N190" s="33"/>
      <c r="O190" s="33"/>
      <c r="P190" s="33"/>
      <c r="Q190" s="47" t="s">
        <v>1734</v>
      </c>
      <c r="R190" s="47" t="s">
        <v>1871</v>
      </c>
      <c r="S190" s="47"/>
      <c r="T190" s="47" t="s">
        <v>1870</v>
      </c>
      <c r="U190" s="47" t="s">
        <v>1381</v>
      </c>
      <c r="V190" s="47" t="s">
        <v>1381</v>
      </c>
      <c r="W190" s="47" t="s">
        <v>1381</v>
      </c>
      <c r="X190" s="47" t="s">
        <v>1381</v>
      </c>
      <c r="Y190" s="33"/>
      <c r="Z190" s="327"/>
      <c r="AA190" s="327"/>
      <c r="AB190" s="33" t="s">
        <v>140</v>
      </c>
      <c r="AC190" s="33"/>
      <c r="AD190" s="33"/>
      <c r="AE190" s="33"/>
      <c r="AF190" s="33"/>
      <c r="AG190" s="33" t="s">
        <v>244</v>
      </c>
      <c r="AH190" s="138" t="s">
        <v>578</v>
      </c>
      <c r="AI190" s="33" t="s">
        <v>230</v>
      </c>
      <c r="AJ190" s="141" t="s">
        <v>230</v>
      </c>
      <c r="AK190" s="33" t="s">
        <v>1623</v>
      </c>
      <c r="AL190" s="33" t="s">
        <v>1623</v>
      </c>
      <c r="AM190" s="33" t="s">
        <v>178</v>
      </c>
      <c r="AN190" s="33" t="s">
        <v>219</v>
      </c>
      <c r="AO190" s="33" t="s">
        <v>219</v>
      </c>
      <c r="AP190" s="33" t="s">
        <v>178</v>
      </c>
      <c r="AQ190" s="33"/>
      <c r="AR190" s="33"/>
      <c r="AS190" s="33"/>
      <c r="AT190" s="33" t="s">
        <v>120</v>
      </c>
      <c r="AX190" s="5">
        <v>702</v>
      </c>
      <c r="BA190" s="54" t="s">
        <v>299</v>
      </c>
      <c r="BM190" s="403"/>
      <c r="BN190" s="403"/>
      <c r="BR190" s="403"/>
      <c r="BS190" s="403"/>
      <c r="FI190" s="5">
        <v>944</v>
      </c>
      <c r="FJ190" s="5">
        <v>1689</v>
      </c>
      <c r="GM190" s="12"/>
      <c r="GQ190" s="12"/>
      <c r="IK190" s="33"/>
      <c r="IL190" s="33"/>
      <c r="IM190" s="33"/>
      <c r="IN190" s="33"/>
      <c r="IO190" s="33" t="s">
        <v>711</v>
      </c>
    </row>
    <row r="191" spans="1:249" s="5" customFormat="1" x14ac:dyDescent="0.25">
      <c r="A191" s="33">
        <v>14</v>
      </c>
      <c r="B191" s="33" t="s">
        <v>294</v>
      </c>
      <c r="C191" s="33" t="s">
        <v>295</v>
      </c>
      <c r="D191" s="33">
        <v>2011</v>
      </c>
      <c r="E191" s="33">
        <v>2009</v>
      </c>
      <c r="F191" s="33" t="s">
        <v>297</v>
      </c>
      <c r="G191" s="33" t="s">
        <v>296</v>
      </c>
      <c r="H191" s="21" t="s">
        <v>2831</v>
      </c>
      <c r="I191" s="33">
        <v>46.88</v>
      </c>
      <c r="J191" s="33">
        <v>-102.79</v>
      </c>
      <c r="K191" s="33">
        <v>735.8</v>
      </c>
      <c r="L191" s="33"/>
      <c r="M191" s="33"/>
      <c r="N191" s="33"/>
      <c r="O191" s="33"/>
      <c r="P191" s="33"/>
      <c r="Q191" s="47" t="s">
        <v>1734</v>
      </c>
      <c r="R191" s="47" t="s">
        <v>1871</v>
      </c>
      <c r="S191" s="47"/>
      <c r="T191" s="47" t="s">
        <v>1870</v>
      </c>
      <c r="U191" s="47" t="s">
        <v>1381</v>
      </c>
      <c r="V191" s="47" t="s">
        <v>1381</v>
      </c>
      <c r="W191" s="47" t="s">
        <v>1381</v>
      </c>
      <c r="X191" s="47" t="s">
        <v>1381</v>
      </c>
      <c r="Y191" s="33"/>
      <c r="Z191" s="327"/>
      <c r="AA191" s="327"/>
      <c r="AB191" s="33" t="s">
        <v>140</v>
      </c>
      <c r="AC191" s="33"/>
      <c r="AD191" s="33"/>
      <c r="AE191" s="33"/>
      <c r="AF191" s="33"/>
      <c r="AG191" s="33" t="s">
        <v>244</v>
      </c>
      <c r="AH191" s="138" t="s">
        <v>578</v>
      </c>
      <c r="AI191" s="33" t="s">
        <v>230</v>
      </c>
      <c r="AJ191" s="141" t="s">
        <v>230</v>
      </c>
      <c r="AK191" s="33" t="s">
        <v>1623</v>
      </c>
      <c r="AL191" s="33" t="s">
        <v>1623</v>
      </c>
      <c r="AM191" s="33" t="s">
        <v>178</v>
      </c>
      <c r="AN191" s="33" t="s">
        <v>219</v>
      </c>
      <c r="AO191" s="33" t="s">
        <v>219</v>
      </c>
      <c r="AP191" s="33" t="s">
        <v>178</v>
      </c>
      <c r="AQ191" s="33"/>
      <c r="AR191" s="33"/>
      <c r="AS191" s="33"/>
      <c r="AT191" s="33" t="s">
        <v>120</v>
      </c>
      <c r="AX191" s="5">
        <v>702</v>
      </c>
      <c r="BA191" s="54" t="s">
        <v>300</v>
      </c>
      <c r="BM191" s="403"/>
      <c r="BN191" s="403"/>
      <c r="BR191" s="403"/>
      <c r="BS191" s="403"/>
      <c r="FI191" s="5">
        <v>404</v>
      </c>
      <c r="FJ191" s="5">
        <v>1689</v>
      </c>
      <c r="GM191" s="12"/>
      <c r="GQ191" s="12"/>
      <c r="IK191" s="33"/>
      <c r="IL191" s="33"/>
      <c r="IM191" s="33"/>
      <c r="IN191" s="33"/>
      <c r="IO191" s="33" t="s">
        <v>711</v>
      </c>
    </row>
    <row r="192" spans="1:249" s="21" customFormat="1" x14ac:dyDescent="0.25">
      <c r="A192" s="21">
        <v>14</v>
      </c>
      <c r="B192" s="21" t="s">
        <v>294</v>
      </c>
      <c r="C192" s="21" t="s">
        <v>295</v>
      </c>
      <c r="D192" s="21">
        <v>2011</v>
      </c>
      <c r="E192" s="21">
        <v>2009</v>
      </c>
      <c r="F192" s="21" t="s">
        <v>297</v>
      </c>
      <c r="G192" s="21" t="s">
        <v>296</v>
      </c>
      <c r="H192" s="21" t="s">
        <v>2831</v>
      </c>
      <c r="I192" s="21">
        <v>46.88</v>
      </c>
      <c r="J192" s="21">
        <v>-102.79</v>
      </c>
      <c r="K192" s="21">
        <v>735.8</v>
      </c>
      <c r="Q192" s="43" t="s">
        <v>1734</v>
      </c>
      <c r="R192" s="43" t="s">
        <v>1871</v>
      </c>
      <c r="S192" s="43"/>
      <c r="T192" s="43" t="s">
        <v>1870</v>
      </c>
      <c r="U192" s="43" t="s">
        <v>1381</v>
      </c>
      <c r="V192" s="43" t="s">
        <v>1381</v>
      </c>
      <c r="W192" s="43" t="s">
        <v>1381</v>
      </c>
      <c r="X192" s="43" t="s">
        <v>1381</v>
      </c>
      <c r="Z192" s="322"/>
      <c r="AA192" s="322"/>
      <c r="AB192" s="21" t="s">
        <v>140</v>
      </c>
      <c r="AG192" s="21" t="s">
        <v>244</v>
      </c>
      <c r="AH192" s="138" t="s">
        <v>578</v>
      </c>
      <c r="AI192" s="21" t="s">
        <v>230</v>
      </c>
      <c r="AJ192" s="141" t="s">
        <v>230</v>
      </c>
      <c r="AK192" s="21" t="s">
        <v>1623</v>
      </c>
      <c r="AL192" s="21" t="s">
        <v>1623</v>
      </c>
      <c r="AM192" s="21" t="s">
        <v>178</v>
      </c>
      <c r="AN192" s="21" t="s">
        <v>219</v>
      </c>
      <c r="AO192" s="21" t="s">
        <v>219</v>
      </c>
      <c r="AP192" s="21" t="s">
        <v>178</v>
      </c>
      <c r="AT192" s="21" t="s">
        <v>120</v>
      </c>
      <c r="AX192" s="21">
        <v>4919</v>
      </c>
      <c r="BA192" s="54" t="s">
        <v>298</v>
      </c>
      <c r="BM192" s="396"/>
      <c r="BN192" s="396"/>
      <c r="BR192" s="396"/>
      <c r="BS192" s="396"/>
      <c r="FI192" s="5">
        <v>589</v>
      </c>
      <c r="FJ192" s="21">
        <v>75</v>
      </c>
      <c r="GM192" s="12"/>
      <c r="GQ192" s="12"/>
      <c r="IO192" s="21" t="s">
        <v>711</v>
      </c>
    </row>
    <row r="193" spans="1:249" s="21" customFormat="1" x14ac:dyDescent="0.25">
      <c r="A193" s="21">
        <v>14</v>
      </c>
      <c r="B193" s="21" t="s">
        <v>294</v>
      </c>
      <c r="C193" s="21" t="s">
        <v>295</v>
      </c>
      <c r="D193" s="21">
        <v>2011</v>
      </c>
      <c r="E193" s="21">
        <v>2009</v>
      </c>
      <c r="F193" s="21" t="s">
        <v>297</v>
      </c>
      <c r="G193" s="21" t="s">
        <v>296</v>
      </c>
      <c r="H193" s="21" t="s">
        <v>2831</v>
      </c>
      <c r="I193" s="21">
        <v>46.88</v>
      </c>
      <c r="J193" s="21">
        <v>-102.79</v>
      </c>
      <c r="K193" s="21">
        <v>735.8</v>
      </c>
      <c r="Q193" s="43" t="s">
        <v>1734</v>
      </c>
      <c r="R193" s="43" t="s">
        <v>1871</v>
      </c>
      <c r="S193" s="43"/>
      <c r="T193" s="43" t="s">
        <v>1870</v>
      </c>
      <c r="U193" s="43" t="s">
        <v>1381</v>
      </c>
      <c r="V193" s="43" t="s">
        <v>1381</v>
      </c>
      <c r="W193" s="43" t="s">
        <v>1381</v>
      </c>
      <c r="X193" s="43" t="s">
        <v>1381</v>
      </c>
      <c r="Z193" s="322"/>
      <c r="AA193" s="322"/>
      <c r="AB193" s="21" t="s">
        <v>140</v>
      </c>
      <c r="AG193" s="21" t="s">
        <v>244</v>
      </c>
      <c r="AH193" s="138" t="s">
        <v>578</v>
      </c>
      <c r="AI193" s="21" t="s">
        <v>230</v>
      </c>
      <c r="AJ193" s="141" t="s">
        <v>230</v>
      </c>
      <c r="AK193" s="21" t="s">
        <v>1623</v>
      </c>
      <c r="AL193" s="21" t="s">
        <v>1623</v>
      </c>
      <c r="AM193" s="21" t="s">
        <v>178</v>
      </c>
      <c r="AN193" s="21" t="s">
        <v>219</v>
      </c>
      <c r="AO193" s="21" t="s">
        <v>219</v>
      </c>
      <c r="AP193" s="21" t="s">
        <v>178</v>
      </c>
      <c r="AT193" s="21" t="s">
        <v>120</v>
      </c>
      <c r="AX193" s="21">
        <v>4919</v>
      </c>
      <c r="BA193" s="54" t="s">
        <v>299</v>
      </c>
      <c r="BM193" s="396"/>
      <c r="BN193" s="396"/>
      <c r="BR193" s="396"/>
      <c r="BS193" s="396"/>
      <c r="FI193" s="5">
        <v>944</v>
      </c>
      <c r="FJ193" s="21">
        <v>75</v>
      </c>
      <c r="GM193" s="12"/>
      <c r="GQ193" s="12"/>
      <c r="IO193" s="21" t="s">
        <v>711</v>
      </c>
    </row>
    <row r="194" spans="1:249" s="21" customFormat="1" x14ac:dyDescent="0.25">
      <c r="A194" s="21">
        <v>14</v>
      </c>
      <c r="B194" s="21" t="s">
        <v>294</v>
      </c>
      <c r="C194" s="21" t="s">
        <v>295</v>
      </c>
      <c r="D194" s="21">
        <v>2011</v>
      </c>
      <c r="E194" s="21">
        <v>2009</v>
      </c>
      <c r="F194" s="21" t="s">
        <v>297</v>
      </c>
      <c r="G194" s="21" t="s">
        <v>296</v>
      </c>
      <c r="H194" s="21" t="s">
        <v>2831</v>
      </c>
      <c r="I194" s="21">
        <v>46.88</v>
      </c>
      <c r="J194" s="21">
        <v>-102.79</v>
      </c>
      <c r="K194" s="21">
        <v>735.8</v>
      </c>
      <c r="Q194" s="43" t="s">
        <v>1734</v>
      </c>
      <c r="R194" s="43" t="s">
        <v>1871</v>
      </c>
      <c r="S194" s="43"/>
      <c r="T194" s="43" t="s">
        <v>1870</v>
      </c>
      <c r="U194" s="43" t="s">
        <v>1381</v>
      </c>
      <c r="V194" s="43" t="s">
        <v>1381</v>
      </c>
      <c r="W194" s="43" t="s">
        <v>1381</v>
      </c>
      <c r="X194" s="43" t="s">
        <v>1381</v>
      </c>
      <c r="Z194" s="322"/>
      <c r="AA194" s="322"/>
      <c r="AB194" s="21" t="s">
        <v>140</v>
      </c>
      <c r="AG194" s="21" t="s">
        <v>244</v>
      </c>
      <c r="AH194" s="138" t="s">
        <v>578</v>
      </c>
      <c r="AI194" s="21" t="s">
        <v>230</v>
      </c>
      <c r="AJ194" s="141" t="s">
        <v>230</v>
      </c>
      <c r="AK194" s="21" t="s">
        <v>1623</v>
      </c>
      <c r="AL194" s="21" t="s">
        <v>1623</v>
      </c>
      <c r="AM194" s="21" t="s">
        <v>178</v>
      </c>
      <c r="AN194" s="21" t="s">
        <v>219</v>
      </c>
      <c r="AO194" s="21" t="s">
        <v>219</v>
      </c>
      <c r="AP194" s="21" t="s">
        <v>178</v>
      </c>
      <c r="AT194" s="21" t="s">
        <v>120</v>
      </c>
      <c r="AX194" s="21">
        <v>4919</v>
      </c>
      <c r="BA194" s="54" t="s">
        <v>300</v>
      </c>
      <c r="BM194" s="396"/>
      <c r="BN194" s="396"/>
      <c r="BR194" s="396"/>
      <c r="BS194" s="396"/>
      <c r="FI194" s="5">
        <v>404</v>
      </c>
      <c r="FJ194" s="21">
        <v>75</v>
      </c>
      <c r="GM194" s="12"/>
      <c r="GQ194" s="12"/>
      <c r="IO194" s="21" t="s">
        <v>711</v>
      </c>
    </row>
    <row r="195" spans="1:249" s="5" customFormat="1" x14ac:dyDescent="0.25">
      <c r="A195" s="33">
        <v>14</v>
      </c>
      <c r="B195" s="33" t="s">
        <v>294</v>
      </c>
      <c r="C195" s="33" t="s">
        <v>295</v>
      </c>
      <c r="D195" s="33">
        <v>2011</v>
      </c>
      <c r="E195" s="33">
        <v>2009</v>
      </c>
      <c r="F195" s="33" t="s">
        <v>297</v>
      </c>
      <c r="G195" s="33" t="s">
        <v>296</v>
      </c>
      <c r="H195" s="21" t="s">
        <v>2831</v>
      </c>
      <c r="I195" s="33">
        <v>46.88</v>
      </c>
      <c r="J195" s="33">
        <v>-102.79</v>
      </c>
      <c r="K195" s="33">
        <v>735.8</v>
      </c>
      <c r="L195" s="33"/>
      <c r="M195" s="33"/>
      <c r="N195" s="33"/>
      <c r="O195" s="33"/>
      <c r="P195" s="33"/>
      <c r="Q195" s="47" t="s">
        <v>1734</v>
      </c>
      <c r="R195" s="47" t="s">
        <v>1871</v>
      </c>
      <c r="S195" s="47"/>
      <c r="T195" s="47" t="s">
        <v>1870</v>
      </c>
      <c r="U195" s="47" t="s">
        <v>1381</v>
      </c>
      <c r="V195" s="47" t="s">
        <v>1381</v>
      </c>
      <c r="W195" s="47" t="s">
        <v>1381</v>
      </c>
      <c r="X195" s="47" t="s">
        <v>1381</v>
      </c>
      <c r="Y195" s="33"/>
      <c r="Z195" s="327"/>
      <c r="AA195" s="327"/>
      <c r="AB195" s="33" t="s">
        <v>140</v>
      </c>
      <c r="AC195" s="33"/>
      <c r="AD195" s="33"/>
      <c r="AE195" s="33"/>
      <c r="AF195" s="33"/>
      <c r="AG195" s="33" t="s">
        <v>1567</v>
      </c>
      <c r="AH195" s="138" t="s">
        <v>132</v>
      </c>
      <c r="AI195" s="33" t="s">
        <v>230</v>
      </c>
      <c r="AJ195" s="141" t="s">
        <v>230</v>
      </c>
      <c r="AK195" s="33" t="s">
        <v>1623</v>
      </c>
      <c r="AL195" s="33" t="s">
        <v>1623</v>
      </c>
      <c r="AM195" s="33" t="s">
        <v>178</v>
      </c>
      <c r="AN195" s="33" t="s">
        <v>219</v>
      </c>
      <c r="AO195" s="33" t="s">
        <v>219</v>
      </c>
      <c r="AP195" s="33" t="s">
        <v>178</v>
      </c>
      <c r="AQ195" s="33"/>
      <c r="AR195" s="33"/>
      <c r="AS195" s="33"/>
      <c r="AT195" s="33" t="s">
        <v>120</v>
      </c>
      <c r="AX195" s="5">
        <v>3182</v>
      </c>
      <c r="BA195" s="54" t="s">
        <v>298</v>
      </c>
      <c r="BM195" s="403"/>
      <c r="BN195" s="403"/>
      <c r="BR195" s="403"/>
      <c r="BS195" s="403"/>
      <c r="FI195" s="5">
        <v>589</v>
      </c>
      <c r="FJ195" s="5">
        <v>460</v>
      </c>
      <c r="GM195" s="12"/>
      <c r="GQ195" s="12"/>
      <c r="IK195" s="33"/>
      <c r="IL195" s="33"/>
      <c r="IM195" s="33"/>
      <c r="IN195" s="33"/>
      <c r="IO195" s="33" t="s">
        <v>711</v>
      </c>
    </row>
    <row r="196" spans="1:249" s="5" customFormat="1" x14ac:dyDescent="0.25">
      <c r="A196" s="33">
        <v>14</v>
      </c>
      <c r="B196" s="33" t="s">
        <v>294</v>
      </c>
      <c r="C196" s="33" t="s">
        <v>295</v>
      </c>
      <c r="D196" s="33">
        <v>2011</v>
      </c>
      <c r="E196" s="33">
        <v>2009</v>
      </c>
      <c r="F196" s="33" t="s">
        <v>297</v>
      </c>
      <c r="G196" s="33" t="s">
        <v>296</v>
      </c>
      <c r="H196" s="21" t="s">
        <v>2831</v>
      </c>
      <c r="I196" s="33">
        <v>46.88</v>
      </c>
      <c r="J196" s="33">
        <v>-102.79</v>
      </c>
      <c r="K196" s="33">
        <v>735.8</v>
      </c>
      <c r="L196" s="33"/>
      <c r="M196" s="33"/>
      <c r="N196" s="33"/>
      <c r="O196" s="33"/>
      <c r="P196" s="33"/>
      <c r="Q196" s="47" t="s">
        <v>1734</v>
      </c>
      <c r="R196" s="47" t="s">
        <v>1871</v>
      </c>
      <c r="S196" s="47"/>
      <c r="T196" s="47" t="s">
        <v>1870</v>
      </c>
      <c r="U196" s="47" t="s">
        <v>1381</v>
      </c>
      <c r="V196" s="47" t="s">
        <v>1381</v>
      </c>
      <c r="W196" s="47" t="s">
        <v>1381</v>
      </c>
      <c r="X196" s="47" t="s">
        <v>1381</v>
      </c>
      <c r="Y196" s="33"/>
      <c r="Z196" s="327"/>
      <c r="AA196" s="327"/>
      <c r="AB196" s="33" t="s">
        <v>140</v>
      </c>
      <c r="AC196" s="33"/>
      <c r="AD196" s="33"/>
      <c r="AE196" s="33"/>
      <c r="AF196" s="33"/>
      <c r="AG196" s="33" t="s">
        <v>1567</v>
      </c>
      <c r="AH196" s="138" t="s">
        <v>132</v>
      </c>
      <c r="AI196" s="33" t="s">
        <v>230</v>
      </c>
      <c r="AJ196" s="141" t="s">
        <v>230</v>
      </c>
      <c r="AK196" s="33" t="s">
        <v>1623</v>
      </c>
      <c r="AL196" s="33" t="s">
        <v>1623</v>
      </c>
      <c r="AM196" s="33" t="s">
        <v>178</v>
      </c>
      <c r="AN196" s="33" t="s">
        <v>219</v>
      </c>
      <c r="AO196" s="33" t="s">
        <v>219</v>
      </c>
      <c r="AP196" s="33" t="s">
        <v>178</v>
      </c>
      <c r="AQ196" s="33"/>
      <c r="AR196" s="33"/>
      <c r="AS196" s="33"/>
      <c r="AT196" s="33" t="s">
        <v>120</v>
      </c>
      <c r="AX196" s="5">
        <v>3182</v>
      </c>
      <c r="BA196" s="54" t="s">
        <v>299</v>
      </c>
      <c r="BM196" s="403"/>
      <c r="BN196" s="403"/>
      <c r="BR196" s="403"/>
      <c r="BS196" s="403"/>
      <c r="FI196" s="5">
        <v>944</v>
      </c>
      <c r="FJ196" s="5">
        <v>460</v>
      </c>
      <c r="GM196" s="12"/>
      <c r="GQ196" s="12"/>
      <c r="IK196" s="33"/>
      <c r="IL196" s="33"/>
      <c r="IM196" s="33"/>
      <c r="IN196" s="33"/>
      <c r="IO196" s="33" t="s">
        <v>711</v>
      </c>
    </row>
    <row r="197" spans="1:249" s="5" customFormat="1" x14ac:dyDescent="0.25">
      <c r="A197" s="33">
        <v>14</v>
      </c>
      <c r="B197" s="33" t="s">
        <v>294</v>
      </c>
      <c r="C197" s="33" t="s">
        <v>295</v>
      </c>
      <c r="D197" s="33">
        <v>2011</v>
      </c>
      <c r="E197" s="33">
        <v>2009</v>
      </c>
      <c r="F197" s="33" t="s">
        <v>297</v>
      </c>
      <c r="G197" s="33" t="s">
        <v>296</v>
      </c>
      <c r="H197" s="21" t="s">
        <v>2831</v>
      </c>
      <c r="I197" s="33">
        <v>46.88</v>
      </c>
      <c r="J197" s="33">
        <v>-102.79</v>
      </c>
      <c r="K197" s="33">
        <v>735.8</v>
      </c>
      <c r="L197" s="33"/>
      <c r="M197" s="33"/>
      <c r="N197" s="33"/>
      <c r="O197" s="33"/>
      <c r="P197" s="33"/>
      <c r="Q197" s="47" t="s">
        <v>1734</v>
      </c>
      <c r="R197" s="47" t="s">
        <v>1871</v>
      </c>
      <c r="S197" s="47"/>
      <c r="T197" s="47" t="s">
        <v>1870</v>
      </c>
      <c r="U197" s="47" t="s">
        <v>1381</v>
      </c>
      <c r="V197" s="47" t="s">
        <v>1381</v>
      </c>
      <c r="W197" s="47" t="s">
        <v>1381</v>
      </c>
      <c r="X197" s="47" t="s">
        <v>1381</v>
      </c>
      <c r="Y197" s="33"/>
      <c r="Z197" s="327"/>
      <c r="AA197" s="327"/>
      <c r="AB197" s="33" t="s">
        <v>140</v>
      </c>
      <c r="AC197" s="33"/>
      <c r="AD197" s="33"/>
      <c r="AE197" s="33"/>
      <c r="AF197" s="33"/>
      <c r="AG197" s="33" t="s">
        <v>1567</v>
      </c>
      <c r="AH197" s="138" t="s">
        <v>132</v>
      </c>
      <c r="AI197" s="33" t="s">
        <v>230</v>
      </c>
      <c r="AJ197" s="141" t="s">
        <v>230</v>
      </c>
      <c r="AK197" s="33" t="s">
        <v>1623</v>
      </c>
      <c r="AL197" s="33" t="s">
        <v>1623</v>
      </c>
      <c r="AM197" s="33" t="s">
        <v>178</v>
      </c>
      <c r="AN197" s="33" t="s">
        <v>219</v>
      </c>
      <c r="AO197" s="33" t="s">
        <v>219</v>
      </c>
      <c r="AP197" s="33" t="s">
        <v>178</v>
      </c>
      <c r="AQ197" s="33"/>
      <c r="AR197" s="33"/>
      <c r="AS197" s="33"/>
      <c r="AT197" s="33" t="s">
        <v>120</v>
      </c>
      <c r="AX197" s="5">
        <v>3182</v>
      </c>
      <c r="BA197" s="54" t="s">
        <v>300</v>
      </c>
      <c r="BM197" s="403"/>
      <c r="BN197" s="403"/>
      <c r="BR197" s="403"/>
      <c r="BS197" s="403"/>
      <c r="FI197" s="5">
        <v>404</v>
      </c>
      <c r="FJ197" s="5">
        <v>460</v>
      </c>
      <c r="GM197" s="12"/>
      <c r="GQ197" s="12"/>
      <c r="IK197" s="33"/>
      <c r="IL197" s="33"/>
      <c r="IM197" s="33"/>
      <c r="IN197" s="33"/>
      <c r="IO197" s="33" t="s">
        <v>711</v>
      </c>
    </row>
    <row r="198" spans="1:249" s="21" customFormat="1" x14ac:dyDescent="0.25">
      <c r="A198" s="21">
        <v>14</v>
      </c>
      <c r="B198" s="21" t="s">
        <v>294</v>
      </c>
      <c r="C198" s="21" t="s">
        <v>295</v>
      </c>
      <c r="D198" s="21">
        <v>2011</v>
      </c>
      <c r="E198" s="21">
        <v>2009</v>
      </c>
      <c r="F198" s="21" t="s">
        <v>297</v>
      </c>
      <c r="G198" s="21" t="s">
        <v>296</v>
      </c>
      <c r="H198" s="21" t="s">
        <v>2831</v>
      </c>
      <c r="I198" s="21">
        <v>46.88</v>
      </c>
      <c r="J198" s="21">
        <v>-102.79</v>
      </c>
      <c r="K198" s="21">
        <v>735.8</v>
      </c>
      <c r="Q198" s="43" t="s">
        <v>1734</v>
      </c>
      <c r="R198" s="43" t="s">
        <v>1871</v>
      </c>
      <c r="S198" s="43"/>
      <c r="T198" s="43" t="s">
        <v>1870</v>
      </c>
      <c r="U198" s="43" t="s">
        <v>1381</v>
      </c>
      <c r="V198" s="43" t="s">
        <v>1381</v>
      </c>
      <c r="W198" s="43" t="s">
        <v>1381</v>
      </c>
      <c r="X198" s="43" t="s">
        <v>1381</v>
      </c>
      <c r="Z198" s="322"/>
      <c r="AA198" s="322"/>
      <c r="AB198" s="21" t="s">
        <v>140</v>
      </c>
      <c r="AG198" s="21" t="s">
        <v>1578</v>
      </c>
      <c r="AH198" s="138" t="s">
        <v>1586</v>
      </c>
      <c r="AI198" s="21" t="s">
        <v>230</v>
      </c>
      <c r="AJ198" s="141" t="s">
        <v>230</v>
      </c>
      <c r="AK198" s="21" t="s">
        <v>1623</v>
      </c>
      <c r="AL198" s="21" t="s">
        <v>1623</v>
      </c>
      <c r="AM198" s="21" t="s">
        <v>178</v>
      </c>
      <c r="AN198" s="21" t="s">
        <v>219</v>
      </c>
      <c r="AO198" s="21" t="s">
        <v>219</v>
      </c>
      <c r="AP198" s="21" t="s">
        <v>178</v>
      </c>
      <c r="AT198" s="21" t="s">
        <v>120</v>
      </c>
      <c r="AX198" s="21">
        <v>4716</v>
      </c>
      <c r="BA198" s="54" t="s">
        <v>298</v>
      </c>
      <c r="BM198" s="396"/>
      <c r="BN198" s="396"/>
      <c r="BR198" s="396"/>
      <c r="BS198" s="396"/>
      <c r="FI198" s="5">
        <v>589</v>
      </c>
      <c r="FJ198" s="21">
        <v>297</v>
      </c>
      <c r="GM198" s="12"/>
      <c r="GQ198" s="12"/>
      <c r="IO198" s="21" t="s">
        <v>711</v>
      </c>
    </row>
    <row r="199" spans="1:249" s="21" customFormat="1" x14ac:dyDescent="0.25">
      <c r="A199" s="21">
        <v>14</v>
      </c>
      <c r="B199" s="21" t="s">
        <v>294</v>
      </c>
      <c r="C199" s="21" t="s">
        <v>295</v>
      </c>
      <c r="D199" s="21">
        <v>2011</v>
      </c>
      <c r="E199" s="21">
        <v>2009</v>
      </c>
      <c r="F199" s="21" t="s">
        <v>297</v>
      </c>
      <c r="G199" s="21" t="s">
        <v>296</v>
      </c>
      <c r="H199" s="21" t="s">
        <v>2831</v>
      </c>
      <c r="I199" s="21">
        <v>46.88</v>
      </c>
      <c r="J199" s="21">
        <v>-102.79</v>
      </c>
      <c r="K199" s="21">
        <v>735.8</v>
      </c>
      <c r="Q199" s="43" t="s">
        <v>1734</v>
      </c>
      <c r="R199" s="43" t="s">
        <v>1871</v>
      </c>
      <c r="S199" s="43"/>
      <c r="T199" s="43" t="s">
        <v>1870</v>
      </c>
      <c r="U199" s="43" t="s">
        <v>1381</v>
      </c>
      <c r="V199" s="43" t="s">
        <v>1381</v>
      </c>
      <c r="W199" s="43" t="s">
        <v>1381</v>
      </c>
      <c r="X199" s="43" t="s">
        <v>1381</v>
      </c>
      <c r="Z199" s="322"/>
      <c r="AA199" s="322"/>
      <c r="AB199" s="21" t="s">
        <v>140</v>
      </c>
      <c r="AG199" s="21" t="s">
        <v>1578</v>
      </c>
      <c r="AH199" s="138" t="s">
        <v>1586</v>
      </c>
      <c r="AI199" s="21" t="s">
        <v>230</v>
      </c>
      <c r="AJ199" s="141" t="s">
        <v>230</v>
      </c>
      <c r="AK199" s="21" t="s">
        <v>1623</v>
      </c>
      <c r="AL199" s="21" t="s">
        <v>1623</v>
      </c>
      <c r="AM199" s="21" t="s">
        <v>178</v>
      </c>
      <c r="AN199" s="21" t="s">
        <v>219</v>
      </c>
      <c r="AO199" s="21" t="s">
        <v>219</v>
      </c>
      <c r="AP199" s="21" t="s">
        <v>178</v>
      </c>
      <c r="AT199" s="21" t="s">
        <v>120</v>
      </c>
      <c r="AX199" s="21">
        <v>4716</v>
      </c>
      <c r="BA199" s="54" t="s">
        <v>299</v>
      </c>
      <c r="BM199" s="396"/>
      <c r="BN199" s="396"/>
      <c r="BR199" s="396"/>
      <c r="BS199" s="396"/>
      <c r="FI199" s="5">
        <v>944</v>
      </c>
      <c r="FJ199" s="21">
        <v>297</v>
      </c>
      <c r="GM199" s="12"/>
      <c r="GQ199" s="12"/>
      <c r="IO199" s="21" t="s">
        <v>711</v>
      </c>
    </row>
    <row r="200" spans="1:249" s="21" customFormat="1" x14ac:dyDescent="0.25">
      <c r="A200" s="21">
        <v>14</v>
      </c>
      <c r="B200" s="21" t="s">
        <v>294</v>
      </c>
      <c r="C200" s="21" t="s">
        <v>295</v>
      </c>
      <c r="D200" s="21">
        <v>2011</v>
      </c>
      <c r="E200" s="21">
        <v>2009</v>
      </c>
      <c r="F200" s="21" t="s">
        <v>297</v>
      </c>
      <c r="G200" s="21" t="s">
        <v>296</v>
      </c>
      <c r="H200" s="21" t="s">
        <v>2831</v>
      </c>
      <c r="I200" s="21">
        <v>46.88</v>
      </c>
      <c r="J200" s="21">
        <v>-102.79</v>
      </c>
      <c r="K200" s="21">
        <v>735.8</v>
      </c>
      <c r="Q200" s="43" t="s">
        <v>1734</v>
      </c>
      <c r="R200" s="43" t="s">
        <v>1871</v>
      </c>
      <c r="S200" s="43"/>
      <c r="T200" s="43" t="s">
        <v>1870</v>
      </c>
      <c r="U200" s="43" t="s">
        <v>1381</v>
      </c>
      <c r="V200" s="43" t="s">
        <v>1381</v>
      </c>
      <c r="W200" s="43" t="s">
        <v>1381</v>
      </c>
      <c r="X200" s="43" t="s">
        <v>1381</v>
      </c>
      <c r="Z200" s="322"/>
      <c r="AA200" s="322"/>
      <c r="AB200" s="21" t="s">
        <v>140</v>
      </c>
      <c r="AG200" s="21" t="s">
        <v>1578</v>
      </c>
      <c r="AH200" s="138" t="s">
        <v>1586</v>
      </c>
      <c r="AI200" s="21" t="s">
        <v>230</v>
      </c>
      <c r="AJ200" s="141" t="s">
        <v>230</v>
      </c>
      <c r="AK200" s="21" t="s">
        <v>1623</v>
      </c>
      <c r="AL200" s="21" t="s">
        <v>1623</v>
      </c>
      <c r="AM200" s="21" t="s">
        <v>178</v>
      </c>
      <c r="AN200" s="21" t="s">
        <v>219</v>
      </c>
      <c r="AO200" s="21" t="s">
        <v>219</v>
      </c>
      <c r="AP200" s="21" t="s">
        <v>178</v>
      </c>
      <c r="AT200" s="21" t="s">
        <v>120</v>
      </c>
      <c r="AX200" s="21">
        <v>4716</v>
      </c>
      <c r="BA200" s="54" t="s">
        <v>300</v>
      </c>
      <c r="BM200" s="396"/>
      <c r="BN200" s="396"/>
      <c r="BR200" s="396"/>
      <c r="BS200" s="396"/>
      <c r="FI200" s="5">
        <v>404</v>
      </c>
      <c r="FJ200" s="21">
        <v>297</v>
      </c>
      <c r="GM200" s="12"/>
      <c r="GQ200" s="12"/>
      <c r="IO200" s="21" t="s">
        <v>711</v>
      </c>
    </row>
    <row r="201" spans="1:249" s="33" customFormat="1" x14ac:dyDescent="0.25">
      <c r="A201" s="33">
        <v>14</v>
      </c>
      <c r="B201" s="33" t="s">
        <v>294</v>
      </c>
      <c r="C201" s="33" t="s">
        <v>295</v>
      </c>
      <c r="D201" s="33">
        <v>2011</v>
      </c>
      <c r="E201" s="33">
        <v>2009</v>
      </c>
      <c r="F201" s="33" t="s">
        <v>297</v>
      </c>
      <c r="G201" s="33" t="s">
        <v>296</v>
      </c>
      <c r="H201" s="21" t="s">
        <v>2831</v>
      </c>
      <c r="I201" s="33">
        <v>46.88</v>
      </c>
      <c r="J201" s="33">
        <v>-102.79</v>
      </c>
      <c r="K201" s="33">
        <v>735.8</v>
      </c>
      <c r="Q201" s="47" t="s">
        <v>1734</v>
      </c>
      <c r="R201" s="47" t="s">
        <v>1871</v>
      </c>
      <c r="S201" s="47"/>
      <c r="T201" s="47" t="s">
        <v>1870</v>
      </c>
      <c r="U201" s="47" t="s">
        <v>1381</v>
      </c>
      <c r="V201" s="47" t="s">
        <v>1381</v>
      </c>
      <c r="W201" s="47" t="s">
        <v>1381</v>
      </c>
      <c r="X201" s="47" t="s">
        <v>1381</v>
      </c>
      <c r="Z201" s="327"/>
      <c r="AA201" s="327"/>
      <c r="AB201" s="33" t="s">
        <v>140</v>
      </c>
      <c r="AG201" s="33" t="s">
        <v>1578</v>
      </c>
      <c r="AH201" s="138" t="s">
        <v>1586</v>
      </c>
      <c r="AI201" s="33" t="s">
        <v>230</v>
      </c>
      <c r="AJ201" s="141" t="s">
        <v>230</v>
      </c>
      <c r="AK201" s="33" t="s">
        <v>1623</v>
      </c>
      <c r="AL201" s="33" t="s">
        <v>1623</v>
      </c>
      <c r="AM201" s="33" t="s">
        <v>178</v>
      </c>
      <c r="AN201" s="33" t="s">
        <v>219</v>
      </c>
      <c r="AO201" s="33" t="s">
        <v>219</v>
      </c>
      <c r="AP201" s="33" t="s">
        <v>178</v>
      </c>
      <c r="AT201" s="33" t="s">
        <v>120</v>
      </c>
      <c r="AX201" s="33">
        <v>3052</v>
      </c>
      <c r="BA201" s="54" t="s">
        <v>298</v>
      </c>
      <c r="BM201" s="402"/>
      <c r="BN201" s="402"/>
      <c r="BR201" s="402"/>
      <c r="BS201" s="402"/>
      <c r="FI201" s="5">
        <v>589</v>
      </c>
      <c r="FJ201" s="33">
        <v>342</v>
      </c>
      <c r="GM201" s="12"/>
      <c r="GQ201" s="12"/>
      <c r="IO201" s="33" t="s">
        <v>711</v>
      </c>
    </row>
    <row r="202" spans="1:249" s="33" customFormat="1" x14ac:dyDescent="0.25">
      <c r="A202" s="33">
        <v>14</v>
      </c>
      <c r="B202" s="33" t="s">
        <v>294</v>
      </c>
      <c r="C202" s="33" t="s">
        <v>295</v>
      </c>
      <c r="D202" s="33">
        <v>2011</v>
      </c>
      <c r="E202" s="33">
        <v>2009</v>
      </c>
      <c r="F202" s="33" t="s">
        <v>297</v>
      </c>
      <c r="G202" s="33" t="s">
        <v>296</v>
      </c>
      <c r="H202" s="21" t="s">
        <v>2831</v>
      </c>
      <c r="I202" s="33">
        <v>46.88</v>
      </c>
      <c r="J202" s="33">
        <v>-102.79</v>
      </c>
      <c r="K202" s="33">
        <v>735.8</v>
      </c>
      <c r="Q202" s="47" t="s">
        <v>1734</v>
      </c>
      <c r="R202" s="47" t="s">
        <v>1871</v>
      </c>
      <c r="S202" s="47"/>
      <c r="T202" s="47" t="s">
        <v>1870</v>
      </c>
      <c r="U202" s="47" t="s">
        <v>1381</v>
      </c>
      <c r="V202" s="47" t="s">
        <v>1381</v>
      </c>
      <c r="W202" s="47" t="s">
        <v>1381</v>
      </c>
      <c r="X202" s="47" t="s">
        <v>1381</v>
      </c>
      <c r="Z202" s="327"/>
      <c r="AA202" s="327"/>
      <c r="AB202" s="33" t="s">
        <v>140</v>
      </c>
      <c r="AG202" s="33" t="s">
        <v>1578</v>
      </c>
      <c r="AH202" s="138" t="s">
        <v>1586</v>
      </c>
      <c r="AI202" s="33" t="s">
        <v>230</v>
      </c>
      <c r="AJ202" s="141" t="s">
        <v>230</v>
      </c>
      <c r="AK202" s="33" t="s">
        <v>1623</v>
      </c>
      <c r="AL202" s="33" t="s">
        <v>1623</v>
      </c>
      <c r="AM202" s="33" t="s">
        <v>178</v>
      </c>
      <c r="AN202" s="33" t="s">
        <v>219</v>
      </c>
      <c r="AO202" s="33" t="s">
        <v>219</v>
      </c>
      <c r="AP202" s="33" t="s">
        <v>178</v>
      </c>
      <c r="AT202" s="33" t="s">
        <v>120</v>
      </c>
      <c r="AX202" s="33">
        <v>3052</v>
      </c>
      <c r="BA202" s="54" t="s">
        <v>299</v>
      </c>
      <c r="BM202" s="402"/>
      <c r="BN202" s="402"/>
      <c r="BR202" s="402"/>
      <c r="BS202" s="402"/>
      <c r="FI202" s="5">
        <v>944</v>
      </c>
      <c r="FJ202" s="33">
        <v>342</v>
      </c>
      <c r="GM202" s="12"/>
      <c r="GQ202" s="12"/>
      <c r="IO202" s="33" t="s">
        <v>711</v>
      </c>
    </row>
    <row r="203" spans="1:249" s="33" customFormat="1" x14ac:dyDescent="0.25">
      <c r="A203" s="33">
        <v>14</v>
      </c>
      <c r="B203" s="33" t="s">
        <v>294</v>
      </c>
      <c r="C203" s="33" t="s">
        <v>295</v>
      </c>
      <c r="D203" s="33">
        <v>2011</v>
      </c>
      <c r="E203" s="33">
        <v>2009</v>
      </c>
      <c r="F203" s="33" t="s">
        <v>297</v>
      </c>
      <c r="G203" s="33" t="s">
        <v>296</v>
      </c>
      <c r="H203" s="21" t="s">
        <v>2831</v>
      </c>
      <c r="I203" s="33">
        <v>46.88</v>
      </c>
      <c r="J203" s="33">
        <v>-102.79</v>
      </c>
      <c r="K203" s="33">
        <v>735.8</v>
      </c>
      <c r="Q203" s="47" t="s">
        <v>1734</v>
      </c>
      <c r="R203" s="47" t="s">
        <v>1871</v>
      </c>
      <c r="S203" s="47"/>
      <c r="T203" s="47" t="s">
        <v>1870</v>
      </c>
      <c r="U203" s="47" t="s">
        <v>1381</v>
      </c>
      <c r="V203" s="47" t="s">
        <v>1381</v>
      </c>
      <c r="W203" s="47" t="s">
        <v>1381</v>
      </c>
      <c r="X203" s="47" t="s">
        <v>1381</v>
      </c>
      <c r="Z203" s="327"/>
      <c r="AA203" s="327"/>
      <c r="AB203" s="33" t="s">
        <v>140</v>
      </c>
      <c r="AG203" s="33" t="s">
        <v>1578</v>
      </c>
      <c r="AH203" s="138" t="s">
        <v>1586</v>
      </c>
      <c r="AI203" s="33" t="s">
        <v>230</v>
      </c>
      <c r="AJ203" s="141" t="s">
        <v>230</v>
      </c>
      <c r="AK203" s="33" t="s">
        <v>1623</v>
      </c>
      <c r="AL203" s="33" t="s">
        <v>1623</v>
      </c>
      <c r="AM203" s="33" t="s">
        <v>178</v>
      </c>
      <c r="AN203" s="33" t="s">
        <v>219</v>
      </c>
      <c r="AO203" s="33" t="s">
        <v>219</v>
      </c>
      <c r="AP203" s="33" t="s">
        <v>178</v>
      </c>
      <c r="AT203" s="33" t="s">
        <v>120</v>
      </c>
      <c r="AX203" s="33">
        <v>3052</v>
      </c>
      <c r="BA203" s="54" t="s">
        <v>300</v>
      </c>
      <c r="BM203" s="402"/>
      <c r="BN203" s="402"/>
      <c r="BR203" s="402"/>
      <c r="BS203" s="402"/>
      <c r="FI203" s="5">
        <v>404</v>
      </c>
      <c r="FJ203" s="33">
        <v>342</v>
      </c>
      <c r="GM203" s="12"/>
      <c r="GQ203" s="12"/>
      <c r="IO203" s="33" t="s">
        <v>711</v>
      </c>
    </row>
    <row r="204" spans="1:249" s="21" customFormat="1" x14ac:dyDescent="0.25">
      <c r="A204" s="21">
        <v>14</v>
      </c>
      <c r="B204" s="21" t="s">
        <v>294</v>
      </c>
      <c r="C204" s="21" t="s">
        <v>295</v>
      </c>
      <c r="D204" s="21">
        <v>2011</v>
      </c>
      <c r="E204" s="21">
        <v>2010</v>
      </c>
      <c r="F204" s="21" t="s">
        <v>297</v>
      </c>
      <c r="G204" s="21" t="s">
        <v>296</v>
      </c>
      <c r="H204" s="21" t="s">
        <v>2831</v>
      </c>
      <c r="I204" s="21">
        <v>46.88</v>
      </c>
      <c r="J204" s="21">
        <v>-102.79</v>
      </c>
      <c r="K204" s="21">
        <v>735.8</v>
      </c>
      <c r="Q204" s="43" t="s">
        <v>1871</v>
      </c>
      <c r="R204" s="43" t="s">
        <v>1871</v>
      </c>
      <c r="S204" s="43"/>
      <c r="T204" s="43" t="s">
        <v>1870</v>
      </c>
      <c r="U204" s="43" t="s">
        <v>1381</v>
      </c>
      <c r="V204" s="43" t="s">
        <v>1381</v>
      </c>
      <c r="W204" s="43" t="s">
        <v>1381</v>
      </c>
      <c r="X204" s="43" t="s">
        <v>1381</v>
      </c>
      <c r="Z204" s="322"/>
      <c r="AA204" s="322"/>
      <c r="AB204" s="21" t="s">
        <v>140</v>
      </c>
      <c r="AG204" s="21" t="s">
        <v>244</v>
      </c>
      <c r="AH204" s="138" t="s">
        <v>578</v>
      </c>
      <c r="AI204" s="21" t="s">
        <v>230</v>
      </c>
      <c r="AJ204" s="141" t="s">
        <v>230</v>
      </c>
      <c r="AK204" s="21" t="s">
        <v>1623</v>
      </c>
      <c r="AL204" s="21" t="s">
        <v>1623</v>
      </c>
      <c r="AM204" s="21" t="s">
        <v>178</v>
      </c>
      <c r="AN204" s="21" t="s">
        <v>219</v>
      </c>
      <c r="AO204" s="21" t="s">
        <v>219</v>
      </c>
      <c r="AP204" s="21" t="s">
        <v>178</v>
      </c>
      <c r="AT204" s="21" t="s">
        <v>120</v>
      </c>
      <c r="AX204" s="21">
        <v>1633</v>
      </c>
      <c r="BA204" s="54" t="s">
        <v>298</v>
      </c>
      <c r="BM204" s="396"/>
      <c r="BN204" s="396"/>
      <c r="BR204" s="396"/>
      <c r="BS204" s="396"/>
      <c r="FI204" s="21">
        <v>796</v>
      </c>
      <c r="FJ204" s="21">
        <v>2436</v>
      </c>
      <c r="GM204" s="12"/>
      <c r="GQ204" s="12"/>
      <c r="IO204" s="21" t="s">
        <v>711</v>
      </c>
    </row>
    <row r="205" spans="1:249" s="21" customFormat="1" x14ac:dyDescent="0.25">
      <c r="A205" s="21">
        <v>14</v>
      </c>
      <c r="B205" s="21" t="s">
        <v>294</v>
      </c>
      <c r="C205" s="21" t="s">
        <v>295</v>
      </c>
      <c r="D205" s="21">
        <v>2011</v>
      </c>
      <c r="E205" s="21">
        <v>2010</v>
      </c>
      <c r="F205" s="21" t="s">
        <v>297</v>
      </c>
      <c r="G205" s="21" t="s">
        <v>296</v>
      </c>
      <c r="H205" s="21" t="s">
        <v>2831</v>
      </c>
      <c r="I205" s="21">
        <v>46.88</v>
      </c>
      <c r="J205" s="21">
        <v>-102.79</v>
      </c>
      <c r="K205" s="21">
        <v>735.8</v>
      </c>
      <c r="Q205" s="43" t="s">
        <v>1871</v>
      </c>
      <c r="R205" s="43" t="s">
        <v>1871</v>
      </c>
      <c r="S205" s="43"/>
      <c r="T205" s="43" t="s">
        <v>1870</v>
      </c>
      <c r="U205" s="43" t="s">
        <v>1381</v>
      </c>
      <c r="V205" s="43" t="s">
        <v>1381</v>
      </c>
      <c r="W205" s="43" t="s">
        <v>1381</v>
      </c>
      <c r="X205" s="43" t="s">
        <v>1381</v>
      </c>
      <c r="Z205" s="322"/>
      <c r="AA205" s="322"/>
      <c r="AB205" s="21" t="s">
        <v>140</v>
      </c>
      <c r="AG205" s="21" t="s">
        <v>244</v>
      </c>
      <c r="AH205" s="138" t="s">
        <v>578</v>
      </c>
      <c r="AI205" s="21" t="s">
        <v>230</v>
      </c>
      <c r="AJ205" s="141" t="s">
        <v>230</v>
      </c>
      <c r="AK205" s="21" t="s">
        <v>1623</v>
      </c>
      <c r="AL205" s="21" t="s">
        <v>1623</v>
      </c>
      <c r="AM205" s="21" t="s">
        <v>178</v>
      </c>
      <c r="AN205" s="21" t="s">
        <v>219</v>
      </c>
      <c r="AO205" s="21" t="s">
        <v>219</v>
      </c>
      <c r="AP205" s="21" t="s">
        <v>178</v>
      </c>
      <c r="AT205" s="21" t="s">
        <v>120</v>
      </c>
      <c r="AX205" s="21">
        <v>1633</v>
      </c>
      <c r="BA205" s="54" t="s">
        <v>299</v>
      </c>
      <c r="BM205" s="396"/>
      <c r="BN205" s="396"/>
      <c r="BR205" s="396"/>
      <c r="BS205" s="396"/>
      <c r="FI205" s="21">
        <v>1738</v>
      </c>
      <c r="FJ205" s="21">
        <v>2436</v>
      </c>
      <c r="GM205" s="12"/>
      <c r="GQ205" s="12"/>
      <c r="IO205" s="21" t="s">
        <v>711</v>
      </c>
    </row>
    <row r="206" spans="1:249" s="21" customFormat="1" x14ac:dyDescent="0.25">
      <c r="A206" s="21">
        <v>14</v>
      </c>
      <c r="B206" s="21" t="s">
        <v>294</v>
      </c>
      <c r="C206" s="21" t="s">
        <v>295</v>
      </c>
      <c r="D206" s="21">
        <v>2011</v>
      </c>
      <c r="E206" s="21">
        <v>2010</v>
      </c>
      <c r="F206" s="21" t="s">
        <v>297</v>
      </c>
      <c r="G206" s="21" t="s">
        <v>296</v>
      </c>
      <c r="H206" s="21" t="s">
        <v>2831</v>
      </c>
      <c r="I206" s="21">
        <v>46.88</v>
      </c>
      <c r="J206" s="21">
        <v>-102.79</v>
      </c>
      <c r="K206" s="21">
        <v>735.8</v>
      </c>
      <c r="Q206" s="43" t="s">
        <v>1871</v>
      </c>
      <c r="R206" s="43" t="s">
        <v>1871</v>
      </c>
      <c r="S206" s="43"/>
      <c r="T206" s="43" t="s">
        <v>1870</v>
      </c>
      <c r="U206" s="43" t="s">
        <v>1381</v>
      </c>
      <c r="V206" s="43" t="s">
        <v>1381</v>
      </c>
      <c r="W206" s="43" t="s">
        <v>1381</v>
      </c>
      <c r="X206" s="43" t="s">
        <v>1381</v>
      </c>
      <c r="Z206" s="322"/>
      <c r="AA206" s="322"/>
      <c r="AB206" s="21" t="s">
        <v>140</v>
      </c>
      <c r="AG206" s="21" t="s">
        <v>244</v>
      </c>
      <c r="AH206" s="138" t="s">
        <v>578</v>
      </c>
      <c r="AI206" s="21" t="s">
        <v>230</v>
      </c>
      <c r="AJ206" s="141" t="s">
        <v>230</v>
      </c>
      <c r="AK206" s="21" t="s">
        <v>1623</v>
      </c>
      <c r="AL206" s="21" t="s">
        <v>1623</v>
      </c>
      <c r="AM206" s="21" t="s">
        <v>178</v>
      </c>
      <c r="AN206" s="21" t="s">
        <v>219</v>
      </c>
      <c r="AO206" s="21" t="s">
        <v>219</v>
      </c>
      <c r="AP206" s="21" t="s">
        <v>178</v>
      </c>
      <c r="AT206" s="21" t="s">
        <v>120</v>
      </c>
      <c r="AX206" s="21">
        <v>1633</v>
      </c>
      <c r="BA206" s="54" t="s">
        <v>300</v>
      </c>
      <c r="BM206" s="396"/>
      <c r="BN206" s="396"/>
      <c r="BR206" s="396"/>
      <c r="BS206" s="396"/>
      <c r="FI206" s="21">
        <v>1677</v>
      </c>
      <c r="FJ206" s="21">
        <v>2436</v>
      </c>
      <c r="GM206" s="12"/>
      <c r="GQ206" s="12"/>
      <c r="IO206" s="21" t="s">
        <v>711</v>
      </c>
    </row>
    <row r="207" spans="1:249" s="33" customFormat="1" x14ac:dyDescent="0.25">
      <c r="A207" s="33">
        <v>14</v>
      </c>
      <c r="B207" s="33" t="s">
        <v>294</v>
      </c>
      <c r="C207" s="33" t="s">
        <v>295</v>
      </c>
      <c r="D207" s="33">
        <v>2011</v>
      </c>
      <c r="E207" s="33">
        <v>2010</v>
      </c>
      <c r="F207" s="33" t="s">
        <v>297</v>
      </c>
      <c r="G207" s="33" t="s">
        <v>296</v>
      </c>
      <c r="H207" s="21" t="s">
        <v>2831</v>
      </c>
      <c r="I207" s="33">
        <v>46.88</v>
      </c>
      <c r="J207" s="33">
        <v>-102.79</v>
      </c>
      <c r="K207" s="33">
        <v>735.8</v>
      </c>
      <c r="Q207" s="47" t="s">
        <v>1871</v>
      </c>
      <c r="R207" s="47" t="s">
        <v>1871</v>
      </c>
      <c r="S207" s="47"/>
      <c r="T207" s="47" t="s">
        <v>1870</v>
      </c>
      <c r="U207" s="47" t="s">
        <v>1381</v>
      </c>
      <c r="V207" s="47" t="s">
        <v>1381</v>
      </c>
      <c r="W207" s="47" t="s">
        <v>1381</v>
      </c>
      <c r="X207" s="47" t="s">
        <v>1381</v>
      </c>
      <c r="Z207" s="327"/>
      <c r="AA207" s="327"/>
      <c r="AB207" s="33" t="s">
        <v>140</v>
      </c>
      <c r="AG207" s="33" t="s">
        <v>1567</v>
      </c>
      <c r="AH207" s="138" t="s">
        <v>132</v>
      </c>
      <c r="AI207" s="33" t="s">
        <v>230</v>
      </c>
      <c r="AJ207" s="141" t="s">
        <v>230</v>
      </c>
      <c r="AK207" s="33" t="s">
        <v>1623</v>
      </c>
      <c r="AL207" s="33" t="s">
        <v>1623</v>
      </c>
      <c r="AM207" s="33" t="s">
        <v>178</v>
      </c>
      <c r="AN207" s="33" t="s">
        <v>219</v>
      </c>
      <c r="AO207" s="33" t="s">
        <v>219</v>
      </c>
      <c r="AP207" s="33" t="s">
        <v>178</v>
      </c>
      <c r="AT207" s="33" t="s">
        <v>120</v>
      </c>
      <c r="AX207" s="33">
        <v>4052</v>
      </c>
      <c r="BA207" s="54" t="s">
        <v>298</v>
      </c>
      <c r="BM207" s="402"/>
      <c r="BN207" s="402"/>
      <c r="BR207" s="402"/>
      <c r="BS207" s="402"/>
      <c r="FI207" s="21">
        <v>796</v>
      </c>
      <c r="FJ207" s="33">
        <v>640</v>
      </c>
      <c r="GM207" s="12"/>
      <c r="GQ207" s="12"/>
      <c r="IO207" s="33" t="s">
        <v>711</v>
      </c>
    </row>
    <row r="208" spans="1:249" s="33" customFormat="1" x14ac:dyDescent="0.25">
      <c r="A208" s="33">
        <v>14</v>
      </c>
      <c r="B208" s="33" t="s">
        <v>294</v>
      </c>
      <c r="C208" s="33" t="s">
        <v>295</v>
      </c>
      <c r="D208" s="33">
        <v>2011</v>
      </c>
      <c r="E208" s="33">
        <v>2010</v>
      </c>
      <c r="F208" s="33" t="s">
        <v>297</v>
      </c>
      <c r="G208" s="33" t="s">
        <v>296</v>
      </c>
      <c r="H208" s="21" t="s">
        <v>2831</v>
      </c>
      <c r="I208" s="33">
        <v>46.88</v>
      </c>
      <c r="J208" s="33">
        <v>-102.79</v>
      </c>
      <c r="K208" s="33">
        <v>735.8</v>
      </c>
      <c r="Q208" s="47" t="s">
        <v>1871</v>
      </c>
      <c r="R208" s="47" t="s">
        <v>1871</v>
      </c>
      <c r="S208" s="47"/>
      <c r="T208" s="47" t="s">
        <v>1870</v>
      </c>
      <c r="U208" s="47" t="s">
        <v>1381</v>
      </c>
      <c r="V208" s="47" t="s">
        <v>1381</v>
      </c>
      <c r="W208" s="47" t="s">
        <v>1381</v>
      </c>
      <c r="X208" s="47" t="s">
        <v>1381</v>
      </c>
      <c r="Z208" s="327"/>
      <c r="AA208" s="327"/>
      <c r="AB208" s="33" t="s">
        <v>140</v>
      </c>
      <c r="AG208" s="33" t="s">
        <v>1567</v>
      </c>
      <c r="AH208" s="138" t="s">
        <v>132</v>
      </c>
      <c r="AI208" s="33" t="s">
        <v>230</v>
      </c>
      <c r="AJ208" s="141" t="s">
        <v>230</v>
      </c>
      <c r="AK208" s="33" t="s">
        <v>1623</v>
      </c>
      <c r="AL208" s="33" t="s">
        <v>1623</v>
      </c>
      <c r="AM208" s="33" t="s">
        <v>178</v>
      </c>
      <c r="AN208" s="33" t="s">
        <v>219</v>
      </c>
      <c r="AO208" s="33" t="s">
        <v>219</v>
      </c>
      <c r="AP208" s="33" t="s">
        <v>178</v>
      </c>
      <c r="AT208" s="33" t="s">
        <v>120</v>
      </c>
      <c r="AX208" s="33">
        <v>4052</v>
      </c>
      <c r="BA208" s="54" t="s">
        <v>299</v>
      </c>
      <c r="BM208" s="402"/>
      <c r="BN208" s="402"/>
      <c r="BR208" s="402"/>
      <c r="BS208" s="402"/>
      <c r="FI208" s="21">
        <v>1738</v>
      </c>
      <c r="FJ208" s="33">
        <v>640</v>
      </c>
      <c r="GM208" s="12"/>
      <c r="GQ208" s="12"/>
      <c r="IO208" s="33" t="s">
        <v>711</v>
      </c>
    </row>
    <row r="209" spans="1:249" s="33" customFormat="1" x14ac:dyDescent="0.25">
      <c r="A209" s="33">
        <v>14</v>
      </c>
      <c r="B209" s="33" t="s">
        <v>294</v>
      </c>
      <c r="C209" s="33" t="s">
        <v>295</v>
      </c>
      <c r="D209" s="33">
        <v>2011</v>
      </c>
      <c r="E209" s="33">
        <v>2010</v>
      </c>
      <c r="F209" s="33" t="s">
        <v>297</v>
      </c>
      <c r="G209" s="33" t="s">
        <v>296</v>
      </c>
      <c r="H209" s="21" t="s">
        <v>2831</v>
      </c>
      <c r="I209" s="33">
        <v>46.88</v>
      </c>
      <c r="J209" s="33">
        <v>-102.79</v>
      </c>
      <c r="K209" s="33">
        <v>735.8</v>
      </c>
      <c r="Q209" s="47" t="s">
        <v>1871</v>
      </c>
      <c r="R209" s="47" t="s">
        <v>1871</v>
      </c>
      <c r="S209" s="47"/>
      <c r="T209" s="47" t="s">
        <v>1870</v>
      </c>
      <c r="U209" s="47" t="s">
        <v>1381</v>
      </c>
      <c r="V209" s="47" t="s">
        <v>1381</v>
      </c>
      <c r="W209" s="47" t="s">
        <v>1381</v>
      </c>
      <c r="X209" s="47" t="s">
        <v>1381</v>
      </c>
      <c r="Z209" s="327"/>
      <c r="AA209" s="327"/>
      <c r="AB209" s="33" t="s">
        <v>140</v>
      </c>
      <c r="AG209" s="33" t="s">
        <v>1567</v>
      </c>
      <c r="AH209" s="138" t="s">
        <v>132</v>
      </c>
      <c r="AI209" s="33" t="s">
        <v>230</v>
      </c>
      <c r="AJ209" s="141" t="s">
        <v>230</v>
      </c>
      <c r="AK209" s="33" t="s">
        <v>1623</v>
      </c>
      <c r="AL209" s="33" t="s">
        <v>1623</v>
      </c>
      <c r="AM209" s="33" t="s">
        <v>178</v>
      </c>
      <c r="AN209" s="33" t="s">
        <v>219</v>
      </c>
      <c r="AO209" s="33" t="s">
        <v>219</v>
      </c>
      <c r="AP209" s="33" t="s">
        <v>178</v>
      </c>
      <c r="AT209" s="33" t="s">
        <v>120</v>
      </c>
      <c r="AX209" s="33">
        <v>4052</v>
      </c>
      <c r="BA209" s="54" t="s">
        <v>300</v>
      </c>
      <c r="BM209" s="402"/>
      <c r="BN209" s="402"/>
      <c r="BR209" s="402"/>
      <c r="BS209" s="402"/>
      <c r="FI209" s="21">
        <v>1677</v>
      </c>
      <c r="FJ209" s="33">
        <v>640</v>
      </c>
      <c r="GM209" s="12"/>
      <c r="GQ209" s="12"/>
      <c r="IO209" s="33" t="s">
        <v>711</v>
      </c>
    </row>
    <row r="210" spans="1:249" s="21" customFormat="1" x14ac:dyDescent="0.25">
      <c r="A210" s="21">
        <v>14</v>
      </c>
      <c r="B210" s="21" t="s">
        <v>294</v>
      </c>
      <c r="C210" s="21" t="s">
        <v>295</v>
      </c>
      <c r="D210" s="21">
        <v>2011</v>
      </c>
      <c r="E210" s="21">
        <v>2010</v>
      </c>
      <c r="F210" s="21" t="s">
        <v>297</v>
      </c>
      <c r="G210" s="21" t="s">
        <v>296</v>
      </c>
      <c r="H210" s="21" t="s">
        <v>2831</v>
      </c>
      <c r="I210" s="21">
        <v>46.88</v>
      </c>
      <c r="J210" s="21">
        <v>-102.79</v>
      </c>
      <c r="K210" s="21">
        <v>735.8</v>
      </c>
      <c r="Q210" s="43" t="s">
        <v>1871</v>
      </c>
      <c r="R210" s="43" t="s">
        <v>1871</v>
      </c>
      <c r="S210" s="43"/>
      <c r="T210" s="43" t="s">
        <v>1870</v>
      </c>
      <c r="U210" s="43" t="s">
        <v>1381</v>
      </c>
      <c r="V210" s="43" t="s">
        <v>1381</v>
      </c>
      <c r="W210" s="43" t="s">
        <v>1381</v>
      </c>
      <c r="X210" s="43" t="s">
        <v>1381</v>
      </c>
      <c r="Z210" s="322"/>
      <c r="AA210" s="322"/>
      <c r="AB210" s="21" t="s">
        <v>140</v>
      </c>
      <c r="AG210" s="21" t="s">
        <v>1531</v>
      </c>
      <c r="AH210" s="138" t="s">
        <v>1585</v>
      </c>
      <c r="AI210" s="21" t="s">
        <v>230</v>
      </c>
      <c r="AJ210" s="141" t="s">
        <v>230</v>
      </c>
      <c r="AK210" s="21" t="s">
        <v>1623</v>
      </c>
      <c r="AL210" s="21" t="s">
        <v>1623</v>
      </c>
      <c r="AM210" s="21" t="s">
        <v>178</v>
      </c>
      <c r="AN210" s="21" t="s">
        <v>219</v>
      </c>
      <c r="AO210" s="21" t="s">
        <v>219</v>
      </c>
      <c r="AP210" s="21" t="s">
        <v>178</v>
      </c>
      <c r="AT210" s="21" t="s">
        <v>120</v>
      </c>
      <c r="AX210" s="21">
        <v>3821</v>
      </c>
      <c r="BA210" s="54" t="s">
        <v>298</v>
      </c>
      <c r="BM210" s="396"/>
      <c r="BN210" s="396"/>
      <c r="BR210" s="396"/>
      <c r="BS210" s="396"/>
      <c r="FI210" s="21">
        <v>796</v>
      </c>
      <c r="FJ210" s="21">
        <v>800</v>
      </c>
      <c r="GM210" s="12"/>
      <c r="GQ210" s="12"/>
      <c r="IO210" s="21" t="s">
        <v>711</v>
      </c>
    </row>
    <row r="211" spans="1:249" s="21" customFormat="1" x14ac:dyDescent="0.25">
      <c r="A211" s="21">
        <v>14</v>
      </c>
      <c r="B211" s="21" t="s">
        <v>294</v>
      </c>
      <c r="C211" s="21" t="s">
        <v>295</v>
      </c>
      <c r="D211" s="21">
        <v>2011</v>
      </c>
      <c r="E211" s="21">
        <v>2010</v>
      </c>
      <c r="F211" s="21" t="s">
        <v>297</v>
      </c>
      <c r="G211" s="21" t="s">
        <v>296</v>
      </c>
      <c r="H211" s="21" t="s">
        <v>2831</v>
      </c>
      <c r="I211" s="21">
        <v>46.88</v>
      </c>
      <c r="J211" s="21">
        <v>-102.79</v>
      </c>
      <c r="K211" s="21">
        <v>735.8</v>
      </c>
      <c r="Q211" s="43" t="s">
        <v>1871</v>
      </c>
      <c r="R211" s="43" t="s">
        <v>1871</v>
      </c>
      <c r="S211" s="43"/>
      <c r="T211" s="43" t="s">
        <v>1870</v>
      </c>
      <c r="U211" s="43" t="s">
        <v>1381</v>
      </c>
      <c r="V211" s="43" t="s">
        <v>1381</v>
      </c>
      <c r="W211" s="43" t="s">
        <v>1381</v>
      </c>
      <c r="X211" s="43" t="s">
        <v>1381</v>
      </c>
      <c r="Z211" s="322"/>
      <c r="AA211" s="322"/>
      <c r="AB211" s="21" t="s">
        <v>140</v>
      </c>
      <c r="AG211" s="21" t="s">
        <v>1531</v>
      </c>
      <c r="AH211" s="138" t="s">
        <v>1585</v>
      </c>
      <c r="AI211" s="21" t="s">
        <v>230</v>
      </c>
      <c r="AJ211" s="141" t="s">
        <v>230</v>
      </c>
      <c r="AK211" s="21" t="s">
        <v>1623</v>
      </c>
      <c r="AL211" s="21" t="s">
        <v>1623</v>
      </c>
      <c r="AM211" s="21" t="s">
        <v>178</v>
      </c>
      <c r="AN211" s="21" t="s">
        <v>219</v>
      </c>
      <c r="AO211" s="21" t="s">
        <v>219</v>
      </c>
      <c r="AP211" s="21" t="s">
        <v>178</v>
      </c>
      <c r="AT211" s="21" t="s">
        <v>120</v>
      </c>
      <c r="AX211" s="21">
        <v>3821</v>
      </c>
      <c r="BA211" s="54" t="s">
        <v>299</v>
      </c>
      <c r="BM211" s="396"/>
      <c r="BN211" s="396"/>
      <c r="BR211" s="396"/>
      <c r="BS211" s="396"/>
      <c r="FI211" s="21">
        <v>1738</v>
      </c>
      <c r="FJ211" s="21">
        <v>800</v>
      </c>
      <c r="GM211" s="12"/>
      <c r="GQ211" s="12"/>
      <c r="IO211" s="21" t="s">
        <v>711</v>
      </c>
    </row>
    <row r="212" spans="1:249" s="21" customFormat="1" x14ac:dyDescent="0.25">
      <c r="A212" s="21">
        <v>14</v>
      </c>
      <c r="B212" s="21" t="s">
        <v>294</v>
      </c>
      <c r="C212" s="21" t="s">
        <v>295</v>
      </c>
      <c r="D212" s="21">
        <v>2011</v>
      </c>
      <c r="E212" s="21">
        <v>2010</v>
      </c>
      <c r="F212" s="21" t="s">
        <v>297</v>
      </c>
      <c r="G212" s="21" t="s">
        <v>296</v>
      </c>
      <c r="H212" s="21" t="s">
        <v>2831</v>
      </c>
      <c r="I212" s="21">
        <v>46.88</v>
      </c>
      <c r="J212" s="21">
        <v>-102.79</v>
      </c>
      <c r="K212" s="21">
        <v>735.8</v>
      </c>
      <c r="Q212" s="43" t="s">
        <v>1871</v>
      </c>
      <c r="R212" s="43" t="s">
        <v>1871</v>
      </c>
      <c r="S212" s="43"/>
      <c r="T212" s="43" t="s">
        <v>1870</v>
      </c>
      <c r="U212" s="43" t="s">
        <v>1381</v>
      </c>
      <c r="V212" s="43" t="s">
        <v>1381</v>
      </c>
      <c r="W212" s="43" t="s">
        <v>1381</v>
      </c>
      <c r="X212" s="43" t="s">
        <v>1381</v>
      </c>
      <c r="Z212" s="322"/>
      <c r="AA212" s="322"/>
      <c r="AB212" s="21" t="s">
        <v>140</v>
      </c>
      <c r="AG212" s="21" t="s">
        <v>1531</v>
      </c>
      <c r="AH212" s="138" t="s">
        <v>1585</v>
      </c>
      <c r="AI212" s="21" t="s">
        <v>230</v>
      </c>
      <c r="AJ212" s="141" t="s">
        <v>230</v>
      </c>
      <c r="AK212" s="21" t="s">
        <v>1623</v>
      </c>
      <c r="AL212" s="21" t="s">
        <v>1623</v>
      </c>
      <c r="AM212" s="21" t="s">
        <v>178</v>
      </c>
      <c r="AN212" s="21" t="s">
        <v>219</v>
      </c>
      <c r="AO212" s="21" t="s">
        <v>219</v>
      </c>
      <c r="AP212" s="21" t="s">
        <v>178</v>
      </c>
      <c r="AT212" s="21" t="s">
        <v>120</v>
      </c>
      <c r="AX212" s="21">
        <v>3821</v>
      </c>
      <c r="BA212" s="54" t="s">
        <v>300</v>
      </c>
      <c r="BM212" s="396"/>
      <c r="BN212" s="396"/>
      <c r="BR212" s="396"/>
      <c r="BS212" s="396"/>
      <c r="FI212" s="21">
        <v>1677</v>
      </c>
      <c r="FJ212" s="21">
        <v>800</v>
      </c>
      <c r="GM212" s="12"/>
      <c r="GQ212" s="12"/>
      <c r="IO212" s="21" t="s">
        <v>711</v>
      </c>
    </row>
    <row r="213" spans="1:249" s="33" customFormat="1" x14ac:dyDescent="0.25">
      <c r="A213" s="33">
        <v>14</v>
      </c>
      <c r="B213" s="33" t="s">
        <v>294</v>
      </c>
      <c r="C213" s="33" t="s">
        <v>295</v>
      </c>
      <c r="D213" s="33">
        <v>2011</v>
      </c>
      <c r="E213" s="33">
        <v>2010</v>
      </c>
      <c r="F213" s="33" t="s">
        <v>297</v>
      </c>
      <c r="G213" s="33" t="s">
        <v>296</v>
      </c>
      <c r="H213" s="21" t="s">
        <v>2831</v>
      </c>
      <c r="I213" s="33">
        <v>46.88</v>
      </c>
      <c r="J213" s="33">
        <v>-102.79</v>
      </c>
      <c r="K213" s="33">
        <v>735.8</v>
      </c>
      <c r="Q213" s="47" t="s">
        <v>1871</v>
      </c>
      <c r="R213" s="47" t="s">
        <v>1871</v>
      </c>
      <c r="S213" s="47"/>
      <c r="T213" s="47" t="s">
        <v>1870</v>
      </c>
      <c r="U213" s="47" t="s">
        <v>1381</v>
      </c>
      <c r="V213" s="47" t="s">
        <v>1381</v>
      </c>
      <c r="W213" s="47" t="s">
        <v>1381</v>
      </c>
      <c r="X213" s="47" t="s">
        <v>1381</v>
      </c>
      <c r="Z213" s="327"/>
      <c r="AA213" s="327"/>
      <c r="AB213" s="33" t="s">
        <v>140</v>
      </c>
      <c r="AG213" s="33" t="s">
        <v>1578</v>
      </c>
      <c r="AH213" s="138" t="s">
        <v>1586</v>
      </c>
      <c r="AI213" s="33" t="s">
        <v>230</v>
      </c>
      <c r="AJ213" s="141" t="s">
        <v>230</v>
      </c>
      <c r="AK213" s="33" t="s">
        <v>1623</v>
      </c>
      <c r="AL213" s="33" t="s">
        <v>1623</v>
      </c>
      <c r="AM213" s="33" t="s">
        <v>178</v>
      </c>
      <c r="AN213" s="33" t="s">
        <v>219</v>
      </c>
      <c r="AO213" s="33" t="s">
        <v>219</v>
      </c>
      <c r="AP213" s="33" t="s">
        <v>178</v>
      </c>
      <c r="AT213" s="33" t="s">
        <v>120</v>
      </c>
      <c r="AX213" s="33">
        <v>4039</v>
      </c>
      <c r="BA213" s="54" t="s">
        <v>298</v>
      </c>
      <c r="BM213" s="402"/>
      <c r="BN213" s="402"/>
      <c r="BR213" s="402"/>
      <c r="BS213" s="402"/>
      <c r="FI213" s="21">
        <v>796</v>
      </c>
      <c r="FJ213" s="33">
        <v>717</v>
      </c>
      <c r="GM213" s="12"/>
      <c r="GQ213" s="12"/>
      <c r="IO213" s="33" t="s">
        <v>711</v>
      </c>
    </row>
    <row r="214" spans="1:249" s="33" customFormat="1" x14ac:dyDescent="0.25">
      <c r="A214" s="33">
        <v>14</v>
      </c>
      <c r="B214" s="33" t="s">
        <v>294</v>
      </c>
      <c r="C214" s="33" t="s">
        <v>295</v>
      </c>
      <c r="D214" s="33">
        <v>2011</v>
      </c>
      <c r="E214" s="33">
        <v>2010</v>
      </c>
      <c r="F214" s="33" t="s">
        <v>297</v>
      </c>
      <c r="G214" s="33" t="s">
        <v>296</v>
      </c>
      <c r="H214" s="21" t="s">
        <v>2831</v>
      </c>
      <c r="I214" s="33">
        <v>46.88</v>
      </c>
      <c r="J214" s="33">
        <v>-102.79</v>
      </c>
      <c r="K214" s="33">
        <v>735.8</v>
      </c>
      <c r="Q214" s="47" t="s">
        <v>1871</v>
      </c>
      <c r="R214" s="47" t="s">
        <v>1871</v>
      </c>
      <c r="S214" s="47"/>
      <c r="T214" s="47" t="s">
        <v>1870</v>
      </c>
      <c r="U214" s="47" t="s">
        <v>1381</v>
      </c>
      <c r="V214" s="47" t="s">
        <v>1381</v>
      </c>
      <c r="W214" s="47" t="s">
        <v>1381</v>
      </c>
      <c r="X214" s="47" t="s">
        <v>1381</v>
      </c>
      <c r="Z214" s="327"/>
      <c r="AA214" s="327"/>
      <c r="AB214" s="33" t="s">
        <v>140</v>
      </c>
      <c r="AG214" s="33" t="s">
        <v>1578</v>
      </c>
      <c r="AH214" s="138" t="s">
        <v>1586</v>
      </c>
      <c r="AI214" s="33" t="s">
        <v>230</v>
      </c>
      <c r="AJ214" s="141" t="s">
        <v>230</v>
      </c>
      <c r="AK214" s="33" t="s">
        <v>1623</v>
      </c>
      <c r="AL214" s="33" t="s">
        <v>1623</v>
      </c>
      <c r="AM214" s="33" t="s">
        <v>178</v>
      </c>
      <c r="AN214" s="33" t="s">
        <v>219</v>
      </c>
      <c r="AO214" s="33" t="s">
        <v>219</v>
      </c>
      <c r="AP214" s="33" t="s">
        <v>178</v>
      </c>
      <c r="AT214" s="33" t="s">
        <v>120</v>
      </c>
      <c r="AX214" s="33">
        <v>4039</v>
      </c>
      <c r="BA214" s="54" t="s">
        <v>299</v>
      </c>
      <c r="BM214" s="402"/>
      <c r="BN214" s="402"/>
      <c r="BR214" s="402"/>
      <c r="BS214" s="402"/>
      <c r="FI214" s="21">
        <v>1738</v>
      </c>
      <c r="FJ214" s="33">
        <v>717</v>
      </c>
      <c r="GM214" s="12"/>
      <c r="GQ214" s="12"/>
      <c r="IO214" s="33" t="s">
        <v>711</v>
      </c>
    </row>
    <row r="215" spans="1:249" s="33" customFormat="1" x14ac:dyDescent="0.25">
      <c r="A215" s="33">
        <v>14</v>
      </c>
      <c r="B215" s="33" t="s">
        <v>294</v>
      </c>
      <c r="C215" s="33" t="s">
        <v>295</v>
      </c>
      <c r="D215" s="33">
        <v>2011</v>
      </c>
      <c r="E215" s="33">
        <v>2010</v>
      </c>
      <c r="F215" s="33" t="s">
        <v>297</v>
      </c>
      <c r="G215" s="33" t="s">
        <v>296</v>
      </c>
      <c r="H215" s="21" t="s">
        <v>2831</v>
      </c>
      <c r="I215" s="33">
        <v>46.88</v>
      </c>
      <c r="J215" s="33">
        <v>-102.79</v>
      </c>
      <c r="K215" s="33">
        <v>735.8</v>
      </c>
      <c r="Q215" s="47" t="s">
        <v>1871</v>
      </c>
      <c r="R215" s="47" t="s">
        <v>1871</v>
      </c>
      <c r="S215" s="47"/>
      <c r="T215" s="47" t="s">
        <v>1870</v>
      </c>
      <c r="U215" s="47" t="s">
        <v>1381</v>
      </c>
      <c r="V215" s="47" t="s">
        <v>1381</v>
      </c>
      <c r="W215" s="47" t="s">
        <v>1381</v>
      </c>
      <c r="X215" s="47" t="s">
        <v>1381</v>
      </c>
      <c r="Z215" s="327"/>
      <c r="AA215" s="327"/>
      <c r="AB215" s="33" t="s">
        <v>140</v>
      </c>
      <c r="AG215" s="33" t="s">
        <v>1578</v>
      </c>
      <c r="AH215" s="138" t="s">
        <v>1586</v>
      </c>
      <c r="AI215" s="33" t="s">
        <v>230</v>
      </c>
      <c r="AJ215" s="141" t="s">
        <v>230</v>
      </c>
      <c r="AK215" s="33" t="s">
        <v>1623</v>
      </c>
      <c r="AL215" s="33" t="s">
        <v>1623</v>
      </c>
      <c r="AM215" s="33" t="s">
        <v>178</v>
      </c>
      <c r="AN215" s="33" t="s">
        <v>219</v>
      </c>
      <c r="AO215" s="33" t="s">
        <v>219</v>
      </c>
      <c r="AP215" s="33" t="s">
        <v>178</v>
      </c>
      <c r="AT215" s="33" t="s">
        <v>120</v>
      </c>
      <c r="AX215" s="33">
        <v>4039</v>
      </c>
      <c r="BA215" s="54" t="s">
        <v>300</v>
      </c>
      <c r="BM215" s="402"/>
      <c r="BN215" s="402"/>
      <c r="BR215" s="402"/>
      <c r="BS215" s="402"/>
      <c r="FI215" s="21">
        <v>1677</v>
      </c>
      <c r="FJ215" s="33">
        <v>717</v>
      </c>
      <c r="GM215" s="12"/>
      <c r="GQ215" s="12"/>
      <c r="IO215" s="33" t="s">
        <v>711</v>
      </c>
    </row>
    <row r="216" spans="1:249" s="21" customFormat="1" x14ac:dyDescent="0.25">
      <c r="A216" s="21">
        <v>14</v>
      </c>
      <c r="B216" s="21" t="s">
        <v>294</v>
      </c>
      <c r="C216" s="21" t="s">
        <v>295</v>
      </c>
      <c r="D216" s="21">
        <v>2011</v>
      </c>
      <c r="E216" s="21">
        <v>2010</v>
      </c>
      <c r="F216" s="21" t="s">
        <v>297</v>
      </c>
      <c r="G216" s="21" t="s">
        <v>296</v>
      </c>
      <c r="H216" s="21" t="s">
        <v>2831</v>
      </c>
      <c r="I216" s="21">
        <v>46.88</v>
      </c>
      <c r="J216" s="21">
        <v>-102.79</v>
      </c>
      <c r="K216" s="21">
        <v>735.8</v>
      </c>
      <c r="Q216" s="43" t="s">
        <v>1871</v>
      </c>
      <c r="R216" s="43" t="s">
        <v>1871</v>
      </c>
      <c r="S216" s="43"/>
      <c r="T216" s="43" t="s">
        <v>1870</v>
      </c>
      <c r="U216" s="43" t="s">
        <v>1381</v>
      </c>
      <c r="V216" s="43" t="s">
        <v>1381</v>
      </c>
      <c r="W216" s="43" t="s">
        <v>1381</v>
      </c>
      <c r="X216" s="43" t="s">
        <v>1381</v>
      </c>
      <c r="Z216" s="322"/>
      <c r="AA216" s="322"/>
      <c r="AB216" s="21" t="s">
        <v>140</v>
      </c>
      <c r="AG216" s="21" t="s">
        <v>1578</v>
      </c>
      <c r="AH216" s="138" t="s">
        <v>1586</v>
      </c>
      <c r="AI216" s="21" t="s">
        <v>230</v>
      </c>
      <c r="AJ216" s="141" t="s">
        <v>230</v>
      </c>
      <c r="AK216" s="21" t="s">
        <v>1623</v>
      </c>
      <c r="AL216" s="21" t="s">
        <v>1623</v>
      </c>
      <c r="AM216" s="21" t="s">
        <v>178</v>
      </c>
      <c r="AN216" s="21" t="s">
        <v>219</v>
      </c>
      <c r="AO216" s="21" t="s">
        <v>219</v>
      </c>
      <c r="AP216" s="21" t="s">
        <v>178</v>
      </c>
      <c r="AT216" s="21" t="s">
        <v>120</v>
      </c>
      <c r="AX216" s="21">
        <v>3554</v>
      </c>
      <c r="BA216" s="54" t="s">
        <v>298</v>
      </c>
      <c r="BM216" s="396"/>
      <c r="BN216" s="396"/>
      <c r="BR216" s="396"/>
      <c r="BS216" s="396"/>
      <c r="FI216" s="21">
        <v>796</v>
      </c>
      <c r="FJ216" s="21">
        <v>991</v>
      </c>
      <c r="GM216" s="12"/>
      <c r="GQ216" s="12"/>
      <c r="IO216" s="21" t="s">
        <v>711</v>
      </c>
    </row>
    <row r="217" spans="1:249" s="21" customFormat="1" x14ac:dyDescent="0.25">
      <c r="A217" s="21">
        <v>14</v>
      </c>
      <c r="B217" s="21" t="s">
        <v>294</v>
      </c>
      <c r="C217" s="21" t="s">
        <v>295</v>
      </c>
      <c r="D217" s="21">
        <v>2011</v>
      </c>
      <c r="E217" s="21">
        <v>2010</v>
      </c>
      <c r="F217" s="21" t="s">
        <v>297</v>
      </c>
      <c r="G217" s="21" t="s">
        <v>296</v>
      </c>
      <c r="H217" s="21" t="s">
        <v>2831</v>
      </c>
      <c r="I217" s="21">
        <v>46.88</v>
      </c>
      <c r="J217" s="21">
        <v>-102.79</v>
      </c>
      <c r="K217" s="21">
        <v>735.8</v>
      </c>
      <c r="Q217" s="43" t="s">
        <v>1871</v>
      </c>
      <c r="R217" s="43" t="s">
        <v>1871</v>
      </c>
      <c r="S217" s="43"/>
      <c r="T217" s="43" t="s">
        <v>1870</v>
      </c>
      <c r="U217" s="43" t="s">
        <v>1381</v>
      </c>
      <c r="V217" s="43" t="s">
        <v>1381</v>
      </c>
      <c r="W217" s="43" t="s">
        <v>1381</v>
      </c>
      <c r="X217" s="43" t="s">
        <v>1381</v>
      </c>
      <c r="Z217" s="322"/>
      <c r="AA217" s="322"/>
      <c r="AB217" s="21" t="s">
        <v>140</v>
      </c>
      <c r="AG217" s="21" t="s">
        <v>1578</v>
      </c>
      <c r="AH217" s="138" t="s">
        <v>1586</v>
      </c>
      <c r="AI217" s="21" t="s">
        <v>230</v>
      </c>
      <c r="AJ217" s="141" t="s">
        <v>230</v>
      </c>
      <c r="AK217" s="21" t="s">
        <v>1623</v>
      </c>
      <c r="AL217" s="21" t="s">
        <v>1623</v>
      </c>
      <c r="AM217" s="21" t="s">
        <v>178</v>
      </c>
      <c r="AN217" s="21" t="s">
        <v>219</v>
      </c>
      <c r="AO217" s="21" t="s">
        <v>219</v>
      </c>
      <c r="AP217" s="21" t="s">
        <v>178</v>
      </c>
      <c r="AT217" s="21" t="s">
        <v>120</v>
      </c>
      <c r="AX217" s="21">
        <v>3554</v>
      </c>
      <c r="BA217" s="54" t="s">
        <v>299</v>
      </c>
      <c r="BM217" s="396"/>
      <c r="BN217" s="396"/>
      <c r="BR217" s="396"/>
      <c r="BS217" s="396"/>
      <c r="FI217" s="21">
        <v>1738</v>
      </c>
      <c r="FJ217" s="21">
        <v>991</v>
      </c>
      <c r="GM217" s="12"/>
      <c r="GQ217" s="12"/>
      <c r="IO217" s="21" t="s">
        <v>711</v>
      </c>
    </row>
    <row r="218" spans="1:249" s="21" customFormat="1" x14ac:dyDescent="0.25">
      <c r="A218" s="21">
        <v>14</v>
      </c>
      <c r="B218" s="21" t="s">
        <v>294</v>
      </c>
      <c r="C218" s="21" t="s">
        <v>295</v>
      </c>
      <c r="D218" s="21">
        <v>2011</v>
      </c>
      <c r="E218" s="21">
        <v>2010</v>
      </c>
      <c r="F218" s="21" t="s">
        <v>297</v>
      </c>
      <c r="G218" s="21" t="s">
        <v>296</v>
      </c>
      <c r="H218" s="21" t="s">
        <v>2831</v>
      </c>
      <c r="I218" s="21">
        <v>46.88</v>
      </c>
      <c r="J218" s="21">
        <v>-102.79</v>
      </c>
      <c r="K218" s="21">
        <v>735.8</v>
      </c>
      <c r="Q218" s="43" t="s">
        <v>1871</v>
      </c>
      <c r="R218" s="43" t="s">
        <v>1871</v>
      </c>
      <c r="S218" s="43"/>
      <c r="T218" s="43" t="s">
        <v>1870</v>
      </c>
      <c r="U218" s="43" t="s">
        <v>1381</v>
      </c>
      <c r="V218" s="43" t="s">
        <v>1381</v>
      </c>
      <c r="W218" s="43" t="s">
        <v>1381</v>
      </c>
      <c r="X218" s="43" t="s">
        <v>1381</v>
      </c>
      <c r="Z218" s="322"/>
      <c r="AA218" s="322"/>
      <c r="AB218" s="21" t="s">
        <v>140</v>
      </c>
      <c r="AG218" s="21" t="s">
        <v>1578</v>
      </c>
      <c r="AH218" s="138" t="s">
        <v>1586</v>
      </c>
      <c r="AI218" s="21" t="s">
        <v>230</v>
      </c>
      <c r="AJ218" s="141" t="s">
        <v>230</v>
      </c>
      <c r="AK218" s="21" t="s">
        <v>1623</v>
      </c>
      <c r="AL218" s="21" t="s">
        <v>1623</v>
      </c>
      <c r="AM218" s="21" t="s">
        <v>178</v>
      </c>
      <c r="AN218" s="21" t="s">
        <v>219</v>
      </c>
      <c r="AO218" s="21" t="s">
        <v>219</v>
      </c>
      <c r="AP218" s="21" t="s">
        <v>178</v>
      </c>
      <c r="AT218" s="21" t="s">
        <v>120</v>
      </c>
      <c r="AX218" s="21">
        <v>3554</v>
      </c>
      <c r="BA218" s="54" t="s">
        <v>300</v>
      </c>
      <c r="BM218" s="396"/>
      <c r="BN218" s="396"/>
      <c r="BR218" s="396"/>
      <c r="BS218" s="396"/>
      <c r="FI218" s="21">
        <v>1677</v>
      </c>
      <c r="FJ218" s="21">
        <v>991</v>
      </c>
      <c r="GM218" s="12"/>
      <c r="GQ218" s="12"/>
      <c r="IO218" s="21" t="s">
        <v>711</v>
      </c>
    </row>
    <row r="219" spans="1:249" s="24" customFormat="1" x14ac:dyDescent="0.25">
      <c r="A219" s="24">
        <v>15</v>
      </c>
      <c r="B219" s="24" t="s">
        <v>301</v>
      </c>
      <c r="C219" s="24" t="s">
        <v>302</v>
      </c>
      <c r="D219" s="24">
        <v>2005</v>
      </c>
      <c r="E219" s="24">
        <v>2001</v>
      </c>
      <c r="F219" s="24" t="s">
        <v>303</v>
      </c>
      <c r="G219" s="24" t="s">
        <v>304</v>
      </c>
      <c r="H219" s="24" t="s">
        <v>2831</v>
      </c>
      <c r="I219" s="24">
        <f>40+44/60</f>
        <v>40.733333333333334</v>
      </c>
      <c r="J219" s="24">
        <f>-77-57/60</f>
        <v>-77.95</v>
      </c>
      <c r="K219" s="24">
        <v>375.2</v>
      </c>
      <c r="Q219" s="42">
        <v>1</v>
      </c>
      <c r="R219" s="42" t="s">
        <v>1735</v>
      </c>
      <c r="S219" s="42"/>
      <c r="T219" s="42" t="s">
        <v>1873</v>
      </c>
      <c r="U219" s="42" t="s">
        <v>1392</v>
      </c>
      <c r="V219" s="42" t="s">
        <v>1726</v>
      </c>
      <c r="W219" s="42" t="s">
        <v>1392</v>
      </c>
      <c r="X219" s="42" t="s">
        <v>1392</v>
      </c>
      <c r="Z219" s="321"/>
      <c r="AA219" s="321"/>
      <c r="AB219" s="24" t="s">
        <v>451</v>
      </c>
      <c r="AF219" s="24" t="s">
        <v>1321</v>
      </c>
      <c r="AG219" s="24" t="s">
        <v>132</v>
      </c>
      <c r="AH219" s="138" t="s">
        <v>132</v>
      </c>
      <c r="AI219" s="24" t="s">
        <v>133</v>
      </c>
      <c r="AJ219" s="140" t="s">
        <v>133</v>
      </c>
      <c r="AN219" s="24" t="s">
        <v>219</v>
      </c>
      <c r="AO219" s="24" t="s">
        <v>219</v>
      </c>
      <c r="AP219" s="24" t="s">
        <v>178</v>
      </c>
      <c r="AQ219" s="24" t="s">
        <v>305</v>
      </c>
      <c r="AR219" s="24" t="s">
        <v>305</v>
      </c>
      <c r="AS219" s="24" t="s">
        <v>178</v>
      </c>
      <c r="AU219" s="24">
        <v>4</v>
      </c>
      <c r="AW219" s="24" t="s">
        <v>175</v>
      </c>
      <c r="AY219" s="24">
        <f>1143</f>
        <v>1143</v>
      </c>
      <c r="BA219" s="53"/>
      <c r="BB219" s="24" t="s">
        <v>306</v>
      </c>
      <c r="BH219" s="24">
        <f>11.51*1000</f>
        <v>11510</v>
      </c>
      <c r="BI219" s="24">
        <f>12.2*1000</f>
        <v>12200</v>
      </c>
      <c r="BM219" s="395">
        <v>1.48</v>
      </c>
      <c r="BN219" s="395">
        <v>1.48</v>
      </c>
      <c r="BR219" s="395"/>
      <c r="BS219" s="395"/>
      <c r="FI219" s="24">
        <f>9.9*10</f>
        <v>99</v>
      </c>
      <c r="FJ219" s="24">
        <f>1.3*10</f>
        <v>13</v>
      </c>
      <c r="FM219" s="24" t="s">
        <v>1697</v>
      </c>
      <c r="GM219" s="12"/>
      <c r="GQ219" s="12"/>
    </row>
    <row r="220" spans="1:249" s="24" customFormat="1" x14ac:dyDescent="0.25">
      <c r="A220" s="24">
        <v>15</v>
      </c>
      <c r="B220" s="24" t="s">
        <v>301</v>
      </c>
      <c r="C220" s="24" t="s">
        <v>302</v>
      </c>
      <c r="D220" s="24">
        <v>2005</v>
      </c>
      <c r="E220" s="24">
        <v>2001</v>
      </c>
      <c r="F220" s="24" t="s">
        <v>303</v>
      </c>
      <c r="G220" s="24" t="s">
        <v>304</v>
      </c>
      <c r="H220" s="24" t="s">
        <v>2831</v>
      </c>
      <c r="I220" s="24">
        <f>40+44/60</f>
        <v>40.733333333333334</v>
      </c>
      <c r="J220" s="24">
        <f>-77-57/60</f>
        <v>-77.95</v>
      </c>
      <c r="K220" s="24">
        <v>375.2</v>
      </c>
      <c r="Q220" s="42">
        <v>1</v>
      </c>
      <c r="R220" s="42" t="s">
        <v>1735</v>
      </c>
      <c r="S220" s="42"/>
      <c r="T220" s="42" t="s">
        <v>1873</v>
      </c>
      <c r="U220" s="42" t="s">
        <v>1392</v>
      </c>
      <c r="V220" s="42" t="s">
        <v>1726</v>
      </c>
      <c r="W220" s="42" t="s">
        <v>1392</v>
      </c>
      <c r="X220" s="42" t="s">
        <v>1392</v>
      </c>
      <c r="Z220" s="321"/>
      <c r="AA220" s="321"/>
      <c r="AB220" s="24" t="s">
        <v>451</v>
      </c>
      <c r="AF220" s="24" t="s">
        <v>1321</v>
      </c>
      <c r="AG220" s="24" t="s">
        <v>132</v>
      </c>
      <c r="AH220" s="138" t="s">
        <v>132</v>
      </c>
      <c r="AI220" s="24" t="s">
        <v>133</v>
      </c>
      <c r="AJ220" s="140" t="s">
        <v>133</v>
      </c>
      <c r="AN220" s="24" t="s">
        <v>219</v>
      </c>
      <c r="AO220" s="24" t="s">
        <v>219</v>
      </c>
      <c r="AP220" s="24" t="s">
        <v>178</v>
      </c>
      <c r="AQ220" s="24" t="s">
        <v>305</v>
      </c>
      <c r="AR220" s="24" t="s">
        <v>305</v>
      </c>
      <c r="AS220" s="24" t="s">
        <v>178</v>
      </c>
      <c r="AU220" s="24">
        <v>4</v>
      </c>
      <c r="AW220" s="24" t="s">
        <v>175</v>
      </c>
      <c r="AY220" s="24">
        <v>1833</v>
      </c>
      <c r="BA220" s="53"/>
      <c r="BB220" s="24" t="s">
        <v>307</v>
      </c>
      <c r="BH220" s="24">
        <f>11.4*1000</f>
        <v>11400</v>
      </c>
      <c r="BI220" s="24">
        <f>11.87*1000</f>
        <v>11870</v>
      </c>
      <c r="BM220" s="395">
        <v>1.48</v>
      </c>
      <c r="BN220" s="395">
        <v>1.4</v>
      </c>
      <c r="BR220" s="395"/>
      <c r="BS220" s="395"/>
      <c r="FI220" s="24">
        <f>0.4*10</f>
        <v>4</v>
      </c>
      <c r="FJ220" s="24">
        <f>1.5*10</f>
        <v>15</v>
      </c>
      <c r="FM220" s="24" t="s">
        <v>1697</v>
      </c>
      <c r="GM220" s="12"/>
      <c r="GQ220" s="12"/>
    </row>
    <row r="221" spans="1:249" s="34" customFormat="1" x14ac:dyDescent="0.25">
      <c r="A221" s="34">
        <v>15</v>
      </c>
      <c r="B221" s="34" t="s">
        <v>301</v>
      </c>
      <c r="C221" s="34" t="s">
        <v>302</v>
      </c>
      <c r="D221" s="34">
        <v>2005</v>
      </c>
      <c r="E221" s="34">
        <v>2002</v>
      </c>
      <c r="F221" s="34" t="s">
        <v>303</v>
      </c>
      <c r="G221" s="34" t="s">
        <v>304</v>
      </c>
      <c r="H221" s="24" t="s">
        <v>2831</v>
      </c>
      <c r="I221" s="34">
        <v>40.733333333333334</v>
      </c>
      <c r="J221" s="34">
        <v>-77.95</v>
      </c>
      <c r="K221" s="34">
        <v>375.2</v>
      </c>
      <c r="Q221" s="48">
        <v>2</v>
      </c>
      <c r="R221" s="48" t="s">
        <v>1735</v>
      </c>
      <c r="S221" s="48"/>
      <c r="T221" s="48" t="s">
        <v>1873</v>
      </c>
      <c r="U221" s="48" t="s">
        <v>1392</v>
      </c>
      <c r="V221" s="48" t="s">
        <v>1726</v>
      </c>
      <c r="W221" s="48" t="s">
        <v>1392</v>
      </c>
      <c r="X221" s="48" t="s">
        <v>1392</v>
      </c>
      <c r="Z221" s="328"/>
      <c r="AA221" s="328"/>
      <c r="AB221" s="34" t="s">
        <v>451</v>
      </c>
      <c r="AF221" s="34" t="s">
        <v>1321</v>
      </c>
      <c r="AG221" s="34" t="s">
        <v>132</v>
      </c>
      <c r="AH221" s="138" t="s">
        <v>132</v>
      </c>
      <c r="AI221" s="34" t="s">
        <v>133</v>
      </c>
      <c r="AJ221" s="140" t="s">
        <v>133</v>
      </c>
      <c r="AN221" s="34" t="s">
        <v>219</v>
      </c>
      <c r="AO221" s="34" t="s">
        <v>219</v>
      </c>
      <c r="AP221" s="34" t="s">
        <v>178</v>
      </c>
      <c r="AQ221" s="34" t="s">
        <v>305</v>
      </c>
      <c r="AR221" s="34" t="s">
        <v>305</v>
      </c>
      <c r="AS221" s="34" t="s">
        <v>178</v>
      </c>
      <c r="AU221" s="34">
        <v>4</v>
      </c>
      <c r="AW221" s="34" t="s">
        <v>175</v>
      </c>
      <c r="BA221" s="53"/>
      <c r="BB221" s="34" t="s">
        <v>306</v>
      </c>
      <c r="BH221" s="34">
        <f>7.55*1000</f>
        <v>7550</v>
      </c>
      <c r="BI221" s="34">
        <f>8.71*1000</f>
        <v>8710</v>
      </c>
      <c r="BM221" s="404"/>
      <c r="BN221" s="404"/>
      <c r="BR221" s="404"/>
      <c r="BS221" s="404"/>
      <c r="FI221" s="34">
        <f>2.5*10</f>
        <v>25</v>
      </c>
      <c r="FJ221" s="34">
        <f>2.8*10</f>
        <v>28</v>
      </c>
      <c r="FM221" s="24" t="s">
        <v>1697</v>
      </c>
      <c r="GM221" s="12"/>
      <c r="GQ221" s="12"/>
    </row>
    <row r="222" spans="1:249" s="34" customFormat="1" x14ac:dyDescent="0.25">
      <c r="A222" s="34">
        <v>15</v>
      </c>
      <c r="B222" s="34" t="s">
        <v>301</v>
      </c>
      <c r="C222" s="34" t="s">
        <v>302</v>
      </c>
      <c r="D222" s="34">
        <v>2005</v>
      </c>
      <c r="E222" s="34">
        <v>2002</v>
      </c>
      <c r="F222" s="34" t="s">
        <v>303</v>
      </c>
      <c r="G222" s="34" t="s">
        <v>304</v>
      </c>
      <c r="H222" s="24" t="s">
        <v>2831</v>
      </c>
      <c r="I222" s="34">
        <v>40.733333333333334</v>
      </c>
      <c r="J222" s="34">
        <v>-77.95</v>
      </c>
      <c r="K222" s="34">
        <v>375.2</v>
      </c>
      <c r="Q222" s="48">
        <v>2</v>
      </c>
      <c r="R222" s="48" t="s">
        <v>1735</v>
      </c>
      <c r="S222" s="48"/>
      <c r="T222" s="48" t="s">
        <v>1873</v>
      </c>
      <c r="U222" s="48" t="s">
        <v>1392</v>
      </c>
      <c r="V222" s="48" t="s">
        <v>1726</v>
      </c>
      <c r="W222" s="48" t="s">
        <v>1392</v>
      </c>
      <c r="X222" s="48" t="s">
        <v>1392</v>
      </c>
      <c r="Z222" s="328"/>
      <c r="AA222" s="328"/>
      <c r="AB222" s="34" t="s">
        <v>451</v>
      </c>
      <c r="AF222" s="34" t="s">
        <v>1321</v>
      </c>
      <c r="AG222" s="34" t="s">
        <v>132</v>
      </c>
      <c r="AH222" s="138" t="s">
        <v>132</v>
      </c>
      <c r="AI222" s="34" t="s">
        <v>133</v>
      </c>
      <c r="AJ222" s="140" t="s">
        <v>133</v>
      </c>
      <c r="AN222" s="34" t="s">
        <v>219</v>
      </c>
      <c r="AO222" s="34" t="s">
        <v>219</v>
      </c>
      <c r="AP222" s="34" t="s">
        <v>178</v>
      </c>
      <c r="AQ222" s="34" t="s">
        <v>305</v>
      </c>
      <c r="AR222" s="34" t="s">
        <v>305</v>
      </c>
      <c r="AS222" s="34" t="s">
        <v>178</v>
      </c>
      <c r="AU222" s="34">
        <v>4</v>
      </c>
      <c r="AW222" s="34" t="s">
        <v>175</v>
      </c>
      <c r="AY222" s="34">
        <v>3740</v>
      </c>
      <c r="BA222" s="53"/>
      <c r="BB222" s="34" t="s">
        <v>307</v>
      </c>
      <c r="BH222" s="34">
        <f>8.97*1000</f>
        <v>8970</v>
      </c>
      <c r="BI222" s="34">
        <f>7.66*1000</f>
        <v>7660</v>
      </c>
      <c r="BM222" s="404"/>
      <c r="BN222" s="404"/>
      <c r="BR222" s="404"/>
      <c r="BS222" s="404"/>
      <c r="FI222" s="34">
        <f>2.5*10</f>
        <v>25</v>
      </c>
      <c r="FJ222" s="34">
        <f>3*10</f>
        <v>30</v>
      </c>
      <c r="FM222" s="24" t="s">
        <v>1697</v>
      </c>
      <c r="GM222" s="12"/>
      <c r="GQ222" s="12"/>
    </row>
    <row r="223" spans="1:249" s="24" customFormat="1" x14ac:dyDescent="0.25">
      <c r="A223" s="24">
        <v>15</v>
      </c>
      <c r="B223" s="24" t="s">
        <v>301</v>
      </c>
      <c r="C223" s="24" t="s">
        <v>302</v>
      </c>
      <c r="D223" s="24">
        <v>2005</v>
      </c>
      <c r="E223" s="24">
        <v>2003</v>
      </c>
      <c r="F223" s="24" t="s">
        <v>303</v>
      </c>
      <c r="G223" s="24" t="s">
        <v>304</v>
      </c>
      <c r="H223" s="24" t="s">
        <v>2831</v>
      </c>
      <c r="I223" s="24">
        <f>40+44/60</f>
        <v>40.733333333333334</v>
      </c>
      <c r="J223" s="24">
        <f>-77-57/60</f>
        <v>-77.95</v>
      </c>
      <c r="K223" s="24">
        <v>375.2</v>
      </c>
      <c r="Q223" s="42">
        <v>3</v>
      </c>
      <c r="R223" s="42" t="s">
        <v>1735</v>
      </c>
      <c r="S223" s="42"/>
      <c r="T223" s="42" t="s">
        <v>1873</v>
      </c>
      <c r="U223" s="42" t="s">
        <v>1392</v>
      </c>
      <c r="V223" s="42" t="s">
        <v>1726</v>
      </c>
      <c r="W223" s="42" t="s">
        <v>1392</v>
      </c>
      <c r="X223" s="42" t="s">
        <v>1392</v>
      </c>
      <c r="Z223" s="321"/>
      <c r="AA223" s="321"/>
      <c r="AB223" s="24" t="s">
        <v>451</v>
      </c>
      <c r="AF223" s="24" t="s">
        <v>1321</v>
      </c>
      <c r="AG223" s="24" t="s">
        <v>132</v>
      </c>
      <c r="AH223" s="138" t="s">
        <v>132</v>
      </c>
      <c r="AI223" s="24" t="s">
        <v>133</v>
      </c>
      <c r="AJ223" s="140" t="s">
        <v>133</v>
      </c>
      <c r="AN223" s="24" t="s">
        <v>219</v>
      </c>
      <c r="AO223" s="24" t="s">
        <v>219</v>
      </c>
      <c r="AP223" s="24" t="s">
        <v>178</v>
      </c>
      <c r="AQ223" s="24" t="s">
        <v>305</v>
      </c>
      <c r="AR223" s="24" t="s">
        <v>305</v>
      </c>
      <c r="AS223" s="24" t="s">
        <v>178</v>
      </c>
      <c r="AU223" s="24">
        <v>4</v>
      </c>
      <c r="AW223" s="24" t="s">
        <v>175</v>
      </c>
      <c r="AY223" s="24">
        <v>1568</v>
      </c>
      <c r="BA223" s="53"/>
      <c r="BB223" s="24" t="s">
        <v>306</v>
      </c>
      <c r="BH223" s="24">
        <f>9.94*1000</f>
        <v>9940</v>
      </c>
      <c r="BI223" s="24">
        <f>9.97*1000</f>
        <v>9970</v>
      </c>
      <c r="BM223" s="395"/>
      <c r="BN223" s="395"/>
      <c r="BR223" s="395"/>
      <c r="BS223" s="395"/>
      <c r="FI223" s="24">
        <f>8.8*10</f>
        <v>88</v>
      </c>
      <c r="FJ223" s="24">
        <f>8.9*10</f>
        <v>89</v>
      </c>
      <c r="FM223" s="24" t="s">
        <v>1697</v>
      </c>
      <c r="GM223" s="12"/>
      <c r="GQ223" s="12"/>
    </row>
    <row r="224" spans="1:249" s="24" customFormat="1" x14ac:dyDescent="0.25">
      <c r="A224" s="24">
        <v>15</v>
      </c>
      <c r="B224" s="24" t="s">
        <v>301</v>
      </c>
      <c r="C224" s="24" t="s">
        <v>302</v>
      </c>
      <c r="D224" s="24">
        <v>2005</v>
      </c>
      <c r="E224" s="24">
        <v>2003</v>
      </c>
      <c r="F224" s="24" t="s">
        <v>303</v>
      </c>
      <c r="G224" s="24" t="s">
        <v>304</v>
      </c>
      <c r="H224" s="24" t="s">
        <v>2831</v>
      </c>
      <c r="I224" s="24">
        <f>40+44/60</f>
        <v>40.733333333333334</v>
      </c>
      <c r="J224" s="24">
        <f>-77-57/60</f>
        <v>-77.95</v>
      </c>
      <c r="K224" s="24">
        <v>375.2</v>
      </c>
      <c r="Q224" s="42">
        <v>3</v>
      </c>
      <c r="R224" s="42" t="s">
        <v>1735</v>
      </c>
      <c r="S224" s="42"/>
      <c r="T224" s="42" t="s">
        <v>1873</v>
      </c>
      <c r="U224" s="42" t="s">
        <v>1392</v>
      </c>
      <c r="V224" s="42" t="s">
        <v>1726</v>
      </c>
      <c r="W224" s="42" t="s">
        <v>1392</v>
      </c>
      <c r="X224" s="42" t="s">
        <v>1392</v>
      </c>
      <c r="Z224" s="321"/>
      <c r="AA224" s="321"/>
      <c r="AB224" s="24" t="s">
        <v>451</v>
      </c>
      <c r="AF224" s="24" t="s">
        <v>1321</v>
      </c>
      <c r="AG224" s="24" t="s">
        <v>132</v>
      </c>
      <c r="AH224" s="138" t="s">
        <v>132</v>
      </c>
      <c r="AI224" s="24" t="s">
        <v>133</v>
      </c>
      <c r="AJ224" s="140" t="s">
        <v>133</v>
      </c>
      <c r="AN224" s="24" t="s">
        <v>219</v>
      </c>
      <c r="AO224" s="24" t="s">
        <v>219</v>
      </c>
      <c r="AP224" s="24" t="s">
        <v>178</v>
      </c>
      <c r="AQ224" s="24" t="s">
        <v>305</v>
      </c>
      <c r="AR224" s="24" t="s">
        <v>305</v>
      </c>
      <c r="AS224" s="24" t="s">
        <v>178</v>
      </c>
      <c r="AU224" s="24">
        <v>4</v>
      </c>
      <c r="AW224" s="24" t="s">
        <v>175</v>
      </c>
      <c r="AY224" s="24">
        <v>7075</v>
      </c>
      <c r="BA224" s="53"/>
      <c r="BB224" s="24" t="s">
        <v>307</v>
      </c>
      <c r="BH224" s="24">
        <f>8.81*1000</f>
        <v>8810</v>
      </c>
      <c r="BI224" s="24">
        <f>9.69*1000</f>
        <v>9690</v>
      </c>
      <c r="BM224" s="395"/>
      <c r="BN224" s="395"/>
      <c r="BR224" s="395"/>
      <c r="BS224" s="395"/>
      <c r="FI224" s="24">
        <f>11.8*10</f>
        <v>118</v>
      </c>
      <c r="FJ224" s="24">
        <f>7.6*10</f>
        <v>76</v>
      </c>
      <c r="FM224" s="24" t="s">
        <v>1697</v>
      </c>
      <c r="GM224" s="12"/>
      <c r="GQ224" s="12"/>
    </row>
    <row r="225" spans="1:249" s="33" customFormat="1" x14ac:dyDescent="0.25">
      <c r="A225" s="33">
        <v>16</v>
      </c>
      <c r="B225" s="33" t="s">
        <v>308</v>
      </c>
      <c r="C225" s="33" t="s">
        <v>309</v>
      </c>
      <c r="D225" s="33">
        <v>1998</v>
      </c>
      <c r="E225" s="33">
        <v>1996</v>
      </c>
      <c r="F225" s="33" t="s">
        <v>310</v>
      </c>
      <c r="G225" s="33" t="s">
        <v>311</v>
      </c>
      <c r="H225" s="33" t="s">
        <v>2831</v>
      </c>
      <c r="I225" s="33">
        <v>37.200000000000003</v>
      </c>
      <c r="J225" s="33">
        <v>-80.56</v>
      </c>
      <c r="K225" s="33">
        <v>505</v>
      </c>
      <c r="Q225" s="47"/>
      <c r="R225" s="47"/>
      <c r="S225" s="47"/>
      <c r="T225" s="47"/>
      <c r="U225" s="47" t="s">
        <v>1386</v>
      </c>
      <c r="V225" s="47" t="s">
        <v>1724</v>
      </c>
      <c r="W225" s="47" t="s">
        <v>1386</v>
      </c>
      <c r="X225" s="47" t="s">
        <v>1386</v>
      </c>
      <c r="Y225" s="33">
        <f>(1.76+1.67)/2</f>
        <v>1.7149999999999999</v>
      </c>
      <c r="Z225" s="327"/>
      <c r="AA225" s="327"/>
      <c r="AB225" s="33" t="s">
        <v>451</v>
      </c>
      <c r="AF225" s="33" t="s">
        <v>1322</v>
      </c>
      <c r="AG225" s="33" t="s">
        <v>1520</v>
      </c>
      <c r="AH225" s="138" t="s">
        <v>132</v>
      </c>
      <c r="AI225" s="33" t="s">
        <v>230</v>
      </c>
      <c r="AJ225" s="141" t="s">
        <v>230</v>
      </c>
      <c r="AN225" s="33" t="s">
        <v>312</v>
      </c>
      <c r="AO225" s="33" t="s">
        <v>312</v>
      </c>
      <c r="AP225" s="33" t="s">
        <v>178</v>
      </c>
      <c r="AQ225" s="33" t="s">
        <v>313</v>
      </c>
      <c r="AR225" s="33" t="s">
        <v>313</v>
      </c>
      <c r="AT225" s="33" t="s">
        <v>314</v>
      </c>
      <c r="AU225" s="33">
        <v>4</v>
      </c>
      <c r="AW225" s="33" t="s">
        <v>142</v>
      </c>
      <c r="BA225" s="54"/>
      <c r="BB225" s="33" t="s">
        <v>316</v>
      </c>
      <c r="BM225" s="402">
        <f>(1.23+1.37+1.44+1.46)/4</f>
        <v>1.375</v>
      </c>
      <c r="BN225" s="402">
        <f>(1.25+1.33+1.37+1.41)/4</f>
        <v>1.34</v>
      </c>
      <c r="BR225" s="402"/>
      <c r="BS225" s="402"/>
      <c r="DK225" s="33">
        <f>(24.4+14.9+11.6+10.4)/4</f>
        <v>15.324999999999999</v>
      </c>
      <c r="DL225" s="33">
        <f>(22.9+17.1+13.9+12.2)/4</f>
        <v>16.524999999999999</v>
      </c>
      <c r="DO225" s="33" t="s">
        <v>315</v>
      </c>
      <c r="DZ225" s="33">
        <f>(76+22.2+2+1.5)/4</f>
        <v>25.425000000000001</v>
      </c>
      <c r="EA225" s="33">
        <f>(92.9+24.3+8.3+5.4)/4</f>
        <v>32.725000000000001</v>
      </c>
      <c r="EY225" s="33">
        <f>(16+18)/2/100</f>
        <v>0.17</v>
      </c>
      <c r="EZ225" s="33">
        <f>(14.8+18.8)/2/100</f>
        <v>0.16800000000000001</v>
      </c>
      <c r="GM225" s="12"/>
      <c r="GQ225" s="12"/>
      <c r="IO225" s="33" t="s">
        <v>861</v>
      </c>
    </row>
    <row r="226" spans="1:249" s="33" customFormat="1" x14ac:dyDescent="0.25">
      <c r="A226" s="33">
        <v>16</v>
      </c>
      <c r="B226" s="33" t="s">
        <v>308</v>
      </c>
      <c r="C226" s="33" t="s">
        <v>309</v>
      </c>
      <c r="D226" s="33">
        <v>1998</v>
      </c>
      <c r="E226" s="33">
        <v>1996</v>
      </c>
      <c r="F226" s="33" t="s">
        <v>310</v>
      </c>
      <c r="G226" s="33" t="s">
        <v>311</v>
      </c>
      <c r="H226" s="33" t="s">
        <v>2831</v>
      </c>
      <c r="I226" s="33">
        <v>37.200000000000003</v>
      </c>
      <c r="J226" s="33">
        <v>-80.56</v>
      </c>
      <c r="K226" s="33">
        <v>505</v>
      </c>
      <c r="Q226" s="47"/>
      <c r="R226" s="47"/>
      <c r="S226" s="47"/>
      <c r="T226" s="47"/>
      <c r="U226" s="47" t="s">
        <v>1386</v>
      </c>
      <c r="V226" s="47" t="s">
        <v>1724</v>
      </c>
      <c r="W226" s="47" t="s">
        <v>1386</v>
      </c>
      <c r="X226" s="47" t="s">
        <v>1386</v>
      </c>
      <c r="Y226" s="33">
        <f t="shared" ref="Y226:Y227" si="33">(1.76+1.67)/2</f>
        <v>1.7149999999999999</v>
      </c>
      <c r="Z226" s="327"/>
      <c r="AA226" s="327"/>
      <c r="AB226" s="33" t="s">
        <v>451</v>
      </c>
      <c r="AF226" s="33" t="s">
        <v>1322</v>
      </c>
      <c r="AG226" s="33" t="s">
        <v>1532</v>
      </c>
      <c r="AH226" s="138" t="s">
        <v>132</v>
      </c>
      <c r="AI226" s="33" t="s">
        <v>230</v>
      </c>
      <c r="AJ226" s="141" t="s">
        <v>230</v>
      </c>
      <c r="AN226" s="33" t="s">
        <v>312</v>
      </c>
      <c r="AO226" s="33" t="s">
        <v>312</v>
      </c>
      <c r="AP226" s="33" t="s">
        <v>178</v>
      </c>
      <c r="AQ226" s="33" t="s">
        <v>313</v>
      </c>
      <c r="AR226" s="33" t="s">
        <v>313</v>
      </c>
      <c r="AT226" s="33" t="s">
        <v>314</v>
      </c>
      <c r="AU226" s="33">
        <v>4</v>
      </c>
      <c r="AW226" s="33" t="s">
        <v>142</v>
      </c>
      <c r="BA226" s="54"/>
      <c r="BB226" s="33" t="s">
        <v>316</v>
      </c>
      <c r="BM226" s="402">
        <f t="shared" ref="BM226:BM227" si="34">(1.23+1.37+1.44+1.46)/4</f>
        <v>1.375</v>
      </c>
      <c r="BN226" s="402">
        <f>(1.29+1.36+1.4+1.41)/4</f>
        <v>1.3650000000000002</v>
      </c>
      <c r="BR226" s="402"/>
      <c r="BS226" s="402"/>
      <c r="DK226" s="33">
        <f t="shared" ref="DK226:DK227" si="35">(24.4+14.9+11.6+10.4)/4</f>
        <v>15.324999999999999</v>
      </c>
      <c r="DL226" s="33">
        <f>(19.3+16.2+12.8+12.3)/4</f>
        <v>15.149999999999999</v>
      </c>
      <c r="DO226" s="33" t="s">
        <v>315</v>
      </c>
      <c r="DZ226" s="33">
        <f t="shared" ref="DZ226:DZ227" si="36">(76+22.2+2+1.5)/4</f>
        <v>25.425000000000001</v>
      </c>
      <c r="EA226" s="33">
        <f>(38.5+15.8+4.9+4.1)/4</f>
        <v>15.824999999999999</v>
      </c>
      <c r="EY226" s="33">
        <f t="shared" ref="EY226:EY227" si="37">(16+18)/2/100</f>
        <v>0.17</v>
      </c>
      <c r="EZ226" s="33">
        <f>(12.1+16.6)/2/100</f>
        <v>0.14350000000000002</v>
      </c>
      <c r="GM226" s="12"/>
      <c r="GQ226" s="12"/>
      <c r="IO226" s="33" t="s">
        <v>861</v>
      </c>
    </row>
    <row r="227" spans="1:249" s="33" customFormat="1" x14ac:dyDescent="0.25">
      <c r="A227" s="33">
        <v>16</v>
      </c>
      <c r="B227" s="33" t="s">
        <v>308</v>
      </c>
      <c r="C227" s="33" t="s">
        <v>309</v>
      </c>
      <c r="D227" s="33">
        <v>1998</v>
      </c>
      <c r="E227" s="33">
        <v>1996</v>
      </c>
      <c r="F227" s="33" t="s">
        <v>310</v>
      </c>
      <c r="G227" s="33" t="s">
        <v>311</v>
      </c>
      <c r="H227" s="33" t="s">
        <v>2831</v>
      </c>
      <c r="I227" s="33">
        <v>37.200000000000003</v>
      </c>
      <c r="J227" s="33">
        <v>-80.56</v>
      </c>
      <c r="K227" s="33">
        <v>505</v>
      </c>
      <c r="Q227" s="47"/>
      <c r="R227" s="47"/>
      <c r="S227" s="47"/>
      <c r="T227" s="47"/>
      <c r="U227" s="47" t="s">
        <v>1386</v>
      </c>
      <c r="V227" s="47" t="s">
        <v>1724</v>
      </c>
      <c r="W227" s="47" t="s">
        <v>1386</v>
      </c>
      <c r="X227" s="47" t="s">
        <v>1386</v>
      </c>
      <c r="Y227" s="33">
        <f t="shared" si="33"/>
        <v>1.7149999999999999</v>
      </c>
      <c r="Z227" s="327"/>
      <c r="AA227" s="327"/>
      <c r="AB227" s="33" t="s">
        <v>451</v>
      </c>
      <c r="AF227" s="33" t="s">
        <v>1322</v>
      </c>
      <c r="AG227" s="33" t="s">
        <v>1533</v>
      </c>
      <c r="AH227" s="138" t="s">
        <v>132</v>
      </c>
      <c r="AI227" s="33" t="s">
        <v>230</v>
      </c>
      <c r="AJ227" s="141" t="s">
        <v>230</v>
      </c>
      <c r="AN227" s="33" t="s">
        <v>312</v>
      </c>
      <c r="AO227" s="33" t="s">
        <v>312</v>
      </c>
      <c r="AP227" s="33" t="s">
        <v>178</v>
      </c>
      <c r="AQ227" s="33" t="s">
        <v>313</v>
      </c>
      <c r="AR227" s="33" t="s">
        <v>313</v>
      </c>
      <c r="AT227" s="33" t="s">
        <v>314</v>
      </c>
      <c r="AU227" s="33">
        <v>4</v>
      </c>
      <c r="AW227" s="33" t="s">
        <v>142</v>
      </c>
      <c r="BA227" s="54"/>
      <c r="BB227" s="33" t="s">
        <v>316</v>
      </c>
      <c r="BM227" s="402">
        <f t="shared" si="34"/>
        <v>1.375</v>
      </c>
      <c r="BN227" s="402">
        <f>(1.31+1.34+1.36+1.4)/4</f>
        <v>1.3525</v>
      </c>
      <c r="BR227" s="402"/>
      <c r="BS227" s="402"/>
      <c r="DK227" s="33">
        <f t="shared" si="35"/>
        <v>15.324999999999999</v>
      </c>
      <c r="DL227" s="33">
        <f>(18.8+16.4+15.7+13.9)/4</f>
        <v>16.200000000000003</v>
      </c>
      <c r="DO227" s="33" t="s">
        <v>315</v>
      </c>
      <c r="DZ227" s="33">
        <f t="shared" si="36"/>
        <v>25.425000000000001</v>
      </c>
      <c r="EA227" s="33">
        <f>(34.8+15.1+9.1+6.5)/4</f>
        <v>16.375</v>
      </c>
      <c r="EY227" s="33">
        <f t="shared" si="37"/>
        <v>0.17</v>
      </c>
      <c r="EZ227" s="33">
        <f>(13+16.2)/2/100</f>
        <v>0.14599999999999999</v>
      </c>
      <c r="GM227" s="12"/>
      <c r="GQ227" s="12"/>
      <c r="IO227" s="33" t="s">
        <v>861</v>
      </c>
    </row>
    <row r="228" spans="1:249" s="32" customFormat="1" x14ac:dyDescent="0.25">
      <c r="A228" s="32">
        <v>17</v>
      </c>
      <c r="B228" s="32" t="s">
        <v>317</v>
      </c>
      <c r="C228" s="32" t="s">
        <v>318</v>
      </c>
      <c r="D228" s="32">
        <v>2016</v>
      </c>
      <c r="E228" s="32">
        <v>2011</v>
      </c>
      <c r="F228" s="32" t="s">
        <v>303</v>
      </c>
      <c r="G228" s="32" t="s">
        <v>319</v>
      </c>
      <c r="H228" s="32" t="s">
        <v>2831</v>
      </c>
      <c r="I228" s="32">
        <f t="shared" ref="I228:I261" si="38">40+43/60</f>
        <v>40.716666666666669</v>
      </c>
      <c r="J228" s="32">
        <f t="shared" ref="J228:J261" si="39">-77-55/60</f>
        <v>-77.916666666666671</v>
      </c>
      <c r="K228" s="32">
        <v>350</v>
      </c>
      <c r="O228" s="32">
        <v>975</v>
      </c>
      <c r="Q228" s="44">
        <v>1</v>
      </c>
      <c r="R228" s="44" t="s">
        <v>1856</v>
      </c>
      <c r="S228" s="44"/>
      <c r="T228" s="44" t="s">
        <v>1874</v>
      </c>
      <c r="U228" s="44" t="s">
        <v>1393</v>
      </c>
      <c r="V228" s="44" t="s">
        <v>1727</v>
      </c>
      <c r="W228" s="44" t="s">
        <v>1393</v>
      </c>
      <c r="X228" s="44" t="s">
        <v>1393</v>
      </c>
      <c r="Z228" s="323"/>
      <c r="AA228" s="323"/>
      <c r="AB228" s="32" t="s">
        <v>451</v>
      </c>
      <c r="AF228" s="32" t="s">
        <v>1323</v>
      </c>
      <c r="AG228" s="32" t="s">
        <v>1534</v>
      </c>
      <c r="AH228" s="138" t="s">
        <v>578</v>
      </c>
      <c r="AI228" s="32" t="s">
        <v>133</v>
      </c>
      <c r="AJ228" s="140" t="s">
        <v>1625</v>
      </c>
      <c r="AK228" s="32" t="s">
        <v>320</v>
      </c>
      <c r="AL228" s="32" t="s">
        <v>320</v>
      </c>
      <c r="AM228" s="32" t="s">
        <v>178</v>
      </c>
      <c r="AQ228" s="32" t="s">
        <v>321</v>
      </c>
      <c r="AR228" s="32" t="s">
        <v>321</v>
      </c>
      <c r="AS228" s="32" t="s">
        <v>178</v>
      </c>
      <c r="AT228" s="32" t="s">
        <v>161</v>
      </c>
      <c r="AU228" s="32">
        <v>4</v>
      </c>
      <c r="AW228" s="32" t="s">
        <v>142</v>
      </c>
      <c r="AY228" s="32">
        <v>61</v>
      </c>
      <c r="AZ228" s="32">
        <v>9.3000000000000007</v>
      </c>
      <c r="BA228" s="53"/>
      <c r="BH228" s="32">
        <v>6975</v>
      </c>
      <c r="BI228" s="32">
        <v>6876</v>
      </c>
      <c r="BM228" s="397"/>
      <c r="BN228" s="397"/>
      <c r="BR228" s="397"/>
      <c r="BS228" s="397"/>
      <c r="BW228" s="32">
        <f>13.25*0.614</f>
        <v>8.1355000000000004</v>
      </c>
      <c r="BX228" s="32">
        <v>8.64</v>
      </c>
      <c r="CA228" s="32" t="s">
        <v>349</v>
      </c>
      <c r="CF228" s="32" t="s">
        <v>350</v>
      </c>
      <c r="EO228" s="32">
        <v>48.16</v>
      </c>
      <c r="EP228" s="32">
        <v>42.8294</v>
      </c>
      <c r="ES228" s="32" t="s">
        <v>324</v>
      </c>
      <c r="FI228" s="32">
        <v>2820.6</v>
      </c>
      <c r="FJ228" s="32">
        <v>3011.35</v>
      </c>
      <c r="FK228" s="32">
        <f t="shared" ref="FK228:FL228" si="40">(2964.03-2820.6)*SQRT(4)</f>
        <v>286.86000000000058</v>
      </c>
      <c r="FL228" s="32">
        <f t="shared" si="40"/>
        <v>286.86000000000058</v>
      </c>
      <c r="FM228" s="32" t="s">
        <v>1851</v>
      </c>
      <c r="GM228" s="12"/>
      <c r="GQ228" s="12"/>
      <c r="IO228" s="32" t="s">
        <v>350</v>
      </c>
    </row>
    <row r="229" spans="1:249" s="32" customFormat="1" x14ac:dyDescent="0.25">
      <c r="A229" s="32">
        <v>17</v>
      </c>
      <c r="B229" s="32" t="s">
        <v>317</v>
      </c>
      <c r="C229" s="32" t="s">
        <v>318</v>
      </c>
      <c r="D229" s="32">
        <v>2016</v>
      </c>
      <c r="E229" s="32">
        <v>2011</v>
      </c>
      <c r="F229" s="32" t="s">
        <v>303</v>
      </c>
      <c r="G229" s="32" t="s">
        <v>319</v>
      </c>
      <c r="H229" s="32" t="s">
        <v>2831</v>
      </c>
      <c r="I229" s="32">
        <f t="shared" si="38"/>
        <v>40.716666666666669</v>
      </c>
      <c r="J229" s="32">
        <f t="shared" si="39"/>
        <v>-77.916666666666671</v>
      </c>
      <c r="K229" s="32">
        <v>350</v>
      </c>
      <c r="O229" s="32">
        <v>975</v>
      </c>
      <c r="Q229" s="44">
        <v>1</v>
      </c>
      <c r="R229" s="44" t="s">
        <v>1856</v>
      </c>
      <c r="S229" s="44"/>
      <c r="T229" s="44" t="s">
        <v>1874</v>
      </c>
      <c r="U229" s="44" t="s">
        <v>1393</v>
      </c>
      <c r="V229" s="44" t="s">
        <v>1727</v>
      </c>
      <c r="W229" s="44" t="s">
        <v>1393</v>
      </c>
      <c r="X229" s="44" t="s">
        <v>1393</v>
      </c>
      <c r="Z229" s="323"/>
      <c r="AA229" s="323"/>
      <c r="AB229" s="32" t="s">
        <v>451</v>
      </c>
      <c r="AF229" s="32" t="s">
        <v>1323</v>
      </c>
      <c r="AG229" s="32" t="s">
        <v>1154</v>
      </c>
      <c r="AH229" s="138" t="s">
        <v>578</v>
      </c>
      <c r="AI229" s="32" t="s">
        <v>133</v>
      </c>
      <c r="AJ229" s="140" t="s">
        <v>1625</v>
      </c>
      <c r="AK229" s="32" t="s">
        <v>320</v>
      </c>
      <c r="AL229" s="32" t="s">
        <v>320</v>
      </c>
      <c r="AM229" s="32" t="s">
        <v>178</v>
      </c>
      <c r="AQ229" s="32" t="s">
        <v>321</v>
      </c>
      <c r="AR229" s="32" t="s">
        <v>321</v>
      </c>
      <c r="AS229" s="32" t="s">
        <v>178</v>
      </c>
      <c r="AT229" s="32" t="s">
        <v>161</v>
      </c>
      <c r="AU229" s="32">
        <v>4</v>
      </c>
      <c r="AW229" s="32" t="s">
        <v>142</v>
      </c>
      <c r="AY229" s="32">
        <v>418</v>
      </c>
      <c r="AZ229" s="32">
        <v>9.5</v>
      </c>
      <c r="BA229" s="53"/>
      <c r="BH229" s="32">
        <v>6975</v>
      </c>
      <c r="BI229" s="32">
        <v>6678</v>
      </c>
      <c r="BM229" s="397"/>
      <c r="BN229" s="397"/>
      <c r="BR229" s="397"/>
      <c r="BS229" s="397"/>
      <c r="BW229" s="32">
        <f t="shared" ref="BW229:BW243" si="41">13.25*0.614</f>
        <v>8.1355000000000004</v>
      </c>
      <c r="BX229" s="32">
        <v>8.43</v>
      </c>
      <c r="CA229" s="32" t="s">
        <v>349</v>
      </c>
      <c r="CF229" s="32" t="s">
        <v>350</v>
      </c>
      <c r="EO229" s="32">
        <v>48.16</v>
      </c>
      <c r="EP229" s="32">
        <v>35.291600000000003</v>
      </c>
      <c r="ES229" s="32" t="s">
        <v>324</v>
      </c>
      <c r="FI229" s="32">
        <v>2820.6</v>
      </c>
      <c r="FJ229" s="32">
        <v>2322.3200000000002</v>
      </c>
      <c r="FK229" s="32">
        <f t="shared" ref="FK229:FL244" si="42">(2964.03-2820.6)*SQRT(4)</f>
        <v>286.86000000000058</v>
      </c>
      <c r="FL229" s="32">
        <f t="shared" si="42"/>
        <v>286.86000000000058</v>
      </c>
      <c r="FM229" s="32" t="s">
        <v>1851</v>
      </c>
      <c r="GM229" s="12"/>
      <c r="GQ229" s="12"/>
      <c r="IO229" s="32" t="s">
        <v>350</v>
      </c>
    </row>
    <row r="230" spans="1:249" s="32" customFormat="1" x14ac:dyDescent="0.25">
      <c r="A230" s="32">
        <v>17</v>
      </c>
      <c r="B230" s="32" t="s">
        <v>317</v>
      </c>
      <c r="C230" s="32" t="s">
        <v>318</v>
      </c>
      <c r="D230" s="32">
        <v>2016</v>
      </c>
      <c r="E230" s="32">
        <v>2011</v>
      </c>
      <c r="F230" s="32" t="s">
        <v>303</v>
      </c>
      <c r="G230" s="32" t="s">
        <v>319</v>
      </c>
      <c r="H230" s="32" t="s">
        <v>2831</v>
      </c>
      <c r="I230" s="32">
        <f t="shared" si="38"/>
        <v>40.716666666666669</v>
      </c>
      <c r="J230" s="32">
        <f t="shared" si="39"/>
        <v>-77.916666666666671</v>
      </c>
      <c r="K230" s="32">
        <v>350</v>
      </c>
      <c r="O230" s="32">
        <v>975</v>
      </c>
      <c r="Q230" s="44">
        <v>1</v>
      </c>
      <c r="R230" s="44" t="s">
        <v>1856</v>
      </c>
      <c r="S230" s="44"/>
      <c r="T230" s="44" t="s">
        <v>1874</v>
      </c>
      <c r="U230" s="44" t="s">
        <v>1393</v>
      </c>
      <c r="V230" s="44" t="s">
        <v>1727</v>
      </c>
      <c r="W230" s="44" t="s">
        <v>1393</v>
      </c>
      <c r="X230" s="44" t="s">
        <v>1393</v>
      </c>
      <c r="Z230" s="323"/>
      <c r="AA230" s="323"/>
      <c r="AB230" s="32" t="s">
        <v>451</v>
      </c>
      <c r="AF230" s="32" t="s">
        <v>1323</v>
      </c>
      <c r="AG230" s="32" t="s">
        <v>1535</v>
      </c>
      <c r="AH230" s="138" t="s">
        <v>578</v>
      </c>
      <c r="AI230" s="32" t="s">
        <v>133</v>
      </c>
      <c r="AJ230" s="140" t="s">
        <v>1625</v>
      </c>
      <c r="AK230" s="32" t="s">
        <v>320</v>
      </c>
      <c r="AL230" s="32" t="s">
        <v>320</v>
      </c>
      <c r="AM230" s="32" t="s">
        <v>178</v>
      </c>
      <c r="AQ230" s="32" t="s">
        <v>321</v>
      </c>
      <c r="AR230" s="32" t="s">
        <v>321</v>
      </c>
      <c r="AS230" s="32" t="s">
        <v>178</v>
      </c>
      <c r="AT230" s="32" t="s">
        <v>161</v>
      </c>
      <c r="AU230" s="32">
        <v>4</v>
      </c>
      <c r="AW230" s="32" t="s">
        <v>142</v>
      </c>
      <c r="AY230" s="32">
        <v>4045</v>
      </c>
      <c r="AZ230" s="32">
        <v>10.3</v>
      </c>
      <c r="BA230" s="53"/>
      <c r="BH230" s="32">
        <v>6975</v>
      </c>
      <c r="BI230" s="32">
        <v>9653</v>
      </c>
      <c r="BM230" s="397"/>
      <c r="BN230" s="397"/>
      <c r="BR230" s="397"/>
      <c r="BS230" s="397"/>
      <c r="BW230" s="32">
        <f t="shared" si="41"/>
        <v>8.1355000000000004</v>
      </c>
      <c r="BX230" s="32">
        <v>18.399999999999999</v>
      </c>
      <c r="CA230" s="32" t="s">
        <v>349</v>
      </c>
      <c r="CF230" s="32" t="s">
        <v>350</v>
      </c>
      <c r="EO230" s="32">
        <v>48.16</v>
      </c>
      <c r="EP230" s="32">
        <v>33.94</v>
      </c>
      <c r="ES230" s="32" t="s">
        <v>324</v>
      </c>
      <c r="FI230" s="32">
        <v>2820.6</v>
      </c>
      <c r="FJ230" s="32">
        <v>992.58</v>
      </c>
      <c r="FK230" s="32">
        <f t="shared" si="42"/>
        <v>286.86000000000058</v>
      </c>
      <c r="FL230" s="32">
        <f t="shared" si="42"/>
        <v>286.86000000000058</v>
      </c>
      <c r="FM230" s="32" t="s">
        <v>1851</v>
      </c>
      <c r="GM230" s="12"/>
      <c r="GQ230" s="12"/>
      <c r="IO230" s="32" t="s">
        <v>350</v>
      </c>
    </row>
    <row r="231" spans="1:249" s="32" customFormat="1" x14ac:dyDescent="0.25">
      <c r="A231" s="32">
        <v>17</v>
      </c>
      <c r="B231" s="32" t="s">
        <v>317</v>
      </c>
      <c r="C231" s="32" t="s">
        <v>318</v>
      </c>
      <c r="D231" s="32">
        <v>2016</v>
      </c>
      <c r="E231" s="32">
        <v>2011</v>
      </c>
      <c r="F231" s="32" t="s">
        <v>303</v>
      </c>
      <c r="G231" s="32" t="s">
        <v>319</v>
      </c>
      <c r="H231" s="32" t="s">
        <v>2831</v>
      </c>
      <c r="I231" s="32">
        <f t="shared" si="38"/>
        <v>40.716666666666669</v>
      </c>
      <c r="J231" s="32">
        <f t="shared" si="39"/>
        <v>-77.916666666666671</v>
      </c>
      <c r="K231" s="32">
        <v>350</v>
      </c>
      <c r="O231" s="32">
        <v>975</v>
      </c>
      <c r="Q231" s="44">
        <v>1</v>
      </c>
      <c r="R231" s="44" t="s">
        <v>1856</v>
      </c>
      <c r="S231" s="44"/>
      <c r="T231" s="44" t="s">
        <v>1874</v>
      </c>
      <c r="U231" s="44" t="s">
        <v>1393</v>
      </c>
      <c r="V231" s="44" t="s">
        <v>1727</v>
      </c>
      <c r="W231" s="44" t="s">
        <v>1393</v>
      </c>
      <c r="X231" s="44" t="s">
        <v>1393</v>
      </c>
      <c r="Z231" s="323"/>
      <c r="AA231" s="323"/>
      <c r="AB231" s="32" t="s">
        <v>451</v>
      </c>
      <c r="AF231" s="32" t="s">
        <v>1323</v>
      </c>
      <c r="AG231" s="32" t="s">
        <v>244</v>
      </c>
      <c r="AH231" s="138" t="s">
        <v>578</v>
      </c>
      <c r="AI231" s="32" t="s">
        <v>133</v>
      </c>
      <c r="AJ231" s="140" t="s">
        <v>1625</v>
      </c>
      <c r="AK231" s="32" t="s">
        <v>320</v>
      </c>
      <c r="AL231" s="32" t="s">
        <v>320</v>
      </c>
      <c r="AM231" s="32" t="s">
        <v>178</v>
      </c>
      <c r="AQ231" s="32" t="s">
        <v>321</v>
      </c>
      <c r="AR231" s="32" t="s">
        <v>321</v>
      </c>
      <c r="AS231" s="32" t="s">
        <v>178</v>
      </c>
      <c r="AT231" s="32" t="s">
        <v>161</v>
      </c>
      <c r="AU231" s="32">
        <v>4</v>
      </c>
      <c r="AW231" s="32" t="s">
        <v>142</v>
      </c>
      <c r="AY231" s="32">
        <v>4531</v>
      </c>
      <c r="AZ231" s="32">
        <v>9</v>
      </c>
      <c r="BA231" s="53"/>
      <c r="BH231" s="32">
        <v>6975</v>
      </c>
      <c r="BI231" s="32">
        <v>9884</v>
      </c>
      <c r="BM231" s="397"/>
      <c r="BN231" s="397"/>
      <c r="BR231" s="397"/>
      <c r="BS231" s="397"/>
      <c r="BW231" s="32">
        <f t="shared" si="41"/>
        <v>8.1355000000000004</v>
      </c>
      <c r="BX231" s="32">
        <v>27.04</v>
      </c>
      <c r="CA231" s="32" t="s">
        <v>349</v>
      </c>
      <c r="CF231" s="32" t="s">
        <v>350</v>
      </c>
      <c r="EO231" s="32">
        <v>48.16</v>
      </c>
      <c r="EP231" s="32">
        <v>34.36</v>
      </c>
      <c r="ES231" s="32" t="s">
        <v>324</v>
      </c>
      <c r="FI231" s="32">
        <v>2820.6</v>
      </c>
      <c r="FJ231" s="32">
        <v>236.61</v>
      </c>
      <c r="FK231" s="32">
        <f t="shared" si="42"/>
        <v>286.86000000000058</v>
      </c>
      <c r="FL231" s="32">
        <f t="shared" si="42"/>
        <v>286.86000000000058</v>
      </c>
      <c r="FM231" s="32" t="s">
        <v>1851</v>
      </c>
      <c r="GM231" s="12"/>
      <c r="GQ231" s="12"/>
      <c r="IO231" s="32" t="s">
        <v>350</v>
      </c>
    </row>
    <row r="232" spans="1:249" s="32" customFormat="1" x14ac:dyDescent="0.25">
      <c r="A232" s="32">
        <v>17</v>
      </c>
      <c r="B232" s="32" t="s">
        <v>317</v>
      </c>
      <c r="C232" s="32" t="s">
        <v>318</v>
      </c>
      <c r="D232" s="32">
        <v>2016</v>
      </c>
      <c r="E232" s="32">
        <v>2011</v>
      </c>
      <c r="F232" s="32" t="s">
        <v>303</v>
      </c>
      <c r="G232" s="32" t="s">
        <v>319</v>
      </c>
      <c r="H232" s="32" t="s">
        <v>2831</v>
      </c>
      <c r="I232" s="32">
        <f t="shared" si="38"/>
        <v>40.716666666666669</v>
      </c>
      <c r="J232" s="32">
        <f t="shared" si="39"/>
        <v>-77.916666666666671</v>
      </c>
      <c r="K232" s="32">
        <v>350</v>
      </c>
      <c r="O232" s="32">
        <v>975</v>
      </c>
      <c r="Q232" s="44">
        <v>1</v>
      </c>
      <c r="R232" s="44" t="s">
        <v>1856</v>
      </c>
      <c r="S232" s="44"/>
      <c r="T232" s="44" t="s">
        <v>1874</v>
      </c>
      <c r="U232" s="44" t="s">
        <v>1393</v>
      </c>
      <c r="V232" s="44" t="s">
        <v>1727</v>
      </c>
      <c r="W232" s="44" t="s">
        <v>1393</v>
      </c>
      <c r="X232" s="44" t="s">
        <v>1393</v>
      </c>
      <c r="Z232" s="323"/>
      <c r="AA232" s="323"/>
      <c r="AB232" s="32" t="s">
        <v>451</v>
      </c>
      <c r="AF232" s="32" t="s">
        <v>1323</v>
      </c>
      <c r="AG232" s="32" t="s">
        <v>1581</v>
      </c>
      <c r="AH232" s="138" t="s">
        <v>1131</v>
      </c>
      <c r="AI232" s="32" t="s">
        <v>133</v>
      </c>
      <c r="AJ232" s="140" t="s">
        <v>1625</v>
      </c>
      <c r="AK232" s="32" t="s">
        <v>320</v>
      </c>
      <c r="AL232" s="32" t="s">
        <v>320</v>
      </c>
      <c r="AM232" s="32" t="s">
        <v>178</v>
      </c>
      <c r="AQ232" s="32" t="s">
        <v>321</v>
      </c>
      <c r="AR232" s="32" t="s">
        <v>321</v>
      </c>
      <c r="AS232" s="32" t="s">
        <v>178</v>
      </c>
      <c r="AT232" s="32" t="s">
        <v>161</v>
      </c>
      <c r="AU232" s="32">
        <v>4</v>
      </c>
      <c r="AW232" s="32" t="s">
        <v>142</v>
      </c>
      <c r="AY232" s="32">
        <v>1381</v>
      </c>
      <c r="AZ232" s="32">
        <v>15.7</v>
      </c>
      <c r="BA232" s="53"/>
      <c r="BH232" s="32">
        <v>6975</v>
      </c>
      <c r="BI232" s="32">
        <v>8033</v>
      </c>
      <c r="BM232" s="397"/>
      <c r="BN232" s="397"/>
      <c r="BR232" s="397"/>
      <c r="BS232" s="397"/>
      <c r="BW232" s="32">
        <f t="shared" si="41"/>
        <v>8.1355000000000004</v>
      </c>
      <c r="BX232" s="32">
        <v>10.45</v>
      </c>
      <c r="CA232" s="32" t="s">
        <v>349</v>
      </c>
      <c r="CF232" s="32" t="s">
        <v>350</v>
      </c>
      <c r="EO232" s="32">
        <v>48.16</v>
      </c>
      <c r="EP232" s="32">
        <v>47.6</v>
      </c>
      <c r="ES232" s="32" t="s">
        <v>324</v>
      </c>
      <c r="FI232" s="32">
        <v>2820.6</v>
      </c>
      <c r="FJ232" s="32">
        <v>2225.16</v>
      </c>
      <c r="FK232" s="32">
        <f t="shared" si="42"/>
        <v>286.86000000000058</v>
      </c>
      <c r="FL232" s="32">
        <f t="shared" si="42"/>
        <v>286.86000000000058</v>
      </c>
      <c r="FM232" s="32" t="s">
        <v>1851</v>
      </c>
      <c r="GM232" s="12"/>
      <c r="GQ232" s="12"/>
      <c r="IO232" s="32" t="s">
        <v>350</v>
      </c>
    </row>
    <row r="233" spans="1:249" s="32" customFormat="1" x14ac:dyDescent="0.25">
      <c r="A233" s="32">
        <v>17</v>
      </c>
      <c r="B233" s="32" t="s">
        <v>317</v>
      </c>
      <c r="C233" s="32" t="s">
        <v>318</v>
      </c>
      <c r="D233" s="32">
        <v>2016</v>
      </c>
      <c r="E233" s="32">
        <v>2011</v>
      </c>
      <c r="F233" s="32" t="s">
        <v>303</v>
      </c>
      <c r="G233" s="32" t="s">
        <v>319</v>
      </c>
      <c r="H233" s="32" t="s">
        <v>2831</v>
      </c>
      <c r="I233" s="32">
        <f t="shared" si="38"/>
        <v>40.716666666666669</v>
      </c>
      <c r="J233" s="32">
        <f t="shared" si="39"/>
        <v>-77.916666666666671</v>
      </c>
      <c r="K233" s="32">
        <v>350</v>
      </c>
      <c r="O233" s="32">
        <v>975</v>
      </c>
      <c r="Q233" s="44">
        <v>1</v>
      </c>
      <c r="R233" s="44" t="s">
        <v>1856</v>
      </c>
      <c r="S233" s="44"/>
      <c r="T233" s="44" t="s">
        <v>1874</v>
      </c>
      <c r="U233" s="44" t="s">
        <v>1393</v>
      </c>
      <c r="V233" s="44" t="s">
        <v>1727</v>
      </c>
      <c r="W233" s="44" t="s">
        <v>1393</v>
      </c>
      <c r="X233" s="44" t="s">
        <v>1393</v>
      </c>
      <c r="Z233" s="323"/>
      <c r="AA233" s="323"/>
      <c r="AB233" s="32" t="s">
        <v>451</v>
      </c>
      <c r="AF233" s="32" t="s">
        <v>1323</v>
      </c>
      <c r="AG233" s="32" t="s">
        <v>521</v>
      </c>
      <c r="AH233" s="138" t="s">
        <v>1585</v>
      </c>
      <c r="AI233" s="32" t="s">
        <v>133</v>
      </c>
      <c r="AJ233" s="140" t="s">
        <v>1625</v>
      </c>
      <c r="AK233" s="32" t="s">
        <v>320</v>
      </c>
      <c r="AL233" s="32" t="s">
        <v>320</v>
      </c>
      <c r="AM233" s="32" t="s">
        <v>178</v>
      </c>
      <c r="AQ233" s="32" t="s">
        <v>321</v>
      </c>
      <c r="AR233" s="32" t="s">
        <v>321</v>
      </c>
      <c r="AS233" s="32" t="s">
        <v>178</v>
      </c>
      <c r="AT233" s="32" t="s">
        <v>161</v>
      </c>
      <c r="AU233" s="32">
        <v>4</v>
      </c>
      <c r="AW233" s="32" t="s">
        <v>142</v>
      </c>
      <c r="AY233" s="32">
        <v>1901</v>
      </c>
      <c r="AZ233" s="32">
        <v>17.899999999999999</v>
      </c>
      <c r="BA233" s="53"/>
      <c r="BH233" s="32">
        <v>6975</v>
      </c>
      <c r="BI233" s="32">
        <v>8033</v>
      </c>
      <c r="BM233" s="397"/>
      <c r="BN233" s="397"/>
      <c r="BR233" s="397"/>
      <c r="BS233" s="397"/>
      <c r="BW233" s="32">
        <f t="shared" si="41"/>
        <v>8.1355000000000004</v>
      </c>
      <c r="BX233" s="32">
        <v>9.73</v>
      </c>
      <c r="CA233" s="32" t="s">
        <v>349</v>
      </c>
      <c r="CF233" s="32" t="s">
        <v>350</v>
      </c>
      <c r="EO233" s="32">
        <v>48.16</v>
      </c>
      <c r="EP233" s="32">
        <v>21.05</v>
      </c>
      <c r="ES233" s="32" t="s">
        <v>324</v>
      </c>
      <c r="FI233" s="32">
        <v>2820.6</v>
      </c>
      <c r="FJ233" s="32">
        <v>541.59</v>
      </c>
      <c r="FK233" s="32">
        <f t="shared" si="42"/>
        <v>286.86000000000058</v>
      </c>
      <c r="FL233" s="32">
        <f t="shared" si="42"/>
        <v>286.86000000000058</v>
      </c>
      <c r="FM233" s="32" t="s">
        <v>1851</v>
      </c>
      <c r="GM233" s="12"/>
      <c r="GQ233" s="12"/>
      <c r="IO233" s="32" t="s">
        <v>350</v>
      </c>
    </row>
    <row r="234" spans="1:249" s="32" customFormat="1" x14ac:dyDescent="0.25">
      <c r="A234" s="32">
        <v>17</v>
      </c>
      <c r="B234" s="32" t="s">
        <v>317</v>
      </c>
      <c r="C234" s="32" t="s">
        <v>318</v>
      </c>
      <c r="D234" s="32">
        <v>2016</v>
      </c>
      <c r="E234" s="32">
        <v>2011</v>
      </c>
      <c r="F234" s="32" t="s">
        <v>303</v>
      </c>
      <c r="G234" s="32" t="s">
        <v>319</v>
      </c>
      <c r="H234" s="32" t="s">
        <v>2831</v>
      </c>
      <c r="I234" s="32">
        <f t="shared" si="38"/>
        <v>40.716666666666669</v>
      </c>
      <c r="J234" s="32">
        <f t="shared" si="39"/>
        <v>-77.916666666666671</v>
      </c>
      <c r="K234" s="32">
        <v>350</v>
      </c>
      <c r="O234" s="32">
        <v>975</v>
      </c>
      <c r="Q234" s="44">
        <v>1</v>
      </c>
      <c r="R234" s="44" t="s">
        <v>1856</v>
      </c>
      <c r="S234" s="44"/>
      <c r="T234" s="44" t="s">
        <v>1874</v>
      </c>
      <c r="U234" s="44" t="s">
        <v>1393</v>
      </c>
      <c r="V234" s="44" t="s">
        <v>1727</v>
      </c>
      <c r="W234" s="44" t="s">
        <v>1393</v>
      </c>
      <c r="X234" s="44" t="s">
        <v>1393</v>
      </c>
      <c r="Z234" s="323"/>
      <c r="AA234" s="323"/>
      <c r="AB234" s="32" t="s">
        <v>451</v>
      </c>
      <c r="AF234" s="32" t="s">
        <v>1323</v>
      </c>
      <c r="AG234" s="32" t="s">
        <v>524</v>
      </c>
      <c r="AH234" s="138" t="s">
        <v>1131</v>
      </c>
      <c r="AI234" s="32" t="s">
        <v>133</v>
      </c>
      <c r="AJ234" s="140" t="s">
        <v>1625</v>
      </c>
      <c r="AK234" s="32" t="s">
        <v>320</v>
      </c>
      <c r="AL234" s="32" t="s">
        <v>320</v>
      </c>
      <c r="AM234" s="32" t="s">
        <v>178</v>
      </c>
      <c r="AQ234" s="32" t="s">
        <v>321</v>
      </c>
      <c r="AR234" s="32" t="s">
        <v>321</v>
      </c>
      <c r="AS234" s="32" t="s">
        <v>178</v>
      </c>
      <c r="AT234" s="32" t="s">
        <v>161</v>
      </c>
      <c r="AU234" s="32">
        <v>4</v>
      </c>
      <c r="AW234" s="32" t="s">
        <v>142</v>
      </c>
      <c r="AY234" s="32">
        <v>7165</v>
      </c>
      <c r="AZ234" s="32">
        <v>24.2</v>
      </c>
      <c r="BA234" s="53"/>
      <c r="BH234" s="32">
        <v>6975</v>
      </c>
      <c r="BI234" s="32">
        <v>7372</v>
      </c>
      <c r="BM234" s="397"/>
      <c r="BN234" s="397"/>
      <c r="BR234" s="397"/>
      <c r="BS234" s="397"/>
      <c r="BW234" s="32">
        <f t="shared" si="41"/>
        <v>8.1355000000000004</v>
      </c>
      <c r="BX234" s="32">
        <v>8.7100000000000009</v>
      </c>
      <c r="CA234" s="32" t="s">
        <v>349</v>
      </c>
      <c r="CF234" s="32" t="s">
        <v>350</v>
      </c>
      <c r="EO234" s="32">
        <v>48.16</v>
      </c>
      <c r="EP234" s="32">
        <v>2.02</v>
      </c>
      <c r="ES234" s="32" t="s">
        <v>324</v>
      </c>
      <c r="FI234" s="32">
        <v>2820.6</v>
      </c>
      <c r="FJ234" s="32">
        <v>129.88999999999999</v>
      </c>
      <c r="FK234" s="32">
        <f t="shared" si="42"/>
        <v>286.86000000000058</v>
      </c>
      <c r="FL234" s="32">
        <f t="shared" si="42"/>
        <v>286.86000000000058</v>
      </c>
      <c r="FM234" s="32" t="s">
        <v>1851</v>
      </c>
      <c r="GM234" s="12"/>
      <c r="GQ234" s="12"/>
      <c r="IO234" s="32" t="s">
        <v>350</v>
      </c>
    </row>
    <row r="235" spans="1:249" s="32" customFormat="1" x14ac:dyDescent="0.25">
      <c r="A235" s="32">
        <v>17</v>
      </c>
      <c r="B235" s="32" t="s">
        <v>317</v>
      </c>
      <c r="C235" s="32" t="s">
        <v>318</v>
      </c>
      <c r="D235" s="32">
        <v>2016</v>
      </c>
      <c r="E235" s="32">
        <v>2011</v>
      </c>
      <c r="F235" s="32" t="s">
        <v>303</v>
      </c>
      <c r="G235" s="32" t="s">
        <v>319</v>
      </c>
      <c r="H235" s="32" t="s">
        <v>2831</v>
      </c>
      <c r="I235" s="32">
        <f t="shared" si="38"/>
        <v>40.716666666666669</v>
      </c>
      <c r="J235" s="32">
        <f t="shared" si="39"/>
        <v>-77.916666666666671</v>
      </c>
      <c r="K235" s="32">
        <v>350</v>
      </c>
      <c r="O235" s="32">
        <v>975</v>
      </c>
      <c r="Q235" s="44">
        <v>1</v>
      </c>
      <c r="R235" s="44" t="s">
        <v>1856</v>
      </c>
      <c r="S235" s="44"/>
      <c r="T235" s="44" t="s">
        <v>1874</v>
      </c>
      <c r="U235" s="44" t="s">
        <v>1393</v>
      </c>
      <c r="V235" s="44" t="s">
        <v>1727</v>
      </c>
      <c r="W235" s="44" t="s">
        <v>1393</v>
      </c>
      <c r="X235" s="44" t="s">
        <v>1393</v>
      </c>
      <c r="Z235" s="323"/>
      <c r="AA235" s="323"/>
      <c r="AB235" s="32" t="s">
        <v>451</v>
      </c>
      <c r="AF235" s="32" t="s">
        <v>1323</v>
      </c>
      <c r="AG235" s="32" t="s">
        <v>132</v>
      </c>
      <c r="AH235" s="138" t="s">
        <v>132</v>
      </c>
      <c r="AI235" s="32" t="s">
        <v>133</v>
      </c>
      <c r="AJ235" s="140" t="s">
        <v>1625</v>
      </c>
      <c r="AK235" s="32" t="s">
        <v>320</v>
      </c>
      <c r="AL235" s="32" t="s">
        <v>320</v>
      </c>
      <c r="AM235" s="32" t="s">
        <v>178</v>
      </c>
      <c r="AQ235" s="32" t="s">
        <v>321</v>
      </c>
      <c r="AR235" s="32" t="s">
        <v>321</v>
      </c>
      <c r="AS235" s="32" t="s">
        <v>178</v>
      </c>
      <c r="AT235" s="32" t="s">
        <v>161</v>
      </c>
      <c r="AU235" s="32">
        <v>4</v>
      </c>
      <c r="AW235" s="32" t="s">
        <v>142</v>
      </c>
      <c r="AY235" s="32">
        <v>7343</v>
      </c>
      <c r="AZ235" s="32">
        <v>42.9</v>
      </c>
      <c r="BA235" s="53"/>
      <c r="BH235" s="32">
        <v>6975</v>
      </c>
      <c r="BI235" s="32">
        <v>4876</v>
      </c>
      <c r="BM235" s="397"/>
      <c r="BN235" s="397"/>
      <c r="BR235" s="397"/>
      <c r="BS235" s="397"/>
      <c r="BW235" s="32">
        <f t="shared" si="41"/>
        <v>8.1355000000000004</v>
      </c>
      <c r="BX235" s="32">
        <v>7.99</v>
      </c>
      <c r="CA235" s="32" t="s">
        <v>349</v>
      </c>
      <c r="CF235" s="32" t="s">
        <v>350</v>
      </c>
      <c r="EO235" s="32">
        <v>48.16</v>
      </c>
      <c r="EP235" s="32">
        <v>0.23</v>
      </c>
      <c r="ES235" s="32" t="s">
        <v>324</v>
      </c>
      <c r="FI235" s="32">
        <v>2820.6</v>
      </c>
      <c r="FJ235" s="32">
        <v>33.74</v>
      </c>
      <c r="FK235" s="32">
        <f t="shared" si="42"/>
        <v>286.86000000000058</v>
      </c>
      <c r="FL235" s="32">
        <f t="shared" si="42"/>
        <v>286.86000000000058</v>
      </c>
      <c r="FM235" s="32" t="s">
        <v>1851</v>
      </c>
      <c r="GM235" s="12"/>
      <c r="GQ235" s="12"/>
      <c r="IO235" s="32" t="s">
        <v>350</v>
      </c>
    </row>
    <row r="236" spans="1:249" s="32" customFormat="1" x14ac:dyDescent="0.25">
      <c r="A236" s="32">
        <v>17</v>
      </c>
      <c r="B236" s="32" t="s">
        <v>317</v>
      </c>
      <c r="C236" s="32" t="s">
        <v>318</v>
      </c>
      <c r="D236" s="32">
        <v>2016</v>
      </c>
      <c r="E236" s="32">
        <v>2011</v>
      </c>
      <c r="F236" s="32" t="s">
        <v>303</v>
      </c>
      <c r="G236" s="32" t="s">
        <v>319</v>
      </c>
      <c r="H236" s="32" t="s">
        <v>2831</v>
      </c>
      <c r="I236" s="32">
        <f t="shared" si="38"/>
        <v>40.716666666666669</v>
      </c>
      <c r="J236" s="32">
        <f t="shared" si="39"/>
        <v>-77.916666666666671</v>
      </c>
      <c r="K236" s="32">
        <v>350</v>
      </c>
      <c r="O236" s="32">
        <v>975</v>
      </c>
      <c r="Q236" s="44">
        <v>1</v>
      </c>
      <c r="R236" s="44" t="s">
        <v>1856</v>
      </c>
      <c r="S236" s="44"/>
      <c r="T236" s="44" t="s">
        <v>1874</v>
      </c>
      <c r="U236" s="44" t="s">
        <v>1393</v>
      </c>
      <c r="V236" s="44" t="s">
        <v>1727</v>
      </c>
      <c r="W236" s="44" t="s">
        <v>1393</v>
      </c>
      <c r="X236" s="44" t="s">
        <v>1393</v>
      </c>
      <c r="Z236" s="323"/>
      <c r="AA236" s="323"/>
      <c r="AB236" s="32" t="s">
        <v>451</v>
      </c>
      <c r="AF236" s="32" t="s">
        <v>1323</v>
      </c>
      <c r="AG236" s="32" t="s">
        <v>1506</v>
      </c>
      <c r="AH236" s="138" t="s">
        <v>636</v>
      </c>
      <c r="AI236" s="32" t="s">
        <v>133</v>
      </c>
      <c r="AJ236" s="140" t="s">
        <v>1625</v>
      </c>
      <c r="AK236" s="32" t="s">
        <v>320</v>
      </c>
      <c r="AL236" s="32" t="s">
        <v>320</v>
      </c>
      <c r="AM236" s="32" t="s">
        <v>178</v>
      </c>
      <c r="AQ236" s="32" t="s">
        <v>321</v>
      </c>
      <c r="AR236" s="32" t="s">
        <v>321</v>
      </c>
      <c r="AS236" s="32" t="s">
        <v>178</v>
      </c>
      <c r="AT236" s="32" t="s">
        <v>161</v>
      </c>
      <c r="AU236" s="32">
        <v>4</v>
      </c>
      <c r="AW236" s="32" t="s">
        <v>142</v>
      </c>
      <c r="AY236" s="32">
        <v>1829</v>
      </c>
      <c r="AZ236" s="32">
        <v>16.399999999999999</v>
      </c>
      <c r="BA236" s="53"/>
      <c r="BH236" s="32">
        <v>6975</v>
      </c>
      <c r="BI236" s="32">
        <v>7702</v>
      </c>
      <c r="BM236" s="397"/>
      <c r="BN236" s="397"/>
      <c r="BR236" s="397"/>
      <c r="BS236" s="397"/>
      <c r="BW236" s="32">
        <f t="shared" si="41"/>
        <v>8.1355000000000004</v>
      </c>
      <c r="BX236" s="32">
        <v>9.82</v>
      </c>
      <c r="CA236" s="32" t="s">
        <v>349</v>
      </c>
      <c r="CF236" s="32" t="s">
        <v>350</v>
      </c>
      <c r="EO236" s="32">
        <v>48.16</v>
      </c>
      <c r="EP236" s="32">
        <v>22.75</v>
      </c>
      <c r="ES236" s="32" t="s">
        <v>324</v>
      </c>
      <c r="FI236" s="32">
        <v>2820.6</v>
      </c>
      <c r="FJ236" s="32">
        <v>444.43</v>
      </c>
      <c r="FK236" s="32">
        <f t="shared" si="42"/>
        <v>286.86000000000058</v>
      </c>
      <c r="FL236" s="32">
        <f t="shared" si="42"/>
        <v>286.86000000000058</v>
      </c>
      <c r="FM236" s="32" t="s">
        <v>1851</v>
      </c>
      <c r="GM236" s="12"/>
      <c r="GQ236" s="12"/>
      <c r="IO236" s="32" t="s">
        <v>350</v>
      </c>
    </row>
    <row r="237" spans="1:249" s="32" customFormat="1" x14ac:dyDescent="0.25">
      <c r="A237" s="32">
        <v>17</v>
      </c>
      <c r="B237" s="32" t="s">
        <v>317</v>
      </c>
      <c r="C237" s="32" t="s">
        <v>318</v>
      </c>
      <c r="D237" s="32">
        <v>2016</v>
      </c>
      <c r="E237" s="32">
        <v>2011</v>
      </c>
      <c r="F237" s="32" t="s">
        <v>303</v>
      </c>
      <c r="G237" s="32" t="s">
        <v>319</v>
      </c>
      <c r="H237" s="32" t="s">
        <v>2831</v>
      </c>
      <c r="I237" s="32">
        <f t="shared" si="38"/>
        <v>40.716666666666669</v>
      </c>
      <c r="J237" s="32">
        <f t="shared" si="39"/>
        <v>-77.916666666666671</v>
      </c>
      <c r="K237" s="32">
        <v>350</v>
      </c>
      <c r="O237" s="32">
        <v>975</v>
      </c>
      <c r="Q237" s="44">
        <v>1</v>
      </c>
      <c r="R237" s="44" t="s">
        <v>1856</v>
      </c>
      <c r="S237" s="44"/>
      <c r="T237" s="44" t="s">
        <v>1874</v>
      </c>
      <c r="U237" s="44" t="s">
        <v>1393</v>
      </c>
      <c r="V237" s="44" t="s">
        <v>1727</v>
      </c>
      <c r="W237" s="44" t="s">
        <v>1393</v>
      </c>
      <c r="X237" s="44" t="s">
        <v>1393</v>
      </c>
      <c r="Z237" s="323"/>
      <c r="AA237" s="323"/>
      <c r="AB237" s="32" t="s">
        <v>451</v>
      </c>
      <c r="AF237" s="32" t="s">
        <v>1323</v>
      </c>
      <c r="AG237" s="32" t="s">
        <v>1507</v>
      </c>
      <c r="AH237" s="138" t="s">
        <v>636</v>
      </c>
      <c r="AI237" s="32" t="s">
        <v>133</v>
      </c>
      <c r="AJ237" s="140" t="s">
        <v>1625</v>
      </c>
      <c r="AK237" s="32" t="s">
        <v>320</v>
      </c>
      <c r="AL237" s="32" t="s">
        <v>320</v>
      </c>
      <c r="AM237" s="32" t="s">
        <v>178</v>
      </c>
      <c r="AQ237" s="32" t="s">
        <v>321</v>
      </c>
      <c r="AR237" s="32" t="s">
        <v>321</v>
      </c>
      <c r="AS237" s="32" t="s">
        <v>178</v>
      </c>
      <c r="AT237" s="32" t="s">
        <v>161</v>
      </c>
      <c r="AU237" s="32">
        <v>4</v>
      </c>
      <c r="AW237" s="32" t="s">
        <v>142</v>
      </c>
      <c r="AY237" s="32">
        <v>7415</v>
      </c>
      <c r="AZ237" s="32">
        <v>43.1</v>
      </c>
      <c r="BA237" s="53"/>
      <c r="BH237" s="32">
        <v>6975</v>
      </c>
      <c r="BI237" s="32">
        <v>5917</v>
      </c>
      <c r="BM237" s="397"/>
      <c r="BN237" s="397"/>
      <c r="BR237" s="397"/>
      <c r="BS237" s="397"/>
      <c r="BW237" s="32">
        <f t="shared" si="41"/>
        <v>8.1355000000000004</v>
      </c>
      <c r="BX237" s="32">
        <v>5.54</v>
      </c>
      <c r="CA237" s="32" t="s">
        <v>349</v>
      </c>
      <c r="CF237" s="32" t="s">
        <v>350</v>
      </c>
      <c r="EO237" s="32">
        <v>48.16</v>
      </c>
      <c r="EP237" s="32">
        <v>1.07</v>
      </c>
      <c r="ES237" s="32" t="s">
        <v>324</v>
      </c>
      <c r="FI237" s="32">
        <v>2820.6</v>
      </c>
      <c r="FJ237" s="32">
        <v>13.61</v>
      </c>
      <c r="FK237" s="32">
        <f t="shared" si="42"/>
        <v>286.86000000000058</v>
      </c>
      <c r="FL237" s="32">
        <f t="shared" si="42"/>
        <v>286.86000000000058</v>
      </c>
      <c r="FM237" s="32" t="s">
        <v>1851</v>
      </c>
      <c r="GM237" s="12"/>
      <c r="GQ237" s="12"/>
      <c r="IO237" s="32" t="s">
        <v>350</v>
      </c>
    </row>
    <row r="238" spans="1:249" s="32" customFormat="1" x14ac:dyDescent="0.25">
      <c r="A238" s="32">
        <v>17</v>
      </c>
      <c r="B238" s="32" t="s">
        <v>317</v>
      </c>
      <c r="C238" s="32" t="s">
        <v>318</v>
      </c>
      <c r="D238" s="32">
        <v>2016</v>
      </c>
      <c r="E238" s="32">
        <v>2011</v>
      </c>
      <c r="F238" s="32" t="s">
        <v>303</v>
      </c>
      <c r="G238" s="32" t="s">
        <v>319</v>
      </c>
      <c r="H238" s="32" t="s">
        <v>2831</v>
      </c>
      <c r="I238" s="32">
        <f t="shared" si="38"/>
        <v>40.716666666666669</v>
      </c>
      <c r="J238" s="32">
        <f t="shared" si="39"/>
        <v>-77.916666666666671</v>
      </c>
      <c r="K238" s="32">
        <v>350</v>
      </c>
      <c r="O238" s="32">
        <v>975</v>
      </c>
      <c r="Q238" s="44">
        <v>1</v>
      </c>
      <c r="R238" s="44" t="s">
        <v>1856</v>
      </c>
      <c r="S238" s="44"/>
      <c r="T238" s="44" t="s">
        <v>1874</v>
      </c>
      <c r="U238" s="44" t="s">
        <v>1393</v>
      </c>
      <c r="V238" s="44" t="s">
        <v>1727</v>
      </c>
      <c r="W238" s="44" t="s">
        <v>1393</v>
      </c>
      <c r="X238" s="44" t="s">
        <v>1393</v>
      </c>
      <c r="Z238" s="323"/>
      <c r="AA238" s="323"/>
      <c r="AB238" s="32" t="s">
        <v>451</v>
      </c>
      <c r="AF238" s="32" t="s">
        <v>1323</v>
      </c>
      <c r="AG238" s="32" t="s">
        <v>1508</v>
      </c>
      <c r="AH238" s="138" t="s">
        <v>636</v>
      </c>
      <c r="AI238" s="32" t="s">
        <v>133</v>
      </c>
      <c r="AJ238" s="140" t="s">
        <v>1625</v>
      </c>
      <c r="AK238" s="32" t="s">
        <v>320</v>
      </c>
      <c r="AL238" s="32" t="s">
        <v>320</v>
      </c>
      <c r="AM238" s="32" t="s">
        <v>178</v>
      </c>
      <c r="AQ238" s="32" t="s">
        <v>321</v>
      </c>
      <c r="AR238" s="32" t="s">
        <v>321</v>
      </c>
      <c r="AS238" s="32" t="s">
        <v>178</v>
      </c>
      <c r="AT238" s="32" t="s">
        <v>161</v>
      </c>
      <c r="AU238" s="32">
        <v>4</v>
      </c>
      <c r="AW238" s="32" t="s">
        <v>142</v>
      </c>
      <c r="AY238" s="32">
        <v>5850</v>
      </c>
      <c r="AZ238" s="32">
        <v>29.9</v>
      </c>
      <c r="BA238" s="53"/>
      <c r="BH238" s="32">
        <v>6975</v>
      </c>
      <c r="BI238" s="32">
        <v>6645</v>
      </c>
      <c r="BM238" s="397"/>
      <c r="BN238" s="397"/>
      <c r="BR238" s="397"/>
      <c r="BS238" s="397"/>
      <c r="BW238" s="32">
        <f t="shared" si="41"/>
        <v>8.1355000000000004</v>
      </c>
      <c r="BX238" s="32">
        <v>6.65</v>
      </c>
      <c r="CA238" s="32" t="s">
        <v>349</v>
      </c>
      <c r="CF238" s="32" t="s">
        <v>350</v>
      </c>
      <c r="EO238" s="32">
        <v>48.16</v>
      </c>
      <c r="EP238" s="32">
        <v>5.4</v>
      </c>
      <c r="ES238" s="32" t="s">
        <v>324</v>
      </c>
      <c r="FI238" s="32">
        <v>2820.6</v>
      </c>
      <c r="FJ238" s="32">
        <v>22.66</v>
      </c>
      <c r="FK238" s="32">
        <f t="shared" si="42"/>
        <v>286.86000000000058</v>
      </c>
      <c r="FL238" s="32">
        <f t="shared" si="42"/>
        <v>286.86000000000058</v>
      </c>
      <c r="FM238" s="32" t="s">
        <v>1851</v>
      </c>
      <c r="GM238" s="12"/>
      <c r="GQ238" s="12"/>
      <c r="IO238" s="32" t="s">
        <v>350</v>
      </c>
    </row>
    <row r="239" spans="1:249" s="32" customFormat="1" x14ac:dyDescent="0.25">
      <c r="A239" s="32">
        <v>17</v>
      </c>
      <c r="B239" s="32" t="s">
        <v>317</v>
      </c>
      <c r="C239" s="32" t="s">
        <v>318</v>
      </c>
      <c r="D239" s="32">
        <v>2016</v>
      </c>
      <c r="E239" s="32">
        <v>2011</v>
      </c>
      <c r="F239" s="32" t="s">
        <v>303</v>
      </c>
      <c r="G239" s="32" t="s">
        <v>319</v>
      </c>
      <c r="H239" s="32" t="s">
        <v>2831</v>
      </c>
      <c r="I239" s="32">
        <f t="shared" si="38"/>
        <v>40.716666666666669</v>
      </c>
      <c r="J239" s="32">
        <f t="shared" si="39"/>
        <v>-77.916666666666671</v>
      </c>
      <c r="K239" s="32">
        <v>350</v>
      </c>
      <c r="O239" s="32">
        <v>975</v>
      </c>
      <c r="Q239" s="44">
        <v>1</v>
      </c>
      <c r="R239" s="44" t="s">
        <v>1856</v>
      </c>
      <c r="S239" s="44"/>
      <c r="T239" s="44" t="s">
        <v>1874</v>
      </c>
      <c r="U239" s="44" t="s">
        <v>1393</v>
      </c>
      <c r="V239" s="44" t="s">
        <v>1727</v>
      </c>
      <c r="W239" s="44" t="s">
        <v>1393</v>
      </c>
      <c r="X239" s="44" t="s">
        <v>1393</v>
      </c>
      <c r="Z239" s="323"/>
      <c r="AA239" s="323"/>
      <c r="AB239" s="32" t="s">
        <v>451</v>
      </c>
      <c r="AF239" s="32" t="s">
        <v>1323</v>
      </c>
      <c r="AG239" s="32" t="s">
        <v>1509</v>
      </c>
      <c r="AH239" s="138" t="s">
        <v>636</v>
      </c>
      <c r="AI239" s="32" t="s">
        <v>133</v>
      </c>
      <c r="AJ239" s="140" t="s">
        <v>1625</v>
      </c>
      <c r="AK239" s="32" t="s">
        <v>320</v>
      </c>
      <c r="AL239" s="32" t="s">
        <v>320</v>
      </c>
      <c r="AM239" s="32" t="s">
        <v>178</v>
      </c>
      <c r="AQ239" s="32" t="s">
        <v>321</v>
      </c>
      <c r="AR239" s="32" t="s">
        <v>321</v>
      </c>
      <c r="AS239" s="32" t="s">
        <v>178</v>
      </c>
      <c r="AT239" s="32" t="s">
        <v>161</v>
      </c>
      <c r="AU239" s="32">
        <v>4</v>
      </c>
      <c r="AW239" s="32" t="s">
        <v>142</v>
      </c>
      <c r="AY239" s="32">
        <v>1724</v>
      </c>
      <c r="AZ239" s="32">
        <v>15.4</v>
      </c>
      <c r="BA239" s="53"/>
      <c r="BH239" s="32">
        <v>6975</v>
      </c>
      <c r="BI239" s="32">
        <v>7636</v>
      </c>
      <c r="BM239" s="397"/>
      <c r="BN239" s="397"/>
      <c r="BR239" s="397"/>
      <c r="BS239" s="397"/>
      <c r="BW239" s="32">
        <f t="shared" si="41"/>
        <v>8.1355000000000004</v>
      </c>
      <c r="BX239" s="32">
        <v>7.87</v>
      </c>
      <c r="CA239" s="32" t="s">
        <v>349</v>
      </c>
      <c r="CF239" s="32" t="s">
        <v>350</v>
      </c>
      <c r="EO239" s="32">
        <v>48.16</v>
      </c>
      <c r="EP239" s="32">
        <v>22.68</v>
      </c>
      <c r="ES239" s="32" t="s">
        <v>324</v>
      </c>
      <c r="FI239" s="32">
        <v>2820.6</v>
      </c>
      <c r="FJ239" s="32">
        <v>672.42</v>
      </c>
      <c r="FK239" s="32">
        <f t="shared" si="42"/>
        <v>286.86000000000058</v>
      </c>
      <c r="FL239" s="32">
        <f t="shared" si="42"/>
        <v>286.86000000000058</v>
      </c>
      <c r="FM239" s="32" t="s">
        <v>1851</v>
      </c>
      <c r="GM239" s="12"/>
      <c r="GQ239" s="12"/>
      <c r="IO239" s="32" t="s">
        <v>350</v>
      </c>
    </row>
    <row r="240" spans="1:249" s="32" customFormat="1" x14ac:dyDescent="0.25">
      <c r="A240" s="32">
        <v>17</v>
      </c>
      <c r="B240" s="32" t="s">
        <v>317</v>
      </c>
      <c r="C240" s="32" t="s">
        <v>318</v>
      </c>
      <c r="D240" s="32">
        <v>2016</v>
      </c>
      <c r="E240" s="32">
        <v>2011</v>
      </c>
      <c r="F240" s="32" t="s">
        <v>303</v>
      </c>
      <c r="G240" s="32" t="s">
        <v>319</v>
      </c>
      <c r="H240" s="32" t="s">
        <v>2831</v>
      </c>
      <c r="I240" s="32">
        <f t="shared" si="38"/>
        <v>40.716666666666669</v>
      </c>
      <c r="J240" s="32">
        <f t="shared" si="39"/>
        <v>-77.916666666666671</v>
      </c>
      <c r="K240" s="32">
        <v>350</v>
      </c>
      <c r="O240" s="32">
        <v>975</v>
      </c>
      <c r="Q240" s="44">
        <v>1</v>
      </c>
      <c r="R240" s="44" t="s">
        <v>1856</v>
      </c>
      <c r="S240" s="44"/>
      <c r="T240" s="44" t="s">
        <v>1874</v>
      </c>
      <c r="U240" s="44" t="s">
        <v>1393</v>
      </c>
      <c r="V240" s="44" t="s">
        <v>1727</v>
      </c>
      <c r="W240" s="44" t="s">
        <v>1393</v>
      </c>
      <c r="X240" s="44" t="s">
        <v>1393</v>
      </c>
      <c r="Z240" s="323"/>
      <c r="AA240" s="323"/>
      <c r="AB240" s="32" t="s">
        <v>451</v>
      </c>
      <c r="AF240" s="32" t="s">
        <v>1323</v>
      </c>
      <c r="AG240" s="32" t="s">
        <v>1510</v>
      </c>
      <c r="AH240" s="138" t="s">
        <v>636</v>
      </c>
      <c r="AI240" s="32" t="s">
        <v>133</v>
      </c>
      <c r="AJ240" s="140" t="s">
        <v>1625</v>
      </c>
      <c r="AK240" s="32" t="s">
        <v>320</v>
      </c>
      <c r="AL240" s="32" t="s">
        <v>320</v>
      </c>
      <c r="AM240" s="32" t="s">
        <v>178</v>
      </c>
      <c r="AQ240" s="32" t="s">
        <v>321</v>
      </c>
      <c r="AR240" s="32" t="s">
        <v>321</v>
      </c>
      <c r="AS240" s="32" t="s">
        <v>178</v>
      </c>
      <c r="AT240" s="32" t="s">
        <v>161</v>
      </c>
      <c r="AU240" s="32">
        <v>4</v>
      </c>
      <c r="AW240" s="32" t="s">
        <v>142</v>
      </c>
      <c r="AY240" s="32">
        <v>6699</v>
      </c>
      <c r="AZ240" s="32">
        <v>16.399999999999999</v>
      </c>
      <c r="BA240" s="53"/>
      <c r="BH240" s="32">
        <v>6975</v>
      </c>
      <c r="BI240" s="32">
        <v>9289</v>
      </c>
      <c r="BM240" s="397"/>
      <c r="BN240" s="397"/>
      <c r="BR240" s="397"/>
      <c r="BS240" s="397"/>
      <c r="BW240" s="32">
        <f t="shared" si="41"/>
        <v>8.1355000000000004</v>
      </c>
      <c r="BX240" s="32">
        <v>11.12</v>
      </c>
      <c r="CA240" s="32" t="s">
        <v>349</v>
      </c>
      <c r="CF240" s="32" t="s">
        <v>350</v>
      </c>
      <c r="EO240" s="32">
        <v>48.16</v>
      </c>
      <c r="EP240" s="32">
        <v>3.65</v>
      </c>
      <c r="ES240" s="32" t="s">
        <v>324</v>
      </c>
      <c r="FI240" s="32">
        <v>2820.6</v>
      </c>
      <c r="FJ240" s="32">
        <v>21.63</v>
      </c>
      <c r="FK240" s="32">
        <f t="shared" si="42"/>
        <v>286.86000000000058</v>
      </c>
      <c r="FL240" s="32">
        <f t="shared" si="42"/>
        <v>286.86000000000058</v>
      </c>
      <c r="FM240" s="32" t="s">
        <v>1851</v>
      </c>
      <c r="GM240" s="12"/>
      <c r="GQ240" s="12"/>
      <c r="IO240" s="32" t="s">
        <v>350</v>
      </c>
    </row>
    <row r="241" spans="1:249" s="32" customFormat="1" x14ac:dyDescent="0.25">
      <c r="A241" s="32">
        <v>17</v>
      </c>
      <c r="B241" s="32" t="s">
        <v>317</v>
      </c>
      <c r="C241" s="32" t="s">
        <v>318</v>
      </c>
      <c r="D241" s="32">
        <v>2016</v>
      </c>
      <c r="E241" s="32">
        <v>2011</v>
      </c>
      <c r="F241" s="32" t="s">
        <v>303</v>
      </c>
      <c r="G241" s="32" t="s">
        <v>319</v>
      </c>
      <c r="H241" s="32" t="s">
        <v>2831</v>
      </c>
      <c r="I241" s="32">
        <f t="shared" si="38"/>
        <v>40.716666666666669</v>
      </c>
      <c r="J241" s="32">
        <f t="shared" si="39"/>
        <v>-77.916666666666671</v>
      </c>
      <c r="K241" s="32">
        <v>350</v>
      </c>
      <c r="O241" s="32">
        <v>975</v>
      </c>
      <c r="Q241" s="44">
        <v>1</v>
      </c>
      <c r="R241" s="44" t="s">
        <v>1856</v>
      </c>
      <c r="S241" s="44"/>
      <c r="T241" s="44" t="s">
        <v>1874</v>
      </c>
      <c r="U241" s="44" t="s">
        <v>1393</v>
      </c>
      <c r="V241" s="44" t="s">
        <v>1727</v>
      </c>
      <c r="W241" s="44" t="s">
        <v>1393</v>
      </c>
      <c r="X241" s="44" t="s">
        <v>1393</v>
      </c>
      <c r="Z241" s="323"/>
      <c r="AA241" s="323"/>
      <c r="AB241" s="32" t="s">
        <v>451</v>
      </c>
      <c r="AF241" s="32" t="s">
        <v>1323</v>
      </c>
      <c r="AG241" s="32" t="s">
        <v>1511</v>
      </c>
      <c r="AH241" s="138" t="s">
        <v>636</v>
      </c>
      <c r="AI241" s="32" t="s">
        <v>133</v>
      </c>
      <c r="AJ241" s="140" t="s">
        <v>1625</v>
      </c>
      <c r="AK241" s="32" t="s">
        <v>320</v>
      </c>
      <c r="AL241" s="32" t="s">
        <v>320</v>
      </c>
      <c r="AM241" s="32" t="s">
        <v>178</v>
      </c>
      <c r="AQ241" s="32" t="s">
        <v>321</v>
      </c>
      <c r="AR241" s="32" t="s">
        <v>321</v>
      </c>
      <c r="AS241" s="32" t="s">
        <v>178</v>
      </c>
      <c r="AT241" s="32" t="s">
        <v>161</v>
      </c>
      <c r="AU241" s="32">
        <v>4</v>
      </c>
      <c r="AW241" s="32" t="s">
        <v>142</v>
      </c>
      <c r="AY241" s="32">
        <v>6997</v>
      </c>
      <c r="AZ241" s="32">
        <v>35.9</v>
      </c>
      <c r="BA241" s="53"/>
      <c r="BH241" s="32">
        <v>6975</v>
      </c>
      <c r="BI241" s="32">
        <v>5818</v>
      </c>
      <c r="BM241" s="397"/>
      <c r="BN241" s="397"/>
      <c r="BR241" s="397"/>
      <c r="BS241" s="397"/>
      <c r="BW241" s="32">
        <f t="shared" si="41"/>
        <v>8.1355000000000004</v>
      </c>
      <c r="BX241" s="32">
        <v>6.23</v>
      </c>
      <c r="CA241" s="32" t="s">
        <v>349</v>
      </c>
      <c r="CF241" s="32" t="s">
        <v>350</v>
      </c>
      <c r="EO241" s="32">
        <v>48.16</v>
      </c>
      <c r="EP241" s="32">
        <v>0.97</v>
      </c>
      <c r="ES241" s="32" t="s">
        <v>324</v>
      </c>
      <c r="FI241" s="32">
        <v>2820.6</v>
      </c>
      <c r="FJ241" s="32">
        <v>11.57</v>
      </c>
      <c r="FK241" s="32">
        <f t="shared" si="42"/>
        <v>286.86000000000058</v>
      </c>
      <c r="FL241" s="32">
        <f t="shared" si="42"/>
        <v>286.86000000000058</v>
      </c>
      <c r="FM241" s="32" t="s">
        <v>1851</v>
      </c>
      <c r="GM241" s="12"/>
      <c r="GQ241" s="12"/>
      <c r="IO241" s="32" t="s">
        <v>350</v>
      </c>
    </row>
    <row r="242" spans="1:249" s="32" customFormat="1" x14ac:dyDescent="0.25">
      <c r="A242" s="32">
        <v>17</v>
      </c>
      <c r="B242" s="32" t="s">
        <v>317</v>
      </c>
      <c r="C242" s="32" t="s">
        <v>318</v>
      </c>
      <c r="D242" s="32">
        <v>2016</v>
      </c>
      <c r="E242" s="32">
        <v>2011</v>
      </c>
      <c r="F242" s="32" t="s">
        <v>303</v>
      </c>
      <c r="G242" s="32" t="s">
        <v>319</v>
      </c>
      <c r="H242" s="32" t="s">
        <v>2831</v>
      </c>
      <c r="I242" s="32">
        <f t="shared" si="38"/>
        <v>40.716666666666669</v>
      </c>
      <c r="J242" s="32">
        <f t="shared" si="39"/>
        <v>-77.916666666666671</v>
      </c>
      <c r="K242" s="32">
        <v>350</v>
      </c>
      <c r="O242" s="32">
        <v>975</v>
      </c>
      <c r="Q242" s="44">
        <v>1</v>
      </c>
      <c r="R242" s="44" t="s">
        <v>1856</v>
      </c>
      <c r="S242" s="44"/>
      <c r="T242" s="44" t="s">
        <v>1874</v>
      </c>
      <c r="U242" s="44" t="s">
        <v>1393</v>
      </c>
      <c r="V242" s="44" t="s">
        <v>1727</v>
      </c>
      <c r="W242" s="44" t="s">
        <v>1393</v>
      </c>
      <c r="X242" s="44" t="s">
        <v>1393</v>
      </c>
      <c r="Z242" s="323"/>
      <c r="AA242" s="323"/>
      <c r="AB242" s="32" t="s">
        <v>451</v>
      </c>
      <c r="AF242" s="32" t="s">
        <v>1323</v>
      </c>
      <c r="AG242" s="32" t="s">
        <v>1512</v>
      </c>
      <c r="AH242" s="138" t="s">
        <v>636</v>
      </c>
      <c r="AI242" s="32" t="s">
        <v>133</v>
      </c>
      <c r="AJ242" s="140" t="s">
        <v>1625</v>
      </c>
      <c r="AK242" s="32" t="s">
        <v>320</v>
      </c>
      <c r="AL242" s="32" t="s">
        <v>320</v>
      </c>
      <c r="AM242" s="32" t="s">
        <v>178</v>
      </c>
      <c r="AQ242" s="32" t="s">
        <v>321</v>
      </c>
      <c r="AR242" s="32" t="s">
        <v>321</v>
      </c>
      <c r="AS242" s="32" t="s">
        <v>178</v>
      </c>
      <c r="AT242" s="32" t="s">
        <v>161</v>
      </c>
      <c r="AU242" s="32">
        <v>4</v>
      </c>
      <c r="AW242" s="32" t="s">
        <v>142</v>
      </c>
      <c r="AY242" s="32">
        <v>5374</v>
      </c>
      <c r="AZ242" s="32">
        <v>11</v>
      </c>
      <c r="BA242" s="53"/>
      <c r="BH242" s="32">
        <v>6975</v>
      </c>
      <c r="BI242" s="32">
        <v>10281</v>
      </c>
      <c r="BM242" s="397"/>
      <c r="BN242" s="397"/>
      <c r="BR242" s="397"/>
      <c r="BS242" s="397"/>
      <c r="BW242" s="32">
        <f t="shared" si="41"/>
        <v>8.1355000000000004</v>
      </c>
      <c r="BX242" s="32">
        <v>17.11</v>
      </c>
      <c r="CA242" s="32" t="s">
        <v>349</v>
      </c>
      <c r="CF242" s="32" t="s">
        <v>350</v>
      </c>
      <c r="EO242" s="32">
        <v>48.16</v>
      </c>
      <c r="EP242" s="32">
        <v>24.38</v>
      </c>
      <c r="ES242" s="32" t="s">
        <v>324</v>
      </c>
      <c r="FI242" s="32">
        <v>2820.6</v>
      </c>
      <c r="FJ242" s="32">
        <v>20.62</v>
      </c>
      <c r="FK242" s="32">
        <f t="shared" si="42"/>
        <v>286.86000000000058</v>
      </c>
      <c r="FL242" s="32">
        <f t="shared" si="42"/>
        <v>286.86000000000058</v>
      </c>
      <c r="FM242" s="32" t="s">
        <v>1851</v>
      </c>
      <c r="GM242" s="12"/>
      <c r="GQ242" s="12"/>
      <c r="IO242" s="32" t="s">
        <v>350</v>
      </c>
    </row>
    <row r="243" spans="1:249" s="32" customFormat="1" x14ac:dyDescent="0.25">
      <c r="A243" s="32">
        <v>17</v>
      </c>
      <c r="B243" s="32" t="s">
        <v>317</v>
      </c>
      <c r="C243" s="32" t="s">
        <v>318</v>
      </c>
      <c r="D243" s="32">
        <v>2016</v>
      </c>
      <c r="E243" s="32">
        <v>2011</v>
      </c>
      <c r="F243" s="32" t="s">
        <v>303</v>
      </c>
      <c r="G243" s="32" t="s">
        <v>319</v>
      </c>
      <c r="H243" s="32" t="s">
        <v>2831</v>
      </c>
      <c r="I243" s="32">
        <f t="shared" si="38"/>
        <v>40.716666666666669</v>
      </c>
      <c r="J243" s="32">
        <f t="shared" si="39"/>
        <v>-77.916666666666671</v>
      </c>
      <c r="K243" s="32">
        <v>350</v>
      </c>
      <c r="O243" s="32">
        <v>975</v>
      </c>
      <c r="Q243" s="44">
        <v>1</v>
      </c>
      <c r="R243" s="44" t="s">
        <v>1856</v>
      </c>
      <c r="S243" s="44"/>
      <c r="T243" s="44" t="s">
        <v>1874</v>
      </c>
      <c r="U243" s="44" t="s">
        <v>1393</v>
      </c>
      <c r="V243" s="44" t="s">
        <v>1727</v>
      </c>
      <c r="W243" s="44" t="s">
        <v>1393</v>
      </c>
      <c r="X243" s="44" t="s">
        <v>1393</v>
      </c>
      <c r="Z243" s="323"/>
      <c r="AA243" s="323"/>
      <c r="AB243" s="32" t="s">
        <v>451</v>
      </c>
      <c r="AF243" s="32" t="s">
        <v>1323</v>
      </c>
      <c r="AG243" s="32" t="s">
        <v>322</v>
      </c>
      <c r="AH243" s="138" t="s">
        <v>636</v>
      </c>
      <c r="AI243" s="32" t="s">
        <v>133</v>
      </c>
      <c r="AJ243" s="140" t="s">
        <v>1625</v>
      </c>
      <c r="AK243" s="32" t="s">
        <v>320</v>
      </c>
      <c r="AL243" s="32" t="s">
        <v>320</v>
      </c>
      <c r="AM243" s="32" t="s">
        <v>178</v>
      </c>
      <c r="AQ243" s="32" t="s">
        <v>321</v>
      </c>
      <c r="AR243" s="32" t="s">
        <v>321</v>
      </c>
      <c r="AS243" s="32" t="s">
        <v>178</v>
      </c>
      <c r="AT243" s="32" t="s">
        <v>161</v>
      </c>
      <c r="AU243" s="32">
        <v>4</v>
      </c>
      <c r="AW243" s="32" t="s">
        <v>142</v>
      </c>
      <c r="AY243" s="32">
        <v>7143</v>
      </c>
      <c r="AZ243" s="32">
        <v>15</v>
      </c>
      <c r="BA243" s="53"/>
      <c r="BH243" s="32">
        <v>6975</v>
      </c>
      <c r="BI243" s="32">
        <v>9884</v>
      </c>
      <c r="BM243" s="397"/>
      <c r="BN243" s="397"/>
      <c r="BR243" s="397"/>
      <c r="BS243" s="397"/>
      <c r="BW243" s="32">
        <f t="shared" si="41"/>
        <v>8.1355000000000004</v>
      </c>
      <c r="BX243" s="32">
        <v>13.95</v>
      </c>
      <c r="CA243" s="32" t="s">
        <v>349</v>
      </c>
      <c r="CF243" s="32" t="s">
        <v>350</v>
      </c>
      <c r="EO243" s="32">
        <v>48.16</v>
      </c>
      <c r="EP243" s="32">
        <v>11.53</v>
      </c>
      <c r="ES243" s="32" t="s">
        <v>324</v>
      </c>
      <c r="FI243" s="32">
        <v>2820.6</v>
      </c>
      <c r="FJ243" s="32">
        <v>10</v>
      </c>
      <c r="FK243" s="32">
        <f t="shared" si="42"/>
        <v>286.86000000000058</v>
      </c>
      <c r="FL243" s="32">
        <f t="shared" si="42"/>
        <v>286.86000000000058</v>
      </c>
      <c r="FM243" s="32" t="s">
        <v>1851</v>
      </c>
      <c r="GM243" s="12"/>
      <c r="GQ243" s="12"/>
      <c r="IO243" s="32" t="s">
        <v>350</v>
      </c>
    </row>
    <row r="244" spans="1:249" s="32" customFormat="1" x14ac:dyDescent="0.25">
      <c r="A244" s="32">
        <v>17</v>
      </c>
      <c r="B244" s="32" t="s">
        <v>317</v>
      </c>
      <c r="C244" s="32" t="s">
        <v>318</v>
      </c>
      <c r="D244" s="32">
        <v>2016</v>
      </c>
      <c r="E244" s="32">
        <v>2011</v>
      </c>
      <c r="F244" s="32" t="s">
        <v>303</v>
      </c>
      <c r="G244" s="32" t="s">
        <v>319</v>
      </c>
      <c r="H244" s="32" t="s">
        <v>2831</v>
      </c>
      <c r="I244" s="32">
        <f t="shared" si="38"/>
        <v>40.716666666666669</v>
      </c>
      <c r="J244" s="32">
        <f t="shared" si="39"/>
        <v>-77.916666666666671</v>
      </c>
      <c r="K244" s="32">
        <v>350</v>
      </c>
      <c r="O244" s="32">
        <v>975</v>
      </c>
      <c r="Q244" s="44">
        <v>1</v>
      </c>
      <c r="R244" s="44" t="s">
        <v>1856</v>
      </c>
      <c r="S244" s="44"/>
      <c r="T244" s="44" t="s">
        <v>1874</v>
      </c>
      <c r="U244" s="44" t="s">
        <v>1393</v>
      </c>
      <c r="V244" s="44" t="s">
        <v>1727</v>
      </c>
      <c r="W244" s="44" t="s">
        <v>1393</v>
      </c>
      <c r="X244" s="44" t="s">
        <v>1393</v>
      </c>
      <c r="Z244" s="323"/>
      <c r="AA244" s="323"/>
      <c r="AB244" s="32" t="s">
        <v>451</v>
      </c>
      <c r="AF244" s="32" t="s">
        <v>1323</v>
      </c>
      <c r="AG244" s="32" t="s">
        <v>323</v>
      </c>
      <c r="AH244" s="138" t="s">
        <v>636</v>
      </c>
      <c r="AI244" s="32" t="s">
        <v>133</v>
      </c>
      <c r="AJ244" s="140" t="s">
        <v>1625</v>
      </c>
      <c r="AK244" s="32" t="s">
        <v>320</v>
      </c>
      <c r="AL244" s="32" t="s">
        <v>320</v>
      </c>
      <c r="AM244" s="32" t="s">
        <v>178</v>
      </c>
      <c r="AQ244" s="32" t="s">
        <v>321</v>
      </c>
      <c r="AR244" s="32" t="s">
        <v>321</v>
      </c>
      <c r="AS244" s="32" t="s">
        <v>178</v>
      </c>
      <c r="AT244" s="32" t="s">
        <v>161</v>
      </c>
      <c r="AU244" s="32">
        <v>4</v>
      </c>
      <c r="AW244" s="32" t="s">
        <v>142</v>
      </c>
      <c r="BA244" s="53"/>
      <c r="BM244" s="397"/>
      <c r="BN244" s="397"/>
      <c r="BR244" s="397"/>
      <c r="BS244" s="397"/>
      <c r="FI244" s="32">
        <v>2820.6</v>
      </c>
      <c r="FJ244" s="32">
        <v>10</v>
      </c>
      <c r="FK244" s="32">
        <f t="shared" si="42"/>
        <v>286.86000000000058</v>
      </c>
      <c r="FL244" s="32">
        <f t="shared" si="42"/>
        <v>286.86000000000058</v>
      </c>
      <c r="FM244" s="32" t="s">
        <v>1851</v>
      </c>
      <c r="GM244" s="12"/>
      <c r="GQ244" s="12"/>
      <c r="IO244" s="32" t="s">
        <v>350</v>
      </c>
    </row>
    <row r="245" spans="1:249" s="24" customFormat="1" x14ac:dyDescent="0.25">
      <c r="A245" s="24">
        <v>17</v>
      </c>
      <c r="B245" s="24" t="s">
        <v>317</v>
      </c>
      <c r="C245" s="24" t="s">
        <v>318</v>
      </c>
      <c r="D245" s="24">
        <v>2016</v>
      </c>
      <c r="E245" s="24">
        <v>2012</v>
      </c>
      <c r="F245" s="32" t="s">
        <v>303</v>
      </c>
      <c r="G245" s="24" t="s">
        <v>319</v>
      </c>
      <c r="H245" s="32" t="s">
        <v>2831</v>
      </c>
      <c r="I245" s="24">
        <f t="shared" si="38"/>
        <v>40.716666666666669</v>
      </c>
      <c r="J245" s="24">
        <f t="shared" si="39"/>
        <v>-77.916666666666671</v>
      </c>
      <c r="K245" s="24">
        <v>350</v>
      </c>
      <c r="O245" s="24">
        <v>975</v>
      </c>
      <c r="Q245" s="42">
        <v>2</v>
      </c>
      <c r="R245" s="42" t="s">
        <v>1856</v>
      </c>
      <c r="S245" s="42"/>
      <c r="T245" s="42" t="s">
        <v>1874</v>
      </c>
      <c r="U245" s="42" t="s">
        <v>1393</v>
      </c>
      <c r="V245" s="42" t="s">
        <v>1727</v>
      </c>
      <c r="W245" s="42" t="s">
        <v>1393</v>
      </c>
      <c r="X245" s="42" t="s">
        <v>1393</v>
      </c>
      <c r="Z245" s="321"/>
      <c r="AA245" s="321"/>
      <c r="AB245" s="24" t="s">
        <v>451</v>
      </c>
      <c r="AF245" s="24" t="s">
        <v>1323</v>
      </c>
      <c r="AG245" s="24" t="s">
        <v>1534</v>
      </c>
      <c r="AH245" s="138" t="s">
        <v>578</v>
      </c>
      <c r="AI245" s="24" t="s">
        <v>133</v>
      </c>
      <c r="AJ245" s="140" t="s">
        <v>1625</v>
      </c>
      <c r="AK245" s="24" t="s">
        <v>320</v>
      </c>
      <c r="AL245" s="24" t="s">
        <v>320</v>
      </c>
      <c r="AM245" s="24" t="s">
        <v>178</v>
      </c>
      <c r="AQ245" s="24" t="s">
        <v>321</v>
      </c>
      <c r="AR245" s="24" t="s">
        <v>321</v>
      </c>
      <c r="AS245" s="24" t="s">
        <v>178</v>
      </c>
      <c r="AT245" s="24" t="s">
        <v>161</v>
      </c>
      <c r="AU245" s="24">
        <v>4</v>
      </c>
      <c r="AW245" s="24" t="s">
        <v>142</v>
      </c>
      <c r="AY245" s="24">
        <v>666</v>
      </c>
      <c r="AZ245" s="24">
        <v>11.7</v>
      </c>
      <c r="BA245" s="53"/>
      <c r="BH245" s="24">
        <v>8826</v>
      </c>
      <c r="BI245" s="24">
        <v>7570</v>
      </c>
      <c r="BM245" s="395"/>
      <c r="BN245" s="395"/>
      <c r="BR245" s="395"/>
      <c r="BS245" s="395"/>
      <c r="BW245" s="24">
        <f>15.23*0.614</f>
        <v>9.3512199999999996</v>
      </c>
      <c r="BX245" s="24">
        <v>8.5399999999999991</v>
      </c>
      <c r="CA245" s="24" t="s">
        <v>349</v>
      </c>
      <c r="CF245" s="32" t="s">
        <v>350</v>
      </c>
      <c r="EO245" s="24">
        <v>115.77</v>
      </c>
      <c r="EP245" s="24">
        <v>42.8294</v>
      </c>
      <c r="ES245" s="32" t="s">
        <v>324</v>
      </c>
      <c r="FI245" s="24">
        <v>190.68</v>
      </c>
      <c r="FJ245" s="24">
        <v>295.35000000000002</v>
      </c>
      <c r="FK245" s="24">
        <f t="shared" ref="FK245:FK261" si="43">(267.2-FG245)*2</f>
        <v>534.4</v>
      </c>
      <c r="FL245" s="24">
        <f t="shared" ref="FL245:FL261" si="44">(267.2-FH245)*2</f>
        <v>534.4</v>
      </c>
      <c r="FM245" s="24" t="s">
        <v>1851</v>
      </c>
      <c r="GM245" s="12"/>
      <c r="GQ245" s="12"/>
      <c r="IO245" s="32" t="s">
        <v>350</v>
      </c>
    </row>
    <row r="246" spans="1:249" s="24" customFormat="1" x14ac:dyDescent="0.25">
      <c r="A246" s="24">
        <v>17</v>
      </c>
      <c r="B246" s="24" t="s">
        <v>317</v>
      </c>
      <c r="C246" s="24" t="s">
        <v>318</v>
      </c>
      <c r="D246" s="24">
        <v>2016</v>
      </c>
      <c r="E246" s="24">
        <v>2012</v>
      </c>
      <c r="F246" s="32" t="s">
        <v>303</v>
      </c>
      <c r="G246" s="24" t="s">
        <v>319</v>
      </c>
      <c r="H246" s="32" t="s">
        <v>2831</v>
      </c>
      <c r="I246" s="24">
        <f t="shared" si="38"/>
        <v>40.716666666666669</v>
      </c>
      <c r="J246" s="24">
        <f t="shared" si="39"/>
        <v>-77.916666666666671</v>
      </c>
      <c r="K246" s="24">
        <v>350</v>
      </c>
      <c r="O246" s="24">
        <v>975</v>
      </c>
      <c r="Q246" s="42">
        <v>2</v>
      </c>
      <c r="R246" s="42" t="s">
        <v>1856</v>
      </c>
      <c r="S246" s="42"/>
      <c r="T246" s="42" t="s">
        <v>1874</v>
      </c>
      <c r="U246" s="42" t="s">
        <v>1393</v>
      </c>
      <c r="V246" s="42" t="s">
        <v>1727</v>
      </c>
      <c r="W246" s="42" t="s">
        <v>1393</v>
      </c>
      <c r="X246" s="42" t="s">
        <v>1393</v>
      </c>
      <c r="Z246" s="321"/>
      <c r="AA246" s="321"/>
      <c r="AB246" s="24" t="s">
        <v>451</v>
      </c>
      <c r="AF246" s="24" t="s">
        <v>1323</v>
      </c>
      <c r="AG246" s="24" t="s">
        <v>1154</v>
      </c>
      <c r="AH246" s="138" t="s">
        <v>578</v>
      </c>
      <c r="AI246" s="24" t="s">
        <v>133</v>
      </c>
      <c r="AJ246" s="140" t="s">
        <v>1625</v>
      </c>
      <c r="AK246" s="24" t="s">
        <v>320</v>
      </c>
      <c r="AL246" s="24" t="s">
        <v>320</v>
      </c>
      <c r="AM246" s="24" t="s">
        <v>178</v>
      </c>
      <c r="AQ246" s="24" t="s">
        <v>321</v>
      </c>
      <c r="AR246" s="24" t="s">
        <v>321</v>
      </c>
      <c r="AS246" s="24" t="s">
        <v>178</v>
      </c>
      <c r="AT246" s="24" t="s">
        <v>161</v>
      </c>
      <c r="AU246" s="24">
        <v>4</v>
      </c>
      <c r="AW246" s="24" t="s">
        <v>142</v>
      </c>
      <c r="AY246" s="24">
        <v>2086</v>
      </c>
      <c r="AZ246" s="24">
        <v>11.2</v>
      </c>
      <c r="BA246" s="53"/>
      <c r="BH246" s="24">
        <v>8826</v>
      </c>
      <c r="BI246" s="24">
        <v>8165</v>
      </c>
      <c r="BM246" s="395"/>
      <c r="BN246" s="395"/>
      <c r="BR246" s="395"/>
      <c r="BS246" s="395"/>
      <c r="BW246" s="24">
        <f t="shared" ref="BW246:BW261" si="45">15.23*0.614</f>
        <v>9.3512199999999996</v>
      </c>
      <c r="BX246" s="24">
        <v>7.31</v>
      </c>
      <c r="CA246" s="24" t="s">
        <v>349</v>
      </c>
      <c r="CF246" s="32" t="s">
        <v>350</v>
      </c>
      <c r="EO246" s="24">
        <v>115.77</v>
      </c>
      <c r="EP246" s="24">
        <v>115.73</v>
      </c>
      <c r="ES246" s="32" t="s">
        <v>324</v>
      </c>
      <c r="FI246" s="24">
        <v>190.68</v>
      </c>
      <c r="FJ246" s="24">
        <v>256.60000000000002</v>
      </c>
      <c r="FK246" s="24">
        <f t="shared" si="43"/>
        <v>534.4</v>
      </c>
      <c r="FL246" s="24">
        <f t="shared" si="44"/>
        <v>534.4</v>
      </c>
      <c r="FM246" s="24" t="s">
        <v>1851</v>
      </c>
      <c r="GM246" s="12"/>
      <c r="GQ246" s="12"/>
      <c r="IO246" s="32" t="s">
        <v>350</v>
      </c>
    </row>
    <row r="247" spans="1:249" s="24" customFormat="1" x14ac:dyDescent="0.25">
      <c r="A247" s="24">
        <v>17</v>
      </c>
      <c r="B247" s="24" t="s">
        <v>317</v>
      </c>
      <c r="C247" s="24" t="s">
        <v>318</v>
      </c>
      <c r="D247" s="24">
        <v>2016</v>
      </c>
      <c r="E247" s="24">
        <v>2012</v>
      </c>
      <c r="F247" s="32" t="s">
        <v>303</v>
      </c>
      <c r="G247" s="24" t="s">
        <v>319</v>
      </c>
      <c r="H247" s="32" t="s">
        <v>2831</v>
      </c>
      <c r="I247" s="24">
        <f t="shared" si="38"/>
        <v>40.716666666666669</v>
      </c>
      <c r="J247" s="24">
        <f t="shared" si="39"/>
        <v>-77.916666666666671</v>
      </c>
      <c r="K247" s="24">
        <v>350</v>
      </c>
      <c r="O247" s="24">
        <v>975</v>
      </c>
      <c r="Q247" s="42">
        <v>2</v>
      </c>
      <c r="R247" s="42" t="s">
        <v>1856</v>
      </c>
      <c r="S247" s="42"/>
      <c r="T247" s="42" t="s">
        <v>1874</v>
      </c>
      <c r="U247" s="42" t="s">
        <v>1393</v>
      </c>
      <c r="V247" s="42" t="s">
        <v>1727</v>
      </c>
      <c r="W247" s="42" t="s">
        <v>1393</v>
      </c>
      <c r="X247" s="42" t="s">
        <v>1393</v>
      </c>
      <c r="Z247" s="321"/>
      <c r="AA247" s="321"/>
      <c r="AB247" s="24" t="s">
        <v>451</v>
      </c>
      <c r="AF247" s="24" t="s">
        <v>1323</v>
      </c>
      <c r="AG247" s="24" t="s">
        <v>1535</v>
      </c>
      <c r="AH247" s="138" t="s">
        <v>578</v>
      </c>
      <c r="AI247" s="24" t="s">
        <v>133</v>
      </c>
      <c r="AJ247" s="140" t="s">
        <v>1625</v>
      </c>
      <c r="AK247" s="24" t="s">
        <v>320</v>
      </c>
      <c r="AL247" s="24" t="s">
        <v>320</v>
      </c>
      <c r="AM247" s="24" t="s">
        <v>178</v>
      </c>
      <c r="AQ247" s="24" t="s">
        <v>321</v>
      </c>
      <c r="AR247" s="24" t="s">
        <v>321</v>
      </c>
      <c r="AS247" s="24" t="s">
        <v>178</v>
      </c>
      <c r="AT247" s="24" t="s">
        <v>161</v>
      </c>
      <c r="AU247" s="24">
        <v>4</v>
      </c>
      <c r="AW247" s="24" t="s">
        <v>142</v>
      </c>
      <c r="AY247" s="24">
        <v>4055</v>
      </c>
      <c r="AZ247" s="24">
        <v>14.5</v>
      </c>
      <c r="BA247" s="53"/>
      <c r="BH247" s="24">
        <v>8826</v>
      </c>
      <c r="BI247" s="24">
        <v>10248</v>
      </c>
      <c r="BM247" s="395"/>
      <c r="BN247" s="395"/>
      <c r="BR247" s="395"/>
      <c r="BS247" s="395"/>
      <c r="BW247" s="24">
        <f t="shared" si="45"/>
        <v>9.3512199999999996</v>
      </c>
      <c r="BX247" s="24">
        <v>9.85</v>
      </c>
      <c r="CA247" s="24" t="s">
        <v>349</v>
      </c>
      <c r="CF247" s="32" t="s">
        <v>350</v>
      </c>
      <c r="EO247" s="24">
        <v>115.77</v>
      </c>
      <c r="EP247" s="24">
        <v>88.74</v>
      </c>
      <c r="ES247" s="32" t="s">
        <v>324</v>
      </c>
      <c r="FI247" s="24">
        <v>190.68</v>
      </c>
      <c r="FJ247" s="24">
        <v>198.69</v>
      </c>
      <c r="FK247" s="24">
        <f t="shared" si="43"/>
        <v>534.4</v>
      </c>
      <c r="FL247" s="24">
        <f t="shared" si="44"/>
        <v>534.4</v>
      </c>
      <c r="FM247" s="24" t="s">
        <v>1851</v>
      </c>
      <c r="GM247" s="12"/>
      <c r="GQ247" s="12"/>
      <c r="IO247" s="32" t="s">
        <v>350</v>
      </c>
    </row>
    <row r="248" spans="1:249" s="24" customFormat="1" x14ac:dyDescent="0.25">
      <c r="A248" s="24">
        <v>17</v>
      </c>
      <c r="B248" s="24" t="s">
        <v>317</v>
      </c>
      <c r="C248" s="24" t="s">
        <v>318</v>
      </c>
      <c r="D248" s="24">
        <v>2016</v>
      </c>
      <c r="E248" s="24">
        <v>2012</v>
      </c>
      <c r="F248" s="32" t="s">
        <v>303</v>
      </c>
      <c r="G248" s="24" t="s">
        <v>319</v>
      </c>
      <c r="H248" s="32" t="s">
        <v>2831</v>
      </c>
      <c r="I248" s="24">
        <f t="shared" si="38"/>
        <v>40.716666666666669</v>
      </c>
      <c r="J248" s="24">
        <f t="shared" si="39"/>
        <v>-77.916666666666671</v>
      </c>
      <c r="K248" s="24">
        <v>350</v>
      </c>
      <c r="O248" s="24">
        <v>975</v>
      </c>
      <c r="Q248" s="42">
        <v>2</v>
      </c>
      <c r="R248" s="42" t="s">
        <v>1856</v>
      </c>
      <c r="S248" s="42"/>
      <c r="T248" s="42" t="s">
        <v>1874</v>
      </c>
      <c r="U248" s="42" t="s">
        <v>1393</v>
      </c>
      <c r="V248" s="42" t="s">
        <v>1727</v>
      </c>
      <c r="W248" s="42" t="s">
        <v>1393</v>
      </c>
      <c r="X248" s="42" t="s">
        <v>1393</v>
      </c>
      <c r="Z248" s="321"/>
      <c r="AA248" s="321"/>
      <c r="AB248" s="24" t="s">
        <v>451</v>
      </c>
      <c r="AF248" s="24" t="s">
        <v>1323</v>
      </c>
      <c r="AG248" s="24" t="s">
        <v>244</v>
      </c>
      <c r="AH248" s="138" t="s">
        <v>578</v>
      </c>
      <c r="AI248" s="24" t="s">
        <v>133</v>
      </c>
      <c r="AJ248" s="140" t="s">
        <v>1625</v>
      </c>
      <c r="AK248" s="24" t="s">
        <v>320</v>
      </c>
      <c r="AL248" s="24" t="s">
        <v>320</v>
      </c>
      <c r="AM248" s="24" t="s">
        <v>178</v>
      </c>
      <c r="AQ248" s="24" t="s">
        <v>321</v>
      </c>
      <c r="AR248" s="24" t="s">
        <v>321</v>
      </c>
      <c r="AS248" s="24" t="s">
        <v>178</v>
      </c>
      <c r="AT248" s="24" t="s">
        <v>161</v>
      </c>
      <c r="AU248" s="24">
        <v>4</v>
      </c>
      <c r="AW248" s="24" t="s">
        <v>142</v>
      </c>
      <c r="AY248" s="24">
        <v>4038</v>
      </c>
      <c r="AZ248" s="24">
        <v>9.9</v>
      </c>
      <c r="BA248" s="53"/>
      <c r="BH248" s="24">
        <v>8826</v>
      </c>
      <c r="BI248" s="24">
        <v>10843</v>
      </c>
      <c r="BM248" s="395"/>
      <c r="BN248" s="395"/>
      <c r="BR248" s="395"/>
      <c r="BS248" s="395"/>
      <c r="BW248" s="24">
        <f t="shared" si="45"/>
        <v>9.3512199999999996</v>
      </c>
      <c r="BX248" s="24">
        <v>25.21</v>
      </c>
      <c r="CA248" s="24" t="s">
        <v>349</v>
      </c>
      <c r="CF248" s="32" t="s">
        <v>350</v>
      </c>
      <c r="EO248" s="24">
        <v>115.77</v>
      </c>
      <c r="EP248" s="24">
        <v>49.82</v>
      </c>
      <c r="ES248" s="32" t="s">
        <v>324</v>
      </c>
      <c r="FI248" s="24">
        <v>190.68</v>
      </c>
      <c r="FJ248" s="24">
        <v>54.77</v>
      </c>
      <c r="FK248" s="24">
        <f t="shared" si="43"/>
        <v>534.4</v>
      </c>
      <c r="FL248" s="24">
        <f t="shared" si="44"/>
        <v>534.4</v>
      </c>
      <c r="FM248" s="24" t="s">
        <v>1851</v>
      </c>
      <c r="GM248" s="12"/>
      <c r="GQ248" s="12"/>
      <c r="IO248" s="32" t="s">
        <v>350</v>
      </c>
    </row>
    <row r="249" spans="1:249" s="24" customFormat="1" x14ac:dyDescent="0.25">
      <c r="A249" s="24">
        <v>17</v>
      </c>
      <c r="B249" s="24" t="s">
        <v>317</v>
      </c>
      <c r="C249" s="24" t="s">
        <v>318</v>
      </c>
      <c r="D249" s="24">
        <v>2016</v>
      </c>
      <c r="E249" s="24">
        <v>2012</v>
      </c>
      <c r="F249" s="32" t="s">
        <v>303</v>
      </c>
      <c r="G249" s="24" t="s">
        <v>319</v>
      </c>
      <c r="H249" s="32" t="s">
        <v>2831</v>
      </c>
      <c r="I249" s="24">
        <f t="shared" si="38"/>
        <v>40.716666666666669</v>
      </c>
      <c r="J249" s="24">
        <f t="shared" si="39"/>
        <v>-77.916666666666671</v>
      </c>
      <c r="K249" s="24">
        <v>350</v>
      </c>
      <c r="O249" s="24">
        <v>975</v>
      </c>
      <c r="Q249" s="42">
        <v>2</v>
      </c>
      <c r="R249" s="42" t="s">
        <v>1856</v>
      </c>
      <c r="S249" s="42"/>
      <c r="T249" s="42" t="s">
        <v>1874</v>
      </c>
      <c r="U249" s="42" t="s">
        <v>1393</v>
      </c>
      <c r="V249" s="42" t="s">
        <v>1727</v>
      </c>
      <c r="W249" s="42" t="s">
        <v>1393</v>
      </c>
      <c r="X249" s="42" t="s">
        <v>1393</v>
      </c>
      <c r="Z249" s="321"/>
      <c r="AA249" s="321"/>
      <c r="AB249" s="24" t="s">
        <v>451</v>
      </c>
      <c r="AF249" s="24" t="s">
        <v>1323</v>
      </c>
      <c r="AG249" s="24" t="s">
        <v>1581</v>
      </c>
      <c r="AH249" s="138" t="s">
        <v>1131</v>
      </c>
      <c r="AI249" s="24" t="s">
        <v>133</v>
      </c>
      <c r="AJ249" s="140" t="s">
        <v>1625</v>
      </c>
      <c r="AK249" s="24" t="s">
        <v>320</v>
      </c>
      <c r="AL249" s="24" t="s">
        <v>320</v>
      </c>
      <c r="AM249" s="24" t="s">
        <v>178</v>
      </c>
      <c r="AQ249" s="24" t="s">
        <v>321</v>
      </c>
      <c r="AR249" s="24" t="s">
        <v>321</v>
      </c>
      <c r="AS249" s="24" t="s">
        <v>178</v>
      </c>
      <c r="AT249" s="24" t="s">
        <v>161</v>
      </c>
      <c r="AU249" s="24">
        <v>4</v>
      </c>
      <c r="AW249" s="24" t="s">
        <v>142</v>
      </c>
      <c r="AY249" s="24">
        <v>3122</v>
      </c>
      <c r="AZ249" s="24">
        <v>15.1</v>
      </c>
      <c r="BA249" s="53"/>
      <c r="BH249" s="24">
        <v>8826</v>
      </c>
      <c r="BI249" s="24">
        <v>8793</v>
      </c>
      <c r="BM249" s="395"/>
      <c r="BN249" s="395"/>
      <c r="BR249" s="395"/>
      <c r="BS249" s="395"/>
      <c r="BW249" s="24">
        <f t="shared" si="45"/>
        <v>9.3512199999999996</v>
      </c>
      <c r="BX249" s="24">
        <v>6.79</v>
      </c>
      <c r="CA249" s="24" t="s">
        <v>349</v>
      </c>
      <c r="CF249" s="32" t="s">
        <v>350</v>
      </c>
      <c r="EO249" s="24">
        <v>115.77</v>
      </c>
      <c r="EP249" s="24">
        <v>45.38</v>
      </c>
      <c r="ES249" s="32" t="s">
        <v>324</v>
      </c>
      <c r="FI249" s="24">
        <v>190.68</v>
      </c>
      <c r="FJ249" s="24">
        <v>25.553000000000001</v>
      </c>
      <c r="FK249" s="24">
        <f t="shared" si="43"/>
        <v>534.4</v>
      </c>
      <c r="FL249" s="24">
        <f t="shared" si="44"/>
        <v>534.4</v>
      </c>
      <c r="FM249" s="24" t="s">
        <v>1851</v>
      </c>
      <c r="GM249" s="12"/>
      <c r="GQ249" s="12"/>
      <c r="IO249" s="32" t="s">
        <v>350</v>
      </c>
    </row>
    <row r="250" spans="1:249" s="24" customFormat="1" x14ac:dyDescent="0.25">
      <c r="A250" s="24">
        <v>17</v>
      </c>
      <c r="B250" s="24" t="s">
        <v>317</v>
      </c>
      <c r="C250" s="24" t="s">
        <v>318</v>
      </c>
      <c r="D250" s="24">
        <v>2016</v>
      </c>
      <c r="E250" s="24">
        <v>2012</v>
      </c>
      <c r="F250" s="32" t="s">
        <v>303</v>
      </c>
      <c r="G250" s="24" t="s">
        <v>319</v>
      </c>
      <c r="H250" s="32" t="s">
        <v>2831</v>
      </c>
      <c r="I250" s="24">
        <f t="shared" si="38"/>
        <v>40.716666666666669</v>
      </c>
      <c r="J250" s="24">
        <f t="shared" si="39"/>
        <v>-77.916666666666671</v>
      </c>
      <c r="K250" s="24">
        <v>350</v>
      </c>
      <c r="O250" s="24">
        <v>975</v>
      </c>
      <c r="Q250" s="42">
        <v>2</v>
      </c>
      <c r="R250" s="42" t="s">
        <v>1856</v>
      </c>
      <c r="S250" s="42"/>
      <c r="T250" s="42" t="s">
        <v>1874</v>
      </c>
      <c r="U250" s="42" t="s">
        <v>1393</v>
      </c>
      <c r="V250" s="42" t="s">
        <v>1727</v>
      </c>
      <c r="W250" s="42" t="s">
        <v>1393</v>
      </c>
      <c r="X250" s="42" t="s">
        <v>1393</v>
      </c>
      <c r="Z250" s="321"/>
      <c r="AA250" s="321"/>
      <c r="AB250" s="24" t="s">
        <v>451</v>
      </c>
      <c r="AF250" s="24" t="s">
        <v>1323</v>
      </c>
      <c r="AG250" s="24" t="s">
        <v>521</v>
      </c>
      <c r="AH250" s="138" t="s">
        <v>1585</v>
      </c>
      <c r="AI250" s="24" t="s">
        <v>133</v>
      </c>
      <c r="AJ250" s="140" t="s">
        <v>1625</v>
      </c>
      <c r="AK250" s="24" t="s">
        <v>320</v>
      </c>
      <c r="AL250" s="24" t="s">
        <v>320</v>
      </c>
      <c r="AM250" s="24" t="s">
        <v>178</v>
      </c>
      <c r="AQ250" s="24" t="s">
        <v>321</v>
      </c>
      <c r="AR250" s="24" t="s">
        <v>321</v>
      </c>
      <c r="AS250" s="24" t="s">
        <v>178</v>
      </c>
      <c r="AT250" s="24" t="s">
        <v>161</v>
      </c>
      <c r="AU250" s="24">
        <v>4</v>
      </c>
      <c r="AW250" s="24" t="s">
        <v>142</v>
      </c>
      <c r="AY250" s="24">
        <v>2847</v>
      </c>
      <c r="AZ250" s="24">
        <v>23</v>
      </c>
      <c r="BA250" s="53"/>
      <c r="BH250" s="24">
        <v>8826</v>
      </c>
      <c r="BI250" s="24">
        <v>7934</v>
      </c>
      <c r="BM250" s="395"/>
      <c r="BN250" s="395"/>
      <c r="BR250" s="395"/>
      <c r="BS250" s="395"/>
      <c r="BW250" s="24">
        <f t="shared" si="45"/>
        <v>9.3512199999999996</v>
      </c>
      <c r="BX250" s="24">
        <v>8.1</v>
      </c>
      <c r="CA250" s="24" t="s">
        <v>349</v>
      </c>
      <c r="CF250" s="32" t="s">
        <v>350</v>
      </c>
      <c r="EO250" s="24">
        <v>115.77</v>
      </c>
      <c r="EP250" s="24">
        <v>29</v>
      </c>
      <c r="ES250" s="32" t="s">
        <v>324</v>
      </c>
      <c r="FI250" s="24">
        <v>190.68</v>
      </c>
      <c r="FJ250" s="24">
        <v>82.42</v>
      </c>
      <c r="FK250" s="24">
        <f t="shared" si="43"/>
        <v>534.4</v>
      </c>
      <c r="FL250" s="24">
        <f t="shared" si="44"/>
        <v>534.4</v>
      </c>
      <c r="FM250" s="24" t="s">
        <v>1851</v>
      </c>
      <c r="GM250" s="12"/>
      <c r="GQ250" s="12"/>
      <c r="IO250" s="32" t="s">
        <v>350</v>
      </c>
    </row>
    <row r="251" spans="1:249" s="24" customFormat="1" x14ac:dyDescent="0.25">
      <c r="A251" s="24">
        <v>17</v>
      </c>
      <c r="B251" s="24" t="s">
        <v>317</v>
      </c>
      <c r="C251" s="24" t="s">
        <v>318</v>
      </c>
      <c r="D251" s="24">
        <v>2016</v>
      </c>
      <c r="E251" s="24">
        <v>2012</v>
      </c>
      <c r="F251" s="32" t="s">
        <v>303</v>
      </c>
      <c r="G251" s="24" t="s">
        <v>319</v>
      </c>
      <c r="H251" s="32" t="s">
        <v>2831</v>
      </c>
      <c r="I251" s="24">
        <f t="shared" si="38"/>
        <v>40.716666666666669</v>
      </c>
      <c r="J251" s="24">
        <f t="shared" si="39"/>
        <v>-77.916666666666671</v>
      </c>
      <c r="K251" s="24">
        <v>350</v>
      </c>
      <c r="O251" s="24">
        <v>975</v>
      </c>
      <c r="Q251" s="42">
        <v>2</v>
      </c>
      <c r="R251" s="42" t="s">
        <v>1856</v>
      </c>
      <c r="S251" s="42"/>
      <c r="T251" s="42" t="s">
        <v>1874</v>
      </c>
      <c r="U251" s="42" t="s">
        <v>1393</v>
      </c>
      <c r="V251" s="42" t="s">
        <v>1727</v>
      </c>
      <c r="W251" s="42" t="s">
        <v>1393</v>
      </c>
      <c r="X251" s="42" t="s">
        <v>1393</v>
      </c>
      <c r="Z251" s="321"/>
      <c r="AA251" s="321"/>
      <c r="AB251" s="24" t="s">
        <v>451</v>
      </c>
      <c r="AF251" s="24" t="s">
        <v>1323</v>
      </c>
      <c r="AG251" s="24" t="s">
        <v>524</v>
      </c>
      <c r="AH251" s="138" t="s">
        <v>1131</v>
      </c>
      <c r="AI251" s="24" t="s">
        <v>133</v>
      </c>
      <c r="AJ251" s="140" t="s">
        <v>1625</v>
      </c>
      <c r="AK251" s="24" t="s">
        <v>320</v>
      </c>
      <c r="AL251" s="24" t="s">
        <v>320</v>
      </c>
      <c r="AM251" s="24" t="s">
        <v>178</v>
      </c>
      <c r="AQ251" s="24" t="s">
        <v>321</v>
      </c>
      <c r="AR251" s="24" t="s">
        <v>321</v>
      </c>
      <c r="AS251" s="24" t="s">
        <v>178</v>
      </c>
      <c r="AT251" s="24" t="s">
        <v>161</v>
      </c>
      <c r="AU251" s="24">
        <v>4</v>
      </c>
      <c r="AW251" s="24" t="s">
        <v>142</v>
      </c>
      <c r="AY251" s="24">
        <v>7842</v>
      </c>
      <c r="AZ251" s="24">
        <v>24</v>
      </c>
      <c r="BA251" s="53"/>
      <c r="BH251" s="24">
        <v>8826</v>
      </c>
      <c r="BI251" s="24">
        <v>7074</v>
      </c>
      <c r="BM251" s="395"/>
      <c r="BN251" s="395"/>
      <c r="BR251" s="395"/>
      <c r="BS251" s="395"/>
      <c r="BW251" s="24">
        <f t="shared" si="45"/>
        <v>9.3512199999999996</v>
      </c>
      <c r="BX251" s="24">
        <v>7.89</v>
      </c>
      <c r="CA251" s="24" t="s">
        <v>349</v>
      </c>
      <c r="CF251" s="32" t="s">
        <v>350</v>
      </c>
      <c r="EO251" s="24">
        <v>115.77</v>
      </c>
      <c r="EP251" s="24">
        <v>15.72</v>
      </c>
      <c r="ES251" s="32" t="s">
        <v>324</v>
      </c>
      <c r="FI251" s="24">
        <v>190.68</v>
      </c>
      <c r="FJ251" s="24">
        <v>24.5</v>
      </c>
      <c r="FK251" s="24">
        <f t="shared" si="43"/>
        <v>534.4</v>
      </c>
      <c r="FL251" s="24">
        <f t="shared" si="44"/>
        <v>534.4</v>
      </c>
      <c r="FM251" s="24" t="s">
        <v>1851</v>
      </c>
      <c r="GM251" s="12"/>
      <c r="GQ251" s="12"/>
      <c r="IO251" s="32" t="s">
        <v>350</v>
      </c>
    </row>
    <row r="252" spans="1:249" s="24" customFormat="1" x14ac:dyDescent="0.25">
      <c r="A252" s="24">
        <v>17</v>
      </c>
      <c r="B252" s="24" t="s">
        <v>317</v>
      </c>
      <c r="C252" s="24" t="s">
        <v>318</v>
      </c>
      <c r="D252" s="24">
        <v>2016</v>
      </c>
      <c r="E252" s="24">
        <v>2012</v>
      </c>
      <c r="F252" s="32" t="s">
        <v>303</v>
      </c>
      <c r="G252" s="24" t="s">
        <v>319</v>
      </c>
      <c r="H252" s="32" t="s">
        <v>2831</v>
      </c>
      <c r="I252" s="24">
        <f t="shared" si="38"/>
        <v>40.716666666666669</v>
      </c>
      <c r="J252" s="24">
        <f t="shared" si="39"/>
        <v>-77.916666666666671</v>
      </c>
      <c r="K252" s="24">
        <v>350</v>
      </c>
      <c r="O252" s="24">
        <v>975</v>
      </c>
      <c r="Q252" s="42">
        <v>2</v>
      </c>
      <c r="R252" s="42" t="s">
        <v>1856</v>
      </c>
      <c r="S252" s="42"/>
      <c r="T252" s="42" t="s">
        <v>1874</v>
      </c>
      <c r="U252" s="42" t="s">
        <v>1393</v>
      </c>
      <c r="V252" s="42" t="s">
        <v>1727</v>
      </c>
      <c r="W252" s="42" t="s">
        <v>1393</v>
      </c>
      <c r="X252" s="42" t="s">
        <v>1393</v>
      </c>
      <c r="Z252" s="321"/>
      <c r="AA252" s="321"/>
      <c r="AB252" s="24" t="s">
        <v>451</v>
      </c>
      <c r="AF252" s="24" t="s">
        <v>1323</v>
      </c>
      <c r="AG252" s="24" t="s">
        <v>132</v>
      </c>
      <c r="AH252" s="138" t="s">
        <v>132</v>
      </c>
      <c r="AI252" s="24" t="s">
        <v>133</v>
      </c>
      <c r="AJ252" s="140" t="s">
        <v>1625</v>
      </c>
      <c r="AK252" s="24" t="s">
        <v>320</v>
      </c>
      <c r="AL252" s="24" t="s">
        <v>320</v>
      </c>
      <c r="AM252" s="24" t="s">
        <v>178</v>
      </c>
      <c r="AQ252" s="24" t="s">
        <v>321</v>
      </c>
      <c r="AR252" s="24" t="s">
        <v>321</v>
      </c>
      <c r="AS252" s="24" t="s">
        <v>178</v>
      </c>
      <c r="AT252" s="24" t="s">
        <v>161</v>
      </c>
      <c r="AU252" s="24">
        <v>4</v>
      </c>
      <c r="AW252" s="24" t="s">
        <v>142</v>
      </c>
      <c r="AY252" s="24">
        <v>9675</v>
      </c>
      <c r="AZ252" s="24">
        <v>46.2</v>
      </c>
      <c r="BA252" s="53"/>
      <c r="BH252" s="24">
        <v>8826</v>
      </c>
      <c r="BI252" s="24">
        <v>2578</v>
      </c>
      <c r="BM252" s="395"/>
      <c r="BN252" s="395"/>
      <c r="BR252" s="395"/>
      <c r="BS252" s="395"/>
      <c r="BW252" s="24">
        <f t="shared" si="45"/>
        <v>9.3512199999999996</v>
      </c>
      <c r="BX252" s="24">
        <v>1.88</v>
      </c>
      <c r="CA252" s="24" t="s">
        <v>349</v>
      </c>
      <c r="CF252" s="32" t="s">
        <v>350</v>
      </c>
      <c r="EO252" s="24">
        <v>115.77</v>
      </c>
      <c r="EP252" s="24">
        <v>10.39</v>
      </c>
      <c r="ES252" s="32" t="s">
        <v>324</v>
      </c>
      <c r="FI252" s="24">
        <v>190.68</v>
      </c>
      <c r="FJ252" s="24">
        <v>24</v>
      </c>
      <c r="FK252" s="24">
        <f t="shared" si="43"/>
        <v>534.4</v>
      </c>
      <c r="FL252" s="24">
        <f t="shared" si="44"/>
        <v>534.4</v>
      </c>
      <c r="FM252" s="24" t="s">
        <v>1851</v>
      </c>
      <c r="GM252" s="12"/>
      <c r="GQ252" s="12"/>
      <c r="IO252" s="32" t="s">
        <v>350</v>
      </c>
    </row>
    <row r="253" spans="1:249" s="24" customFormat="1" x14ac:dyDescent="0.25">
      <c r="A253" s="24">
        <v>17</v>
      </c>
      <c r="B253" s="24" t="s">
        <v>317</v>
      </c>
      <c r="C253" s="24" t="s">
        <v>318</v>
      </c>
      <c r="D253" s="24">
        <v>2016</v>
      </c>
      <c r="E253" s="24">
        <v>2012</v>
      </c>
      <c r="F253" s="32" t="s">
        <v>303</v>
      </c>
      <c r="G253" s="24" t="s">
        <v>319</v>
      </c>
      <c r="H253" s="32" t="s">
        <v>2831</v>
      </c>
      <c r="I253" s="24">
        <f t="shared" si="38"/>
        <v>40.716666666666669</v>
      </c>
      <c r="J253" s="24">
        <f t="shared" si="39"/>
        <v>-77.916666666666671</v>
      </c>
      <c r="K253" s="24">
        <v>350</v>
      </c>
      <c r="O253" s="24">
        <v>975</v>
      </c>
      <c r="Q253" s="42">
        <v>2</v>
      </c>
      <c r="R253" s="42" t="s">
        <v>1856</v>
      </c>
      <c r="S253" s="42"/>
      <c r="T253" s="42" t="s">
        <v>1874</v>
      </c>
      <c r="U253" s="42" t="s">
        <v>1393</v>
      </c>
      <c r="V253" s="42" t="s">
        <v>1727</v>
      </c>
      <c r="W253" s="42" t="s">
        <v>1393</v>
      </c>
      <c r="X253" s="42" t="s">
        <v>1393</v>
      </c>
      <c r="Z253" s="321"/>
      <c r="AA253" s="321"/>
      <c r="AB253" s="24" t="s">
        <v>451</v>
      </c>
      <c r="AF253" s="24" t="s">
        <v>1323</v>
      </c>
      <c r="AG253" s="24" t="s">
        <v>1506</v>
      </c>
      <c r="AH253" s="138" t="s">
        <v>636</v>
      </c>
      <c r="AI253" s="24" t="s">
        <v>133</v>
      </c>
      <c r="AJ253" s="140" t="s">
        <v>1625</v>
      </c>
      <c r="AK253" s="24" t="s">
        <v>320</v>
      </c>
      <c r="AL253" s="24" t="s">
        <v>320</v>
      </c>
      <c r="AM253" s="24" t="s">
        <v>178</v>
      </c>
      <c r="AQ253" s="24" t="s">
        <v>321</v>
      </c>
      <c r="AR253" s="24" t="s">
        <v>321</v>
      </c>
      <c r="AS253" s="24" t="s">
        <v>178</v>
      </c>
      <c r="AT253" s="24" t="s">
        <v>161</v>
      </c>
      <c r="AU253" s="24">
        <v>4</v>
      </c>
      <c r="AW253" s="24" t="s">
        <v>142</v>
      </c>
      <c r="AY253" s="24">
        <v>2447</v>
      </c>
      <c r="AZ253" s="24">
        <v>18.5</v>
      </c>
      <c r="BA253" s="53"/>
      <c r="BH253" s="24">
        <v>8826</v>
      </c>
      <c r="BI253" s="24">
        <v>8694</v>
      </c>
      <c r="BM253" s="395"/>
      <c r="BN253" s="395"/>
      <c r="BR253" s="395"/>
      <c r="BS253" s="395"/>
      <c r="BW253" s="24">
        <f t="shared" si="45"/>
        <v>9.3512199999999996</v>
      </c>
      <c r="BX253" s="24">
        <v>8.09</v>
      </c>
      <c r="CA253" s="24" t="s">
        <v>349</v>
      </c>
      <c r="CF253" s="32" t="s">
        <v>350</v>
      </c>
      <c r="EO253" s="24">
        <v>115.77</v>
      </c>
      <c r="EP253" s="24">
        <v>104.07</v>
      </c>
      <c r="ES253" s="32" t="s">
        <v>324</v>
      </c>
      <c r="FI253" s="24">
        <v>190.68</v>
      </c>
      <c r="FJ253" s="24">
        <v>52.19</v>
      </c>
      <c r="FK253" s="24">
        <f t="shared" si="43"/>
        <v>534.4</v>
      </c>
      <c r="FL253" s="24">
        <f t="shared" si="44"/>
        <v>534.4</v>
      </c>
      <c r="FM253" s="24" t="s">
        <v>1851</v>
      </c>
      <c r="GM253" s="12"/>
      <c r="GQ253" s="12"/>
      <c r="IO253" s="32" t="s">
        <v>350</v>
      </c>
    </row>
    <row r="254" spans="1:249" s="24" customFormat="1" x14ac:dyDescent="0.25">
      <c r="A254" s="24">
        <v>17</v>
      </c>
      <c r="B254" s="24" t="s">
        <v>317</v>
      </c>
      <c r="C254" s="24" t="s">
        <v>318</v>
      </c>
      <c r="D254" s="24">
        <v>2016</v>
      </c>
      <c r="E254" s="24">
        <v>2012</v>
      </c>
      <c r="F254" s="32" t="s">
        <v>303</v>
      </c>
      <c r="G254" s="24" t="s">
        <v>319</v>
      </c>
      <c r="H254" s="32" t="s">
        <v>2831</v>
      </c>
      <c r="I254" s="24">
        <f t="shared" si="38"/>
        <v>40.716666666666669</v>
      </c>
      <c r="J254" s="24">
        <f t="shared" si="39"/>
        <v>-77.916666666666671</v>
      </c>
      <c r="K254" s="24">
        <v>350</v>
      </c>
      <c r="O254" s="24">
        <v>975</v>
      </c>
      <c r="Q254" s="42">
        <v>2</v>
      </c>
      <c r="R254" s="42" t="s">
        <v>1856</v>
      </c>
      <c r="S254" s="42"/>
      <c r="T254" s="42" t="s">
        <v>1874</v>
      </c>
      <c r="U254" s="42" t="s">
        <v>1393</v>
      </c>
      <c r="V254" s="42" t="s">
        <v>1727</v>
      </c>
      <c r="W254" s="42" t="s">
        <v>1393</v>
      </c>
      <c r="X254" s="42" t="s">
        <v>1393</v>
      </c>
      <c r="Z254" s="321"/>
      <c r="AA254" s="321"/>
      <c r="AB254" s="24" t="s">
        <v>451</v>
      </c>
      <c r="AF254" s="24" t="s">
        <v>1323</v>
      </c>
      <c r="AG254" s="24" t="s">
        <v>1507</v>
      </c>
      <c r="AH254" s="138" t="s">
        <v>636</v>
      </c>
      <c r="AI254" s="24" t="s">
        <v>133</v>
      </c>
      <c r="AJ254" s="140" t="s">
        <v>1625</v>
      </c>
      <c r="AK254" s="24" t="s">
        <v>320</v>
      </c>
      <c r="AL254" s="24" t="s">
        <v>320</v>
      </c>
      <c r="AM254" s="24" t="s">
        <v>178</v>
      </c>
      <c r="AQ254" s="24" t="s">
        <v>321</v>
      </c>
      <c r="AR254" s="24" t="s">
        <v>321</v>
      </c>
      <c r="AS254" s="24" t="s">
        <v>178</v>
      </c>
      <c r="AT254" s="24" t="s">
        <v>161</v>
      </c>
      <c r="AU254" s="24">
        <v>4</v>
      </c>
      <c r="AW254" s="24" t="s">
        <v>142</v>
      </c>
      <c r="AY254" s="24">
        <v>7425</v>
      </c>
      <c r="AZ254" s="24">
        <v>40.799999999999997</v>
      </c>
      <c r="BA254" s="53"/>
      <c r="BH254" s="24">
        <v>8826</v>
      </c>
      <c r="BI254" s="24">
        <v>2876</v>
      </c>
      <c r="BM254" s="395"/>
      <c r="BN254" s="395"/>
      <c r="BR254" s="395"/>
      <c r="BS254" s="395"/>
      <c r="BW254" s="24">
        <f t="shared" si="45"/>
        <v>9.3512199999999996</v>
      </c>
      <c r="BX254" s="24">
        <v>2.48</v>
      </c>
      <c r="CA254" s="24" t="s">
        <v>349</v>
      </c>
      <c r="CF254" s="32" t="s">
        <v>350</v>
      </c>
      <c r="EO254" s="24">
        <v>115.77</v>
      </c>
      <c r="EP254" s="24">
        <v>9.9</v>
      </c>
      <c r="ES254" s="32" t="s">
        <v>324</v>
      </c>
      <c r="FI254" s="24">
        <v>190.68</v>
      </c>
      <c r="FJ254" s="24">
        <v>14</v>
      </c>
      <c r="FK254" s="24">
        <f t="shared" si="43"/>
        <v>534.4</v>
      </c>
      <c r="FL254" s="24">
        <f t="shared" si="44"/>
        <v>534.4</v>
      </c>
      <c r="FM254" s="24" t="s">
        <v>1851</v>
      </c>
      <c r="GM254" s="12"/>
      <c r="GQ254" s="12"/>
      <c r="IO254" s="32" t="s">
        <v>350</v>
      </c>
    </row>
    <row r="255" spans="1:249" s="24" customFormat="1" x14ac:dyDescent="0.25">
      <c r="A255" s="24">
        <v>17</v>
      </c>
      <c r="B255" s="24" t="s">
        <v>317</v>
      </c>
      <c r="C255" s="24" t="s">
        <v>318</v>
      </c>
      <c r="D255" s="24">
        <v>2016</v>
      </c>
      <c r="E255" s="24">
        <v>2012</v>
      </c>
      <c r="F255" s="32" t="s">
        <v>303</v>
      </c>
      <c r="G255" s="24" t="s">
        <v>319</v>
      </c>
      <c r="H255" s="32" t="s">
        <v>2831</v>
      </c>
      <c r="I255" s="24">
        <f t="shared" si="38"/>
        <v>40.716666666666669</v>
      </c>
      <c r="J255" s="24">
        <f t="shared" si="39"/>
        <v>-77.916666666666671</v>
      </c>
      <c r="K255" s="24">
        <v>350</v>
      </c>
      <c r="O255" s="24">
        <v>975</v>
      </c>
      <c r="Q255" s="42">
        <v>2</v>
      </c>
      <c r="R255" s="42" t="s">
        <v>1856</v>
      </c>
      <c r="S255" s="42"/>
      <c r="T255" s="42" t="s">
        <v>1874</v>
      </c>
      <c r="U255" s="42" t="s">
        <v>1393</v>
      </c>
      <c r="V255" s="42" t="s">
        <v>1727</v>
      </c>
      <c r="W255" s="42" t="s">
        <v>1393</v>
      </c>
      <c r="X255" s="42" t="s">
        <v>1393</v>
      </c>
      <c r="Z255" s="321"/>
      <c r="AA255" s="321"/>
      <c r="AB255" s="24" t="s">
        <v>451</v>
      </c>
      <c r="AF255" s="24" t="s">
        <v>1323</v>
      </c>
      <c r="AG255" s="24" t="s">
        <v>1508</v>
      </c>
      <c r="AH255" s="138" t="s">
        <v>636</v>
      </c>
      <c r="AI255" s="24" t="s">
        <v>133</v>
      </c>
      <c r="AJ255" s="140" t="s">
        <v>1625</v>
      </c>
      <c r="AK255" s="24" t="s">
        <v>320</v>
      </c>
      <c r="AL255" s="24" t="s">
        <v>320</v>
      </c>
      <c r="AM255" s="24" t="s">
        <v>178</v>
      </c>
      <c r="AQ255" s="24" t="s">
        <v>321</v>
      </c>
      <c r="AR255" s="24" t="s">
        <v>321</v>
      </c>
      <c r="AS255" s="24" t="s">
        <v>178</v>
      </c>
      <c r="AT255" s="24" t="s">
        <v>161</v>
      </c>
      <c r="AU255" s="24">
        <v>4</v>
      </c>
      <c r="AW255" s="24" t="s">
        <v>142</v>
      </c>
      <c r="AY255" s="24">
        <v>6998</v>
      </c>
      <c r="AZ255" s="24">
        <v>33.700000000000003</v>
      </c>
      <c r="BA255" s="53"/>
      <c r="BH255" s="24">
        <v>8826</v>
      </c>
      <c r="BI255" s="24">
        <v>3636</v>
      </c>
      <c r="BM255" s="395"/>
      <c r="BN255" s="395"/>
      <c r="BR255" s="395"/>
      <c r="BS255" s="395"/>
      <c r="BW255" s="24">
        <f t="shared" si="45"/>
        <v>9.3512199999999996</v>
      </c>
      <c r="BX255" s="24">
        <v>2.27</v>
      </c>
      <c r="CA255" s="24" t="s">
        <v>349</v>
      </c>
      <c r="CF255" s="32" t="s">
        <v>350</v>
      </c>
      <c r="EO255" s="24">
        <v>115.77</v>
      </c>
      <c r="EP255" s="24">
        <v>5.46</v>
      </c>
      <c r="ES255" s="32" t="s">
        <v>324</v>
      </c>
      <c r="FI255" s="24">
        <v>190.68</v>
      </c>
      <c r="FJ255" s="24">
        <v>22</v>
      </c>
      <c r="FK255" s="24">
        <f t="shared" si="43"/>
        <v>534.4</v>
      </c>
      <c r="FL255" s="24">
        <f t="shared" si="44"/>
        <v>534.4</v>
      </c>
      <c r="FM255" s="24" t="s">
        <v>1851</v>
      </c>
      <c r="GM255" s="12"/>
      <c r="GQ255" s="12"/>
      <c r="IO255" s="32" t="s">
        <v>350</v>
      </c>
    </row>
    <row r="256" spans="1:249" s="24" customFormat="1" x14ac:dyDescent="0.25">
      <c r="A256" s="24">
        <v>17</v>
      </c>
      <c r="B256" s="24" t="s">
        <v>317</v>
      </c>
      <c r="C256" s="24" t="s">
        <v>318</v>
      </c>
      <c r="D256" s="24">
        <v>2016</v>
      </c>
      <c r="E256" s="24">
        <v>2012</v>
      </c>
      <c r="F256" s="32" t="s">
        <v>303</v>
      </c>
      <c r="G256" s="24" t="s">
        <v>319</v>
      </c>
      <c r="H256" s="32" t="s">
        <v>2831</v>
      </c>
      <c r="I256" s="24">
        <f t="shared" si="38"/>
        <v>40.716666666666669</v>
      </c>
      <c r="J256" s="24">
        <f t="shared" si="39"/>
        <v>-77.916666666666671</v>
      </c>
      <c r="K256" s="24">
        <v>350</v>
      </c>
      <c r="O256" s="24">
        <v>975</v>
      </c>
      <c r="Q256" s="42">
        <v>2</v>
      </c>
      <c r="R256" s="42" t="s">
        <v>1856</v>
      </c>
      <c r="S256" s="42"/>
      <c r="T256" s="42" t="s">
        <v>1874</v>
      </c>
      <c r="U256" s="42" t="s">
        <v>1393</v>
      </c>
      <c r="V256" s="42" t="s">
        <v>1727</v>
      </c>
      <c r="W256" s="42" t="s">
        <v>1393</v>
      </c>
      <c r="X256" s="42" t="s">
        <v>1393</v>
      </c>
      <c r="Z256" s="321"/>
      <c r="AA256" s="321"/>
      <c r="AB256" s="24" t="s">
        <v>451</v>
      </c>
      <c r="AF256" s="24" t="s">
        <v>1323</v>
      </c>
      <c r="AG256" s="24" t="s">
        <v>1509</v>
      </c>
      <c r="AH256" s="138" t="s">
        <v>636</v>
      </c>
      <c r="AI256" s="24" t="s">
        <v>133</v>
      </c>
      <c r="AJ256" s="140" t="s">
        <v>1625</v>
      </c>
      <c r="AK256" s="24" t="s">
        <v>320</v>
      </c>
      <c r="AL256" s="24" t="s">
        <v>320</v>
      </c>
      <c r="AM256" s="24" t="s">
        <v>178</v>
      </c>
      <c r="AQ256" s="24" t="s">
        <v>321</v>
      </c>
      <c r="AR256" s="24" t="s">
        <v>321</v>
      </c>
      <c r="AS256" s="24" t="s">
        <v>178</v>
      </c>
      <c r="AT256" s="24" t="s">
        <v>161</v>
      </c>
      <c r="AU256" s="24">
        <v>4</v>
      </c>
      <c r="AW256" s="24" t="s">
        <v>142</v>
      </c>
      <c r="AY256" s="24">
        <v>2814</v>
      </c>
      <c r="AZ256" s="24">
        <v>18</v>
      </c>
      <c r="BA256" s="53"/>
      <c r="BH256" s="24">
        <v>8826</v>
      </c>
      <c r="BI256" s="24">
        <v>10248</v>
      </c>
      <c r="BM256" s="395"/>
      <c r="BN256" s="395"/>
      <c r="BR256" s="395"/>
      <c r="BS256" s="395"/>
      <c r="BW256" s="24">
        <f t="shared" si="45"/>
        <v>9.3512199999999996</v>
      </c>
      <c r="BX256" s="24">
        <v>8.99</v>
      </c>
      <c r="CA256" s="24" t="s">
        <v>349</v>
      </c>
      <c r="CF256" s="32" t="s">
        <v>350</v>
      </c>
      <c r="EO256" s="24">
        <v>115.77</v>
      </c>
      <c r="EP256" s="24">
        <v>45.21</v>
      </c>
      <c r="ES256" s="32" t="s">
        <v>324</v>
      </c>
      <c r="FI256" s="24">
        <v>190.68</v>
      </c>
      <c r="FJ256" s="24">
        <v>69.8</v>
      </c>
      <c r="FK256" s="24">
        <f t="shared" si="43"/>
        <v>534.4</v>
      </c>
      <c r="FL256" s="24">
        <f t="shared" si="44"/>
        <v>534.4</v>
      </c>
      <c r="FM256" s="24" t="s">
        <v>1851</v>
      </c>
      <c r="GM256" s="12"/>
      <c r="GQ256" s="12"/>
      <c r="IO256" s="32" t="s">
        <v>350</v>
      </c>
    </row>
    <row r="257" spans="1:249" s="24" customFormat="1" x14ac:dyDescent="0.25">
      <c r="A257" s="24">
        <v>17</v>
      </c>
      <c r="B257" s="24" t="s">
        <v>317</v>
      </c>
      <c r="C257" s="24" t="s">
        <v>318</v>
      </c>
      <c r="D257" s="24">
        <v>2016</v>
      </c>
      <c r="E257" s="24">
        <v>2012</v>
      </c>
      <c r="F257" s="32" t="s">
        <v>303</v>
      </c>
      <c r="G257" s="24" t="s">
        <v>319</v>
      </c>
      <c r="H257" s="32" t="s">
        <v>2831</v>
      </c>
      <c r="I257" s="24">
        <f t="shared" si="38"/>
        <v>40.716666666666669</v>
      </c>
      <c r="J257" s="24">
        <f t="shared" si="39"/>
        <v>-77.916666666666671</v>
      </c>
      <c r="K257" s="24">
        <v>350</v>
      </c>
      <c r="O257" s="24">
        <v>975</v>
      </c>
      <c r="Q257" s="42">
        <v>2</v>
      </c>
      <c r="R257" s="42" t="s">
        <v>1856</v>
      </c>
      <c r="S257" s="42"/>
      <c r="T257" s="42" t="s">
        <v>1874</v>
      </c>
      <c r="U257" s="42" t="s">
        <v>1393</v>
      </c>
      <c r="V257" s="42" t="s">
        <v>1727</v>
      </c>
      <c r="W257" s="42" t="s">
        <v>1393</v>
      </c>
      <c r="X257" s="42" t="s">
        <v>1393</v>
      </c>
      <c r="Z257" s="321"/>
      <c r="AA257" s="321"/>
      <c r="AB257" s="24" t="s">
        <v>451</v>
      </c>
      <c r="AF257" s="24" t="s">
        <v>1323</v>
      </c>
      <c r="AG257" s="24" t="s">
        <v>1510</v>
      </c>
      <c r="AH257" s="138" t="s">
        <v>636</v>
      </c>
      <c r="AI257" s="24" t="s">
        <v>133</v>
      </c>
      <c r="AJ257" s="140" t="s">
        <v>1625</v>
      </c>
      <c r="AK257" s="24" t="s">
        <v>320</v>
      </c>
      <c r="AL257" s="24" t="s">
        <v>320</v>
      </c>
      <c r="AM257" s="24" t="s">
        <v>178</v>
      </c>
      <c r="AQ257" s="24" t="s">
        <v>321</v>
      </c>
      <c r="AR257" s="24" t="s">
        <v>321</v>
      </c>
      <c r="AS257" s="24" t="s">
        <v>178</v>
      </c>
      <c r="AT257" s="24" t="s">
        <v>161</v>
      </c>
      <c r="AU257" s="24">
        <v>4</v>
      </c>
      <c r="AW257" s="24" t="s">
        <v>142</v>
      </c>
      <c r="AY257" s="24">
        <v>9531</v>
      </c>
      <c r="AZ257" s="24">
        <v>30.7</v>
      </c>
      <c r="BA257" s="53"/>
      <c r="BH257" s="24">
        <v>8826</v>
      </c>
      <c r="BI257" s="24">
        <v>6248</v>
      </c>
      <c r="BM257" s="395"/>
      <c r="BN257" s="395"/>
      <c r="BR257" s="395"/>
      <c r="BS257" s="395"/>
      <c r="BW257" s="24">
        <f t="shared" si="45"/>
        <v>9.3512199999999996</v>
      </c>
      <c r="BX257" s="24">
        <v>6.74</v>
      </c>
      <c r="CA257" s="24" t="s">
        <v>349</v>
      </c>
      <c r="CF257" s="32" t="s">
        <v>350</v>
      </c>
      <c r="EO257" s="24">
        <v>115.77</v>
      </c>
      <c r="EP257" s="24">
        <v>14.25</v>
      </c>
      <c r="ES257" s="32" t="s">
        <v>324</v>
      </c>
      <c r="FI257" s="24">
        <v>190.68</v>
      </c>
      <c r="FJ257" s="24">
        <v>21.63</v>
      </c>
      <c r="FK257" s="24">
        <f t="shared" si="43"/>
        <v>534.4</v>
      </c>
      <c r="FL257" s="24">
        <f t="shared" si="44"/>
        <v>534.4</v>
      </c>
      <c r="FM257" s="24" t="s">
        <v>1851</v>
      </c>
      <c r="GM257" s="12"/>
      <c r="GQ257" s="12"/>
      <c r="IO257" s="32" t="s">
        <v>350</v>
      </c>
    </row>
    <row r="258" spans="1:249" s="24" customFormat="1" x14ac:dyDescent="0.25">
      <c r="A258" s="24">
        <v>17</v>
      </c>
      <c r="B258" s="24" t="s">
        <v>317</v>
      </c>
      <c r="C258" s="24" t="s">
        <v>318</v>
      </c>
      <c r="D258" s="24">
        <v>2016</v>
      </c>
      <c r="E258" s="24">
        <v>2012</v>
      </c>
      <c r="F258" s="32" t="s">
        <v>303</v>
      </c>
      <c r="G258" s="24" t="s">
        <v>319</v>
      </c>
      <c r="H258" s="32" t="s">
        <v>2831</v>
      </c>
      <c r="I258" s="24">
        <f t="shared" si="38"/>
        <v>40.716666666666669</v>
      </c>
      <c r="J258" s="24">
        <f t="shared" si="39"/>
        <v>-77.916666666666671</v>
      </c>
      <c r="K258" s="24">
        <v>350</v>
      </c>
      <c r="O258" s="24">
        <v>975</v>
      </c>
      <c r="Q258" s="42">
        <v>2</v>
      </c>
      <c r="R258" s="42" t="s">
        <v>1856</v>
      </c>
      <c r="S258" s="42"/>
      <c r="T258" s="42" t="s">
        <v>1874</v>
      </c>
      <c r="U258" s="42" t="s">
        <v>1393</v>
      </c>
      <c r="V258" s="42" t="s">
        <v>1727</v>
      </c>
      <c r="W258" s="42" t="s">
        <v>1393</v>
      </c>
      <c r="X258" s="42" t="s">
        <v>1393</v>
      </c>
      <c r="Z258" s="321"/>
      <c r="AA258" s="321"/>
      <c r="AB258" s="24" t="s">
        <v>451</v>
      </c>
      <c r="AF258" s="24" t="s">
        <v>1323</v>
      </c>
      <c r="AG258" s="24" t="s">
        <v>1511</v>
      </c>
      <c r="AH258" s="138" t="s">
        <v>636</v>
      </c>
      <c r="AI258" s="24" t="s">
        <v>133</v>
      </c>
      <c r="AJ258" s="140" t="s">
        <v>1625</v>
      </c>
      <c r="AK258" s="24" t="s">
        <v>320</v>
      </c>
      <c r="AL258" s="24" t="s">
        <v>320</v>
      </c>
      <c r="AM258" s="24" t="s">
        <v>178</v>
      </c>
      <c r="AQ258" s="24" t="s">
        <v>321</v>
      </c>
      <c r="AR258" s="24" t="s">
        <v>321</v>
      </c>
      <c r="AS258" s="24" t="s">
        <v>178</v>
      </c>
      <c r="AT258" s="24" t="s">
        <v>161</v>
      </c>
      <c r="AU258" s="24">
        <v>4</v>
      </c>
      <c r="AW258" s="24" t="s">
        <v>142</v>
      </c>
      <c r="AY258" s="24">
        <v>9194</v>
      </c>
      <c r="AZ258" s="24">
        <v>40.200000000000003</v>
      </c>
      <c r="BA258" s="53"/>
      <c r="BH258" s="24">
        <v>8826</v>
      </c>
      <c r="BI258" s="24">
        <v>3273</v>
      </c>
      <c r="BM258" s="395"/>
      <c r="BN258" s="395"/>
      <c r="BR258" s="395"/>
      <c r="BS258" s="395"/>
      <c r="BW258" s="24">
        <f t="shared" si="45"/>
        <v>9.3512199999999996</v>
      </c>
      <c r="BX258" s="24">
        <v>3.17</v>
      </c>
      <c r="CA258" s="24" t="s">
        <v>349</v>
      </c>
      <c r="CF258" s="32" t="s">
        <v>350</v>
      </c>
      <c r="EO258" s="24">
        <v>115.77</v>
      </c>
      <c r="EP258" s="24">
        <v>13.79</v>
      </c>
      <c r="ES258" s="32" t="s">
        <v>324</v>
      </c>
      <c r="FI258" s="24">
        <v>190.68</v>
      </c>
      <c r="FJ258" s="24">
        <v>11.57</v>
      </c>
      <c r="FK258" s="24">
        <f t="shared" si="43"/>
        <v>534.4</v>
      </c>
      <c r="FL258" s="24">
        <f t="shared" si="44"/>
        <v>534.4</v>
      </c>
      <c r="FM258" s="24" t="s">
        <v>1851</v>
      </c>
      <c r="GM258" s="12"/>
      <c r="GQ258" s="12"/>
      <c r="IO258" s="32" t="s">
        <v>350</v>
      </c>
    </row>
    <row r="259" spans="1:249" s="24" customFormat="1" x14ac:dyDescent="0.25">
      <c r="A259" s="24">
        <v>17</v>
      </c>
      <c r="B259" s="24" t="s">
        <v>317</v>
      </c>
      <c r="C259" s="24" t="s">
        <v>318</v>
      </c>
      <c r="D259" s="24">
        <v>2016</v>
      </c>
      <c r="E259" s="24">
        <v>2012</v>
      </c>
      <c r="F259" s="32" t="s">
        <v>303</v>
      </c>
      <c r="G259" s="24" t="s">
        <v>319</v>
      </c>
      <c r="H259" s="32" t="s">
        <v>2831</v>
      </c>
      <c r="I259" s="24">
        <f t="shared" si="38"/>
        <v>40.716666666666669</v>
      </c>
      <c r="J259" s="24">
        <f t="shared" si="39"/>
        <v>-77.916666666666671</v>
      </c>
      <c r="K259" s="24">
        <v>350</v>
      </c>
      <c r="O259" s="24">
        <v>975</v>
      </c>
      <c r="Q259" s="42">
        <v>2</v>
      </c>
      <c r="R259" s="42" t="s">
        <v>1856</v>
      </c>
      <c r="S259" s="42"/>
      <c r="T259" s="42" t="s">
        <v>1874</v>
      </c>
      <c r="U259" s="42" t="s">
        <v>1393</v>
      </c>
      <c r="V259" s="42" t="s">
        <v>1727</v>
      </c>
      <c r="W259" s="42" t="s">
        <v>1393</v>
      </c>
      <c r="X259" s="42" t="s">
        <v>1393</v>
      </c>
      <c r="Z259" s="321"/>
      <c r="AA259" s="321"/>
      <c r="AB259" s="24" t="s">
        <v>451</v>
      </c>
      <c r="AF259" s="24" t="s">
        <v>1323</v>
      </c>
      <c r="AG259" s="24" t="s">
        <v>1512</v>
      </c>
      <c r="AH259" s="138" t="s">
        <v>636</v>
      </c>
      <c r="AI259" s="24" t="s">
        <v>133</v>
      </c>
      <c r="AJ259" s="140" t="s">
        <v>1625</v>
      </c>
      <c r="AK259" s="24" t="s">
        <v>320</v>
      </c>
      <c r="AL259" s="24" t="s">
        <v>320</v>
      </c>
      <c r="AM259" s="24" t="s">
        <v>178</v>
      </c>
      <c r="AQ259" s="24" t="s">
        <v>321</v>
      </c>
      <c r="AR259" s="24" t="s">
        <v>321</v>
      </c>
      <c r="AS259" s="24" t="s">
        <v>178</v>
      </c>
      <c r="AT259" s="24" t="s">
        <v>161</v>
      </c>
      <c r="AU259" s="24">
        <v>4</v>
      </c>
      <c r="AW259" s="24" t="s">
        <v>142</v>
      </c>
      <c r="AY259" s="24">
        <v>3801</v>
      </c>
      <c r="AZ259" s="24">
        <v>17.600000000000001</v>
      </c>
      <c r="BA259" s="53"/>
      <c r="BH259" s="24">
        <v>8826</v>
      </c>
      <c r="BI259" s="24">
        <v>10182</v>
      </c>
      <c r="BM259" s="395"/>
      <c r="BN259" s="395"/>
      <c r="BR259" s="395"/>
      <c r="BS259" s="395"/>
      <c r="BW259" s="24">
        <f t="shared" si="45"/>
        <v>9.3512199999999996</v>
      </c>
      <c r="BX259" s="24">
        <v>7.95</v>
      </c>
      <c r="CA259" s="24" t="s">
        <v>349</v>
      </c>
      <c r="CF259" s="32" t="s">
        <v>350</v>
      </c>
      <c r="EO259" s="24">
        <v>115.77</v>
      </c>
      <c r="EP259" s="24">
        <v>22.6</v>
      </c>
      <c r="ES259" s="32" t="s">
        <v>324</v>
      </c>
      <c r="FI259" s="24">
        <v>190.68</v>
      </c>
      <c r="FJ259" s="24">
        <v>10</v>
      </c>
      <c r="FK259" s="24">
        <f t="shared" si="43"/>
        <v>534.4</v>
      </c>
      <c r="FL259" s="24">
        <f t="shared" si="44"/>
        <v>534.4</v>
      </c>
      <c r="FM259" s="24" t="s">
        <v>1851</v>
      </c>
      <c r="GM259" s="12"/>
      <c r="GQ259" s="12"/>
      <c r="IO259" s="32" t="s">
        <v>350</v>
      </c>
    </row>
    <row r="260" spans="1:249" s="24" customFormat="1" x14ac:dyDescent="0.25">
      <c r="A260" s="24">
        <v>17</v>
      </c>
      <c r="B260" s="24" t="s">
        <v>317</v>
      </c>
      <c r="C260" s="24" t="s">
        <v>318</v>
      </c>
      <c r="D260" s="24">
        <v>2016</v>
      </c>
      <c r="E260" s="24">
        <v>2012</v>
      </c>
      <c r="F260" s="32" t="s">
        <v>303</v>
      </c>
      <c r="G260" s="24" t="s">
        <v>319</v>
      </c>
      <c r="H260" s="32" t="s">
        <v>2831</v>
      </c>
      <c r="I260" s="24">
        <f t="shared" si="38"/>
        <v>40.716666666666669</v>
      </c>
      <c r="J260" s="24">
        <f t="shared" si="39"/>
        <v>-77.916666666666671</v>
      </c>
      <c r="K260" s="24">
        <v>350</v>
      </c>
      <c r="O260" s="24">
        <v>975</v>
      </c>
      <c r="Q260" s="42">
        <v>2</v>
      </c>
      <c r="R260" s="42" t="s">
        <v>1856</v>
      </c>
      <c r="S260" s="42"/>
      <c r="T260" s="42" t="s">
        <v>1874</v>
      </c>
      <c r="U260" s="42" t="s">
        <v>1393</v>
      </c>
      <c r="V260" s="42" t="s">
        <v>1727</v>
      </c>
      <c r="W260" s="42" t="s">
        <v>1393</v>
      </c>
      <c r="X260" s="42" t="s">
        <v>1393</v>
      </c>
      <c r="Z260" s="321"/>
      <c r="AA260" s="321"/>
      <c r="AB260" s="24" t="s">
        <v>451</v>
      </c>
      <c r="AF260" s="24" t="s">
        <v>1323</v>
      </c>
      <c r="AG260" s="24" t="s">
        <v>322</v>
      </c>
      <c r="AH260" s="138" t="s">
        <v>636</v>
      </c>
      <c r="AI260" s="24" t="s">
        <v>133</v>
      </c>
      <c r="AJ260" s="140" t="s">
        <v>1625</v>
      </c>
      <c r="AK260" s="24" t="s">
        <v>320</v>
      </c>
      <c r="AL260" s="24" t="s">
        <v>320</v>
      </c>
      <c r="AM260" s="24" t="s">
        <v>178</v>
      </c>
      <c r="AQ260" s="24" t="s">
        <v>321</v>
      </c>
      <c r="AR260" s="24" t="s">
        <v>321</v>
      </c>
      <c r="AS260" s="24" t="s">
        <v>178</v>
      </c>
      <c r="AT260" s="24" t="s">
        <v>161</v>
      </c>
      <c r="AU260" s="24">
        <v>4</v>
      </c>
      <c r="AW260" s="24" t="s">
        <v>142</v>
      </c>
      <c r="AY260" s="24">
        <v>8095</v>
      </c>
      <c r="AZ260" s="24">
        <v>29.8</v>
      </c>
      <c r="BA260" s="53"/>
      <c r="BH260" s="24">
        <v>8826</v>
      </c>
      <c r="BI260" s="24">
        <v>6017</v>
      </c>
      <c r="BM260" s="395"/>
      <c r="BN260" s="395"/>
      <c r="BR260" s="395"/>
      <c r="BS260" s="395"/>
      <c r="BW260" s="24">
        <f t="shared" si="45"/>
        <v>9.3512199999999996</v>
      </c>
      <c r="BX260" s="24">
        <v>5.61</v>
      </c>
      <c r="CA260" s="24" t="s">
        <v>349</v>
      </c>
      <c r="CF260" s="32" t="s">
        <v>350</v>
      </c>
      <c r="EO260" s="24">
        <v>115.77</v>
      </c>
      <c r="EP260" s="24">
        <v>15.06</v>
      </c>
      <c r="ES260" s="32" t="s">
        <v>324</v>
      </c>
      <c r="FI260" s="24">
        <v>190.68</v>
      </c>
      <c r="FJ260" s="24">
        <v>10</v>
      </c>
      <c r="FK260" s="24">
        <f t="shared" si="43"/>
        <v>534.4</v>
      </c>
      <c r="FL260" s="24">
        <f t="shared" si="44"/>
        <v>534.4</v>
      </c>
      <c r="FM260" s="24" t="s">
        <v>1851</v>
      </c>
      <c r="GM260" s="12"/>
      <c r="GQ260" s="12"/>
      <c r="IO260" s="32" t="s">
        <v>350</v>
      </c>
    </row>
    <row r="261" spans="1:249" s="24" customFormat="1" x14ac:dyDescent="0.25">
      <c r="A261" s="24">
        <v>17</v>
      </c>
      <c r="B261" s="24" t="s">
        <v>317</v>
      </c>
      <c r="C261" s="24" t="s">
        <v>318</v>
      </c>
      <c r="D261" s="24">
        <v>2016</v>
      </c>
      <c r="E261" s="24">
        <v>2012</v>
      </c>
      <c r="F261" s="32" t="s">
        <v>303</v>
      </c>
      <c r="G261" s="24" t="s">
        <v>319</v>
      </c>
      <c r="H261" s="32" t="s">
        <v>2831</v>
      </c>
      <c r="I261" s="24">
        <f t="shared" si="38"/>
        <v>40.716666666666669</v>
      </c>
      <c r="J261" s="24">
        <f t="shared" si="39"/>
        <v>-77.916666666666671</v>
      </c>
      <c r="K261" s="24">
        <v>350</v>
      </c>
      <c r="O261" s="24">
        <v>975</v>
      </c>
      <c r="Q261" s="42">
        <v>2</v>
      </c>
      <c r="R261" s="42" t="s">
        <v>1856</v>
      </c>
      <c r="S261" s="42"/>
      <c r="T261" s="42" t="s">
        <v>1874</v>
      </c>
      <c r="U261" s="42" t="s">
        <v>1393</v>
      </c>
      <c r="V261" s="42" t="s">
        <v>1727</v>
      </c>
      <c r="W261" s="42" t="s">
        <v>1393</v>
      </c>
      <c r="X261" s="42" t="s">
        <v>1393</v>
      </c>
      <c r="Z261" s="321"/>
      <c r="AA261" s="321"/>
      <c r="AB261" s="24" t="s">
        <v>451</v>
      </c>
      <c r="AF261" s="24" t="s">
        <v>1323</v>
      </c>
      <c r="AG261" s="24" t="s">
        <v>323</v>
      </c>
      <c r="AH261" s="138" t="s">
        <v>636</v>
      </c>
      <c r="AI261" s="24" t="s">
        <v>133</v>
      </c>
      <c r="AJ261" s="140" t="s">
        <v>1625</v>
      </c>
      <c r="AK261" s="24" t="s">
        <v>320</v>
      </c>
      <c r="AL261" s="24" t="s">
        <v>320</v>
      </c>
      <c r="AM261" s="24" t="s">
        <v>178</v>
      </c>
      <c r="AQ261" s="24" t="s">
        <v>321</v>
      </c>
      <c r="AR261" s="24" t="s">
        <v>321</v>
      </c>
      <c r="AS261" s="24" t="s">
        <v>178</v>
      </c>
      <c r="AT261" s="24" t="s">
        <v>161</v>
      </c>
      <c r="AU261" s="24">
        <v>4</v>
      </c>
      <c r="AW261" s="24" t="s">
        <v>142</v>
      </c>
      <c r="AY261" s="24">
        <v>6972</v>
      </c>
      <c r="AZ261" s="24">
        <v>35.4</v>
      </c>
      <c r="BA261" s="53"/>
      <c r="BH261" s="24">
        <v>8826</v>
      </c>
      <c r="BI261" s="24">
        <v>3140</v>
      </c>
      <c r="BM261" s="395"/>
      <c r="BN261" s="395"/>
      <c r="BR261" s="395"/>
      <c r="BS261" s="395"/>
      <c r="BW261" s="24">
        <f t="shared" si="45"/>
        <v>9.3512199999999996</v>
      </c>
      <c r="BX261" s="24">
        <v>2.04</v>
      </c>
      <c r="CA261" s="24" t="s">
        <v>349</v>
      </c>
      <c r="CF261" s="32" t="s">
        <v>350</v>
      </c>
      <c r="EO261" s="24">
        <v>115.77</v>
      </c>
      <c r="EP261" s="24">
        <v>9.2899999999999991</v>
      </c>
      <c r="ES261" s="32" t="s">
        <v>324</v>
      </c>
      <c r="FI261" s="24">
        <v>190.68</v>
      </c>
      <c r="FJ261" s="24">
        <v>10</v>
      </c>
      <c r="FK261" s="24">
        <f t="shared" si="43"/>
        <v>534.4</v>
      </c>
      <c r="FL261" s="24">
        <f t="shared" si="44"/>
        <v>534.4</v>
      </c>
      <c r="FM261" s="24" t="s">
        <v>1851</v>
      </c>
      <c r="GM261" s="12"/>
      <c r="GQ261" s="12"/>
      <c r="IO261" s="32" t="s">
        <v>350</v>
      </c>
    </row>
    <row r="262" spans="1:249" s="33" customFormat="1" x14ac:dyDescent="0.25">
      <c r="A262" s="33">
        <v>18</v>
      </c>
      <c r="B262" s="33" t="s">
        <v>317</v>
      </c>
      <c r="C262" s="33" t="s">
        <v>318</v>
      </c>
      <c r="D262" s="33">
        <v>2017</v>
      </c>
      <c r="E262" s="33">
        <v>2011</v>
      </c>
      <c r="F262" s="204" t="s">
        <v>330</v>
      </c>
      <c r="G262" s="33" t="s">
        <v>319</v>
      </c>
      <c r="H262" s="32" t="s">
        <v>2831</v>
      </c>
      <c r="I262" s="33">
        <v>40.716666666666669</v>
      </c>
      <c r="J262" s="33">
        <v>-77.916666666666671</v>
      </c>
      <c r="K262" s="33">
        <v>350</v>
      </c>
      <c r="O262" s="33">
        <v>975</v>
      </c>
      <c r="Q262" s="47">
        <v>1</v>
      </c>
      <c r="R262" s="47" t="s">
        <v>1735</v>
      </c>
      <c r="S262" s="47"/>
      <c r="T262" s="47" t="s">
        <v>1875</v>
      </c>
      <c r="U262" s="47" t="s">
        <v>1393</v>
      </c>
      <c r="V262" s="47" t="s">
        <v>1727</v>
      </c>
      <c r="W262" s="47" t="s">
        <v>1393</v>
      </c>
      <c r="X262" s="47" t="s">
        <v>1393</v>
      </c>
      <c r="Z262" s="327"/>
      <c r="AA262" s="327"/>
      <c r="AB262" s="33" t="s">
        <v>451</v>
      </c>
      <c r="AF262" s="33" t="s">
        <v>1323</v>
      </c>
      <c r="AG262" s="33" t="s">
        <v>1534</v>
      </c>
      <c r="AH262" s="138" t="s">
        <v>578</v>
      </c>
      <c r="AI262" s="33" t="s">
        <v>133</v>
      </c>
      <c r="AJ262" s="141" t="s">
        <v>1625</v>
      </c>
      <c r="AK262" s="33" t="s">
        <v>320</v>
      </c>
      <c r="AL262" s="33" t="s">
        <v>320</v>
      </c>
      <c r="AM262" s="33" t="s">
        <v>178</v>
      </c>
      <c r="AQ262" s="33" t="s">
        <v>321</v>
      </c>
      <c r="AR262" s="33" t="s">
        <v>321</v>
      </c>
      <c r="AS262" s="33" t="s">
        <v>178</v>
      </c>
      <c r="AT262" s="33" t="s">
        <v>161</v>
      </c>
      <c r="AU262" s="33">
        <v>4</v>
      </c>
      <c r="AW262" s="33" t="s">
        <v>142</v>
      </c>
      <c r="AY262" s="33">
        <v>61</v>
      </c>
      <c r="AZ262" s="33">
        <v>9.3000000000000007</v>
      </c>
      <c r="BA262" s="54"/>
      <c r="BM262" s="402"/>
      <c r="BN262" s="402"/>
      <c r="BR262" s="402"/>
      <c r="BS262" s="402"/>
      <c r="GH262" s="33">
        <v>69.540000000000006</v>
      </c>
      <c r="GI262" s="33">
        <v>73.88</v>
      </c>
      <c r="GL262" s="33" t="s">
        <v>1709</v>
      </c>
      <c r="HL262" s="33">
        <v>8.06</v>
      </c>
      <c r="HM262" s="33">
        <v>8.59</v>
      </c>
      <c r="IO262" s="33" t="s">
        <v>331</v>
      </c>
    </row>
    <row r="263" spans="1:249" s="33" customFormat="1" x14ac:dyDescent="0.25">
      <c r="A263" s="33">
        <v>18</v>
      </c>
      <c r="B263" s="33" t="s">
        <v>317</v>
      </c>
      <c r="C263" s="33" t="s">
        <v>318</v>
      </c>
      <c r="D263" s="33">
        <v>2017</v>
      </c>
      <c r="E263" s="33">
        <v>2011</v>
      </c>
      <c r="F263" s="204" t="s">
        <v>330</v>
      </c>
      <c r="G263" s="33" t="s">
        <v>319</v>
      </c>
      <c r="H263" s="32" t="s">
        <v>2831</v>
      </c>
      <c r="I263" s="33">
        <v>40.716666666666669</v>
      </c>
      <c r="J263" s="33">
        <v>-77.916666666666671</v>
      </c>
      <c r="K263" s="33">
        <v>350</v>
      </c>
      <c r="O263" s="33">
        <v>975</v>
      </c>
      <c r="Q263" s="47">
        <v>1</v>
      </c>
      <c r="R263" s="47" t="s">
        <v>1735</v>
      </c>
      <c r="S263" s="47"/>
      <c r="T263" s="47" t="s">
        <v>1875</v>
      </c>
      <c r="U263" s="47" t="s">
        <v>1393</v>
      </c>
      <c r="V263" s="47" t="s">
        <v>1727</v>
      </c>
      <c r="W263" s="47" t="s">
        <v>1393</v>
      </c>
      <c r="X263" s="47" t="s">
        <v>1393</v>
      </c>
      <c r="Z263" s="327"/>
      <c r="AA263" s="327"/>
      <c r="AB263" s="33" t="s">
        <v>451</v>
      </c>
      <c r="AF263" s="33" t="s">
        <v>1323</v>
      </c>
      <c r="AG263" s="33" t="s">
        <v>1154</v>
      </c>
      <c r="AH263" s="138" t="s">
        <v>578</v>
      </c>
      <c r="AI263" s="33" t="s">
        <v>133</v>
      </c>
      <c r="AJ263" s="141" t="s">
        <v>1625</v>
      </c>
      <c r="AK263" s="33" t="s">
        <v>320</v>
      </c>
      <c r="AL263" s="33" t="s">
        <v>320</v>
      </c>
      <c r="AM263" s="33" t="s">
        <v>178</v>
      </c>
      <c r="AQ263" s="33" t="s">
        <v>321</v>
      </c>
      <c r="AR263" s="33" t="s">
        <v>321</v>
      </c>
      <c r="AS263" s="33" t="s">
        <v>178</v>
      </c>
      <c r="AT263" s="33" t="s">
        <v>161</v>
      </c>
      <c r="AU263" s="33">
        <v>4</v>
      </c>
      <c r="AW263" s="33" t="s">
        <v>142</v>
      </c>
      <c r="AY263" s="33">
        <v>418</v>
      </c>
      <c r="AZ263" s="33">
        <v>9.5</v>
      </c>
      <c r="BA263" s="54"/>
      <c r="BM263" s="402"/>
      <c r="BN263" s="402"/>
      <c r="BR263" s="402"/>
      <c r="BS263" s="402"/>
      <c r="GH263" s="33">
        <v>69.540000000000006</v>
      </c>
      <c r="GI263" s="33">
        <v>72.73</v>
      </c>
      <c r="GL263" s="33" t="s">
        <v>1709</v>
      </c>
      <c r="HL263" s="33">
        <v>8.06</v>
      </c>
      <c r="HM263" s="33">
        <v>9.2200000000000006</v>
      </c>
      <c r="IO263" s="33" t="s">
        <v>331</v>
      </c>
    </row>
    <row r="264" spans="1:249" s="33" customFormat="1" x14ac:dyDescent="0.25">
      <c r="A264" s="33">
        <v>18</v>
      </c>
      <c r="B264" s="33" t="s">
        <v>317</v>
      </c>
      <c r="C264" s="33" t="s">
        <v>318</v>
      </c>
      <c r="D264" s="33">
        <v>2017</v>
      </c>
      <c r="E264" s="33">
        <v>2011</v>
      </c>
      <c r="F264" s="204" t="s">
        <v>330</v>
      </c>
      <c r="G264" s="33" t="s">
        <v>319</v>
      </c>
      <c r="H264" s="32" t="s">
        <v>2831</v>
      </c>
      <c r="I264" s="33">
        <v>40.716666666666669</v>
      </c>
      <c r="J264" s="33">
        <v>-77.916666666666671</v>
      </c>
      <c r="K264" s="33">
        <v>350</v>
      </c>
      <c r="O264" s="33">
        <v>975</v>
      </c>
      <c r="Q264" s="47">
        <v>1</v>
      </c>
      <c r="R264" s="47" t="s">
        <v>1735</v>
      </c>
      <c r="S264" s="47"/>
      <c r="T264" s="47" t="s">
        <v>1875</v>
      </c>
      <c r="U264" s="47" t="s">
        <v>1393</v>
      </c>
      <c r="V264" s="47" t="s">
        <v>1727</v>
      </c>
      <c r="W264" s="47" t="s">
        <v>1393</v>
      </c>
      <c r="X264" s="47" t="s">
        <v>1393</v>
      </c>
      <c r="Z264" s="327"/>
      <c r="AA264" s="327"/>
      <c r="AB264" s="33" t="s">
        <v>451</v>
      </c>
      <c r="AF264" s="33" t="s">
        <v>1323</v>
      </c>
      <c r="AG264" s="33" t="s">
        <v>1535</v>
      </c>
      <c r="AH264" s="138" t="s">
        <v>578</v>
      </c>
      <c r="AI264" s="33" t="s">
        <v>133</v>
      </c>
      <c r="AJ264" s="141" t="s">
        <v>1625</v>
      </c>
      <c r="AK264" s="33" t="s">
        <v>320</v>
      </c>
      <c r="AL264" s="33" t="s">
        <v>320</v>
      </c>
      <c r="AM264" s="33" t="s">
        <v>178</v>
      </c>
      <c r="AQ264" s="33" t="s">
        <v>321</v>
      </c>
      <c r="AR264" s="33" t="s">
        <v>321</v>
      </c>
      <c r="AS264" s="33" t="s">
        <v>178</v>
      </c>
      <c r="AT264" s="33" t="s">
        <v>161</v>
      </c>
      <c r="AU264" s="33">
        <v>4</v>
      </c>
      <c r="AW264" s="33" t="s">
        <v>142</v>
      </c>
      <c r="AY264" s="33">
        <v>4045</v>
      </c>
      <c r="AZ264" s="33">
        <v>10.3</v>
      </c>
      <c r="BA264" s="54"/>
      <c r="BM264" s="402"/>
      <c r="BN264" s="402"/>
      <c r="BR264" s="402"/>
      <c r="BS264" s="402"/>
      <c r="GH264" s="33">
        <v>69.540000000000006</v>
      </c>
      <c r="GI264" s="33">
        <v>69.34</v>
      </c>
      <c r="GL264" s="33" t="s">
        <v>1709</v>
      </c>
      <c r="HL264" s="33">
        <v>8.06</v>
      </c>
      <c r="HM264" s="33">
        <v>8.67</v>
      </c>
      <c r="IO264" s="33" t="s">
        <v>331</v>
      </c>
    </row>
    <row r="265" spans="1:249" s="33" customFormat="1" x14ac:dyDescent="0.25">
      <c r="A265" s="33">
        <v>18</v>
      </c>
      <c r="B265" s="33" t="s">
        <v>317</v>
      </c>
      <c r="C265" s="33" t="s">
        <v>318</v>
      </c>
      <c r="D265" s="33">
        <v>2017</v>
      </c>
      <c r="E265" s="33">
        <v>2011</v>
      </c>
      <c r="F265" s="204" t="s">
        <v>330</v>
      </c>
      <c r="G265" s="33" t="s">
        <v>319</v>
      </c>
      <c r="H265" s="32" t="s">
        <v>2831</v>
      </c>
      <c r="I265" s="33">
        <v>40.716666666666669</v>
      </c>
      <c r="J265" s="33">
        <v>-77.916666666666671</v>
      </c>
      <c r="K265" s="33">
        <v>350</v>
      </c>
      <c r="O265" s="33">
        <v>975</v>
      </c>
      <c r="Q265" s="47">
        <v>1</v>
      </c>
      <c r="R265" s="47" t="s">
        <v>1735</v>
      </c>
      <c r="S265" s="47"/>
      <c r="T265" s="47" t="s">
        <v>1875</v>
      </c>
      <c r="U265" s="47" t="s">
        <v>1393</v>
      </c>
      <c r="V265" s="47" t="s">
        <v>1727</v>
      </c>
      <c r="W265" s="47" t="s">
        <v>1393</v>
      </c>
      <c r="X265" s="47" t="s">
        <v>1393</v>
      </c>
      <c r="Z265" s="327"/>
      <c r="AA265" s="327"/>
      <c r="AB265" s="33" t="s">
        <v>451</v>
      </c>
      <c r="AF265" s="33" t="s">
        <v>1323</v>
      </c>
      <c r="AG265" s="33" t="s">
        <v>244</v>
      </c>
      <c r="AH265" s="138" t="s">
        <v>578</v>
      </c>
      <c r="AI265" s="33" t="s">
        <v>133</v>
      </c>
      <c r="AJ265" s="141" t="s">
        <v>1625</v>
      </c>
      <c r="AK265" s="33" t="s">
        <v>320</v>
      </c>
      <c r="AL265" s="33" t="s">
        <v>320</v>
      </c>
      <c r="AM265" s="33" t="s">
        <v>178</v>
      </c>
      <c r="AQ265" s="33" t="s">
        <v>321</v>
      </c>
      <c r="AR265" s="33" t="s">
        <v>321</v>
      </c>
      <c r="AS265" s="33" t="s">
        <v>178</v>
      </c>
      <c r="AT265" s="33" t="s">
        <v>161</v>
      </c>
      <c r="AU265" s="33">
        <v>4</v>
      </c>
      <c r="AW265" s="33" t="s">
        <v>142</v>
      </c>
      <c r="AY265" s="33">
        <v>4531</v>
      </c>
      <c r="AZ265" s="33">
        <v>9</v>
      </c>
      <c r="BA265" s="54"/>
      <c r="BM265" s="402"/>
      <c r="BN265" s="402"/>
      <c r="BR265" s="402"/>
      <c r="BS265" s="402"/>
      <c r="GH265" s="33">
        <v>69.540000000000006</v>
      </c>
      <c r="GI265" s="33">
        <v>76.900000000000006</v>
      </c>
      <c r="GL265" s="33" t="s">
        <v>1709</v>
      </c>
      <c r="HL265" s="33">
        <v>8.06</v>
      </c>
      <c r="HM265" s="33">
        <v>9.73</v>
      </c>
      <c r="IO265" s="33" t="s">
        <v>331</v>
      </c>
    </row>
    <row r="266" spans="1:249" s="33" customFormat="1" x14ac:dyDescent="0.25">
      <c r="A266" s="33">
        <v>18</v>
      </c>
      <c r="B266" s="33" t="s">
        <v>317</v>
      </c>
      <c r="C266" s="33" t="s">
        <v>318</v>
      </c>
      <c r="D266" s="33">
        <v>2017</v>
      </c>
      <c r="E266" s="33">
        <v>2011</v>
      </c>
      <c r="F266" s="204" t="s">
        <v>330</v>
      </c>
      <c r="G266" s="33" t="s">
        <v>319</v>
      </c>
      <c r="H266" s="32" t="s">
        <v>2831</v>
      </c>
      <c r="I266" s="33">
        <v>40.716666666666669</v>
      </c>
      <c r="J266" s="33">
        <v>-77.916666666666671</v>
      </c>
      <c r="K266" s="33">
        <v>350</v>
      </c>
      <c r="O266" s="33">
        <v>975</v>
      </c>
      <c r="Q266" s="47">
        <v>1</v>
      </c>
      <c r="R266" s="47" t="s">
        <v>1735</v>
      </c>
      <c r="S266" s="47"/>
      <c r="T266" s="47" t="s">
        <v>1875</v>
      </c>
      <c r="U266" s="47" t="s">
        <v>1393</v>
      </c>
      <c r="V266" s="47" t="s">
        <v>1727</v>
      </c>
      <c r="W266" s="47" t="s">
        <v>1393</v>
      </c>
      <c r="X266" s="47" t="s">
        <v>1393</v>
      </c>
      <c r="Z266" s="327"/>
      <c r="AA266" s="327"/>
      <c r="AB266" s="33" t="s">
        <v>451</v>
      </c>
      <c r="AF266" s="33" t="s">
        <v>1323</v>
      </c>
      <c r="AG266" s="33" t="s">
        <v>1581</v>
      </c>
      <c r="AH266" s="138" t="s">
        <v>1131</v>
      </c>
      <c r="AI266" s="33" t="s">
        <v>133</v>
      </c>
      <c r="AJ266" s="141" t="s">
        <v>1625</v>
      </c>
      <c r="AK266" s="33" t="s">
        <v>320</v>
      </c>
      <c r="AL266" s="33" t="s">
        <v>320</v>
      </c>
      <c r="AM266" s="33" t="s">
        <v>178</v>
      </c>
      <c r="AQ266" s="33" t="s">
        <v>321</v>
      </c>
      <c r="AR266" s="33" t="s">
        <v>321</v>
      </c>
      <c r="AS266" s="33" t="s">
        <v>178</v>
      </c>
      <c r="AT266" s="33" t="s">
        <v>161</v>
      </c>
      <c r="AU266" s="33">
        <v>4</v>
      </c>
      <c r="AW266" s="33" t="s">
        <v>142</v>
      </c>
      <c r="AY266" s="33">
        <v>1381</v>
      </c>
      <c r="AZ266" s="33">
        <v>15.7</v>
      </c>
      <c r="BA266" s="54"/>
      <c r="BM266" s="402"/>
      <c r="BN266" s="402"/>
      <c r="BR266" s="402"/>
      <c r="BS266" s="402"/>
      <c r="GH266" s="33">
        <v>69.540000000000006</v>
      </c>
      <c r="GI266" s="33">
        <v>73.55</v>
      </c>
      <c r="GL266" s="33" t="s">
        <v>1709</v>
      </c>
      <c r="HL266" s="33">
        <v>8.06</v>
      </c>
      <c r="HM266" s="33">
        <v>10.210000000000001</v>
      </c>
      <c r="IO266" s="33" t="s">
        <v>331</v>
      </c>
    </row>
    <row r="267" spans="1:249" s="33" customFormat="1" x14ac:dyDescent="0.25">
      <c r="A267" s="33">
        <v>18</v>
      </c>
      <c r="B267" s="33" t="s">
        <v>317</v>
      </c>
      <c r="C267" s="33" t="s">
        <v>318</v>
      </c>
      <c r="D267" s="33">
        <v>2017</v>
      </c>
      <c r="E267" s="33">
        <v>2011</v>
      </c>
      <c r="F267" s="204" t="s">
        <v>330</v>
      </c>
      <c r="G267" s="33" t="s">
        <v>319</v>
      </c>
      <c r="H267" s="32" t="s">
        <v>2831</v>
      </c>
      <c r="I267" s="33">
        <v>40.716666666666669</v>
      </c>
      <c r="J267" s="33">
        <v>-77.916666666666671</v>
      </c>
      <c r="K267" s="33">
        <v>350</v>
      </c>
      <c r="O267" s="33">
        <v>975</v>
      </c>
      <c r="Q267" s="47">
        <v>1</v>
      </c>
      <c r="R267" s="47" t="s">
        <v>1735</v>
      </c>
      <c r="S267" s="47"/>
      <c r="T267" s="47" t="s">
        <v>1875</v>
      </c>
      <c r="U267" s="47" t="s">
        <v>1393</v>
      </c>
      <c r="V267" s="47" t="s">
        <v>1727</v>
      </c>
      <c r="W267" s="47" t="s">
        <v>1393</v>
      </c>
      <c r="X267" s="47" t="s">
        <v>1393</v>
      </c>
      <c r="Z267" s="327"/>
      <c r="AA267" s="327"/>
      <c r="AB267" s="33" t="s">
        <v>451</v>
      </c>
      <c r="AF267" s="33" t="s">
        <v>1323</v>
      </c>
      <c r="AG267" s="33" t="s">
        <v>521</v>
      </c>
      <c r="AH267" s="138" t="s">
        <v>1585</v>
      </c>
      <c r="AI267" s="33" t="s">
        <v>133</v>
      </c>
      <c r="AJ267" s="141" t="s">
        <v>1625</v>
      </c>
      <c r="AK267" s="33" t="s">
        <v>320</v>
      </c>
      <c r="AL267" s="33" t="s">
        <v>320</v>
      </c>
      <c r="AM267" s="33" t="s">
        <v>178</v>
      </c>
      <c r="AQ267" s="33" t="s">
        <v>321</v>
      </c>
      <c r="AR267" s="33" t="s">
        <v>321</v>
      </c>
      <c r="AS267" s="33" t="s">
        <v>178</v>
      </c>
      <c r="AT267" s="33" t="s">
        <v>161</v>
      </c>
      <c r="AU267" s="33">
        <v>4</v>
      </c>
      <c r="AW267" s="33" t="s">
        <v>142</v>
      </c>
      <c r="AY267" s="33">
        <v>1901</v>
      </c>
      <c r="AZ267" s="33">
        <v>17.899999999999999</v>
      </c>
      <c r="BA267" s="54"/>
      <c r="BM267" s="402"/>
      <c r="BN267" s="402"/>
      <c r="BR267" s="402"/>
      <c r="BS267" s="402"/>
      <c r="GH267" s="33">
        <v>69.540000000000006</v>
      </c>
      <c r="GI267" s="33">
        <v>78.150000000000006</v>
      </c>
      <c r="GL267" s="33" t="s">
        <v>1709</v>
      </c>
      <c r="HL267" s="33">
        <v>8.06</v>
      </c>
      <c r="HM267" s="33">
        <v>11.92</v>
      </c>
      <c r="IO267" s="33" t="s">
        <v>331</v>
      </c>
    </row>
    <row r="268" spans="1:249" s="33" customFormat="1" x14ac:dyDescent="0.25">
      <c r="A268" s="33">
        <v>18</v>
      </c>
      <c r="B268" s="33" t="s">
        <v>317</v>
      </c>
      <c r="C268" s="33" t="s">
        <v>318</v>
      </c>
      <c r="D268" s="33">
        <v>2017</v>
      </c>
      <c r="E268" s="33">
        <v>2011</v>
      </c>
      <c r="F268" s="204" t="s">
        <v>330</v>
      </c>
      <c r="G268" s="33" t="s">
        <v>319</v>
      </c>
      <c r="H268" s="32" t="s">
        <v>2831</v>
      </c>
      <c r="I268" s="33">
        <v>40.716666666666669</v>
      </c>
      <c r="J268" s="33">
        <v>-77.916666666666671</v>
      </c>
      <c r="K268" s="33">
        <v>350</v>
      </c>
      <c r="O268" s="33">
        <v>975</v>
      </c>
      <c r="Q268" s="47">
        <v>1</v>
      </c>
      <c r="R268" s="47" t="s">
        <v>1735</v>
      </c>
      <c r="S268" s="47"/>
      <c r="T268" s="47" t="s">
        <v>1875</v>
      </c>
      <c r="U268" s="47" t="s">
        <v>1393</v>
      </c>
      <c r="V268" s="47" t="s">
        <v>1727</v>
      </c>
      <c r="W268" s="47" t="s">
        <v>1393</v>
      </c>
      <c r="X268" s="47" t="s">
        <v>1393</v>
      </c>
      <c r="Z268" s="327"/>
      <c r="AA268" s="327"/>
      <c r="AB268" s="33" t="s">
        <v>451</v>
      </c>
      <c r="AF268" s="33" t="s">
        <v>1323</v>
      </c>
      <c r="AG268" s="33" t="s">
        <v>524</v>
      </c>
      <c r="AH268" s="138" t="s">
        <v>1131</v>
      </c>
      <c r="AI268" s="33" t="s">
        <v>133</v>
      </c>
      <c r="AJ268" s="141" t="s">
        <v>1625</v>
      </c>
      <c r="AK268" s="33" t="s">
        <v>320</v>
      </c>
      <c r="AL268" s="33" t="s">
        <v>320</v>
      </c>
      <c r="AM268" s="33" t="s">
        <v>178</v>
      </c>
      <c r="AQ268" s="33" t="s">
        <v>321</v>
      </c>
      <c r="AR268" s="33" t="s">
        <v>321</v>
      </c>
      <c r="AS268" s="33" t="s">
        <v>178</v>
      </c>
      <c r="AT268" s="33" t="s">
        <v>161</v>
      </c>
      <c r="AU268" s="33">
        <v>4</v>
      </c>
      <c r="AW268" s="33" t="s">
        <v>142</v>
      </c>
      <c r="AY268" s="33">
        <v>7165</v>
      </c>
      <c r="AZ268" s="33">
        <v>24.2</v>
      </c>
      <c r="BA268" s="54"/>
      <c r="BM268" s="402"/>
      <c r="BN268" s="402"/>
      <c r="BR268" s="402"/>
      <c r="BS268" s="402"/>
      <c r="GH268" s="33">
        <v>69.540000000000006</v>
      </c>
      <c r="GI268" s="33">
        <v>74.7</v>
      </c>
      <c r="GL268" s="33" t="s">
        <v>1709</v>
      </c>
      <c r="HL268" s="33">
        <v>8.06</v>
      </c>
      <c r="HM268" s="33">
        <v>9.8000000000000007</v>
      </c>
      <c r="IO268" s="33" t="s">
        <v>331</v>
      </c>
    </row>
    <row r="269" spans="1:249" s="33" customFormat="1" x14ac:dyDescent="0.25">
      <c r="A269" s="33">
        <v>18</v>
      </c>
      <c r="B269" s="33" t="s">
        <v>317</v>
      </c>
      <c r="C269" s="33" t="s">
        <v>318</v>
      </c>
      <c r="D269" s="33">
        <v>2017</v>
      </c>
      <c r="E269" s="33">
        <v>2011</v>
      </c>
      <c r="F269" s="204" t="s">
        <v>330</v>
      </c>
      <c r="G269" s="33" t="s">
        <v>319</v>
      </c>
      <c r="H269" s="32" t="s">
        <v>2831</v>
      </c>
      <c r="I269" s="33">
        <v>40.716666666666669</v>
      </c>
      <c r="J269" s="33">
        <v>-77.916666666666671</v>
      </c>
      <c r="K269" s="33">
        <v>350</v>
      </c>
      <c r="O269" s="33">
        <v>975</v>
      </c>
      <c r="Q269" s="47">
        <v>1</v>
      </c>
      <c r="R269" s="47" t="s">
        <v>1735</v>
      </c>
      <c r="S269" s="47"/>
      <c r="T269" s="47" t="s">
        <v>1875</v>
      </c>
      <c r="U269" s="47" t="s">
        <v>1393</v>
      </c>
      <c r="V269" s="47" t="s">
        <v>1727</v>
      </c>
      <c r="W269" s="47" t="s">
        <v>1393</v>
      </c>
      <c r="X269" s="47" t="s">
        <v>1393</v>
      </c>
      <c r="Z269" s="327"/>
      <c r="AA269" s="327"/>
      <c r="AB269" s="33" t="s">
        <v>451</v>
      </c>
      <c r="AF269" s="33" t="s">
        <v>1323</v>
      </c>
      <c r="AG269" s="33" t="s">
        <v>132</v>
      </c>
      <c r="AH269" s="138" t="s">
        <v>132</v>
      </c>
      <c r="AI269" s="33" t="s">
        <v>133</v>
      </c>
      <c r="AJ269" s="141" t="s">
        <v>1625</v>
      </c>
      <c r="AK269" s="33" t="s">
        <v>320</v>
      </c>
      <c r="AL269" s="33" t="s">
        <v>320</v>
      </c>
      <c r="AM269" s="33" t="s">
        <v>178</v>
      </c>
      <c r="AQ269" s="33" t="s">
        <v>321</v>
      </c>
      <c r="AR269" s="33" t="s">
        <v>321</v>
      </c>
      <c r="AS269" s="33" t="s">
        <v>178</v>
      </c>
      <c r="AT269" s="33" t="s">
        <v>161</v>
      </c>
      <c r="AU269" s="33">
        <v>4</v>
      </c>
      <c r="AW269" s="33" t="s">
        <v>142</v>
      </c>
      <c r="AY269" s="33">
        <v>7343</v>
      </c>
      <c r="AZ269" s="33">
        <v>42.9</v>
      </c>
      <c r="BA269" s="54"/>
      <c r="BM269" s="402"/>
      <c r="BN269" s="402"/>
      <c r="BR269" s="402"/>
      <c r="BS269" s="402"/>
      <c r="GH269" s="33">
        <v>69.540000000000006</v>
      </c>
      <c r="GI269" s="33">
        <v>74.03</v>
      </c>
      <c r="GL269" s="33" t="s">
        <v>1709</v>
      </c>
      <c r="HL269" s="33">
        <v>8.06</v>
      </c>
      <c r="HM269" s="33">
        <v>12.28</v>
      </c>
      <c r="IO269" s="33" t="s">
        <v>331</v>
      </c>
    </row>
    <row r="270" spans="1:249" s="33" customFormat="1" x14ac:dyDescent="0.25">
      <c r="A270" s="33">
        <v>18</v>
      </c>
      <c r="B270" s="33" t="s">
        <v>317</v>
      </c>
      <c r="C270" s="33" t="s">
        <v>318</v>
      </c>
      <c r="D270" s="33">
        <v>2017</v>
      </c>
      <c r="E270" s="33">
        <v>2011</v>
      </c>
      <c r="F270" s="204" t="s">
        <v>330</v>
      </c>
      <c r="G270" s="33" t="s">
        <v>319</v>
      </c>
      <c r="H270" s="32" t="s">
        <v>2831</v>
      </c>
      <c r="I270" s="33">
        <v>40.716666666666669</v>
      </c>
      <c r="J270" s="33">
        <v>-77.916666666666671</v>
      </c>
      <c r="K270" s="33">
        <v>350</v>
      </c>
      <c r="O270" s="33">
        <v>975</v>
      </c>
      <c r="Q270" s="47">
        <v>1</v>
      </c>
      <c r="R270" s="47" t="s">
        <v>1735</v>
      </c>
      <c r="S270" s="47"/>
      <c r="T270" s="47" t="s">
        <v>1875</v>
      </c>
      <c r="U270" s="47" t="s">
        <v>1393</v>
      </c>
      <c r="V270" s="47" t="s">
        <v>1727</v>
      </c>
      <c r="W270" s="47" t="s">
        <v>1393</v>
      </c>
      <c r="X270" s="47" t="s">
        <v>1393</v>
      </c>
      <c r="Z270" s="327"/>
      <c r="AA270" s="327"/>
      <c r="AB270" s="33" t="s">
        <v>451</v>
      </c>
      <c r="AF270" s="33" t="s">
        <v>1323</v>
      </c>
      <c r="AG270" s="33" t="s">
        <v>1508</v>
      </c>
      <c r="AH270" s="138" t="s">
        <v>636</v>
      </c>
      <c r="AI270" s="33" t="s">
        <v>133</v>
      </c>
      <c r="AJ270" s="141" t="s">
        <v>1625</v>
      </c>
      <c r="AK270" s="33" t="s">
        <v>320</v>
      </c>
      <c r="AL270" s="33" t="s">
        <v>320</v>
      </c>
      <c r="AM270" s="33" t="s">
        <v>178</v>
      </c>
      <c r="AQ270" s="33" t="s">
        <v>321</v>
      </c>
      <c r="AR270" s="33" t="s">
        <v>321</v>
      </c>
      <c r="AS270" s="33" t="s">
        <v>178</v>
      </c>
      <c r="AT270" s="33" t="s">
        <v>161</v>
      </c>
      <c r="AU270" s="33">
        <v>4</v>
      </c>
      <c r="AW270" s="33" t="s">
        <v>142</v>
      </c>
      <c r="AY270" s="33">
        <v>5850</v>
      </c>
      <c r="AZ270" s="33">
        <v>29.9</v>
      </c>
      <c r="BA270" s="54"/>
      <c r="BM270" s="402"/>
      <c r="BN270" s="402"/>
      <c r="BR270" s="402"/>
      <c r="BS270" s="402"/>
      <c r="GH270" s="33">
        <v>69.540000000000006</v>
      </c>
      <c r="GI270" s="33">
        <v>74.53</v>
      </c>
      <c r="GL270" s="33" t="s">
        <v>1709</v>
      </c>
      <c r="HL270" s="33">
        <v>8.06</v>
      </c>
      <c r="HM270" s="33">
        <v>10.97</v>
      </c>
      <c r="IO270" s="33" t="s">
        <v>331</v>
      </c>
    </row>
    <row r="271" spans="1:249" s="33" customFormat="1" x14ac:dyDescent="0.25">
      <c r="A271" s="33">
        <v>18</v>
      </c>
      <c r="B271" s="33" t="s">
        <v>317</v>
      </c>
      <c r="C271" s="33" t="s">
        <v>318</v>
      </c>
      <c r="D271" s="33">
        <v>2017</v>
      </c>
      <c r="E271" s="33">
        <v>2011</v>
      </c>
      <c r="F271" s="204" t="s">
        <v>330</v>
      </c>
      <c r="G271" s="33" t="s">
        <v>319</v>
      </c>
      <c r="H271" s="32" t="s">
        <v>2831</v>
      </c>
      <c r="I271" s="33">
        <v>40.716666666666669</v>
      </c>
      <c r="J271" s="33">
        <v>-77.916666666666671</v>
      </c>
      <c r="K271" s="33">
        <v>350</v>
      </c>
      <c r="O271" s="33">
        <v>975</v>
      </c>
      <c r="Q271" s="47">
        <v>1</v>
      </c>
      <c r="R271" s="47" t="s">
        <v>1735</v>
      </c>
      <c r="S271" s="47"/>
      <c r="T271" s="47" t="s">
        <v>1875</v>
      </c>
      <c r="U271" s="47" t="s">
        <v>1393</v>
      </c>
      <c r="V271" s="47" t="s">
        <v>1727</v>
      </c>
      <c r="W271" s="47" t="s">
        <v>1393</v>
      </c>
      <c r="X271" s="47" t="s">
        <v>1393</v>
      </c>
      <c r="Z271" s="327"/>
      <c r="AA271" s="327"/>
      <c r="AB271" s="33" t="s">
        <v>451</v>
      </c>
      <c r="AF271" s="33" t="s">
        <v>1323</v>
      </c>
      <c r="AG271" s="33" t="s">
        <v>1509</v>
      </c>
      <c r="AH271" s="138" t="s">
        <v>636</v>
      </c>
      <c r="AI271" s="33" t="s">
        <v>133</v>
      </c>
      <c r="AJ271" s="141" t="s">
        <v>1625</v>
      </c>
      <c r="AK271" s="33" t="s">
        <v>320</v>
      </c>
      <c r="AL271" s="33" t="s">
        <v>320</v>
      </c>
      <c r="AM271" s="33" t="s">
        <v>178</v>
      </c>
      <c r="AQ271" s="33" t="s">
        <v>321</v>
      </c>
      <c r="AR271" s="33" t="s">
        <v>321</v>
      </c>
      <c r="AS271" s="33" t="s">
        <v>178</v>
      </c>
      <c r="AT271" s="33" t="s">
        <v>161</v>
      </c>
      <c r="AU271" s="33">
        <v>4</v>
      </c>
      <c r="AW271" s="33" t="s">
        <v>142</v>
      </c>
      <c r="AY271" s="33">
        <v>1724</v>
      </c>
      <c r="AZ271" s="33">
        <v>15.4</v>
      </c>
      <c r="BA271" s="54"/>
      <c r="BM271" s="402"/>
      <c r="BN271" s="402"/>
      <c r="BR271" s="402"/>
      <c r="BS271" s="402"/>
      <c r="GH271" s="33">
        <v>69.540000000000006</v>
      </c>
      <c r="GI271" s="33">
        <v>76.25</v>
      </c>
      <c r="GL271" s="33" t="s">
        <v>1709</v>
      </c>
      <c r="HL271" s="33">
        <v>8.06</v>
      </c>
      <c r="HM271" s="33">
        <v>12.2</v>
      </c>
      <c r="IO271" s="33" t="s">
        <v>331</v>
      </c>
    </row>
    <row r="272" spans="1:249" s="33" customFormat="1" x14ac:dyDescent="0.25">
      <c r="A272" s="33">
        <v>18</v>
      </c>
      <c r="B272" s="33" t="s">
        <v>317</v>
      </c>
      <c r="C272" s="33" t="s">
        <v>318</v>
      </c>
      <c r="D272" s="33">
        <v>2017</v>
      </c>
      <c r="E272" s="33">
        <v>2011</v>
      </c>
      <c r="F272" s="204" t="s">
        <v>330</v>
      </c>
      <c r="G272" s="33" t="s">
        <v>319</v>
      </c>
      <c r="H272" s="32" t="s">
        <v>2831</v>
      </c>
      <c r="I272" s="33">
        <v>40.716666666666669</v>
      </c>
      <c r="J272" s="33">
        <v>-77.916666666666671</v>
      </c>
      <c r="K272" s="33">
        <v>350</v>
      </c>
      <c r="O272" s="33">
        <v>975</v>
      </c>
      <c r="Q272" s="47">
        <v>1</v>
      </c>
      <c r="R272" s="47" t="s">
        <v>1735</v>
      </c>
      <c r="S272" s="47"/>
      <c r="T272" s="47" t="s">
        <v>1875</v>
      </c>
      <c r="U272" s="47" t="s">
        <v>1393</v>
      </c>
      <c r="V272" s="47" t="s">
        <v>1727</v>
      </c>
      <c r="W272" s="47" t="s">
        <v>1393</v>
      </c>
      <c r="X272" s="47" t="s">
        <v>1393</v>
      </c>
      <c r="Z272" s="327"/>
      <c r="AA272" s="327"/>
      <c r="AB272" s="33" t="s">
        <v>451</v>
      </c>
      <c r="AF272" s="33" t="s">
        <v>1323</v>
      </c>
      <c r="AG272" s="33" t="s">
        <v>1510</v>
      </c>
      <c r="AH272" s="138" t="s">
        <v>636</v>
      </c>
      <c r="AI272" s="33" t="s">
        <v>133</v>
      </c>
      <c r="AJ272" s="141" t="s">
        <v>1625</v>
      </c>
      <c r="AK272" s="33" t="s">
        <v>320</v>
      </c>
      <c r="AL272" s="33" t="s">
        <v>320</v>
      </c>
      <c r="AM272" s="33" t="s">
        <v>178</v>
      </c>
      <c r="AQ272" s="33" t="s">
        <v>321</v>
      </c>
      <c r="AR272" s="33" t="s">
        <v>321</v>
      </c>
      <c r="AS272" s="33" t="s">
        <v>178</v>
      </c>
      <c r="AT272" s="33" t="s">
        <v>161</v>
      </c>
      <c r="AU272" s="33">
        <v>4</v>
      </c>
      <c r="AW272" s="33" t="s">
        <v>142</v>
      </c>
      <c r="AY272" s="33">
        <v>6699</v>
      </c>
      <c r="AZ272" s="33">
        <v>16.399999999999999</v>
      </c>
      <c r="BA272" s="54"/>
      <c r="BM272" s="402"/>
      <c r="BN272" s="402"/>
      <c r="BR272" s="402"/>
      <c r="BS272" s="402"/>
      <c r="GH272" s="33">
        <v>69.540000000000006</v>
      </c>
      <c r="GI272" s="33">
        <v>76.3</v>
      </c>
      <c r="GL272" s="33" t="s">
        <v>1709</v>
      </c>
      <c r="HL272" s="33">
        <v>8.06</v>
      </c>
      <c r="HM272" s="33">
        <v>11.89</v>
      </c>
      <c r="IO272" s="33" t="s">
        <v>331</v>
      </c>
    </row>
    <row r="273" spans="1:249" s="33" customFormat="1" x14ac:dyDescent="0.25">
      <c r="A273" s="33">
        <v>18</v>
      </c>
      <c r="B273" s="33" t="s">
        <v>317</v>
      </c>
      <c r="C273" s="33" t="s">
        <v>318</v>
      </c>
      <c r="D273" s="33">
        <v>2017</v>
      </c>
      <c r="E273" s="33">
        <v>2011</v>
      </c>
      <c r="F273" s="204" t="s">
        <v>330</v>
      </c>
      <c r="G273" s="33" t="s">
        <v>319</v>
      </c>
      <c r="H273" s="32" t="s">
        <v>2831</v>
      </c>
      <c r="I273" s="33">
        <v>40.716666666666669</v>
      </c>
      <c r="J273" s="33">
        <v>-77.916666666666671</v>
      </c>
      <c r="K273" s="33">
        <v>350</v>
      </c>
      <c r="O273" s="33">
        <v>975</v>
      </c>
      <c r="Q273" s="47">
        <v>1</v>
      </c>
      <c r="R273" s="47" t="s">
        <v>1735</v>
      </c>
      <c r="S273" s="47"/>
      <c r="T273" s="47" t="s">
        <v>1875</v>
      </c>
      <c r="U273" s="47" t="s">
        <v>1393</v>
      </c>
      <c r="V273" s="47" t="s">
        <v>1727</v>
      </c>
      <c r="W273" s="47" t="s">
        <v>1393</v>
      </c>
      <c r="X273" s="47" t="s">
        <v>1393</v>
      </c>
      <c r="Z273" s="327"/>
      <c r="AA273" s="327"/>
      <c r="AB273" s="33" t="s">
        <v>451</v>
      </c>
      <c r="AF273" s="33" t="s">
        <v>1323</v>
      </c>
      <c r="AG273" s="33" t="s">
        <v>1511</v>
      </c>
      <c r="AH273" s="138" t="s">
        <v>636</v>
      </c>
      <c r="AI273" s="33" t="s">
        <v>133</v>
      </c>
      <c r="AJ273" s="141" t="s">
        <v>1625</v>
      </c>
      <c r="AK273" s="33" t="s">
        <v>320</v>
      </c>
      <c r="AL273" s="33" t="s">
        <v>320</v>
      </c>
      <c r="AM273" s="33" t="s">
        <v>178</v>
      </c>
      <c r="AQ273" s="33" t="s">
        <v>321</v>
      </c>
      <c r="AR273" s="33" t="s">
        <v>321</v>
      </c>
      <c r="AS273" s="33" t="s">
        <v>178</v>
      </c>
      <c r="AT273" s="33" t="s">
        <v>161</v>
      </c>
      <c r="AU273" s="33">
        <v>4</v>
      </c>
      <c r="AW273" s="33" t="s">
        <v>142</v>
      </c>
      <c r="AY273" s="33">
        <v>6997</v>
      </c>
      <c r="AZ273" s="33">
        <v>35.9</v>
      </c>
      <c r="BA273" s="54"/>
      <c r="BM273" s="402"/>
      <c r="BN273" s="402"/>
      <c r="BR273" s="402"/>
      <c r="BS273" s="402"/>
      <c r="GH273" s="33">
        <v>69.540000000000006</v>
      </c>
      <c r="GI273" s="33">
        <v>73.819999999999993</v>
      </c>
      <c r="GL273" s="33" t="s">
        <v>1709</v>
      </c>
      <c r="HL273" s="33">
        <v>8.06</v>
      </c>
      <c r="HM273" s="33">
        <v>10.119999999999999</v>
      </c>
      <c r="IO273" s="33" t="s">
        <v>331</v>
      </c>
    </row>
    <row r="274" spans="1:249" s="33" customFormat="1" x14ac:dyDescent="0.25">
      <c r="A274" s="33">
        <v>18</v>
      </c>
      <c r="B274" s="33" t="s">
        <v>317</v>
      </c>
      <c r="C274" s="33" t="s">
        <v>318</v>
      </c>
      <c r="D274" s="33">
        <v>2017</v>
      </c>
      <c r="E274" s="33">
        <v>2011</v>
      </c>
      <c r="F274" s="204" t="s">
        <v>330</v>
      </c>
      <c r="G274" s="33" t="s">
        <v>319</v>
      </c>
      <c r="H274" s="32" t="s">
        <v>2831</v>
      </c>
      <c r="I274" s="33">
        <v>40.716666666666669</v>
      </c>
      <c r="J274" s="33">
        <v>-77.916666666666671</v>
      </c>
      <c r="K274" s="33">
        <v>350</v>
      </c>
      <c r="O274" s="33">
        <v>975</v>
      </c>
      <c r="Q274" s="47">
        <v>1</v>
      </c>
      <c r="R274" s="47" t="s">
        <v>1735</v>
      </c>
      <c r="S274" s="47"/>
      <c r="T274" s="47" t="s">
        <v>1875</v>
      </c>
      <c r="U274" s="47" t="s">
        <v>1393</v>
      </c>
      <c r="V274" s="47" t="s">
        <v>1727</v>
      </c>
      <c r="W274" s="47" t="s">
        <v>1393</v>
      </c>
      <c r="X274" s="47" t="s">
        <v>1393</v>
      </c>
      <c r="Z274" s="327"/>
      <c r="AA274" s="327"/>
      <c r="AB274" s="33" t="s">
        <v>451</v>
      </c>
      <c r="AF274" s="33" t="s">
        <v>1323</v>
      </c>
      <c r="AG274" s="33" t="s">
        <v>1512</v>
      </c>
      <c r="AH274" s="138" t="s">
        <v>636</v>
      </c>
      <c r="AI274" s="33" t="s">
        <v>133</v>
      </c>
      <c r="AJ274" s="141" t="s">
        <v>1625</v>
      </c>
      <c r="AK274" s="33" t="s">
        <v>320</v>
      </c>
      <c r="AL274" s="33" t="s">
        <v>320</v>
      </c>
      <c r="AM274" s="33" t="s">
        <v>178</v>
      </c>
      <c r="AQ274" s="33" t="s">
        <v>321</v>
      </c>
      <c r="AR274" s="33" t="s">
        <v>321</v>
      </c>
      <c r="AS274" s="33" t="s">
        <v>178</v>
      </c>
      <c r="AT274" s="33" t="s">
        <v>161</v>
      </c>
      <c r="AU274" s="33">
        <v>4</v>
      </c>
      <c r="AW274" s="33" t="s">
        <v>142</v>
      </c>
      <c r="AY274" s="33">
        <v>5374</v>
      </c>
      <c r="AZ274" s="33">
        <v>11</v>
      </c>
      <c r="BA274" s="54"/>
      <c r="BM274" s="402"/>
      <c r="BN274" s="402"/>
      <c r="BR274" s="402"/>
      <c r="BS274" s="402"/>
      <c r="GH274" s="33">
        <v>69.540000000000006</v>
      </c>
      <c r="GI274" s="33">
        <v>76.52</v>
      </c>
      <c r="GL274" s="33" t="s">
        <v>1709</v>
      </c>
      <c r="HL274" s="33">
        <v>8.06</v>
      </c>
      <c r="HM274" s="33">
        <v>10.73</v>
      </c>
      <c r="IO274" s="33" t="s">
        <v>331</v>
      </c>
    </row>
    <row r="275" spans="1:249" s="33" customFormat="1" x14ac:dyDescent="0.25">
      <c r="A275" s="33">
        <v>18</v>
      </c>
      <c r="B275" s="33" t="s">
        <v>317</v>
      </c>
      <c r="C275" s="33" t="s">
        <v>318</v>
      </c>
      <c r="D275" s="33">
        <v>2017</v>
      </c>
      <c r="E275" s="33">
        <v>2011</v>
      </c>
      <c r="F275" s="204" t="s">
        <v>330</v>
      </c>
      <c r="G275" s="33" t="s">
        <v>319</v>
      </c>
      <c r="H275" s="32" t="s">
        <v>2831</v>
      </c>
      <c r="I275" s="33">
        <v>40.716666666666669</v>
      </c>
      <c r="J275" s="33">
        <v>-77.916666666666671</v>
      </c>
      <c r="K275" s="33">
        <v>350</v>
      </c>
      <c r="O275" s="33">
        <v>975</v>
      </c>
      <c r="Q275" s="47">
        <v>1</v>
      </c>
      <c r="R275" s="47" t="s">
        <v>1735</v>
      </c>
      <c r="S275" s="47"/>
      <c r="T275" s="47" t="s">
        <v>1875</v>
      </c>
      <c r="U275" s="47" t="s">
        <v>1393</v>
      </c>
      <c r="V275" s="47" t="s">
        <v>1727</v>
      </c>
      <c r="W275" s="47" t="s">
        <v>1393</v>
      </c>
      <c r="X275" s="47" t="s">
        <v>1393</v>
      </c>
      <c r="Z275" s="327"/>
      <c r="AA275" s="327"/>
      <c r="AB275" s="33" t="s">
        <v>451</v>
      </c>
      <c r="AF275" s="33" t="s">
        <v>1323</v>
      </c>
      <c r="AG275" s="33" t="s">
        <v>322</v>
      </c>
      <c r="AH275" s="138" t="s">
        <v>636</v>
      </c>
      <c r="AI275" s="33" t="s">
        <v>133</v>
      </c>
      <c r="AJ275" s="141" t="s">
        <v>1625</v>
      </c>
      <c r="AK275" s="33" t="s">
        <v>320</v>
      </c>
      <c r="AL275" s="33" t="s">
        <v>320</v>
      </c>
      <c r="AM275" s="33" t="s">
        <v>178</v>
      </c>
      <c r="AQ275" s="33" t="s">
        <v>321</v>
      </c>
      <c r="AR275" s="33" t="s">
        <v>321</v>
      </c>
      <c r="AS275" s="33" t="s">
        <v>178</v>
      </c>
      <c r="AT275" s="33" t="s">
        <v>161</v>
      </c>
      <c r="AU275" s="33">
        <v>4</v>
      </c>
      <c r="AW275" s="33" t="s">
        <v>142</v>
      </c>
      <c r="AY275" s="33">
        <v>7143</v>
      </c>
      <c r="AZ275" s="33">
        <v>15</v>
      </c>
      <c r="BA275" s="54"/>
      <c r="BM275" s="402"/>
      <c r="BN275" s="402"/>
      <c r="BR275" s="402"/>
      <c r="BS275" s="402"/>
      <c r="GH275" s="33">
        <v>69.540000000000006</v>
      </c>
      <c r="GI275" s="33">
        <v>78.099999999999994</v>
      </c>
      <c r="GL275" s="33" t="s">
        <v>1709</v>
      </c>
      <c r="HL275" s="33">
        <v>8.06</v>
      </c>
      <c r="HM275" s="33">
        <v>11.61</v>
      </c>
      <c r="IO275" s="33" t="s">
        <v>331</v>
      </c>
    </row>
    <row r="276" spans="1:249" s="28" customFormat="1" x14ac:dyDescent="0.25">
      <c r="A276" s="28">
        <v>18</v>
      </c>
      <c r="B276" s="28" t="s">
        <v>317</v>
      </c>
      <c r="C276" s="28" t="s">
        <v>318</v>
      </c>
      <c r="D276" s="28">
        <v>2017</v>
      </c>
      <c r="E276" s="28">
        <v>2012</v>
      </c>
      <c r="F276" s="205" t="s">
        <v>330</v>
      </c>
      <c r="G276" s="28" t="s">
        <v>319</v>
      </c>
      <c r="H276" s="32" t="s">
        <v>2831</v>
      </c>
      <c r="I276" s="28">
        <v>40.716666666666669</v>
      </c>
      <c r="J276" s="28">
        <v>-77.916666666666671</v>
      </c>
      <c r="K276" s="28">
        <v>350</v>
      </c>
      <c r="O276" s="28">
        <v>975</v>
      </c>
      <c r="Q276" s="46">
        <v>2</v>
      </c>
      <c r="R276" s="46" t="s">
        <v>1735</v>
      </c>
      <c r="S276" s="46"/>
      <c r="T276" s="46" t="s">
        <v>1875</v>
      </c>
      <c r="U276" s="46" t="s">
        <v>1393</v>
      </c>
      <c r="V276" s="46" t="s">
        <v>1727</v>
      </c>
      <c r="W276" s="46" t="s">
        <v>1393</v>
      </c>
      <c r="X276" s="46" t="s">
        <v>1393</v>
      </c>
      <c r="Z276" s="326"/>
      <c r="AA276" s="326"/>
      <c r="AB276" s="28" t="s">
        <v>451</v>
      </c>
      <c r="AF276" s="28" t="s">
        <v>1323</v>
      </c>
      <c r="AG276" s="28" t="s">
        <v>1534</v>
      </c>
      <c r="AH276" s="138" t="s">
        <v>578</v>
      </c>
      <c r="AI276" s="28" t="s">
        <v>133</v>
      </c>
      <c r="AJ276" s="141" t="s">
        <v>1625</v>
      </c>
      <c r="AK276" s="28" t="s">
        <v>320</v>
      </c>
      <c r="AL276" s="28" t="s">
        <v>320</v>
      </c>
      <c r="AM276" s="28" t="s">
        <v>178</v>
      </c>
      <c r="AQ276" s="28" t="s">
        <v>321</v>
      </c>
      <c r="AR276" s="28" t="s">
        <v>321</v>
      </c>
      <c r="AS276" s="28" t="s">
        <v>178</v>
      </c>
      <c r="AT276" s="28" t="s">
        <v>161</v>
      </c>
      <c r="AU276" s="28">
        <v>4</v>
      </c>
      <c r="AW276" s="28" t="s">
        <v>142</v>
      </c>
      <c r="AY276" s="28">
        <v>61</v>
      </c>
      <c r="AZ276" s="28">
        <v>9.3000000000000007</v>
      </c>
      <c r="BA276" s="54"/>
      <c r="BM276" s="401"/>
      <c r="BN276" s="401"/>
      <c r="BR276" s="401"/>
      <c r="BS276" s="401"/>
      <c r="GH276" s="28">
        <v>77.319999999999993</v>
      </c>
      <c r="GI276" s="28">
        <v>85.89</v>
      </c>
      <c r="GL276" s="28" t="s">
        <v>1709</v>
      </c>
      <c r="HL276" s="28">
        <v>11.14</v>
      </c>
      <c r="HM276" s="28">
        <v>9.98</v>
      </c>
      <c r="IO276" s="28" t="s">
        <v>331</v>
      </c>
    </row>
    <row r="277" spans="1:249" s="28" customFormat="1" x14ac:dyDescent="0.25">
      <c r="A277" s="28">
        <v>18</v>
      </c>
      <c r="B277" s="28" t="s">
        <v>317</v>
      </c>
      <c r="C277" s="28" t="s">
        <v>318</v>
      </c>
      <c r="D277" s="28">
        <v>2017</v>
      </c>
      <c r="E277" s="28">
        <v>2012</v>
      </c>
      <c r="F277" s="205" t="s">
        <v>330</v>
      </c>
      <c r="G277" s="28" t="s">
        <v>319</v>
      </c>
      <c r="H277" s="32" t="s">
        <v>2831</v>
      </c>
      <c r="I277" s="28">
        <v>40.716666666666669</v>
      </c>
      <c r="J277" s="28">
        <v>-77.916666666666671</v>
      </c>
      <c r="K277" s="28">
        <v>350</v>
      </c>
      <c r="O277" s="28">
        <v>975</v>
      </c>
      <c r="Q277" s="46">
        <v>2</v>
      </c>
      <c r="R277" s="46" t="s">
        <v>1735</v>
      </c>
      <c r="S277" s="46"/>
      <c r="T277" s="46" t="s">
        <v>1875</v>
      </c>
      <c r="U277" s="46" t="s">
        <v>1393</v>
      </c>
      <c r="V277" s="46" t="s">
        <v>1727</v>
      </c>
      <c r="W277" s="46" t="s">
        <v>1393</v>
      </c>
      <c r="X277" s="46" t="s">
        <v>1393</v>
      </c>
      <c r="Z277" s="326"/>
      <c r="AA277" s="326"/>
      <c r="AB277" s="28" t="s">
        <v>451</v>
      </c>
      <c r="AF277" s="28" t="s">
        <v>1323</v>
      </c>
      <c r="AG277" s="28" t="s">
        <v>1154</v>
      </c>
      <c r="AH277" s="138" t="s">
        <v>578</v>
      </c>
      <c r="AI277" s="28" t="s">
        <v>133</v>
      </c>
      <c r="AJ277" s="141" t="s">
        <v>1625</v>
      </c>
      <c r="AK277" s="28" t="s">
        <v>320</v>
      </c>
      <c r="AL277" s="28" t="s">
        <v>320</v>
      </c>
      <c r="AM277" s="28" t="s">
        <v>178</v>
      </c>
      <c r="AQ277" s="28" t="s">
        <v>321</v>
      </c>
      <c r="AR277" s="28" t="s">
        <v>321</v>
      </c>
      <c r="AS277" s="28" t="s">
        <v>178</v>
      </c>
      <c r="AT277" s="28" t="s">
        <v>161</v>
      </c>
      <c r="AU277" s="28">
        <v>4</v>
      </c>
      <c r="AW277" s="28" t="s">
        <v>142</v>
      </c>
      <c r="AY277" s="28">
        <v>418</v>
      </c>
      <c r="AZ277" s="28">
        <v>9.5</v>
      </c>
      <c r="BA277" s="54"/>
      <c r="BM277" s="401"/>
      <c r="BN277" s="401"/>
      <c r="BR277" s="401"/>
      <c r="BS277" s="401"/>
      <c r="GH277" s="28">
        <v>77.319999999999993</v>
      </c>
      <c r="GI277" s="28">
        <v>82.78</v>
      </c>
      <c r="GL277" s="28" t="s">
        <v>1709</v>
      </c>
      <c r="HL277" s="28">
        <v>11.14</v>
      </c>
      <c r="HM277" s="28">
        <v>9.44</v>
      </c>
      <c r="IO277" s="28" t="s">
        <v>331</v>
      </c>
    </row>
    <row r="278" spans="1:249" s="28" customFormat="1" x14ac:dyDescent="0.25">
      <c r="A278" s="28">
        <v>18</v>
      </c>
      <c r="B278" s="28" t="s">
        <v>317</v>
      </c>
      <c r="C278" s="28" t="s">
        <v>318</v>
      </c>
      <c r="D278" s="28">
        <v>2017</v>
      </c>
      <c r="E278" s="28">
        <v>2012</v>
      </c>
      <c r="F278" s="205" t="s">
        <v>330</v>
      </c>
      <c r="G278" s="28" t="s">
        <v>319</v>
      </c>
      <c r="H278" s="32" t="s">
        <v>2831</v>
      </c>
      <c r="I278" s="28">
        <v>40.716666666666669</v>
      </c>
      <c r="J278" s="28">
        <v>-77.916666666666671</v>
      </c>
      <c r="K278" s="28">
        <v>350</v>
      </c>
      <c r="O278" s="28">
        <v>975</v>
      </c>
      <c r="Q278" s="46">
        <v>2</v>
      </c>
      <c r="R278" s="46" t="s">
        <v>1735</v>
      </c>
      <c r="S278" s="46"/>
      <c r="T278" s="46" t="s">
        <v>1875</v>
      </c>
      <c r="U278" s="46" t="s">
        <v>1393</v>
      </c>
      <c r="V278" s="46" t="s">
        <v>1727</v>
      </c>
      <c r="W278" s="46" t="s">
        <v>1393</v>
      </c>
      <c r="X278" s="46" t="s">
        <v>1393</v>
      </c>
      <c r="Z278" s="326"/>
      <c r="AA278" s="326"/>
      <c r="AB278" s="28" t="s">
        <v>451</v>
      </c>
      <c r="AF278" s="28" t="s">
        <v>1323</v>
      </c>
      <c r="AG278" s="28" t="s">
        <v>1535</v>
      </c>
      <c r="AH278" s="138" t="s">
        <v>578</v>
      </c>
      <c r="AI278" s="28" t="s">
        <v>133</v>
      </c>
      <c r="AJ278" s="141" t="s">
        <v>1625</v>
      </c>
      <c r="AK278" s="28" t="s">
        <v>320</v>
      </c>
      <c r="AL278" s="28" t="s">
        <v>320</v>
      </c>
      <c r="AM278" s="28" t="s">
        <v>178</v>
      </c>
      <c r="AQ278" s="28" t="s">
        <v>321</v>
      </c>
      <c r="AR278" s="28" t="s">
        <v>321</v>
      </c>
      <c r="AS278" s="28" t="s">
        <v>178</v>
      </c>
      <c r="AT278" s="28" t="s">
        <v>161</v>
      </c>
      <c r="AU278" s="28">
        <v>4</v>
      </c>
      <c r="AW278" s="28" t="s">
        <v>142</v>
      </c>
      <c r="AY278" s="28">
        <v>4045</v>
      </c>
      <c r="AZ278" s="28">
        <v>10.3</v>
      </c>
      <c r="BA278" s="54"/>
      <c r="BM278" s="401"/>
      <c r="BN278" s="401"/>
      <c r="BR278" s="401"/>
      <c r="BS278" s="401"/>
      <c r="GH278" s="28">
        <v>77.319999999999993</v>
      </c>
      <c r="GI278" s="28">
        <v>86.2</v>
      </c>
      <c r="GL278" s="28" t="s">
        <v>1709</v>
      </c>
      <c r="HL278" s="28">
        <v>11.14</v>
      </c>
      <c r="HM278" s="28">
        <v>11.5</v>
      </c>
      <c r="IO278" s="28" t="s">
        <v>331</v>
      </c>
    </row>
    <row r="279" spans="1:249" s="28" customFormat="1" x14ac:dyDescent="0.25">
      <c r="A279" s="28">
        <v>18</v>
      </c>
      <c r="B279" s="28" t="s">
        <v>317</v>
      </c>
      <c r="C279" s="28" t="s">
        <v>318</v>
      </c>
      <c r="D279" s="28">
        <v>2017</v>
      </c>
      <c r="E279" s="28">
        <v>2012</v>
      </c>
      <c r="F279" s="205" t="s">
        <v>330</v>
      </c>
      <c r="G279" s="28" t="s">
        <v>319</v>
      </c>
      <c r="H279" s="32" t="s">
        <v>2831</v>
      </c>
      <c r="I279" s="28">
        <v>40.716666666666669</v>
      </c>
      <c r="J279" s="28">
        <v>-77.916666666666671</v>
      </c>
      <c r="K279" s="28">
        <v>350</v>
      </c>
      <c r="O279" s="28">
        <v>975</v>
      </c>
      <c r="Q279" s="46">
        <v>2</v>
      </c>
      <c r="R279" s="46" t="s">
        <v>1735</v>
      </c>
      <c r="S279" s="46"/>
      <c r="T279" s="46" t="s">
        <v>1875</v>
      </c>
      <c r="U279" s="46" t="s">
        <v>1393</v>
      </c>
      <c r="V279" s="46" t="s">
        <v>1727</v>
      </c>
      <c r="W279" s="46" t="s">
        <v>1393</v>
      </c>
      <c r="X279" s="46" t="s">
        <v>1393</v>
      </c>
      <c r="Z279" s="326"/>
      <c r="AA279" s="326"/>
      <c r="AB279" s="28" t="s">
        <v>451</v>
      </c>
      <c r="AF279" s="28" t="s">
        <v>1323</v>
      </c>
      <c r="AG279" s="28" t="s">
        <v>244</v>
      </c>
      <c r="AH279" s="138" t="s">
        <v>578</v>
      </c>
      <c r="AI279" s="28" t="s">
        <v>133</v>
      </c>
      <c r="AJ279" s="141" t="s">
        <v>1625</v>
      </c>
      <c r="AK279" s="28" t="s">
        <v>320</v>
      </c>
      <c r="AL279" s="28" t="s">
        <v>320</v>
      </c>
      <c r="AM279" s="28" t="s">
        <v>178</v>
      </c>
      <c r="AQ279" s="28" t="s">
        <v>321</v>
      </c>
      <c r="AR279" s="28" t="s">
        <v>321</v>
      </c>
      <c r="AS279" s="28" t="s">
        <v>178</v>
      </c>
      <c r="AT279" s="28" t="s">
        <v>161</v>
      </c>
      <c r="AU279" s="28">
        <v>4</v>
      </c>
      <c r="AW279" s="28" t="s">
        <v>142</v>
      </c>
      <c r="AY279" s="28">
        <v>4531</v>
      </c>
      <c r="AZ279" s="28">
        <v>9</v>
      </c>
      <c r="BA279" s="54"/>
      <c r="BM279" s="401"/>
      <c r="BN279" s="401"/>
      <c r="BR279" s="401"/>
      <c r="BS279" s="401"/>
      <c r="GH279" s="28">
        <v>77.319999999999993</v>
      </c>
      <c r="GI279" s="28">
        <v>87.33</v>
      </c>
      <c r="GL279" s="28" t="s">
        <v>1709</v>
      </c>
      <c r="HL279" s="28">
        <v>11.14</v>
      </c>
      <c r="HM279" s="28">
        <v>17.059999999999999</v>
      </c>
      <c r="IO279" s="28" t="s">
        <v>331</v>
      </c>
    </row>
    <row r="280" spans="1:249" s="28" customFormat="1" x14ac:dyDescent="0.25">
      <c r="A280" s="28">
        <v>18</v>
      </c>
      <c r="B280" s="28" t="s">
        <v>317</v>
      </c>
      <c r="C280" s="28" t="s">
        <v>318</v>
      </c>
      <c r="D280" s="28">
        <v>2017</v>
      </c>
      <c r="E280" s="28">
        <v>2012</v>
      </c>
      <c r="F280" s="205" t="s">
        <v>330</v>
      </c>
      <c r="G280" s="28" t="s">
        <v>319</v>
      </c>
      <c r="H280" s="32" t="s">
        <v>2831</v>
      </c>
      <c r="I280" s="28">
        <v>40.716666666666669</v>
      </c>
      <c r="J280" s="28">
        <v>-77.916666666666671</v>
      </c>
      <c r="K280" s="28">
        <v>350</v>
      </c>
      <c r="O280" s="28">
        <v>975</v>
      </c>
      <c r="Q280" s="46">
        <v>2</v>
      </c>
      <c r="R280" s="46" t="s">
        <v>1735</v>
      </c>
      <c r="S280" s="46"/>
      <c r="T280" s="46" t="s">
        <v>1875</v>
      </c>
      <c r="U280" s="46" t="s">
        <v>1393</v>
      </c>
      <c r="V280" s="46" t="s">
        <v>1727</v>
      </c>
      <c r="W280" s="46" t="s">
        <v>1393</v>
      </c>
      <c r="X280" s="46" t="s">
        <v>1393</v>
      </c>
      <c r="Z280" s="326"/>
      <c r="AA280" s="326"/>
      <c r="AB280" s="28" t="s">
        <v>451</v>
      </c>
      <c r="AF280" s="28" t="s">
        <v>1323</v>
      </c>
      <c r="AG280" s="28" t="s">
        <v>1581</v>
      </c>
      <c r="AH280" s="138" t="s">
        <v>1131</v>
      </c>
      <c r="AI280" s="28" t="s">
        <v>133</v>
      </c>
      <c r="AJ280" s="141" t="s">
        <v>1625</v>
      </c>
      <c r="AK280" s="28" t="s">
        <v>320</v>
      </c>
      <c r="AL280" s="28" t="s">
        <v>320</v>
      </c>
      <c r="AM280" s="28" t="s">
        <v>178</v>
      </c>
      <c r="AQ280" s="28" t="s">
        <v>321</v>
      </c>
      <c r="AR280" s="28" t="s">
        <v>321</v>
      </c>
      <c r="AS280" s="28" t="s">
        <v>178</v>
      </c>
      <c r="AT280" s="28" t="s">
        <v>161</v>
      </c>
      <c r="AU280" s="28">
        <v>4</v>
      </c>
      <c r="AW280" s="28" t="s">
        <v>142</v>
      </c>
      <c r="AY280" s="28">
        <v>1381</v>
      </c>
      <c r="AZ280" s="28">
        <v>15.7</v>
      </c>
      <c r="BA280" s="54"/>
      <c r="BM280" s="401"/>
      <c r="BN280" s="401"/>
      <c r="BR280" s="401"/>
      <c r="BS280" s="401"/>
      <c r="GH280" s="28">
        <v>77.319999999999993</v>
      </c>
      <c r="GI280" s="28">
        <v>84.98</v>
      </c>
      <c r="GL280" s="28" t="s">
        <v>1709</v>
      </c>
      <c r="HL280" s="28">
        <v>11.14</v>
      </c>
      <c r="HM280" s="28">
        <v>10.33</v>
      </c>
      <c r="IO280" s="28" t="s">
        <v>331</v>
      </c>
    </row>
    <row r="281" spans="1:249" s="28" customFormat="1" x14ac:dyDescent="0.25">
      <c r="A281" s="28">
        <v>18</v>
      </c>
      <c r="B281" s="28" t="s">
        <v>317</v>
      </c>
      <c r="C281" s="28" t="s">
        <v>318</v>
      </c>
      <c r="D281" s="28">
        <v>2017</v>
      </c>
      <c r="E281" s="28">
        <v>2012</v>
      </c>
      <c r="F281" s="205" t="s">
        <v>330</v>
      </c>
      <c r="G281" s="28" t="s">
        <v>319</v>
      </c>
      <c r="H281" s="32" t="s">
        <v>2831</v>
      </c>
      <c r="I281" s="28">
        <v>40.716666666666669</v>
      </c>
      <c r="J281" s="28">
        <v>-77.916666666666671</v>
      </c>
      <c r="K281" s="28">
        <v>350</v>
      </c>
      <c r="O281" s="28">
        <v>975</v>
      </c>
      <c r="Q281" s="46">
        <v>2</v>
      </c>
      <c r="R281" s="46" t="s">
        <v>1735</v>
      </c>
      <c r="S281" s="46"/>
      <c r="T281" s="46" t="s">
        <v>1875</v>
      </c>
      <c r="U281" s="46" t="s">
        <v>1393</v>
      </c>
      <c r="V281" s="46" t="s">
        <v>1727</v>
      </c>
      <c r="W281" s="46" t="s">
        <v>1393</v>
      </c>
      <c r="X281" s="46" t="s">
        <v>1393</v>
      </c>
      <c r="Z281" s="326"/>
      <c r="AA281" s="326"/>
      <c r="AB281" s="28" t="s">
        <v>451</v>
      </c>
      <c r="AF281" s="28" t="s">
        <v>1323</v>
      </c>
      <c r="AG281" s="28" t="s">
        <v>521</v>
      </c>
      <c r="AH281" s="138" t="s">
        <v>1585</v>
      </c>
      <c r="AI281" s="28" t="s">
        <v>133</v>
      </c>
      <c r="AJ281" s="141" t="s">
        <v>1625</v>
      </c>
      <c r="AK281" s="28" t="s">
        <v>320</v>
      </c>
      <c r="AL281" s="28" t="s">
        <v>320</v>
      </c>
      <c r="AM281" s="28" t="s">
        <v>178</v>
      </c>
      <c r="AQ281" s="28" t="s">
        <v>321</v>
      </c>
      <c r="AR281" s="28" t="s">
        <v>321</v>
      </c>
      <c r="AS281" s="28" t="s">
        <v>178</v>
      </c>
      <c r="AT281" s="28" t="s">
        <v>161</v>
      </c>
      <c r="AU281" s="28">
        <v>4</v>
      </c>
      <c r="AW281" s="28" t="s">
        <v>142</v>
      </c>
      <c r="AY281" s="28">
        <v>1901</v>
      </c>
      <c r="AZ281" s="28">
        <v>17.899999999999999</v>
      </c>
      <c r="BA281" s="54"/>
      <c r="BM281" s="401"/>
      <c r="BN281" s="401"/>
      <c r="BR281" s="401"/>
      <c r="BS281" s="401"/>
      <c r="GH281" s="28">
        <v>77.319999999999993</v>
      </c>
      <c r="GI281" s="28">
        <v>88.13</v>
      </c>
      <c r="GL281" s="28" t="s">
        <v>1709</v>
      </c>
      <c r="HL281" s="28">
        <v>11.14</v>
      </c>
      <c r="HM281" s="28">
        <v>12.67</v>
      </c>
      <c r="IO281" s="28" t="s">
        <v>331</v>
      </c>
    </row>
    <row r="282" spans="1:249" s="28" customFormat="1" x14ac:dyDescent="0.25">
      <c r="A282" s="28">
        <v>18</v>
      </c>
      <c r="B282" s="28" t="s">
        <v>317</v>
      </c>
      <c r="C282" s="28" t="s">
        <v>318</v>
      </c>
      <c r="D282" s="28">
        <v>2017</v>
      </c>
      <c r="E282" s="28">
        <v>2012</v>
      </c>
      <c r="F282" s="205" t="s">
        <v>330</v>
      </c>
      <c r="G282" s="28" t="s">
        <v>319</v>
      </c>
      <c r="H282" s="32" t="s">
        <v>2831</v>
      </c>
      <c r="I282" s="28">
        <v>40.716666666666669</v>
      </c>
      <c r="J282" s="28">
        <v>-77.916666666666671</v>
      </c>
      <c r="K282" s="28">
        <v>350</v>
      </c>
      <c r="O282" s="28">
        <v>975</v>
      </c>
      <c r="Q282" s="46">
        <v>2</v>
      </c>
      <c r="R282" s="46" t="s">
        <v>1735</v>
      </c>
      <c r="S282" s="46"/>
      <c r="T282" s="46" t="s">
        <v>1875</v>
      </c>
      <c r="U282" s="46" t="s">
        <v>1393</v>
      </c>
      <c r="V282" s="46" t="s">
        <v>1727</v>
      </c>
      <c r="W282" s="46" t="s">
        <v>1393</v>
      </c>
      <c r="X282" s="46" t="s">
        <v>1393</v>
      </c>
      <c r="Z282" s="326"/>
      <c r="AA282" s="326"/>
      <c r="AB282" s="28" t="s">
        <v>451</v>
      </c>
      <c r="AF282" s="28" t="s">
        <v>1323</v>
      </c>
      <c r="AG282" s="28" t="s">
        <v>524</v>
      </c>
      <c r="AH282" s="138" t="s">
        <v>1131</v>
      </c>
      <c r="AI282" s="28" t="s">
        <v>133</v>
      </c>
      <c r="AJ282" s="141" t="s">
        <v>1625</v>
      </c>
      <c r="AK282" s="28" t="s">
        <v>320</v>
      </c>
      <c r="AL282" s="28" t="s">
        <v>320</v>
      </c>
      <c r="AM282" s="28" t="s">
        <v>178</v>
      </c>
      <c r="AQ282" s="28" t="s">
        <v>321</v>
      </c>
      <c r="AR282" s="28" t="s">
        <v>321</v>
      </c>
      <c r="AS282" s="28" t="s">
        <v>178</v>
      </c>
      <c r="AT282" s="28" t="s">
        <v>161</v>
      </c>
      <c r="AU282" s="28">
        <v>4</v>
      </c>
      <c r="AW282" s="28" t="s">
        <v>142</v>
      </c>
      <c r="AY282" s="28">
        <v>7165</v>
      </c>
      <c r="AZ282" s="28">
        <v>24.2</v>
      </c>
      <c r="BA282" s="54"/>
      <c r="BM282" s="401"/>
      <c r="BN282" s="401"/>
      <c r="BR282" s="401"/>
      <c r="BS282" s="401"/>
      <c r="GH282" s="28">
        <v>77.319999999999993</v>
      </c>
      <c r="GI282" s="28">
        <v>89.74</v>
      </c>
      <c r="GL282" s="28" t="s">
        <v>1709</v>
      </c>
      <c r="HL282" s="28">
        <v>11.14</v>
      </c>
      <c r="HM282" s="28">
        <v>11.23</v>
      </c>
      <c r="IO282" s="28" t="s">
        <v>331</v>
      </c>
    </row>
    <row r="283" spans="1:249" s="28" customFormat="1" x14ac:dyDescent="0.25">
      <c r="A283" s="28">
        <v>18</v>
      </c>
      <c r="B283" s="28" t="s">
        <v>317</v>
      </c>
      <c r="C283" s="28" t="s">
        <v>318</v>
      </c>
      <c r="D283" s="28">
        <v>2017</v>
      </c>
      <c r="E283" s="28">
        <v>2012</v>
      </c>
      <c r="F283" s="205" t="s">
        <v>330</v>
      </c>
      <c r="G283" s="28" t="s">
        <v>319</v>
      </c>
      <c r="H283" s="32" t="s">
        <v>2831</v>
      </c>
      <c r="I283" s="28">
        <v>40.716666666666669</v>
      </c>
      <c r="J283" s="28">
        <v>-77.916666666666671</v>
      </c>
      <c r="K283" s="28">
        <v>350</v>
      </c>
      <c r="O283" s="28">
        <v>975</v>
      </c>
      <c r="Q283" s="46">
        <v>2</v>
      </c>
      <c r="R283" s="46" t="s">
        <v>1735</v>
      </c>
      <c r="S283" s="46"/>
      <c r="T283" s="46" t="s">
        <v>1875</v>
      </c>
      <c r="U283" s="46" t="s">
        <v>1393</v>
      </c>
      <c r="V283" s="46" t="s">
        <v>1727</v>
      </c>
      <c r="W283" s="46" t="s">
        <v>1393</v>
      </c>
      <c r="X283" s="46" t="s">
        <v>1393</v>
      </c>
      <c r="Z283" s="326"/>
      <c r="AA283" s="326"/>
      <c r="AB283" s="28" t="s">
        <v>451</v>
      </c>
      <c r="AF283" s="28" t="s">
        <v>1323</v>
      </c>
      <c r="AG283" s="28" t="s">
        <v>132</v>
      </c>
      <c r="AH283" s="138" t="s">
        <v>132</v>
      </c>
      <c r="AI283" s="28" t="s">
        <v>133</v>
      </c>
      <c r="AJ283" s="141" t="s">
        <v>1625</v>
      </c>
      <c r="AK283" s="28" t="s">
        <v>320</v>
      </c>
      <c r="AL283" s="28" t="s">
        <v>320</v>
      </c>
      <c r="AM283" s="28" t="s">
        <v>178</v>
      </c>
      <c r="AQ283" s="28" t="s">
        <v>321</v>
      </c>
      <c r="AR283" s="28" t="s">
        <v>321</v>
      </c>
      <c r="AS283" s="28" t="s">
        <v>178</v>
      </c>
      <c r="AT283" s="28" t="s">
        <v>161</v>
      </c>
      <c r="AU283" s="28">
        <v>4</v>
      </c>
      <c r="AW283" s="28" t="s">
        <v>142</v>
      </c>
      <c r="AY283" s="28">
        <v>7343</v>
      </c>
      <c r="AZ283" s="28">
        <v>42.9</v>
      </c>
      <c r="BA283" s="54"/>
      <c r="BM283" s="401"/>
      <c r="BN283" s="401"/>
      <c r="BR283" s="401"/>
      <c r="BS283" s="401"/>
      <c r="GH283" s="28">
        <v>77.319999999999993</v>
      </c>
      <c r="GI283" s="28">
        <v>87.96</v>
      </c>
      <c r="GL283" s="28" t="s">
        <v>1709</v>
      </c>
      <c r="HL283" s="28">
        <v>11.14</v>
      </c>
      <c r="HM283" s="28">
        <v>16.989999999999998</v>
      </c>
      <c r="IO283" s="28" t="s">
        <v>331</v>
      </c>
    </row>
    <row r="284" spans="1:249" s="28" customFormat="1" x14ac:dyDescent="0.25">
      <c r="A284" s="28">
        <v>18</v>
      </c>
      <c r="B284" s="28" t="s">
        <v>317</v>
      </c>
      <c r="C284" s="28" t="s">
        <v>318</v>
      </c>
      <c r="D284" s="28">
        <v>2017</v>
      </c>
      <c r="E284" s="28">
        <v>2012</v>
      </c>
      <c r="F284" s="205" t="s">
        <v>330</v>
      </c>
      <c r="G284" s="28" t="s">
        <v>319</v>
      </c>
      <c r="H284" s="32" t="s">
        <v>2831</v>
      </c>
      <c r="I284" s="28">
        <v>40.716666666666669</v>
      </c>
      <c r="J284" s="28">
        <v>-77.916666666666671</v>
      </c>
      <c r="K284" s="28">
        <v>350</v>
      </c>
      <c r="O284" s="28">
        <v>975</v>
      </c>
      <c r="Q284" s="46">
        <v>2</v>
      </c>
      <c r="R284" s="46" t="s">
        <v>1735</v>
      </c>
      <c r="S284" s="46"/>
      <c r="T284" s="46" t="s">
        <v>1875</v>
      </c>
      <c r="U284" s="46" t="s">
        <v>1393</v>
      </c>
      <c r="V284" s="46" t="s">
        <v>1727</v>
      </c>
      <c r="W284" s="46" t="s">
        <v>1393</v>
      </c>
      <c r="X284" s="46" t="s">
        <v>1393</v>
      </c>
      <c r="Z284" s="326"/>
      <c r="AA284" s="326"/>
      <c r="AB284" s="28" t="s">
        <v>451</v>
      </c>
      <c r="AF284" s="28" t="s">
        <v>1323</v>
      </c>
      <c r="AG284" s="28" t="s">
        <v>1508</v>
      </c>
      <c r="AH284" s="138" t="s">
        <v>636</v>
      </c>
      <c r="AI284" s="28" t="s">
        <v>133</v>
      </c>
      <c r="AJ284" s="141" t="s">
        <v>1625</v>
      </c>
      <c r="AK284" s="28" t="s">
        <v>320</v>
      </c>
      <c r="AL284" s="28" t="s">
        <v>320</v>
      </c>
      <c r="AM284" s="28" t="s">
        <v>178</v>
      </c>
      <c r="AQ284" s="28" t="s">
        <v>321</v>
      </c>
      <c r="AR284" s="28" t="s">
        <v>321</v>
      </c>
      <c r="AS284" s="28" t="s">
        <v>178</v>
      </c>
      <c r="AT284" s="28" t="s">
        <v>161</v>
      </c>
      <c r="AU284" s="28">
        <v>4</v>
      </c>
      <c r="AW284" s="28" t="s">
        <v>142</v>
      </c>
      <c r="AY284" s="28">
        <v>5850</v>
      </c>
      <c r="AZ284" s="28">
        <v>29.9</v>
      </c>
      <c r="BA284" s="54"/>
      <c r="BM284" s="401"/>
      <c r="BN284" s="401"/>
      <c r="BR284" s="401"/>
      <c r="BS284" s="401"/>
      <c r="GH284" s="28">
        <v>77.319999999999993</v>
      </c>
      <c r="GI284" s="28">
        <v>84.98</v>
      </c>
      <c r="GL284" s="28" t="s">
        <v>1709</v>
      </c>
      <c r="HL284" s="28">
        <v>11.14</v>
      </c>
      <c r="HM284" s="28">
        <v>12.37</v>
      </c>
      <c r="IO284" s="28" t="s">
        <v>331</v>
      </c>
    </row>
    <row r="285" spans="1:249" s="28" customFormat="1" x14ac:dyDescent="0.25">
      <c r="A285" s="28">
        <v>18</v>
      </c>
      <c r="B285" s="28" t="s">
        <v>317</v>
      </c>
      <c r="C285" s="28" t="s">
        <v>318</v>
      </c>
      <c r="D285" s="28">
        <v>2017</v>
      </c>
      <c r="E285" s="28">
        <v>2012</v>
      </c>
      <c r="F285" s="205" t="s">
        <v>330</v>
      </c>
      <c r="G285" s="28" t="s">
        <v>319</v>
      </c>
      <c r="H285" s="32" t="s">
        <v>2831</v>
      </c>
      <c r="I285" s="28">
        <v>40.716666666666669</v>
      </c>
      <c r="J285" s="28">
        <v>-77.916666666666671</v>
      </c>
      <c r="K285" s="28">
        <v>350</v>
      </c>
      <c r="O285" s="28">
        <v>975</v>
      </c>
      <c r="Q285" s="46">
        <v>2</v>
      </c>
      <c r="R285" s="46" t="s">
        <v>1735</v>
      </c>
      <c r="S285" s="46"/>
      <c r="T285" s="46" t="s">
        <v>1875</v>
      </c>
      <c r="U285" s="46" t="s">
        <v>1393</v>
      </c>
      <c r="V285" s="46" t="s">
        <v>1727</v>
      </c>
      <c r="W285" s="46" t="s">
        <v>1393</v>
      </c>
      <c r="X285" s="46" t="s">
        <v>1393</v>
      </c>
      <c r="Z285" s="326"/>
      <c r="AA285" s="326"/>
      <c r="AB285" s="28" t="s">
        <v>451</v>
      </c>
      <c r="AF285" s="28" t="s">
        <v>1323</v>
      </c>
      <c r="AG285" s="28" t="s">
        <v>1509</v>
      </c>
      <c r="AH285" s="138" t="s">
        <v>636</v>
      </c>
      <c r="AI285" s="28" t="s">
        <v>133</v>
      </c>
      <c r="AJ285" s="141" t="s">
        <v>1625</v>
      </c>
      <c r="AK285" s="28" t="s">
        <v>320</v>
      </c>
      <c r="AL285" s="28" t="s">
        <v>320</v>
      </c>
      <c r="AM285" s="28" t="s">
        <v>178</v>
      </c>
      <c r="AQ285" s="28" t="s">
        <v>321</v>
      </c>
      <c r="AR285" s="28" t="s">
        <v>321</v>
      </c>
      <c r="AS285" s="28" t="s">
        <v>178</v>
      </c>
      <c r="AT285" s="28" t="s">
        <v>161</v>
      </c>
      <c r="AU285" s="28">
        <v>4</v>
      </c>
      <c r="AW285" s="28" t="s">
        <v>142</v>
      </c>
      <c r="AY285" s="28">
        <v>1724</v>
      </c>
      <c r="AZ285" s="28">
        <v>15.4</v>
      </c>
      <c r="BA285" s="54"/>
      <c r="BM285" s="401"/>
      <c r="BN285" s="401"/>
      <c r="BR285" s="401"/>
      <c r="BS285" s="401"/>
      <c r="GH285" s="28">
        <v>77.319999999999993</v>
      </c>
      <c r="GI285" s="28">
        <v>89.25</v>
      </c>
      <c r="GL285" s="28" t="s">
        <v>1709</v>
      </c>
      <c r="HL285" s="28">
        <v>11.14</v>
      </c>
      <c r="HM285" s="28">
        <v>11.31</v>
      </c>
      <c r="IO285" s="28" t="s">
        <v>331</v>
      </c>
    </row>
    <row r="286" spans="1:249" s="28" customFormat="1" x14ac:dyDescent="0.25">
      <c r="A286" s="28">
        <v>18</v>
      </c>
      <c r="B286" s="28" t="s">
        <v>317</v>
      </c>
      <c r="C286" s="28" t="s">
        <v>318</v>
      </c>
      <c r="D286" s="28">
        <v>2017</v>
      </c>
      <c r="E286" s="28">
        <v>2012</v>
      </c>
      <c r="F286" s="205" t="s">
        <v>330</v>
      </c>
      <c r="G286" s="28" t="s">
        <v>319</v>
      </c>
      <c r="H286" s="32" t="s">
        <v>2831</v>
      </c>
      <c r="I286" s="28">
        <v>40.716666666666669</v>
      </c>
      <c r="J286" s="28">
        <v>-77.916666666666671</v>
      </c>
      <c r="K286" s="28">
        <v>350</v>
      </c>
      <c r="O286" s="28">
        <v>975</v>
      </c>
      <c r="Q286" s="46">
        <v>2</v>
      </c>
      <c r="R286" s="46" t="s">
        <v>1735</v>
      </c>
      <c r="S286" s="46"/>
      <c r="T286" s="46" t="s">
        <v>1875</v>
      </c>
      <c r="U286" s="46" t="s">
        <v>1393</v>
      </c>
      <c r="V286" s="46" t="s">
        <v>1727</v>
      </c>
      <c r="W286" s="46" t="s">
        <v>1393</v>
      </c>
      <c r="X286" s="46" t="s">
        <v>1393</v>
      </c>
      <c r="Z286" s="326"/>
      <c r="AA286" s="326"/>
      <c r="AB286" s="28" t="s">
        <v>451</v>
      </c>
      <c r="AF286" s="28" t="s">
        <v>1323</v>
      </c>
      <c r="AG286" s="28" t="s">
        <v>1510</v>
      </c>
      <c r="AH286" s="138" t="s">
        <v>636</v>
      </c>
      <c r="AI286" s="28" t="s">
        <v>133</v>
      </c>
      <c r="AJ286" s="141" t="s">
        <v>1625</v>
      </c>
      <c r="AK286" s="28" t="s">
        <v>320</v>
      </c>
      <c r="AL286" s="28" t="s">
        <v>320</v>
      </c>
      <c r="AM286" s="28" t="s">
        <v>178</v>
      </c>
      <c r="AQ286" s="28" t="s">
        <v>321</v>
      </c>
      <c r="AR286" s="28" t="s">
        <v>321</v>
      </c>
      <c r="AS286" s="28" t="s">
        <v>178</v>
      </c>
      <c r="AT286" s="28" t="s">
        <v>161</v>
      </c>
      <c r="AU286" s="28">
        <v>4</v>
      </c>
      <c r="AW286" s="28" t="s">
        <v>142</v>
      </c>
      <c r="AY286" s="28">
        <v>6699</v>
      </c>
      <c r="AZ286" s="28">
        <v>16.399999999999999</v>
      </c>
      <c r="BA286" s="54"/>
      <c r="BM286" s="401"/>
      <c r="BN286" s="401"/>
      <c r="BR286" s="401"/>
      <c r="BS286" s="401"/>
      <c r="GH286" s="28">
        <v>77.319999999999993</v>
      </c>
      <c r="GI286" s="28">
        <v>87.97</v>
      </c>
      <c r="GL286" s="28" t="s">
        <v>1709</v>
      </c>
      <c r="HL286" s="28">
        <v>11.14</v>
      </c>
      <c r="HM286" s="28">
        <v>17.8</v>
      </c>
      <c r="IO286" s="28" t="s">
        <v>331</v>
      </c>
    </row>
    <row r="287" spans="1:249" s="28" customFormat="1" x14ac:dyDescent="0.25">
      <c r="A287" s="28">
        <v>18</v>
      </c>
      <c r="B287" s="28" t="s">
        <v>317</v>
      </c>
      <c r="C287" s="28" t="s">
        <v>318</v>
      </c>
      <c r="D287" s="28">
        <v>2017</v>
      </c>
      <c r="E287" s="28">
        <v>2012</v>
      </c>
      <c r="F287" s="205" t="s">
        <v>330</v>
      </c>
      <c r="G287" s="28" t="s">
        <v>319</v>
      </c>
      <c r="H287" s="32" t="s">
        <v>2831</v>
      </c>
      <c r="I287" s="28">
        <v>40.716666666666669</v>
      </c>
      <c r="J287" s="28">
        <v>-77.916666666666671</v>
      </c>
      <c r="K287" s="28">
        <v>350</v>
      </c>
      <c r="O287" s="28">
        <v>975</v>
      </c>
      <c r="Q287" s="46">
        <v>2</v>
      </c>
      <c r="R287" s="46" t="s">
        <v>1735</v>
      </c>
      <c r="S287" s="46"/>
      <c r="T287" s="46" t="s">
        <v>1875</v>
      </c>
      <c r="U287" s="46" t="s">
        <v>1393</v>
      </c>
      <c r="V287" s="46" t="s">
        <v>1727</v>
      </c>
      <c r="W287" s="46" t="s">
        <v>1393</v>
      </c>
      <c r="X287" s="46" t="s">
        <v>1393</v>
      </c>
      <c r="Z287" s="326"/>
      <c r="AA287" s="326"/>
      <c r="AB287" s="28" t="s">
        <v>451</v>
      </c>
      <c r="AF287" s="28" t="s">
        <v>1323</v>
      </c>
      <c r="AG287" s="28" t="s">
        <v>1511</v>
      </c>
      <c r="AH287" s="138" t="s">
        <v>636</v>
      </c>
      <c r="AI287" s="28" t="s">
        <v>133</v>
      </c>
      <c r="AJ287" s="141" t="s">
        <v>1625</v>
      </c>
      <c r="AK287" s="28" t="s">
        <v>320</v>
      </c>
      <c r="AL287" s="28" t="s">
        <v>320</v>
      </c>
      <c r="AM287" s="28" t="s">
        <v>178</v>
      </c>
      <c r="AQ287" s="28" t="s">
        <v>321</v>
      </c>
      <c r="AR287" s="28" t="s">
        <v>321</v>
      </c>
      <c r="AS287" s="28" t="s">
        <v>178</v>
      </c>
      <c r="AT287" s="28" t="s">
        <v>161</v>
      </c>
      <c r="AU287" s="28">
        <v>4</v>
      </c>
      <c r="AW287" s="28" t="s">
        <v>142</v>
      </c>
      <c r="AY287" s="28">
        <v>6997</v>
      </c>
      <c r="AZ287" s="28">
        <v>35.9</v>
      </c>
      <c r="BA287" s="54"/>
      <c r="BM287" s="401"/>
      <c r="BN287" s="401"/>
      <c r="BR287" s="401"/>
      <c r="BS287" s="401"/>
      <c r="GH287" s="28">
        <v>77.319999999999993</v>
      </c>
      <c r="GI287" s="28">
        <v>86.26</v>
      </c>
      <c r="GL287" s="28" t="s">
        <v>1709</v>
      </c>
      <c r="HL287" s="28">
        <v>11.14</v>
      </c>
      <c r="HM287" s="28">
        <v>14</v>
      </c>
      <c r="IO287" s="28" t="s">
        <v>331</v>
      </c>
    </row>
    <row r="288" spans="1:249" s="28" customFormat="1" x14ac:dyDescent="0.25">
      <c r="A288" s="28">
        <v>18</v>
      </c>
      <c r="B288" s="28" t="s">
        <v>317</v>
      </c>
      <c r="C288" s="28" t="s">
        <v>318</v>
      </c>
      <c r="D288" s="28">
        <v>2017</v>
      </c>
      <c r="E288" s="28">
        <v>2012</v>
      </c>
      <c r="F288" s="205" t="s">
        <v>330</v>
      </c>
      <c r="G288" s="28" t="s">
        <v>319</v>
      </c>
      <c r="H288" s="32" t="s">
        <v>2831</v>
      </c>
      <c r="I288" s="28">
        <v>40.716666666666669</v>
      </c>
      <c r="J288" s="28">
        <v>-77.916666666666671</v>
      </c>
      <c r="K288" s="28">
        <v>350</v>
      </c>
      <c r="O288" s="28">
        <v>975</v>
      </c>
      <c r="Q288" s="46">
        <v>2</v>
      </c>
      <c r="R288" s="46" t="s">
        <v>1735</v>
      </c>
      <c r="S288" s="46"/>
      <c r="T288" s="46" t="s">
        <v>1875</v>
      </c>
      <c r="U288" s="46" t="s">
        <v>1393</v>
      </c>
      <c r="V288" s="46" t="s">
        <v>1727</v>
      </c>
      <c r="W288" s="46" t="s">
        <v>1393</v>
      </c>
      <c r="X288" s="46" t="s">
        <v>1393</v>
      </c>
      <c r="Z288" s="326"/>
      <c r="AA288" s="326"/>
      <c r="AB288" s="28" t="s">
        <v>451</v>
      </c>
      <c r="AF288" s="28" t="s">
        <v>1323</v>
      </c>
      <c r="AG288" s="28" t="s">
        <v>1512</v>
      </c>
      <c r="AH288" s="138" t="s">
        <v>636</v>
      </c>
      <c r="AI288" s="28" t="s">
        <v>133</v>
      </c>
      <c r="AJ288" s="141" t="s">
        <v>1625</v>
      </c>
      <c r="AK288" s="28" t="s">
        <v>320</v>
      </c>
      <c r="AL288" s="28" t="s">
        <v>320</v>
      </c>
      <c r="AM288" s="28" t="s">
        <v>178</v>
      </c>
      <c r="AQ288" s="28" t="s">
        <v>321</v>
      </c>
      <c r="AR288" s="28" t="s">
        <v>321</v>
      </c>
      <c r="AS288" s="28" t="s">
        <v>178</v>
      </c>
      <c r="AT288" s="28" t="s">
        <v>161</v>
      </c>
      <c r="AU288" s="28">
        <v>4</v>
      </c>
      <c r="AW288" s="28" t="s">
        <v>142</v>
      </c>
      <c r="AY288" s="28">
        <v>5374</v>
      </c>
      <c r="AZ288" s="28">
        <v>11</v>
      </c>
      <c r="BA288" s="54"/>
      <c r="BM288" s="401"/>
      <c r="BN288" s="401"/>
      <c r="BR288" s="401"/>
      <c r="BS288" s="401"/>
      <c r="GH288" s="28">
        <v>77.319999999999993</v>
      </c>
      <c r="GI288" s="28">
        <v>89.26</v>
      </c>
      <c r="GL288" s="28" t="s">
        <v>1709</v>
      </c>
      <c r="HL288" s="28">
        <v>11.14</v>
      </c>
      <c r="HM288" s="28">
        <v>14.56</v>
      </c>
      <c r="IO288" s="28" t="s">
        <v>331</v>
      </c>
    </row>
    <row r="289" spans="1:249" s="28" customFormat="1" x14ac:dyDescent="0.25">
      <c r="A289" s="28">
        <v>18</v>
      </c>
      <c r="B289" s="28" t="s">
        <v>317</v>
      </c>
      <c r="C289" s="28" t="s">
        <v>318</v>
      </c>
      <c r="D289" s="28">
        <v>2017</v>
      </c>
      <c r="E289" s="28">
        <v>2012</v>
      </c>
      <c r="F289" s="205" t="s">
        <v>330</v>
      </c>
      <c r="G289" s="28" t="s">
        <v>319</v>
      </c>
      <c r="H289" s="32" t="s">
        <v>2831</v>
      </c>
      <c r="I289" s="28">
        <v>40.716666666666669</v>
      </c>
      <c r="J289" s="28">
        <v>-77.916666666666671</v>
      </c>
      <c r="K289" s="28">
        <v>350</v>
      </c>
      <c r="O289" s="28">
        <v>975</v>
      </c>
      <c r="Q289" s="46">
        <v>2</v>
      </c>
      <c r="R289" s="46" t="s">
        <v>1735</v>
      </c>
      <c r="S289" s="46"/>
      <c r="T289" s="46" t="s">
        <v>1875</v>
      </c>
      <c r="U289" s="46" t="s">
        <v>1393</v>
      </c>
      <c r="V289" s="46" t="s">
        <v>1727</v>
      </c>
      <c r="W289" s="46" t="s">
        <v>1393</v>
      </c>
      <c r="X289" s="46" t="s">
        <v>1393</v>
      </c>
      <c r="Z289" s="326"/>
      <c r="AA289" s="326"/>
      <c r="AB289" s="28" t="s">
        <v>451</v>
      </c>
      <c r="AF289" s="28" t="s">
        <v>1323</v>
      </c>
      <c r="AG289" s="28" t="s">
        <v>322</v>
      </c>
      <c r="AH289" s="138" t="s">
        <v>636</v>
      </c>
      <c r="AI289" s="28" t="s">
        <v>133</v>
      </c>
      <c r="AJ289" s="141" t="s">
        <v>1625</v>
      </c>
      <c r="AK289" s="28" t="s">
        <v>320</v>
      </c>
      <c r="AL289" s="28" t="s">
        <v>320</v>
      </c>
      <c r="AM289" s="28" t="s">
        <v>178</v>
      </c>
      <c r="AQ289" s="28" t="s">
        <v>321</v>
      </c>
      <c r="AR289" s="28" t="s">
        <v>321</v>
      </c>
      <c r="AS289" s="28" t="s">
        <v>178</v>
      </c>
      <c r="AT289" s="28" t="s">
        <v>161</v>
      </c>
      <c r="AU289" s="28">
        <v>4</v>
      </c>
      <c r="AW289" s="28" t="s">
        <v>142</v>
      </c>
      <c r="AY289" s="28">
        <v>7143</v>
      </c>
      <c r="AZ289" s="28">
        <v>15</v>
      </c>
      <c r="BA289" s="54"/>
      <c r="BM289" s="401"/>
      <c r="BN289" s="401"/>
      <c r="BR289" s="401"/>
      <c r="BS289" s="401"/>
      <c r="GH289" s="28">
        <v>77.319999999999993</v>
      </c>
      <c r="GI289" s="28">
        <v>94.47</v>
      </c>
      <c r="GL289" s="28" t="s">
        <v>1709</v>
      </c>
      <c r="HL289" s="28">
        <v>11.14</v>
      </c>
      <c r="HM289" s="28">
        <v>15.92</v>
      </c>
      <c r="IO289" s="28" t="s">
        <v>331</v>
      </c>
    </row>
    <row r="290" spans="1:249" s="34" customFormat="1" x14ac:dyDescent="0.25">
      <c r="A290" s="34">
        <v>19</v>
      </c>
      <c r="B290" s="34" t="s">
        <v>333</v>
      </c>
      <c r="C290" s="34" t="s">
        <v>334</v>
      </c>
      <c r="D290" s="34">
        <v>1986</v>
      </c>
      <c r="E290" s="34">
        <v>1981</v>
      </c>
      <c r="F290" s="34" t="s">
        <v>303</v>
      </c>
      <c r="G290" s="34" t="s">
        <v>335</v>
      </c>
      <c r="H290" s="32" t="s">
        <v>2831</v>
      </c>
      <c r="I290" s="34">
        <v>33.32</v>
      </c>
      <c r="J290" s="34">
        <v>-84.43</v>
      </c>
      <c r="K290" s="34">
        <v>246.5</v>
      </c>
      <c r="Q290" s="48">
        <v>1</v>
      </c>
      <c r="R290" s="48" t="s">
        <v>1735</v>
      </c>
      <c r="S290" s="48"/>
      <c r="T290" s="48" t="s">
        <v>1876</v>
      </c>
      <c r="U290" s="48" t="s">
        <v>1384</v>
      </c>
      <c r="V290" s="48" t="s">
        <v>1723</v>
      </c>
      <c r="W290" s="48" t="s">
        <v>1384</v>
      </c>
      <c r="X290" s="48" t="s">
        <v>1393</v>
      </c>
      <c r="Z290" s="328"/>
      <c r="AA290" s="328"/>
      <c r="AB290" s="34" t="s">
        <v>241</v>
      </c>
      <c r="AF290" s="34" t="s">
        <v>1324</v>
      </c>
      <c r="AG290" s="34" t="s">
        <v>132</v>
      </c>
      <c r="AH290" s="138" t="s">
        <v>132</v>
      </c>
      <c r="AI290" s="34" t="s">
        <v>221</v>
      </c>
      <c r="AJ290" s="140" t="s">
        <v>221</v>
      </c>
      <c r="AN290" s="34" t="s">
        <v>219</v>
      </c>
      <c r="AO290" s="34" t="s">
        <v>219</v>
      </c>
      <c r="AP290" s="34" t="s">
        <v>178</v>
      </c>
      <c r="AQ290" s="34" t="s">
        <v>339</v>
      </c>
      <c r="AR290" s="34" t="s">
        <v>339</v>
      </c>
      <c r="AT290" s="34" t="s">
        <v>120</v>
      </c>
      <c r="AU290" s="34">
        <v>4</v>
      </c>
      <c r="AW290" s="34" t="s">
        <v>336</v>
      </c>
      <c r="AY290" s="34">
        <f>3.33*1000</f>
        <v>3330</v>
      </c>
      <c r="AZ290" s="34">
        <f>3.33/1.09*10</f>
        <v>30.550458715596328</v>
      </c>
      <c r="BA290" s="53"/>
      <c r="BB290" s="34" t="s">
        <v>341</v>
      </c>
      <c r="BH290" s="34">
        <f>3.43*1000</f>
        <v>3430</v>
      </c>
      <c r="BI290" s="34">
        <f>2.83*1000</f>
        <v>2830</v>
      </c>
      <c r="BL290" s="34" t="s">
        <v>337</v>
      </c>
      <c r="BM290" s="404"/>
      <c r="BN290" s="404"/>
      <c r="BR290" s="404">
        <f>7.9/1000*100</f>
        <v>0.79</v>
      </c>
      <c r="BS290" s="404">
        <v>0.87</v>
      </c>
      <c r="BV290" s="34" t="s">
        <v>164</v>
      </c>
      <c r="BW290" s="34">
        <f>0.58*1000</f>
        <v>580</v>
      </c>
      <c r="BX290" s="34">
        <v>650</v>
      </c>
      <c r="CA290" s="34" t="s">
        <v>1686</v>
      </c>
      <c r="CB290" s="34">
        <v>55</v>
      </c>
      <c r="CC290" s="34">
        <v>57</v>
      </c>
      <c r="CG290" s="34">
        <v>105</v>
      </c>
      <c r="CH290" s="34">
        <v>97</v>
      </c>
      <c r="CL290" s="34">
        <v>6.7</v>
      </c>
      <c r="CM290" s="34">
        <v>6.7</v>
      </c>
      <c r="GM290" s="12"/>
      <c r="GQ290" s="12"/>
      <c r="IO290" s="34" t="s">
        <v>351</v>
      </c>
    </row>
    <row r="291" spans="1:249" s="34" customFormat="1" x14ac:dyDescent="0.25">
      <c r="A291" s="34">
        <v>19</v>
      </c>
      <c r="B291" s="34" t="s">
        <v>333</v>
      </c>
      <c r="C291" s="34" t="s">
        <v>334</v>
      </c>
      <c r="D291" s="34">
        <v>1986</v>
      </c>
      <c r="E291" s="34">
        <v>1981</v>
      </c>
      <c r="F291" s="34" t="s">
        <v>303</v>
      </c>
      <c r="G291" s="34" t="s">
        <v>335</v>
      </c>
      <c r="H291" s="32" t="s">
        <v>2831</v>
      </c>
      <c r="I291" s="34">
        <v>33.32</v>
      </c>
      <c r="J291" s="34">
        <v>-84.43</v>
      </c>
      <c r="K291" s="34">
        <v>246.5</v>
      </c>
      <c r="Q291" s="48">
        <v>1</v>
      </c>
      <c r="R291" s="48" t="s">
        <v>1735</v>
      </c>
      <c r="S291" s="48"/>
      <c r="T291" s="48" t="s">
        <v>1876</v>
      </c>
      <c r="U291" s="48" t="s">
        <v>1384</v>
      </c>
      <c r="V291" s="48" t="s">
        <v>1723</v>
      </c>
      <c r="W291" s="48" t="s">
        <v>1384</v>
      </c>
      <c r="X291" s="48" t="s">
        <v>1393</v>
      </c>
      <c r="Z291" s="328"/>
      <c r="AA291" s="328"/>
      <c r="AB291" s="34" t="s">
        <v>241</v>
      </c>
      <c r="AF291" s="34" t="s">
        <v>1324</v>
      </c>
      <c r="AG291" s="34" t="s">
        <v>1525</v>
      </c>
      <c r="AH291" s="138" t="s">
        <v>578</v>
      </c>
      <c r="AI291" s="34" t="s">
        <v>221</v>
      </c>
      <c r="AJ291" s="140" t="s">
        <v>221</v>
      </c>
      <c r="AN291" s="34" t="s">
        <v>219</v>
      </c>
      <c r="AO291" s="34" t="s">
        <v>219</v>
      </c>
      <c r="AP291" s="34" t="s">
        <v>178</v>
      </c>
      <c r="AQ291" s="34" t="s">
        <v>339</v>
      </c>
      <c r="AR291" s="34" t="s">
        <v>339</v>
      </c>
      <c r="AT291" s="34" t="s">
        <v>120</v>
      </c>
      <c r="AU291" s="34">
        <v>4</v>
      </c>
      <c r="AW291" s="34" t="s">
        <v>336</v>
      </c>
      <c r="AY291" s="34">
        <f>3.53*1000</f>
        <v>3530</v>
      </c>
      <c r="AZ291" s="34">
        <f>3.53*10/2.92</f>
        <v>12.08904109589041</v>
      </c>
      <c r="BA291" s="53"/>
      <c r="BB291" s="34" t="s">
        <v>341</v>
      </c>
      <c r="BH291" s="34">
        <f t="shared" ref="BH291:BH294" si="46">3.43*1000</f>
        <v>3430</v>
      </c>
      <c r="BI291" s="34">
        <f>3.68*1000</f>
        <v>3680</v>
      </c>
      <c r="BL291" s="34" t="s">
        <v>337</v>
      </c>
      <c r="BM291" s="404"/>
      <c r="BN291" s="404"/>
      <c r="BR291" s="404">
        <f t="shared" ref="BR291:BR294" si="47">7.9/1000*100</f>
        <v>0.79</v>
      </c>
      <c r="BS291" s="404">
        <v>0.84</v>
      </c>
      <c r="BV291" s="34" t="s">
        <v>164</v>
      </c>
      <c r="BW291" s="34">
        <f t="shared" ref="BW291:BW294" si="48">0.58*1000</f>
        <v>580</v>
      </c>
      <c r="BX291" s="34">
        <v>650</v>
      </c>
      <c r="CA291" s="34" t="s">
        <v>1686</v>
      </c>
      <c r="CB291" s="34">
        <v>55</v>
      </c>
      <c r="CC291" s="34">
        <v>38</v>
      </c>
      <c r="CG291" s="34">
        <v>105</v>
      </c>
      <c r="CH291" s="34">
        <v>96</v>
      </c>
      <c r="CL291" s="34">
        <v>6.7</v>
      </c>
      <c r="CM291" s="34">
        <v>6.2</v>
      </c>
      <c r="GM291" s="12"/>
      <c r="GQ291" s="12"/>
      <c r="IO291" s="34" t="s">
        <v>351</v>
      </c>
    </row>
    <row r="292" spans="1:249" s="34" customFormat="1" x14ac:dyDescent="0.25">
      <c r="A292" s="34">
        <v>19</v>
      </c>
      <c r="B292" s="34" t="s">
        <v>333</v>
      </c>
      <c r="C292" s="34" t="s">
        <v>334</v>
      </c>
      <c r="D292" s="34">
        <v>1986</v>
      </c>
      <c r="E292" s="34">
        <v>1981</v>
      </c>
      <c r="F292" s="34" t="s">
        <v>303</v>
      </c>
      <c r="G292" s="34" t="s">
        <v>335</v>
      </c>
      <c r="H292" s="32" t="s">
        <v>2831</v>
      </c>
      <c r="I292" s="34">
        <v>33.32</v>
      </c>
      <c r="J292" s="34">
        <v>-84.43</v>
      </c>
      <c r="K292" s="34">
        <v>246.5</v>
      </c>
      <c r="Q292" s="48">
        <v>1</v>
      </c>
      <c r="R292" s="48" t="s">
        <v>1735</v>
      </c>
      <c r="S292" s="48"/>
      <c r="T292" s="48" t="s">
        <v>1876</v>
      </c>
      <c r="U292" s="48" t="s">
        <v>1384</v>
      </c>
      <c r="V292" s="48" t="s">
        <v>1723</v>
      </c>
      <c r="W292" s="48" t="s">
        <v>1384</v>
      </c>
      <c r="X292" s="48" t="s">
        <v>1393</v>
      </c>
      <c r="Z292" s="328"/>
      <c r="AA292" s="328"/>
      <c r="AB292" s="34" t="s">
        <v>241</v>
      </c>
      <c r="AF292" s="34" t="s">
        <v>1324</v>
      </c>
      <c r="AG292" s="34" t="s">
        <v>1536</v>
      </c>
      <c r="AH292" s="138" t="s">
        <v>578</v>
      </c>
      <c r="AI292" s="34" t="s">
        <v>221</v>
      </c>
      <c r="AJ292" s="140" t="s">
        <v>221</v>
      </c>
      <c r="AN292" s="34" t="s">
        <v>219</v>
      </c>
      <c r="AO292" s="34" t="s">
        <v>219</v>
      </c>
      <c r="AP292" s="34" t="s">
        <v>178</v>
      </c>
      <c r="AQ292" s="34" t="s">
        <v>339</v>
      </c>
      <c r="AR292" s="34" t="s">
        <v>339</v>
      </c>
      <c r="AT292" s="34" t="s">
        <v>120</v>
      </c>
      <c r="AU292" s="34">
        <v>4</v>
      </c>
      <c r="AW292" s="34" t="s">
        <v>336</v>
      </c>
      <c r="AY292" s="34">
        <f>2.96*1000</f>
        <v>2960</v>
      </c>
      <c r="AZ292" s="34">
        <f>2.96/2.77*10</f>
        <v>10.685920577617329</v>
      </c>
      <c r="BA292" s="53"/>
      <c r="BB292" s="34" t="s">
        <v>341</v>
      </c>
      <c r="BH292" s="34">
        <f t="shared" si="46"/>
        <v>3430</v>
      </c>
      <c r="BI292" s="34">
        <f>3.47*1000</f>
        <v>3470</v>
      </c>
      <c r="BL292" s="34" t="s">
        <v>337</v>
      </c>
      <c r="BM292" s="404"/>
      <c r="BN292" s="404"/>
      <c r="BR292" s="404">
        <f t="shared" si="47"/>
        <v>0.79</v>
      </c>
      <c r="BS292" s="404">
        <v>1</v>
      </c>
      <c r="BV292" s="34" t="s">
        <v>164</v>
      </c>
      <c r="BW292" s="34">
        <f t="shared" si="48"/>
        <v>580</v>
      </c>
      <c r="BX292" s="34">
        <v>810</v>
      </c>
      <c r="CA292" s="34" t="s">
        <v>1686</v>
      </c>
      <c r="CB292" s="34">
        <v>55</v>
      </c>
      <c r="CC292" s="34">
        <v>38</v>
      </c>
      <c r="CG292" s="34">
        <v>105</v>
      </c>
      <c r="CH292" s="34">
        <v>130</v>
      </c>
      <c r="CL292" s="34">
        <v>6.7</v>
      </c>
      <c r="CM292" s="34">
        <v>6.3</v>
      </c>
      <c r="GM292" s="12"/>
      <c r="GQ292" s="12"/>
      <c r="IO292" s="34" t="s">
        <v>351</v>
      </c>
    </row>
    <row r="293" spans="1:249" s="34" customFormat="1" x14ac:dyDescent="0.25">
      <c r="A293" s="34">
        <v>19</v>
      </c>
      <c r="B293" s="34" t="s">
        <v>333</v>
      </c>
      <c r="C293" s="34" t="s">
        <v>334</v>
      </c>
      <c r="D293" s="34">
        <v>1986</v>
      </c>
      <c r="E293" s="34">
        <v>1981</v>
      </c>
      <c r="F293" s="34" t="s">
        <v>303</v>
      </c>
      <c r="G293" s="34" t="s">
        <v>335</v>
      </c>
      <c r="H293" s="32" t="s">
        <v>2831</v>
      </c>
      <c r="I293" s="34">
        <v>33.32</v>
      </c>
      <c r="J293" s="34">
        <v>-84.43</v>
      </c>
      <c r="K293" s="34">
        <v>246.5</v>
      </c>
      <c r="Q293" s="48">
        <v>1</v>
      </c>
      <c r="R293" s="48" t="s">
        <v>1735</v>
      </c>
      <c r="S293" s="48"/>
      <c r="T293" s="48" t="s">
        <v>1876</v>
      </c>
      <c r="U293" s="48" t="s">
        <v>1384</v>
      </c>
      <c r="V293" s="48" t="s">
        <v>1723</v>
      </c>
      <c r="W293" s="48" t="s">
        <v>1384</v>
      </c>
      <c r="X293" s="48" t="s">
        <v>1393</v>
      </c>
      <c r="Z293" s="328"/>
      <c r="AA293" s="328"/>
      <c r="AB293" s="34" t="s">
        <v>241</v>
      </c>
      <c r="AF293" s="34" t="s">
        <v>1324</v>
      </c>
      <c r="AG293" s="34" t="s">
        <v>244</v>
      </c>
      <c r="AH293" s="138" t="s">
        <v>578</v>
      </c>
      <c r="AI293" s="34" t="s">
        <v>221</v>
      </c>
      <c r="AJ293" s="140" t="s">
        <v>221</v>
      </c>
      <c r="AN293" s="34" t="s">
        <v>219</v>
      </c>
      <c r="AO293" s="34" t="s">
        <v>219</v>
      </c>
      <c r="AP293" s="34" t="s">
        <v>178</v>
      </c>
      <c r="AQ293" s="34" t="s">
        <v>339</v>
      </c>
      <c r="AR293" s="34" t="s">
        <v>339</v>
      </c>
      <c r="AT293" s="34" t="s">
        <v>120</v>
      </c>
      <c r="AU293" s="34">
        <v>4</v>
      </c>
      <c r="AW293" s="34" t="s">
        <v>336</v>
      </c>
      <c r="AY293" s="34">
        <f>4.06*1000</f>
        <v>4059.9999999999995</v>
      </c>
      <c r="AZ293" s="34">
        <f>4.06/3.01*10</f>
        <v>13.488372093023255</v>
      </c>
      <c r="BA293" s="53"/>
      <c r="BB293" s="34" t="s">
        <v>341</v>
      </c>
      <c r="BH293" s="34">
        <f t="shared" si="46"/>
        <v>3430</v>
      </c>
      <c r="BI293" s="34">
        <f>4.17*1000</f>
        <v>4170</v>
      </c>
      <c r="BL293" s="34" t="s">
        <v>337</v>
      </c>
      <c r="BM293" s="404"/>
      <c r="BN293" s="404"/>
      <c r="BR293" s="404">
        <f t="shared" si="47"/>
        <v>0.79</v>
      </c>
      <c r="BS293" s="404">
        <v>0.97</v>
      </c>
      <c r="BV293" s="34" t="s">
        <v>164</v>
      </c>
      <c r="BW293" s="34">
        <f t="shared" si="48"/>
        <v>580</v>
      </c>
      <c r="BX293" s="34">
        <v>800</v>
      </c>
      <c r="CA293" s="34" t="s">
        <v>1686</v>
      </c>
      <c r="CB293" s="34">
        <v>55</v>
      </c>
      <c r="CC293" s="34">
        <v>33</v>
      </c>
      <c r="CG293" s="34">
        <v>105</v>
      </c>
      <c r="CH293" s="34">
        <v>127</v>
      </c>
      <c r="CL293" s="34">
        <v>6.7</v>
      </c>
      <c r="CM293" s="34">
        <v>6.3</v>
      </c>
      <c r="GM293" s="12"/>
      <c r="GQ293" s="12"/>
      <c r="IO293" s="34" t="s">
        <v>351</v>
      </c>
    </row>
    <row r="294" spans="1:249" s="34" customFormat="1" x14ac:dyDescent="0.25">
      <c r="A294" s="34">
        <v>19</v>
      </c>
      <c r="B294" s="34" t="s">
        <v>333</v>
      </c>
      <c r="C294" s="34" t="s">
        <v>334</v>
      </c>
      <c r="D294" s="34">
        <v>1986</v>
      </c>
      <c r="E294" s="34">
        <v>1981</v>
      </c>
      <c r="F294" s="34" t="s">
        <v>303</v>
      </c>
      <c r="G294" s="34" t="s">
        <v>335</v>
      </c>
      <c r="H294" s="32" t="s">
        <v>2831</v>
      </c>
      <c r="I294" s="34">
        <v>33.32</v>
      </c>
      <c r="J294" s="34">
        <v>-84.43</v>
      </c>
      <c r="K294" s="34">
        <v>246.5</v>
      </c>
      <c r="Q294" s="48">
        <v>1</v>
      </c>
      <c r="R294" s="48" t="s">
        <v>1735</v>
      </c>
      <c r="S294" s="48"/>
      <c r="T294" s="48" t="s">
        <v>1876</v>
      </c>
      <c r="U294" s="48" t="s">
        <v>1384</v>
      </c>
      <c r="V294" s="48" t="s">
        <v>1723</v>
      </c>
      <c r="W294" s="48" t="s">
        <v>1384</v>
      </c>
      <c r="X294" s="48" t="s">
        <v>1393</v>
      </c>
      <c r="Z294" s="328"/>
      <c r="AA294" s="328"/>
      <c r="AB294" s="34" t="s">
        <v>241</v>
      </c>
      <c r="AF294" s="34" t="s">
        <v>1324</v>
      </c>
      <c r="AG294" s="34" t="s">
        <v>1537</v>
      </c>
      <c r="AH294" s="138" t="s">
        <v>578</v>
      </c>
      <c r="AI294" s="34" t="s">
        <v>221</v>
      </c>
      <c r="AJ294" s="140" t="s">
        <v>221</v>
      </c>
      <c r="AN294" s="34" t="s">
        <v>219</v>
      </c>
      <c r="AO294" s="34" t="s">
        <v>219</v>
      </c>
      <c r="AP294" s="34" t="s">
        <v>178</v>
      </c>
      <c r="AQ294" s="34" t="s">
        <v>339</v>
      </c>
      <c r="AR294" s="34" t="s">
        <v>339</v>
      </c>
      <c r="AT294" s="34" t="s">
        <v>120</v>
      </c>
      <c r="AU294" s="34">
        <v>4</v>
      </c>
      <c r="AW294" s="34" t="s">
        <v>336</v>
      </c>
      <c r="AY294" s="34">
        <f>3.96*1000</f>
        <v>3960</v>
      </c>
      <c r="AZ294" s="34">
        <f>3.96/2.96*10</f>
        <v>13.378378378378379</v>
      </c>
      <c r="BA294" s="53"/>
      <c r="BB294" s="34" t="s">
        <v>341</v>
      </c>
      <c r="BH294" s="34">
        <f t="shared" si="46"/>
        <v>3430</v>
      </c>
      <c r="BI294" s="34">
        <f>3.81*1000</f>
        <v>3810</v>
      </c>
      <c r="BL294" s="34" t="s">
        <v>337</v>
      </c>
      <c r="BM294" s="404"/>
      <c r="BN294" s="404"/>
      <c r="BR294" s="404">
        <f t="shared" si="47"/>
        <v>0.79</v>
      </c>
      <c r="BS294" s="404">
        <v>1.02</v>
      </c>
      <c r="BV294" s="34" t="s">
        <v>164</v>
      </c>
      <c r="BW294" s="34">
        <f t="shared" si="48"/>
        <v>580</v>
      </c>
      <c r="BX294" s="34">
        <v>630</v>
      </c>
      <c r="CA294" s="34" t="s">
        <v>1686</v>
      </c>
      <c r="CB294" s="34">
        <v>55</v>
      </c>
      <c r="CC294" s="34">
        <v>43</v>
      </c>
      <c r="CG294" s="34">
        <v>105</v>
      </c>
      <c r="CH294" s="34">
        <v>104</v>
      </c>
      <c r="CL294" s="34">
        <v>6.7</v>
      </c>
      <c r="CM294" s="34">
        <v>6.3</v>
      </c>
      <c r="GM294" s="12"/>
      <c r="GQ294" s="12"/>
      <c r="IO294" s="34" t="s">
        <v>351</v>
      </c>
    </row>
    <row r="295" spans="1:249" s="24" customFormat="1" x14ac:dyDescent="0.25">
      <c r="A295" s="24">
        <v>19</v>
      </c>
      <c r="B295" s="24" t="s">
        <v>333</v>
      </c>
      <c r="C295" s="24" t="s">
        <v>334</v>
      </c>
      <c r="D295" s="24">
        <v>1986</v>
      </c>
      <c r="E295" s="24">
        <v>1982</v>
      </c>
      <c r="F295" s="24" t="s">
        <v>303</v>
      </c>
      <c r="G295" s="24" t="s">
        <v>335</v>
      </c>
      <c r="H295" s="32" t="s">
        <v>2831</v>
      </c>
      <c r="I295" s="24">
        <v>33.32</v>
      </c>
      <c r="J295" s="24">
        <v>-84.43</v>
      </c>
      <c r="K295" s="24">
        <v>246.5</v>
      </c>
      <c r="Q295" s="42">
        <v>2</v>
      </c>
      <c r="R295" s="42" t="s">
        <v>1735</v>
      </c>
      <c r="S295" s="42"/>
      <c r="T295" s="42" t="s">
        <v>1876</v>
      </c>
      <c r="U295" s="42" t="s">
        <v>1385</v>
      </c>
      <c r="V295" s="42" t="s">
        <v>1723</v>
      </c>
      <c r="W295" s="42" t="s">
        <v>1384</v>
      </c>
      <c r="X295" s="42" t="s">
        <v>1393</v>
      </c>
      <c r="Z295" s="321"/>
      <c r="AA295" s="321"/>
      <c r="AB295" s="24" t="s">
        <v>241</v>
      </c>
      <c r="AF295" s="24" t="s">
        <v>1324</v>
      </c>
      <c r="AG295" s="24" t="s">
        <v>132</v>
      </c>
      <c r="AH295" s="138" t="s">
        <v>132</v>
      </c>
      <c r="AI295" s="24" t="s">
        <v>221</v>
      </c>
      <c r="AJ295" s="140" t="s">
        <v>221</v>
      </c>
      <c r="AN295" s="24" t="s">
        <v>219</v>
      </c>
      <c r="AO295" s="24" t="s">
        <v>219</v>
      </c>
      <c r="AP295" s="24" t="s">
        <v>178</v>
      </c>
      <c r="AQ295" s="34" t="s">
        <v>339</v>
      </c>
      <c r="AR295" s="34" t="s">
        <v>339</v>
      </c>
      <c r="AS295" s="34"/>
      <c r="AT295" s="24" t="s">
        <v>120</v>
      </c>
      <c r="AU295" s="24">
        <v>4</v>
      </c>
      <c r="AW295" s="24" t="s">
        <v>336</v>
      </c>
      <c r="AY295" s="24">
        <f>3.93*1000</f>
        <v>3930</v>
      </c>
      <c r="AZ295" s="24">
        <f>3.93/0.89*10</f>
        <v>44.157303370786522</v>
      </c>
      <c r="BA295" s="53"/>
      <c r="BB295" s="34" t="s">
        <v>341</v>
      </c>
      <c r="BH295" s="24">
        <f>2.92*1000</f>
        <v>2920</v>
      </c>
      <c r="BI295" s="24">
        <f>2.81*1000</f>
        <v>2810</v>
      </c>
      <c r="BJ295" s="34"/>
      <c r="BK295" s="34"/>
      <c r="BL295" s="34" t="s">
        <v>337</v>
      </c>
      <c r="BM295" s="395"/>
      <c r="BN295" s="395"/>
      <c r="BR295" s="395">
        <v>0.48</v>
      </c>
      <c r="BS295" s="395">
        <v>0.54</v>
      </c>
      <c r="BV295" s="24" t="s">
        <v>164</v>
      </c>
      <c r="BW295" s="24">
        <f>0.37*1000</f>
        <v>370</v>
      </c>
      <c r="BX295" s="24">
        <v>420</v>
      </c>
      <c r="BY295" s="34"/>
      <c r="BZ295" s="34"/>
      <c r="CA295" s="34" t="s">
        <v>1686</v>
      </c>
      <c r="CB295" s="24">
        <v>19</v>
      </c>
      <c r="CC295" s="24">
        <v>23</v>
      </c>
      <c r="CG295" s="24">
        <v>100</v>
      </c>
      <c r="CH295" s="24">
        <v>89</v>
      </c>
      <c r="CL295" s="24">
        <v>6.5</v>
      </c>
      <c r="CM295" s="24">
        <v>6.6</v>
      </c>
      <c r="GM295" s="12"/>
      <c r="GQ295" s="12"/>
      <c r="IO295" s="34" t="s">
        <v>351</v>
      </c>
    </row>
    <row r="296" spans="1:249" s="24" customFormat="1" x14ac:dyDescent="0.25">
      <c r="A296" s="24">
        <v>19</v>
      </c>
      <c r="B296" s="24" t="s">
        <v>333</v>
      </c>
      <c r="C296" s="24" t="s">
        <v>334</v>
      </c>
      <c r="D296" s="24">
        <v>1986</v>
      </c>
      <c r="E296" s="24">
        <v>1982</v>
      </c>
      <c r="F296" s="24" t="s">
        <v>303</v>
      </c>
      <c r="G296" s="24" t="s">
        <v>335</v>
      </c>
      <c r="H296" s="32" t="s">
        <v>2831</v>
      </c>
      <c r="I296" s="24">
        <v>33.32</v>
      </c>
      <c r="J296" s="24">
        <v>-84.43</v>
      </c>
      <c r="K296" s="24">
        <v>246.5</v>
      </c>
      <c r="Q296" s="42">
        <v>2</v>
      </c>
      <c r="R296" s="42" t="s">
        <v>1735</v>
      </c>
      <c r="S296" s="42"/>
      <c r="T296" s="42" t="s">
        <v>1876</v>
      </c>
      <c r="U296" s="42" t="s">
        <v>1385</v>
      </c>
      <c r="V296" s="42" t="s">
        <v>1723</v>
      </c>
      <c r="W296" s="42" t="s">
        <v>1384</v>
      </c>
      <c r="X296" s="42" t="s">
        <v>1393</v>
      </c>
      <c r="Z296" s="321"/>
      <c r="AA296" s="321"/>
      <c r="AB296" s="24" t="s">
        <v>241</v>
      </c>
      <c r="AF296" s="24" t="s">
        <v>1324</v>
      </c>
      <c r="AG296" s="24" t="s">
        <v>1525</v>
      </c>
      <c r="AH296" s="138" t="s">
        <v>578</v>
      </c>
      <c r="AI296" s="24" t="s">
        <v>221</v>
      </c>
      <c r="AJ296" s="140" t="s">
        <v>221</v>
      </c>
      <c r="AN296" s="24" t="s">
        <v>219</v>
      </c>
      <c r="AO296" s="24" t="s">
        <v>219</v>
      </c>
      <c r="AP296" s="24" t="s">
        <v>178</v>
      </c>
      <c r="AQ296" s="34" t="s">
        <v>339</v>
      </c>
      <c r="AR296" s="34" t="s">
        <v>339</v>
      </c>
      <c r="AS296" s="34"/>
      <c r="AT296" s="24" t="s">
        <v>120</v>
      </c>
      <c r="AU296" s="24">
        <v>4</v>
      </c>
      <c r="AW296" s="24" t="s">
        <v>336</v>
      </c>
      <c r="AY296" s="24">
        <f>9.21*1000</f>
        <v>9210</v>
      </c>
      <c r="AZ296" s="24">
        <f>9.21/2.18*10</f>
        <v>42.247706422018354</v>
      </c>
      <c r="BA296" s="53"/>
      <c r="BB296" s="34" t="s">
        <v>341</v>
      </c>
      <c r="BH296" s="24">
        <f t="shared" ref="BH296:BH299" si="49">2.92*1000</f>
        <v>2920</v>
      </c>
      <c r="BI296" s="24">
        <f>4.96*1000</f>
        <v>4960</v>
      </c>
      <c r="BJ296" s="34"/>
      <c r="BK296" s="34"/>
      <c r="BL296" s="34" t="s">
        <v>337</v>
      </c>
      <c r="BM296" s="395"/>
      <c r="BN296" s="395"/>
      <c r="BR296" s="395">
        <v>0.48</v>
      </c>
      <c r="BS296" s="395">
        <v>0.49</v>
      </c>
      <c r="BV296" s="24" t="s">
        <v>164</v>
      </c>
      <c r="BW296" s="24">
        <f t="shared" ref="BW296:BW299" si="50">0.37*1000</f>
        <v>370</v>
      </c>
      <c r="BX296" s="24">
        <v>410</v>
      </c>
      <c r="BY296" s="34"/>
      <c r="BZ296" s="34"/>
      <c r="CA296" s="34" t="s">
        <v>1686</v>
      </c>
      <c r="CB296" s="24">
        <v>19</v>
      </c>
      <c r="CC296" s="24">
        <v>16</v>
      </c>
      <c r="CG296" s="24">
        <v>100</v>
      </c>
      <c r="CH296" s="24">
        <v>72</v>
      </c>
      <c r="CL296" s="24">
        <v>6.5</v>
      </c>
      <c r="CM296" s="24">
        <v>6.1</v>
      </c>
      <c r="GM296" s="12"/>
      <c r="GQ296" s="12"/>
      <c r="IO296" s="34" t="s">
        <v>351</v>
      </c>
    </row>
    <row r="297" spans="1:249" s="24" customFormat="1" x14ac:dyDescent="0.25">
      <c r="A297" s="24">
        <v>19</v>
      </c>
      <c r="B297" s="24" t="s">
        <v>333</v>
      </c>
      <c r="C297" s="24" t="s">
        <v>334</v>
      </c>
      <c r="D297" s="24">
        <v>1986</v>
      </c>
      <c r="E297" s="24">
        <v>1982</v>
      </c>
      <c r="F297" s="24" t="s">
        <v>303</v>
      </c>
      <c r="G297" s="24" t="s">
        <v>335</v>
      </c>
      <c r="H297" s="32" t="s">
        <v>2831</v>
      </c>
      <c r="I297" s="24">
        <v>33.32</v>
      </c>
      <c r="J297" s="24">
        <v>-84.43</v>
      </c>
      <c r="K297" s="24">
        <v>246.5</v>
      </c>
      <c r="Q297" s="42">
        <v>2</v>
      </c>
      <c r="R297" s="42" t="s">
        <v>1735</v>
      </c>
      <c r="S297" s="42"/>
      <c r="T297" s="42" t="s">
        <v>1876</v>
      </c>
      <c r="U297" s="42" t="s">
        <v>1385</v>
      </c>
      <c r="V297" s="42" t="s">
        <v>1723</v>
      </c>
      <c r="W297" s="42" t="s">
        <v>1384</v>
      </c>
      <c r="X297" s="42" t="s">
        <v>1393</v>
      </c>
      <c r="Z297" s="321"/>
      <c r="AA297" s="321"/>
      <c r="AB297" s="24" t="s">
        <v>241</v>
      </c>
      <c r="AF297" s="24" t="s">
        <v>1324</v>
      </c>
      <c r="AG297" s="24" t="s">
        <v>1536</v>
      </c>
      <c r="AH297" s="138" t="s">
        <v>578</v>
      </c>
      <c r="AI297" s="24" t="s">
        <v>221</v>
      </c>
      <c r="AJ297" s="140" t="s">
        <v>221</v>
      </c>
      <c r="AN297" s="24" t="s">
        <v>219</v>
      </c>
      <c r="AO297" s="24" t="s">
        <v>219</v>
      </c>
      <c r="AP297" s="24" t="s">
        <v>178</v>
      </c>
      <c r="AQ297" s="34" t="s">
        <v>339</v>
      </c>
      <c r="AR297" s="34" t="s">
        <v>339</v>
      </c>
      <c r="AS297" s="34"/>
      <c r="AT297" s="24" t="s">
        <v>120</v>
      </c>
      <c r="AU297" s="24">
        <v>4</v>
      </c>
      <c r="AW297" s="24" t="s">
        <v>336</v>
      </c>
      <c r="AY297" s="24">
        <f>4.06*1000</f>
        <v>4059.9999999999995</v>
      </c>
      <c r="AZ297" s="24">
        <f>4.06/2.77*10</f>
        <v>14.657039711191334</v>
      </c>
      <c r="BA297" s="53"/>
      <c r="BB297" s="34" t="s">
        <v>341</v>
      </c>
      <c r="BH297" s="24">
        <f t="shared" si="49"/>
        <v>2920</v>
      </c>
      <c r="BI297" s="24">
        <f>5.44*1000</f>
        <v>5440</v>
      </c>
      <c r="BJ297" s="34"/>
      <c r="BK297" s="34"/>
      <c r="BL297" s="34" t="s">
        <v>337</v>
      </c>
      <c r="BM297" s="395"/>
      <c r="BN297" s="395"/>
      <c r="BR297" s="395">
        <v>0.48</v>
      </c>
      <c r="BS297" s="395">
        <v>0.55000000000000004</v>
      </c>
      <c r="BV297" s="24" t="s">
        <v>164</v>
      </c>
      <c r="BW297" s="24">
        <f t="shared" si="50"/>
        <v>370</v>
      </c>
      <c r="BX297" s="24">
        <v>480</v>
      </c>
      <c r="BY297" s="34"/>
      <c r="BZ297" s="34"/>
      <c r="CA297" s="34" t="s">
        <v>1686</v>
      </c>
      <c r="CB297" s="24">
        <v>19</v>
      </c>
      <c r="CC297" s="24">
        <v>18</v>
      </c>
      <c r="CG297" s="24">
        <v>100</v>
      </c>
      <c r="CH297" s="24">
        <v>90</v>
      </c>
      <c r="CL297" s="24">
        <v>6.5</v>
      </c>
      <c r="CM297" s="24">
        <v>6.2</v>
      </c>
      <c r="GM297" s="12"/>
      <c r="GQ297" s="12"/>
      <c r="IO297" s="34" t="s">
        <v>351</v>
      </c>
    </row>
    <row r="298" spans="1:249" s="24" customFormat="1" x14ac:dyDescent="0.25">
      <c r="A298" s="24">
        <v>19</v>
      </c>
      <c r="B298" s="24" t="s">
        <v>333</v>
      </c>
      <c r="C298" s="24" t="s">
        <v>334</v>
      </c>
      <c r="D298" s="24">
        <v>1986</v>
      </c>
      <c r="E298" s="24">
        <v>1982</v>
      </c>
      <c r="F298" s="24" t="s">
        <v>303</v>
      </c>
      <c r="G298" s="24" t="s">
        <v>335</v>
      </c>
      <c r="H298" s="32" t="s">
        <v>2831</v>
      </c>
      <c r="I298" s="24">
        <v>33.32</v>
      </c>
      <c r="J298" s="24">
        <v>-84.43</v>
      </c>
      <c r="K298" s="24">
        <v>246.5</v>
      </c>
      <c r="Q298" s="42">
        <v>2</v>
      </c>
      <c r="R298" s="42" t="s">
        <v>1735</v>
      </c>
      <c r="S298" s="42"/>
      <c r="T298" s="42" t="s">
        <v>1876</v>
      </c>
      <c r="U298" s="42" t="s">
        <v>1385</v>
      </c>
      <c r="V298" s="42" t="s">
        <v>1723</v>
      </c>
      <c r="W298" s="42" t="s">
        <v>1384</v>
      </c>
      <c r="X298" s="42" t="s">
        <v>1393</v>
      </c>
      <c r="Z298" s="321"/>
      <c r="AA298" s="321"/>
      <c r="AB298" s="24" t="s">
        <v>241</v>
      </c>
      <c r="AF298" s="24" t="s">
        <v>1324</v>
      </c>
      <c r="AG298" s="24" t="s">
        <v>244</v>
      </c>
      <c r="AH298" s="138" t="s">
        <v>578</v>
      </c>
      <c r="AI298" s="24" t="s">
        <v>221</v>
      </c>
      <c r="AJ298" s="140" t="s">
        <v>221</v>
      </c>
      <c r="AN298" s="24" t="s">
        <v>219</v>
      </c>
      <c r="AO298" s="24" t="s">
        <v>219</v>
      </c>
      <c r="AP298" s="24" t="s">
        <v>178</v>
      </c>
      <c r="AQ298" s="34" t="s">
        <v>339</v>
      </c>
      <c r="AR298" s="34" t="s">
        <v>339</v>
      </c>
      <c r="AS298" s="34"/>
      <c r="AT298" s="24" t="s">
        <v>120</v>
      </c>
      <c r="AU298" s="24">
        <v>4</v>
      </c>
      <c r="AW298" s="24" t="s">
        <v>336</v>
      </c>
      <c r="AY298" s="24">
        <f>4.54*1000</f>
        <v>4540</v>
      </c>
      <c r="AZ298" s="24">
        <f>4.54/3.38*10</f>
        <v>13.431952662721894</v>
      </c>
      <c r="BA298" s="53"/>
      <c r="BB298" s="34" t="s">
        <v>341</v>
      </c>
      <c r="BH298" s="24">
        <f t="shared" si="49"/>
        <v>2920</v>
      </c>
      <c r="BI298" s="24">
        <f>4.73*1000</f>
        <v>4730</v>
      </c>
      <c r="BJ298" s="34"/>
      <c r="BK298" s="34"/>
      <c r="BL298" s="34" t="s">
        <v>337</v>
      </c>
      <c r="BM298" s="395"/>
      <c r="BN298" s="395"/>
      <c r="BR298" s="395">
        <v>0.48</v>
      </c>
      <c r="BS298" s="395">
        <v>0.55000000000000004</v>
      </c>
      <c r="BV298" s="24" t="s">
        <v>164</v>
      </c>
      <c r="BW298" s="24">
        <f t="shared" si="50"/>
        <v>370</v>
      </c>
      <c r="BX298" s="24">
        <v>510</v>
      </c>
      <c r="BY298" s="34"/>
      <c r="BZ298" s="34"/>
      <c r="CA298" s="34" t="s">
        <v>1686</v>
      </c>
      <c r="CB298" s="24">
        <v>19</v>
      </c>
      <c r="CC298" s="24">
        <v>8</v>
      </c>
      <c r="CG298" s="24">
        <v>100</v>
      </c>
      <c r="CH298" s="24">
        <v>108</v>
      </c>
      <c r="CL298" s="24">
        <v>6.5</v>
      </c>
      <c r="CM298" s="24">
        <v>6.3</v>
      </c>
      <c r="GM298" s="12"/>
      <c r="GQ298" s="12"/>
      <c r="IO298" s="34" t="s">
        <v>351</v>
      </c>
    </row>
    <row r="299" spans="1:249" s="24" customFormat="1" x14ac:dyDescent="0.25">
      <c r="A299" s="24">
        <v>19</v>
      </c>
      <c r="B299" s="24" t="s">
        <v>333</v>
      </c>
      <c r="C299" s="24" t="s">
        <v>334</v>
      </c>
      <c r="D299" s="24">
        <v>1986</v>
      </c>
      <c r="E299" s="24">
        <v>1982</v>
      </c>
      <c r="F299" s="24" t="s">
        <v>303</v>
      </c>
      <c r="G299" s="24" t="s">
        <v>335</v>
      </c>
      <c r="H299" s="32" t="s">
        <v>2831</v>
      </c>
      <c r="I299" s="24">
        <v>33.32</v>
      </c>
      <c r="J299" s="24">
        <v>-84.43</v>
      </c>
      <c r="K299" s="24">
        <v>246.5</v>
      </c>
      <c r="Q299" s="42">
        <v>2</v>
      </c>
      <c r="R299" s="42" t="s">
        <v>1735</v>
      </c>
      <c r="S299" s="42"/>
      <c r="T299" s="42" t="s">
        <v>1876</v>
      </c>
      <c r="U299" s="42" t="s">
        <v>1385</v>
      </c>
      <c r="V299" s="42" t="s">
        <v>1723</v>
      </c>
      <c r="W299" s="42" t="s">
        <v>1384</v>
      </c>
      <c r="X299" s="42" t="s">
        <v>1393</v>
      </c>
      <c r="Z299" s="321"/>
      <c r="AA299" s="321"/>
      <c r="AB299" s="24" t="s">
        <v>241</v>
      </c>
      <c r="AF299" s="24" t="s">
        <v>1324</v>
      </c>
      <c r="AG299" s="24" t="s">
        <v>1537</v>
      </c>
      <c r="AH299" s="138" t="s">
        <v>578</v>
      </c>
      <c r="AI299" s="24" t="s">
        <v>221</v>
      </c>
      <c r="AJ299" s="140" t="s">
        <v>221</v>
      </c>
      <c r="AN299" s="24" t="s">
        <v>219</v>
      </c>
      <c r="AO299" s="24" t="s">
        <v>219</v>
      </c>
      <c r="AP299" s="24" t="s">
        <v>178</v>
      </c>
      <c r="AQ299" s="34" t="s">
        <v>339</v>
      </c>
      <c r="AR299" s="34" t="s">
        <v>339</v>
      </c>
      <c r="AS299" s="34"/>
      <c r="AT299" s="24" t="s">
        <v>120</v>
      </c>
      <c r="AU299" s="24">
        <v>4</v>
      </c>
      <c r="AW299" s="24" t="s">
        <v>336</v>
      </c>
      <c r="AY299" s="24">
        <f>4.7*1000</f>
        <v>4700</v>
      </c>
      <c r="AZ299" s="24">
        <f>4.7/3*10</f>
        <v>15.666666666666666</v>
      </c>
      <c r="BA299" s="53"/>
      <c r="BB299" s="34" t="s">
        <v>341</v>
      </c>
      <c r="BH299" s="24">
        <f t="shared" si="49"/>
        <v>2920</v>
      </c>
      <c r="BI299" s="24">
        <f>4.34*1000</f>
        <v>4340</v>
      </c>
      <c r="BJ299" s="34"/>
      <c r="BK299" s="34"/>
      <c r="BL299" s="34" t="s">
        <v>337</v>
      </c>
      <c r="BM299" s="395"/>
      <c r="BN299" s="395"/>
      <c r="BR299" s="395">
        <v>0.48</v>
      </c>
      <c r="BS299" s="395">
        <v>0.51</v>
      </c>
      <c r="BV299" s="24" t="s">
        <v>164</v>
      </c>
      <c r="BW299" s="24">
        <f t="shared" si="50"/>
        <v>370</v>
      </c>
      <c r="BX299" s="24">
        <v>450</v>
      </c>
      <c r="BY299" s="34"/>
      <c r="BZ299" s="34"/>
      <c r="CA299" s="34" t="s">
        <v>1686</v>
      </c>
      <c r="CB299" s="24">
        <v>19</v>
      </c>
      <c r="CC299" s="24">
        <v>17</v>
      </c>
      <c r="CG299" s="24">
        <v>100</v>
      </c>
      <c r="CH299" s="24">
        <v>85</v>
      </c>
      <c r="CL299" s="24">
        <v>6.5</v>
      </c>
      <c r="CM299" s="24">
        <v>6.3</v>
      </c>
      <c r="GM299" s="12"/>
      <c r="GQ299" s="12"/>
      <c r="IO299" s="34" t="s">
        <v>351</v>
      </c>
    </row>
    <row r="300" spans="1:249" s="34" customFormat="1" x14ac:dyDescent="0.25">
      <c r="A300" s="34">
        <v>19</v>
      </c>
      <c r="B300" s="34" t="s">
        <v>333</v>
      </c>
      <c r="C300" s="34" t="s">
        <v>334</v>
      </c>
      <c r="D300" s="34">
        <v>1986</v>
      </c>
      <c r="E300" s="34">
        <v>1983</v>
      </c>
      <c r="F300" s="34" t="s">
        <v>303</v>
      </c>
      <c r="G300" s="34" t="s">
        <v>335</v>
      </c>
      <c r="H300" s="32" t="s">
        <v>2831</v>
      </c>
      <c r="I300" s="34">
        <v>33.32</v>
      </c>
      <c r="J300" s="34">
        <v>-84.43</v>
      </c>
      <c r="K300" s="34">
        <v>246.5</v>
      </c>
      <c r="Q300" s="48">
        <v>3</v>
      </c>
      <c r="R300" s="48" t="s">
        <v>1735</v>
      </c>
      <c r="S300" s="48"/>
      <c r="T300" s="48" t="s">
        <v>1876</v>
      </c>
      <c r="U300" s="48" t="s">
        <v>1394</v>
      </c>
      <c r="V300" s="48" t="s">
        <v>1724</v>
      </c>
      <c r="W300" s="48" t="s">
        <v>1384</v>
      </c>
      <c r="X300" s="48" t="s">
        <v>1393</v>
      </c>
      <c r="Z300" s="328"/>
      <c r="AA300" s="328"/>
      <c r="AB300" s="34" t="s">
        <v>241</v>
      </c>
      <c r="AF300" s="34" t="s">
        <v>1324</v>
      </c>
      <c r="AG300" s="34" t="s">
        <v>132</v>
      </c>
      <c r="AH300" s="138" t="s">
        <v>132</v>
      </c>
      <c r="AI300" s="34" t="s">
        <v>221</v>
      </c>
      <c r="AJ300" s="140" t="s">
        <v>221</v>
      </c>
      <c r="AN300" s="34" t="s">
        <v>219</v>
      </c>
      <c r="AO300" s="34" t="s">
        <v>219</v>
      </c>
      <c r="AP300" s="34" t="s">
        <v>178</v>
      </c>
      <c r="AQ300" s="34" t="s">
        <v>339</v>
      </c>
      <c r="AR300" s="34" t="s">
        <v>339</v>
      </c>
      <c r="AT300" s="34" t="s">
        <v>120</v>
      </c>
      <c r="AU300" s="34">
        <v>4</v>
      </c>
      <c r="AW300" s="34" t="s">
        <v>336</v>
      </c>
      <c r="AY300" s="34">
        <f>4.83*1000</f>
        <v>4830</v>
      </c>
      <c r="AZ300" s="34">
        <f>4.83/0.97*10</f>
        <v>49.793814432989691</v>
      </c>
      <c r="BA300" s="53"/>
      <c r="BB300" s="34" t="s">
        <v>341</v>
      </c>
      <c r="BH300" s="34">
        <f>2.33*1000</f>
        <v>2330</v>
      </c>
      <c r="BI300" s="34">
        <f>2.03*1000</f>
        <v>2029.9999999999998</v>
      </c>
      <c r="BL300" s="34" t="s">
        <v>337</v>
      </c>
      <c r="BM300" s="404"/>
      <c r="BN300" s="404"/>
      <c r="BR300" s="404">
        <v>0.37</v>
      </c>
      <c r="BS300" s="404">
        <v>0.39</v>
      </c>
      <c r="BV300" s="34" t="s">
        <v>164</v>
      </c>
      <c r="BW300" s="34">
        <f>0.34*1000</f>
        <v>340</v>
      </c>
      <c r="BX300" s="34">
        <v>340</v>
      </c>
      <c r="CA300" s="34" t="s">
        <v>1686</v>
      </c>
      <c r="CB300" s="34">
        <v>3.4</v>
      </c>
      <c r="CC300" s="34">
        <v>4.5999999999999996</v>
      </c>
      <c r="CG300" s="34">
        <v>109</v>
      </c>
      <c r="CH300" s="34">
        <v>96</v>
      </c>
      <c r="CL300" s="34">
        <v>6.2</v>
      </c>
      <c r="CM300" s="34">
        <v>6.2</v>
      </c>
      <c r="GM300" s="12"/>
      <c r="GQ300" s="12"/>
      <c r="IO300" s="34" t="s">
        <v>351</v>
      </c>
    </row>
    <row r="301" spans="1:249" s="34" customFormat="1" x14ac:dyDescent="0.25">
      <c r="A301" s="34">
        <v>19</v>
      </c>
      <c r="B301" s="34" t="s">
        <v>333</v>
      </c>
      <c r="C301" s="34" t="s">
        <v>334</v>
      </c>
      <c r="D301" s="34">
        <v>1986</v>
      </c>
      <c r="E301" s="34">
        <v>1983</v>
      </c>
      <c r="F301" s="34" t="s">
        <v>303</v>
      </c>
      <c r="G301" s="34" t="s">
        <v>335</v>
      </c>
      <c r="H301" s="32" t="s">
        <v>2831</v>
      </c>
      <c r="I301" s="34">
        <v>33.32</v>
      </c>
      <c r="J301" s="34">
        <v>-84.43</v>
      </c>
      <c r="K301" s="34">
        <v>246.5</v>
      </c>
      <c r="Q301" s="48">
        <v>3</v>
      </c>
      <c r="R301" s="48" t="s">
        <v>1735</v>
      </c>
      <c r="S301" s="48"/>
      <c r="T301" s="48" t="s">
        <v>1876</v>
      </c>
      <c r="U301" s="48" t="s">
        <v>1394</v>
      </c>
      <c r="V301" s="48" t="s">
        <v>1724</v>
      </c>
      <c r="W301" s="48" t="s">
        <v>1384</v>
      </c>
      <c r="X301" s="48" t="s">
        <v>1393</v>
      </c>
      <c r="Z301" s="328"/>
      <c r="AA301" s="328"/>
      <c r="AB301" s="34" t="s">
        <v>241</v>
      </c>
      <c r="AF301" s="34" t="s">
        <v>1324</v>
      </c>
      <c r="AG301" s="34" t="s">
        <v>1525</v>
      </c>
      <c r="AH301" s="138" t="s">
        <v>578</v>
      </c>
      <c r="AI301" s="34" t="s">
        <v>221</v>
      </c>
      <c r="AJ301" s="140" t="s">
        <v>221</v>
      </c>
      <c r="AN301" s="34" t="s">
        <v>219</v>
      </c>
      <c r="AO301" s="34" t="s">
        <v>219</v>
      </c>
      <c r="AP301" s="34" t="s">
        <v>178</v>
      </c>
      <c r="AQ301" s="34" t="s">
        <v>339</v>
      </c>
      <c r="AR301" s="34" t="s">
        <v>339</v>
      </c>
      <c r="AT301" s="34" t="s">
        <v>120</v>
      </c>
      <c r="AU301" s="34">
        <v>4</v>
      </c>
      <c r="AW301" s="34" t="s">
        <v>336</v>
      </c>
      <c r="AY301" s="34">
        <f>8.77*1000</f>
        <v>8770</v>
      </c>
      <c r="AZ301" s="34">
        <f>8.77/2.47*10</f>
        <v>35.506072874493924</v>
      </c>
      <c r="BA301" s="53"/>
      <c r="BB301" s="34" t="s">
        <v>341</v>
      </c>
      <c r="BH301" s="34">
        <f t="shared" ref="BH301:BH304" si="51">2.33*1000</f>
        <v>2330</v>
      </c>
      <c r="BI301" s="34">
        <f>3.18*1000</f>
        <v>3180</v>
      </c>
      <c r="BL301" s="34" t="s">
        <v>337</v>
      </c>
      <c r="BM301" s="404"/>
      <c r="BN301" s="404"/>
      <c r="BR301" s="404">
        <v>0.37</v>
      </c>
      <c r="BS301" s="404">
        <v>0.36</v>
      </c>
      <c r="BV301" s="34" t="s">
        <v>164</v>
      </c>
      <c r="BW301" s="34">
        <f t="shared" ref="BW301:BW304" si="52">0.34*1000</f>
        <v>340</v>
      </c>
      <c r="BX301" s="34">
        <v>340</v>
      </c>
      <c r="CA301" s="34" t="s">
        <v>1686</v>
      </c>
      <c r="CB301" s="34">
        <v>3.4</v>
      </c>
      <c r="CC301" s="34">
        <v>3</v>
      </c>
      <c r="CG301" s="34">
        <v>109</v>
      </c>
      <c r="CH301" s="34">
        <v>71</v>
      </c>
      <c r="CL301" s="34">
        <v>6.2</v>
      </c>
      <c r="CM301" s="34">
        <v>5.9</v>
      </c>
      <c r="GM301" s="12"/>
      <c r="GQ301" s="12"/>
      <c r="IO301" s="34" t="s">
        <v>351</v>
      </c>
    </row>
    <row r="302" spans="1:249" s="34" customFormat="1" x14ac:dyDescent="0.25">
      <c r="A302" s="34">
        <v>19</v>
      </c>
      <c r="B302" s="34" t="s">
        <v>333</v>
      </c>
      <c r="C302" s="34" t="s">
        <v>334</v>
      </c>
      <c r="D302" s="34">
        <v>1986</v>
      </c>
      <c r="E302" s="34">
        <v>1983</v>
      </c>
      <c r="F302" s="34" t="s">
        <v>303</v>
      </c>
      <c r="G302" s="34" t="s">
        <v>335</v>
      </c>
      <c r="H302" s="32" t="s">
        <v>2831</v>
      </c>
      <c r="I302" s="34">
        <v>33.32</v>
      </c>
      <c r="J302" s="34">
        <v>-84.43</v>
      </c>
      <c r="K302" s="34">
        <v>246.5</v>
      </c>
      <c r="Q302" s="48">
        <v>3</v>
      </c>
      <c r="R302" s="48" t="s">
        <v>1735</v>
      </c>
      <c r="S302" s="48"/>
      <c r="T302" s="48" t="s">
        <v>1876</v>
      </c>
      <c r="U302" s="48" t="s">
        <v>1394</v>
      </c>
      <c r="V302" s="48" t="s">
        <v>1724</v>
      </c>
      <c r="W302" s="48" t="s">
        <v>1384</v>
      </c>
      <c r="X302" s="48" t="s">
        <v>1393</v>
      </c>
      <c r="Z302" s="328"/>
      <c r="AA302" s="328"/>
      <c r="AB302" s="34" t="s">
        <v>241</v>
      </c>
      <c r="AF302" s="34" t="s">
        <v>1324</v>
      </c>
      <c r="AG302" s="34" t="s">
        <v>1536</v>
      </c>
      <c r="AH302" s="138" t="s">
        <v>578</v>
      </c>
      <c r="AI302" s="34" t="s">
        <v>221</v>
      </c>
      <c r="AJ302" s="140" t="s">
        <v>221</v>
      </c>
      <c r="AN302" s="34" t="s">
        <v>219</v>
      </c>
      <c r="AO302" s="34" t="s">
        <v>219</v>
      </c>
      <c r="AP302" s="34" t="s">
        <v>178</v>
      </c>
      <c r="AQ302" s="34" t="s">
        <v>339</v>
      </c>
      <c r="AR302" s="34" t="s">
        <v>339</v>
      </c>
      <c r="AT302" s="34" t="s">
        <v>120</v>
      </c>
      <c r="AU302" s="34">
        <v>4</v>
      </c>
      <c r="AW302" s="34" t="s">
        <v>336</v>
      </c>
      <c r="AY302" s="34">
        <f>4.97*1000</f>
        <v>4970</v>
      </c>
      <c r="AZ302" s="34">
        <f>4.97/2.99*10</f>
        <v>16.622073578595316</v>
      </c>
      <c r="BA302" s="53"/>
      <c r="BB302" s="34" t="s">
        <v>341</v>
      </c>
      <c r="BH302" s="34">
        <f t="shared" si="51"/>
        <v>2330</v>
      </c>
      <c r="BI302" s="34">
        <f>2.72*1000</f>
        <v>2720</v>
      </c>
      <c r="BL302" s="34" t="s">
        <v>337</v>
      </c>
      <c r="BM302" s="404"/>
      <c r="BN302" s="404"/>
      <c r="BR302" s="404">
        <v>0.37</v>
      </c>
      <c r="BS302" s="404">
        <v>0.37</v>
      </c>
      <c r="BV302" s="34" t="s">
        <v>164</v>
      </c>
      <c r="BW302" s="34">
        <f t="shared" si="52"/>
        <v>340</v>
      </c>
      <c r="BX302" s="34">
        <v>350</v>
      </c>
      <c r="CA302" s="34" t="s">
        <v>1686</v>
      </c>
      <c r="CB302" s="34">
        <v>3.4</v>
      </c>
      <c r="CC302" s="34">
        <v>5.2</v>
      </c>
      <c r="CG302" s="34">
        <v>109</v>
      </c>
      <c r="CH302" s="34">
        <v>79</v>
      </c>
      <c r="CL302" s="34">
        <v>6.2</v>
      </c>
      <c r="CM302" s="34">
        <v>5.9</v>
      </c>
      <c r="GM302" s="12"/>
      <c r="GQ302" s="12"/>
      <c r="IO302" s="34" t="s">
        <v>351</v>
      </c>
    </row>
    <row r="303" spans="1:249" s="34" customFormat="1" x14ac:dyDescent="0.25">
      <c r="A303" s="34">
        <v>19</v>
      </c>
      <c r="B303" s="34" t="s">
        <v>333</v>
      </c>
      <c r="C303" s="34" t="s">
        <v>334</v>
      </c>
      <c r="D303" s="34">
        <v>1986</v>
      </c>
      <c r="E303" s="34">
        <v>1983</v>
      </c>
      <c r="F303" s="34" t="s">
        <v>303</v>
      </c>
      <c r="G303" s="34" t="s">
        <v>335</v>
      </c>
      <c r="H303" s="32" t="s">
        <v>2831</v>
      </c>
      <c r="I303" s="34">
        <v>33.32</v>
      </c>
      <c r="J303" s="34">
        <v>-84.43</v>
      </c>
      <c r="K303" s="34">
        <v>246.5</v>
      </c>
      <c r="Q303" s="48">
        <v>3</v>
      </c>
      <c r="R303" s="48" t="s">
        <v>1735</v>
      </c>
      <c r="S303" s="48"/>
      <c r="T303" s="48" t="s">
        <v>1876</v>
      </c>
      <c r="U303" s="48" t="s">
        <v>1394</v>
      </c>
      <c r="V303" s="48" t="s">
        <v>1724</v>
      </c>
      <c r="W303" s="48" t="s">
        <v>1384</v>
      </c>
      <c r="X303" s="48" t="s">
        <v>1393</v>
      </c>
      <c r="Z303" s="328"/>
      <c r="AA303" s="328"/>
      <c r="AB303" s="34" t="s">
        <v>241</v>
      </c>
      <c r="AF303" s="34" t="s">
        <v>1324</v>
      </c>
      <c r="AG303" s="34" t="s">
        <v>244</v>
      </c>
      <c r="AH303" s="138" t="s">
        <v>578</v>
      </c>
      <c r="AI303" s="34" t="s">
        <v>221</v>
      </c>
      <c r="AJ303" s="140" t="s">
        <v>221</v>
      </c>
      <c r="AN303" s="34" t="s">
        <v>219</v>
      </c>
      <c r="AO303" s="34" t="s">
        <v>219</v>
      </c>
      <c r="AP303" s="34" t="s">
        <v>178</v>
      </c>
      <c r="AQ303" s="34" t="s">
        <v>339</v>
      </c>
      <c r="AR303" s="34" t="s">
        <v>339</v>
      </c>
      <c r="AT303" s="34" t="s">
        <v>120</v>
      </c>
      <c r="AU303" s="34">
        <v>4</v>
      </c>
      <c r="AW303" s="34" t="s">
        <v>336</v>
      </c>
      <c r="AY303" s="34">
        <f>4.15*1000</f>
        <v>4150</v>
      </c>
      <c r="AZ303" s="34">
        <f>4.15/4.5*10</f>
        <v>9.2222222222222232</v>
      </c>
      <c r="BA303" s="53"/>
      <c r="BB303" s="34" t="s">
        <v>341</v>
      </c>
      <c r="BH303" s="34">
        <f t="shared" si="51"/>
        <v>2330</v>
      </c>
      <c r="BI303" s="34">
        <f>2.99*1000</f>
        <v>2990</v>
      </c>
      <c r="BL303" s="34" t="s">
        <v>337</v>
      </c>
      <c r="BM303" s="404"/>
      <c r="BN303" s="404"/>
      <c r="BR303" s="404">
        <v>0.37</v>
      </c>
      <c r="BS303" s="404">
        <v>0.39</v>
      </c>
      <c r="BV303" s="34" t="s">
        <v>164</v>
      </c>
      <c r="BW303" s="34">
        <f t="shared" si="52"/>
        <v>340</v>
      </c>
      <c r="BX303" s="34">
        <v>390</v>
      </c>
      <c r="CA303" s="34" t="s">
        <v>1686</v>
      </c>
      <c r="CB303" s="34">
        <v>3.4</v>
      </c>
      <c r="CC303" s="34">
        <v>2.2000000000000002</v>
      </c>
      <c r="CG303" s="34">
        <v>109</v>
      </c>
      <c r="CH303" s="34">
        <v>86</v>
      </c>
      <c r="CL303" s="34">
        <v>6.2</v>
      </c>
      <c r="CM303" s="34">
        <v>6.1</v>
      </c>
      <c r="GM303" s="12"/>
      <c r="GQ303" s="12"/>
      <c r="IO303" s="34" t="s">
        <v>351</v>
      </c>
    </row>
    <row r="304" spans="1:249" s="34" customFormat="1" x14ac:dyDescent="0.25">
      <c r="A304" s="34">
        <v>19</v>
      </c>
      <c r="B304" s="34" t="s">
        <v>333</v>
      </c>
      <c r="C304" s="34" t="s">
        <v>334</v>
      </c>
      <c r="D304" s="34">
        <v>1986</v>
      </c>
      <c r="E304" s="34">
        <v>1983</v>
      </c>
      <c r="F304" s="34" t="s">
        <v>303</v>
      </c>
      <c r="G304" s="34" t="s">
        <v>335</v>
      </c>
      <c r="H304" s="32" t="s">
        <v>2831</v>
      </c>
      <c r="I304" s="34">
        <v>33.32</v>
      </c>
      <c r="J304" s="34">
        <v>-84.43</v>
      </c>
      <c r="K304" s="34">
        <v>246.5</v>
      </c>
      <c r="Q304" s="48">
        <v>3</v>
      </c>
      <c r="R304" s="48" t="s">
        <v>1735</v>
      </c>
      <c r="S304" s="48"/>
      <c r="T304" s="48" t="s">
        <v>1876</v>
      </c>
      <c r="U304" s="48" t="s">
        <v>1394</v>
      </c>
      <c r="V304" s="48" t="s">
        <v>1724</v>
      </c>
      <c r="W304" s="48" t="s">
        <v>1384</v>
      </c>
      <c r="X304" s="48" t="s">
        <v>1393</v>
      </c>
      <c r="Z304" s="328"/>
      <c r="AA304" s="328"/>
      <c r="AB304" s="34" t="s">
        <v>241</v>
      </c>
      <c r="AF304" s="34" t="s">
        <v>1324</v>
      </c>
      <c r="AG304" s="34" t="s">
        <v>1537</v>
      </c>
      <c r="AH304" s="138" t="s">
        <v>578</v>
      </c>
      <c r="AI304" s="34" t="s">
        <v>221</v>
      </c>
      <c r="AJ304" s="140" t="s">
        <v>221</v>
      </c>
      <c r="AN304" s="34" t="s">
        <v>219</v>
      </c>
      <c r="AO304" s="34" t="s">
        <v>219</v>
      </c>
      <c r="AP304" s="34" t="s">
        <v>178</v>
      </c>
      <c r="AQ304" s="34" t="s">
        <v>339</v>
      </c>
      <c r="AR304" s="34" t="s">
        <v>339</v>
      </c>
      <c r="AT304" s="34" t="s">
        <v>120</v>
      </c>
      <c r="AU304" s="34">
        <v>4</v>
      </c>
      <c r="AW304" s="34" t="s">
        <v>336</v>
      </c>
      <c r="AY304" s="34">
        <f>4.23*1000</f>
        <v>4230</v>
      </c>
      <c r="AZ304" s="34">
        <f>4.23/3.36*10</f>
        <v>12.589285714285715</v>
      </c>
      <c r="BA304" s="53"/>
      <c r="BB304" s="34" t="s">
        <v>341</v>
      </c>
      <c r="BH304" s="34">
        <f t="shared" si="51"/>
        <v>2330</v>
      </c>
      <c r="BI304" s="34">
        <f>2.83*1000</f>
        <v>2830</v>
      </c>
      <c r="BL304" s="34" t="s">
        <v>337</v>
      </c>
      <c r="BM304" s="404"/>
      <c r="BN304" s="404"/>
      <c r="BR304" s="404">
        <v>0.37</v>
      </c>
      <c r="BS304" s="404">
        <v>0.39</v>
      </c>
      <c r="BV304" s="34" t="s">
        <v>164</v>
      </c>
      <c r="BW304" s="34">
        <f t="shared" si="52"/>
        <v>340</v>
      </c>
      <c r="BX304" s="34">
        <v>370</v>
      </c>
      <c r="CA304" s="34" t="s">
        <v>1686</v>
      </c>
      <c r="CB304" s="34">
        <v>3.4</v>
      </c>
      <c r="CC304" s="34">
        <v>2.4</v>
      </c>
      <c r="CG304" s="34">
        <v>109</v>
      </c>
      <c r="CH304" s="34">
        <v>97</v>
      </c>
      <c r="CL304" s="34">
        <v>6.2</v>
      </c>
      <c r="CM304" s="34">
        <v>6.2</v>
      </c>
      <c r="GM304" s="12"/>
      <c r="GQ304" s="12"/>
      <c r="IO304" s="34" t="s">
        <v>351</v>
      </c>
    </row>
    <row r="305" spans="1:249" s="32" customFormat="1" x14ac:dyDescent="0.25">
      <c r="A305" s="32">
        <v>19</v>
      </c>
      <c r="B305" s="32" t="s">
        <v>333</v>
      </c>
      <c r="C305" s="32" t="s">
        <v>334</v>
      </c>
      <c r="D305" s="32">
        <v>1986</v>
      </c>
      <c r="E305" s="32">
        <v>1981</v>
      </c>
      <c r="F305" s="32" t="s">
        <v>303</v>
      </c>
      <c r="G305" s="32" t="s">
        <v>335</v>
      </c>
      <c r="H305" s="32" t="s">
        <v>2831</v>
      </c>
      <c r="I305" s="32">
        <v>33.32</v>
      </c>
      <c r="J305" s="32">
        <v>-84.43</v>
      </c>
      <c r="K305" s="32">
        <v>246.5</v>
      </c>
      <c r="Q305" s="44">
        <v>1</v>
      </c>
      <c r="R305" s="44" t="s">
        <v>1735</v>
      </c>
      <c r="S305" s="44"/>
      <c r="T305" s="44" t="s">
        <v>1876</v>
      </c>
      <c r="U305" s="44" t="s">
        <v>1384</v>
      </c>
      <c r="V305" s="48" t="s">
        <v>1723</v>
      </c>
      <c r="W305" s="42" t="s">
        <v>1384</v>
      </c>
      <c r="X305" s="44" t="s">
        <v>1393</v>
      </c>
      <c r="Z305" s="323"/>
      <c r="AA305" s="323"/>
      <c r="AB305" s="32" t="s">
        <v>241</v>
      </c>
      <c r="AF305" s="32" t="s">
        <v>1324</v>
      </c>
      <c r="AG305" s="32" t="s">
        <v>132</v>
      </c>
      <c r="AH305" s="138" t="s">
        <v>132</v>
      </c>
      <c r="AI305" s="32" t="s">
        <v>221</v>
      </c>
      <c r="AJ305" s="140" t="s">
        <v>221</v>
      </c>
      <c r="AN305" s="32" t="s">
        <v>219</v>
      </c>
      <c r="AO305" s="32" t="s">
        <v>219</v>
      </c>
      <c r="AP305" s="32" t="s">
        <v>178</v>
      </c>
      <c r="AQ305" s="32" t="s">
        <v>340</v>
      </c>
      <c r="AR305" s="32" t="s">
        <v>340</v>
      </c>
      <c r="AT305" s="32" t="s">
        <v>120</v>
      </c>
      <c r="AU305" s="32">
        <v>4</v>
      </c>
      <c r="AW305" s="32" t="s">
        <v>336</v>
      </c>
      <c r="AY305" s="34">
        <f>3.33*1000</f>
        <v>3330</v>
      </c>
      <c r="AZ305" s="34">
        <f>3.33/1.09*10</f>
        <v>30.550458715596328</v>
      </c>
      <c r="BA305" s="53"/>
      <c r="BB305" s="34" t="s">
        <v>341</v>
      </c>
      <c r="BH305" s="32">
        <f>4.79*1000</f>
        <v>4790</v>
      </c>
      <c r="BI305" s="32">
        <f>4.1*1000</f>
        <v>4100</v>
      </c>
      <c r="BL305" s="32" t="s">
        <v>338</v>
      </c>
      <c r="BM305" s="397"/>
      <c r="BN305" s="397"/>
      <c r="BR305" s="397"/>
      <c r="BS305" s="397"/>
      <c r="GM305" s="12"/>
      <c r="GQ305" s="12"/>
      <c r="IO305" s="34" t="s">
        <v>351</v>
      </c>
    </row>
    <row r="306" spans="1:249" s="32" customFormat="1" x14ac:dyDescent="0.25">
      <c r="A306" s="32">
        <v>19</v>
      </c>
      <c r="B306" s="32" t="s">
        <v>333</v>
      </c>
      <c r="C306" s="32" t="s">
        <v>334</v>
      </c>
      <c r="D306" s="32">
        <v>1986</v>
      </c>
      <c r="E306" s="32">
        <v>1981</v>
      </c>
      <c r="F306" s="32" t="s">
        <v>303</v>
      </c>
      <c r="G306" s="32" t="s">
        <v>335</v>
      </c>
      <c r="H306" s="32" t="s">
        <v>2831</v>
      </c>
      <c r="I306" s="32">
        <v>33.32</v>
      </c>
      <c r="J306" s="32">
        <v>-84.43</v>
      </c>
      <c r="K306" s="32">
        <v>246.5</v>
      </c>
      <c r="Q306" s="44">
        <v>1</v>
      </c>
      <c r="R306" s="44" t="s">
        <v>1735</v>
      </c>
      <c r="S306" s="44"/>
      <c r="T306" s="44" t="s">
        <v>1876</v>
      </c>
      <c r="U306" s="44" t="s">
        <v>1384</v>
      </c>
      <c r="V306" s="48" t="s">
        <v>1723</v>
      </c>
      <c r="W306" s="42" t="s">
        <v>1384</v>
      </c>
      <c r="X306" s="44" t="s">
        <v>1393</v>
      </c>
      <c r="Z306" s="323"/>
      <c r="AA306" s="323"/>
      <c r="AB306" s="32" t="s">
        <v>241</v>
      </c>
      <c r="AF306" s="32" t="s">
        <v>1324</v>
      </c>
      <c r="AG306" s="32" t="s">
        <v>1525</v>
      </c>
      <c r="AH306" s="138" t="s">
        <v>578</v>
      </c>
      <c r="AI306" s="32" t="s">
        <v>221</v>
      </c>
      <c r="AJ306" s="140" t="s">
        <v>221</v>
      </c>
      <c r="AN306" s="32" t="s">
        <v>219</v>
      </c>
      <c r="AO306" s="32" t="s">
        <v>219</v>
      </c>
      <c r="AP306" s="32" t="s">
        <v>178</v>
      </c>
      <c r="AQ306" s="32" t="s">
        <v>340</v>
      </c>
      <c r="AR306" s="32" t="s">
        <v>340</v>
      </c>
      <c r="AT306" s="32" t="s">
        <v>120</v>
      </c>
      <c r="AU306" s="32">
        <v>4</v>
      </c>
      <c r="AW306" s="32" t="s">
        <v>336</v>
      </c>
      <c r="AY306" s="34">
        <f>3.53*1000</f>
        <v>3530</v>
      </c>
      <c r="AZ306" s="34">
        <f>3.53*10/2.92</f>
        <v>12.08904109589041</v>
      </c>
      <c r="BA306" s="53"/>
      <c r="BB306" s="34" t="s">
        <v>341</v>
      </c>
      <c r="BH306" s="32">
        <f t="shared" ref="BH306:BH309" si="53">4.79*1000</f>
        <v>4790</v>
      </c>
      <c r="BI306" s="32">
        <f>4.38*1000</f>
        <v>4380</v>
      </c>
      <c r="BL306" s="32" t="s">
        <v>338</v>
      </c>
      <c r="BM306" s="397"/>
      <c r="BN306" s="397"/>
      <c r="BR306" s="397"/>
      <c r="BS306" s="397"/>
      <c r="GM306" s="12"/>
      <c r="GQ306" s="12"/>
      <c r="IO306" s="34" t="s">
        <v>351</v>
      </c>
    </row>
    <row r="307" spans="1:249" s="32" customFormat="1" x14ac:dyDescent="0.25">
      <c r="A307" s="32">
        <v>19</v>
      </c>
      <c r="B307" s="32" t="s">
        <v>333</v>
      </c>
      <c r="C307" s="32" t="s">
        <v>334</v>
      </c>
      <c r="D307" s="32">
        <v>1986</v>
      </c>
      <c r="E307" s="32">
        <v>1981</v>
      </c>
      <c r="F307" s="32" t="s">
        <v>303</v>
      </c>
      <c r="G307" s="32" t="s">
        <v>335</v>
      </c>
      <c r="H307" s="32" t="s">
        <v>2831</v>
      </c>
      <c r="I307" s="32">
        <v>33.32</v>
      </c>
      <c r="J307" s="32">
        <v>-84.43</v>
      </c>
      <c r="K307" s="32">
        <v>246.5</v>
      </c>
      <c r="Q307" s="44">
        <v>1</v>
      </c>
      <c r="R307" s="44" t="s">
        <v>1735</v>
      </c>
      <c r="S307" s="44"/>
      <c r="T307" s="44" t="s">
        <v>1876</v>
      </c>
      <c r="U307" s="44" t="s">
        <v>1384</v>
      </c>
      <c r="V307" s="48" t="s">
        <v>1723</v>
      </c>
      <c r="W307" s="42" t="s">
        <v>1384</v>
      </c>
      <c r="X307" s="44" t="s">
        <v>1393</v>
      </c>
      <c r="Z307" s="323"/>
      <c r="AA307" s="323"/>
      <c r="AB307" s="32" t="s">
        <v>241</v>
      </c>
      <c r="AF307" s="32" t="s">
        <v>1324</v>
      </c>
      <c r="AG307" s="32" t="s">
        <v>1536</v>
      </c>
      <c r="AH307" s="138" t="s">
        <v>578</v>
      </c>
      <c r="AI307" s="32" t="s">
        <v>221</v>
      </c>
      <c r="AJ307" s="140" t="s">
        <v>221</v>
      </c>
      <c r="AN307" s="32" t="s">
        <v>219</v>
      </c>
      <c r="AO307" s="32" t="s">
        <v>219</v>
      </c>
      <c r="AP307" s="32" t="s">
        <v>178</v>
      </c>
      <c r="AQ307" s="32" t="s">
        <v>340</v>
      </c>
      <c r="AR307" s="32" t="s">
        <v>340</v>
      </c>
      <c r="AT307" s="32" t="s">
        <v>120</v>
      </c>
      <c r="AU307" s="32">
        <v>4</v>
      </c>
      <c r="AW307" s="32" t="s">
        <v>336</v>
      </c>
      <c r="AY307" s="34">
        <f>2.96*1000</f>
        <v>2960</v>
      </c>
      <c r="AZ307" s="34">
        <f>2.96/2.77*10</f>
        <v>10.685920577617329</v>
      </c>
      <c r="BA307" s="53"/>
      <c r="BB307" s="34" t="s">
        <v>341</v>
      </c>
      <c r="BH307" s="32">
        <f t="shared" si="53"/>
        <v>4790</v>
      </c>
      <c r="BI307" s="32">
        <f>4.12*1000</f>
        <v>4120</v>
      </c>
      <c r="BL307" s="32" t="s">
        <v>338</v>
      </c>
      <c r="BM307" s="397"/>
      <c r="BN307" s="397"/>
      <c r="BR307" s="397"/>
      <c r="BS307" s="397"/>
      <c r="GM307" s="12"/>
      <c r="GQ307" s="12"/>
      <c r="IO307" s="34" t="s">
        <v>351</v>
      </c>
    </row>
    <row r="308" spans="1:249" s="32" customFormat="1" x14ac:dyDescent="0.25">
      <c r="A308" s="32">
        <v>19</v>
      </c>
      <c r="B308" s="32" t="s">
        <v>333</v>
      </c>
      <c r="C308" s="32" t="s">
        <v>334</v>
      </c>
      <c r="D308" s="32">
        <v>1986</v>
      </c>
      <c r="E308" s="32">
        <v>1981</v>
      </c>
      <c r="F308" s="32" t="s">
        <v>303</v>
      </c>
      <c r="G308" s="32" t="s">
        <v>335</v>
      </c>
      <c r="H308" s="32" t="s">
        <v>2831</v>
      </c>
      <c r="I308" s="32">
        <v>33.32</v>
      </c>
      <c r="J308" s="32">
        <v>-84.43</v>
      </c>
      <c r="K308" s="32">
        <v>246.5</v>
      </c>
      <c r="Q308" s="44">
        <v>1</v>
      </c>
      <c r="R308" s="44" t="s">
        <v>1735</v>
      </c>
      <c r="S308" s="44"/>
      <c r="T308" s="44" t="s">
        <v>1876</v>
      </c>
      <c r="U308" s="44" t="s">
        <v>1384</v>
      </c>
      <c r="V308" s="48" t="s">
        <v>1723</v>
      </c>
      <c r="W308" s="42" t="s">
        <v>1384</v>
      </c>
      <c r="X308" s="44" t="s">
        <v>1393</v>
      </c>
      <c r="Z308" s="323"/>
      <c r="AA308" s="323"/>
      <c r="AB308" s="32" t="s">
        <v>241</v>
      </c>
      <c r="AF308" s="32" t="s">
        <v>1324</v>
      </c>
      <c r="AG308" s="32" t="s">
        <v>244</v>
      </c>
      <c r="AH308" s="138" t="s">
        <v>578</v>
      </c>
      <c r="AI308" s="32" t="s">
        <v>221</v>
      </c>
      <c r="AJ308" s="140" t="s">
        <v>221</v>
      </c>
      <c r="AN308" s="32" t="s">
        <v>219</v>
      </c>
      <c r="AO308" s="32" t="s">
        <v>219</v>
      </c>
      <c r="AP308" s="32" t="s">
        <v>178</v>
      </c>
      <c r="AQ308" s="32" t="s">
        <v>340</v>
      </c>
      <c r="AR308" s="32" t="s">
        <v>340</v>
      </c>
      <c r="AT308" s="32" t="s">
        <v>120</v>
      </c>
      <c r="AU308" s="32">
        <v>4</v>
      </c>
      <c r="AW308" s="32" t="s">
        <v>336</v>
      </c>
      <c r="AY308" s="34">
        <f>4.06*1000</f>
        <v>4059.9999999999995</v>
      </c>
      <c r="AZ308" s="34">
        <f>4.06/3.01*10</f>
        <v>13.488372093023255</v>
      </c>
      <c r="BA308" s="53"/>
      <c r="BB308" s="34" t="s">
        <v>341</v>
      </c>
      <c r="BH308" s="32">
        <f t="shared" si="53"/>
        <v>4790</v>
      </c>
      <c r="BI308" s="32">
        <f>4.53*1000</f>
        <v>4530</v>
      </c>
      <c r="BL308" s="32" t="s">
        <v>338</v>
      </c>
      <c r="BM308" s="397"/>
      <c r="BN308" s="397"/>
      <c r="BR308" s="397"/>
      <c r="BS308" s="397"/>
      <c r="GM308" s="12"/>
      <c r="GQ308" s="12"/>
      <c r="IO308" s="34" t="s">
        <v>351</v>
      </c>
    </row>
    <row r="309" spans="1:249" s="32" customFormat="1" x14ac:dyDescent="0.25">
      <c r="A309" s="32">
        <v>19</v>
      </c>
      <c r="B309" s="32" t="s">
        <v>333</v>
      </c>
      <c r="C309" s="32" t="s">
        <v>334</v>
      </c>
      <c r="D309" s="32">
        <v>1986</v>
      </c>
      <c r="E309" s="32">
        <v>1981</v>
      </c>
      <c r="F309" s="32" t="s">
        <v>303</v>
      </c>
      <c r="G309" s="32" t="s">
        <v>335</v>
      </c>
      <c r="H309" s="32" t="s">
        <v>2831</v>
      </c>
      <c r="I309" s="32">
        <v>33.32</v>
      </c>
      <c r="J309" s="32">
        <v>-84.43</v>
      </c>
      <c r="K309" s="32">
        <v>246.5</v>
      </c>
      <c r="Q309" s="44">
        <v>1</v>
      </c>
      <c r="R309" s="44" t="s">
        <v>1735</v>
      </c>
      <c r="S309" s="44"/>
      <c r="T309" s="44" t="s">
        <v>1876</v>
      </c>
      <c r="U309" s="44" t="s">
        <v>1384</v>
      </c>
      <c r="V309" s="48" t="s">
        <v>1723</v>
      </c>
      <c r="W309" s="42" t="s">
        <v>1384</v>
      </c>
      <c r="X309" s="44" t="s">
        <v>1393</v>
      </c>
      <c r="Z309" s="323"/>
      <c r="AA309" s="323"/>
      <c r="AB309" s="32" t="s">
        <v>241</v>
      </c>
      <c r="AF309" s="32" t="s">
        <v>1324</v>
      </c>
      <c r="AG309" s="32" t="s">
        <v>1537</v>
      </c>
      <c r="AH309" s="138" t="s">
        <v>578</v>
      </c>
      <c r="AI309" s="32" t="s">
        <v>221</v>
      </c>
      <c r="AJ309" s="140" t="s">
        <v>221</v>
      </c>
      <c r="AN309" s="32" t="s">
        <v>219</v>
      </c>
      <c r="AO309" s="32" t="s">
        <v>219</v>
      </c>
      <c r="AP309" s="32" t="s">
        <v>178</v>
      </c>
      <c r="AQ309" s="32" t="s">
        <v>340</v>
      </c>
      <c r="AR309" s="32" t="s">
        <v>340</v>
      </c>
      <c r="AT309" s="32" t="s">
        <v>120</v>
      </c>
      <c r="AU309" s="32">
        <v>4</v>
      </c>
      <c r="AW309" s="32" t="s">
        <v>336</v>
      </c>
      <c r="AY309" s="34">
        <f>3.96*1000</f>
        <v>3960</v>
      </c>
      <c r="AZ309" s="34">
        <f>3.96/2.96*10</f>
        <v>13.378378378378379</v>
      </c>
      <c r="BA309" s="53"/>
      <c r="BB309" s="34" t="s">
        <v>341</v>
      </c>
      <c r="BH309" s="32">
        <f t="shared" si="53"/>
        <v>4790</v>
      </c>
      <c r="BI309" s="32">
        <f>4.1*1000</f>
        <v>4100</v>
      </c>
      <c r="BL309" s="32" t="s">
        <v>338</v>
      </c>
      <c r="BM309" s="397"/>
      <c r="BN309" s="397"/>
      <c r="BR309" s="397"/>
      <c r="BS309" s="397"/>
      <c r="GM309" s="12"/>
      <c r="GQ309" s="12"/>
      <c r="IO309" s="34" t="s">
        <v>351</v>
      </c>
    </row>
    <row r="310" spans="1:249" s="24" customFormat="1" x14ac:dyDescent="0.25">
      <c r="A310" s="24">
        <v>19</v>
      </c>
      <c r="B310" s="24" t="s">
        <v>333</v>
      </c>
      <c r="C310" s="24" t="s">
        <v>334</v>
      </c>
      <c r="D310" s="24">
        <v>1986</v>
      </c>
      <c r="E310" s="24">
        <v>1982</v>
      </c>
      <c r="F310" s="24" t="s">
        <v>303</v>
      </c>
      <c r="G310" s="24" t="s">
        <v>335</v>
      </c>
      <c r="H310" s="32" t="s">
        <v>2831</v>
      </c>
      <c r="I310" s="24">
        <v>33.32</v>
      </c>
      <c r="J310" s="24">
        <v>-84.43</v>
      </c>
      <c r="K310" s="24">
        <v>246.5</v>
      </c>
      <c r="Q310" s="42">
        <v>2</v>
      </c>
      <c r="R310" s="42" t="s">
        <v>1735</v>
      </c>
      <c r="S310" s="42"/>
      <c r="T310" s="42" t="s">
        <v>1876</v>
      </c>
      <c r="U310" s="42" t="s">
        <v>1385</v>
      </c>
      <c r="V310" s="42" t="s">
        <v>1723</v>
      </c>
      <c r="W310" s="42" t="s">
        <v>1384</v>
      </c>
      <c r="X310" s="42" t="s">
        <v>1393</v>
      </c>
      <c r="Z310" s="321"/>
      <c r="AA310" s="321"/>
      <c r="AB310" s="24" t="s">
        <v>241</v>
      </c>
      <c r="AF310" s="24" t="s">
        <v>1324</v>
      </c>
      <c r="AG310" s="24" t="s">
        <v>132</v>
      </c>
      <c r="AH310" s="138" t="s">
        <v>132</v>
      </c>
      <c r="AI310" s="24" t="s">
        <v>221</v>
      </c>
      <c r="AJ310" s="140" t="s">
        <v>221</v>
      </c>
      <c r="AN310" s="24" t="s">
        <v>219</v>
      </c>
      <c r="AO310" s="24" t="s">
        <v>219</v>
      </c>
      <c r="AP310" s="24" t="s">
        <v>178</v>
      </c>
      <c r="AQ310" s="32" t="s">
        <v>340</v>
      </c>
      <c r="AR310" s="32" t="s">
        <v>340</v>
      </c>
      <c r="AS310" s="32"/>
      <c r="AT310" s="24" t="s">
        <v>120</v>
      </c>
      <c r="AU310" s="24">
        <v>4</v>
      </c>
      <c r="AW310" s="24" t="s">
        <v>336</v>
      </c>
      <c r="AY310" s="24">
        <f>3.93*1000</f>
        <v>3930</v>
      </c>
      <c r="AZ310" s="24">
        <f>3.93/0.89*10</f>
        <v>44.157303370786522</v>
      </c>
      <c r="BA310" s="53"/>
      <c r="BB310" s="34" t="s">
        <v>341</v>
      </c>
      <c r="BH310" s="24">
        <f>4.06*1000</f>
        <v>4059.9999999999995</v>
      </c>
      <c r="BI310" s="24">
        <f>4.55*1000</f>
        <v>4550</v>
      </c>
      <c r="BJ310" s="32"/>
      <c r="BK310" s="32"/>
      <c r="BL310" s="32" t="s">
        <v>338</v>
      </c>
      <c r="BM310" s="395"/>
      <c r="BN310" s="395"/>
      <c r="BR310" s="395"/>
      <c r="BS310" s="395"/>
      <c r="GM310" s="12"/>
      <c r="GQ310" s="12"/>
      <c r="IO310" s="34" t="s">
        <v>351</v>
      </c>
    </row>
    <row r="311" spans="1:249" s="24" customFormat="1" x14ac:dyDescent="0.25">
      <c r="A311" s="24">
        <v>19</v>
      </c>
      <c r="B311" s="24" t="s">
        <v>333</v>
      </c>
      <c r="C311" s="24" t="s">
        <v>334</v>
      </c>
      <c r="D311" s="24">
        <v>1986</v>
      </c>
      <c r="E311" s="24">
        <v>1982</v>
      </c>
      <c r="F311" s="24" t="s">
        <v>303</v>
      </c>
      <c r="G311" s="24" t="s">
        <v>335</v>
      </c>
      <c r="H311" s="32" t="s">
        <v>2831</v>
      </c>
      <c r="I311" s="24">
        <v>33.32</v>
      </c>
      <c r="J311" s="24">
        <v>-84.43</v>
      </c>
      <c r="K311" s="24">
        <v>246.5</v>
      </c>
      <c r="Q311" s="42">
        <v>2</v>
      </c>
      <c r="R311" s="42" t="s">
        <v>1735</v>
      </c>
      <c r="S311" s="42"/>
      <c r="T311" s="42" t="s">
        <v>1876</v>
      </c>
      <c r="U311" s="42" t="s">
        <v>1385</v>
      </c>
      <c r="V311" s="42" t="s">
        <v>1723</v>
      </c>
      <c r="W311" s="42" t="s">
        <v>1384</v>
      </c>
      <c r="X311" s="42" t="s">
        <v>1393</v>
      </c>
      <c r="Z311" s="321"/>
      <c r="AA311" s="321"/>
      <c r="AB311" s="24" t="s">
        <v>241</v>
      </c>
      <c r="AF311" s="24" t="s">
        <v>1324</v>
      </c>
      <c r="AG311" s="24" t="s">
        <v>1525</v>
      </c>
      <c r="AH311" s="138" t="s">
        <v>578</v>
      </c>
      <c r="AI311" s="24" t="s">
        <v>221</v>
      </c>
      <c r="AJ311" s="140" t="s">
        <v>221</v>
      </c>
      <c r="AN311" s="24" t="s">
        <v>219</v>
      </c>
      <c r="AO311" s="24" t="s">
        <v>219</v>
      </c>
      <c r="AP311" s="24" t="s">
        <v>178</v>
      </c>
      <c r="AQ311" s="32" t="s">
        <v>340</v>
      </c>
      <c r="AR311" s="32" t="s">
        <v>340</v>
      </c>
      <c r="AS311" s="32"/>
      <c r="AT311" s="24" t="s">
        <v>120</v>
      </c>
      <c r="AU311" s="24">
        <v>4</v>
      </c>
      <c r="AW311" s="24" t="s">
        <v>336</v>
      </c>
      <c r="AY311" s="24">
        <f>9.21*1000</f>
        <v>9210</v>
      </c>
      <c r="AZ311" s="24">
        <f>9.21/2.18*10</f>
        <v>42.247706422018354</v>
      </c>
      <c r="BA311" s="53"/>
      <c r="BB311" s="34" t="s">
        <v>341</v>
      </c>
      <c r="BH311" s="24">
        <f t="shared" ref="BH311:BH314" si="54">4.06*1000</f>
        <v>4059.9999999999995</v>
      </c>
      <c r="BI311" s="24">
        <f>4.73*1000</f>
        <v>4730</v>
      </c>
      <c r="BJ311" s="32"/>
      <c r="BK311" s="32"/>
      <c r="BL311" s="32" t="s">
        <v>338</v>
      </c>
      <c r="BM311" s="395"/>
      <c r="BN311" s="395"/>
      <c r="BR311" s="395"/>
      <c r="BS311" s="395"/>
      <c r="GM311" s="12"/>
      <c r="GQ311" s="12"/>
      <c r="IO311" s="34" t="s">
        <v>351</v>
      </c>
    </row>
    <row r="312" spans="1:249" s="24" customFormat="1" x14ac:dyDescent="0.25">
      <c r="A312" s="24">
        <v>19</v>
      </c>
      <c r="B312" s="24" t="s">
        <v>333</v>
      </c>
      <c r="C312" s="24" t="s">
        <v>334</v>
      </c>
      <c r="D312" s="24">
        <v>1986</v>
      </c>
      <c r="E312" s="24">
        <v>1982</v>
      </c>
      <c r="F312" s="24" t="s">
        <v>303</v>
      </c>
      <c r="G312" s="24" t="s">
        <v>335</v>
      </c>
      <c r="H312" s="32" t="s">
        <v>2831</v>
      </c>
      <c r="I312" s="24">
        <v>33.32</v>
      </c>
      <c r="J312" s="24">
        <v>-84.43</v>
      </c>
      <c r="K312" s="24">
        <v>246.5</v>
      </c>
      <c r="Q312" s="42">
        <v>2</v>
      </c>
      <c r="R312" s="42" t="s">
        <v>1735</v>
      </c>
      <c r="S312" s="42"/>
      <c r="T312" s="42" t="s">
        <v>1876</v>
      </c>
      <c r="U312" s="42" t="s">
        <v>1385</v>
      </c>
      <c r="V312" s="42" t="s">
        <v>1723</v>
      </c>
      <c r="W312" s="42" t="s">
        <v>1384</v>
      </c>
      <c r="X312" s="42" t="s">
        <v>1393</v>
      </c>
      <c r="Z312" s="321"/>
      <c r="AA312" s="321"/>
      <c r="AB312" s="24" t="s">
        <v>241</v>
      </c>
      <c r="AF312" s="24" t="s">
        <v>1324</v>
      </c>
      <c r="AG312" s="24" t="s">
        <v>1536</v>
      </c>
      <c r="AH312" s="138" t="s">
        <v>578</v>
      </c>
      <c r="AI312" s="24" t="s">
        <v>221</v>
      </c>
      <c r="AJ312" s="140" t="s">
        <v>221</v>
      </c>
      <c r="AN312" s="24" t="s">
        <v>219</v>
      </c>
      <c r="AO312" s="24" t="s">
        <v>219</v>
      </c>
      <c r="AP312" s="24" t="s">
        <v>178</v>
      </c>
      <c r="AQ312" s="32" t="s">
        <v>340</v>
      </c>
      <c r="AR312" s="32" t="s">
        <v>340</v>
      </c>
      <c r="AS312" s="32"/>
      <c r="AT312" s="24" t="s">
        <v>120</v>
      </c>
      <c r="AU312" s="24">
        <v>4</v>
      </c>
      <c r="AW312" s="24" t="s">
        <v>336</v>
      </c>
      <c r="AY312" s="24">
        <f>4.06*1000</f>
        <v>4059.9999999999995</v>
      </c>
      <c r="AZ312" s="24">
        <f>4.06/2.77*10</f>
        <v>14.657039711191334</v>
      </c>
      <c r="BA312" s="53"/>
      <c r="BB312" s="34" t="s">
        <v>341</v>
      </c>
      <c r="BH312" s="24">
        <f t="shared" si="54"/>
        <v>4059.9999999999995</v>
      </c>
      <c r="BI312" s="24">
        <f>4.96*1000</f>
        <v>4960</v>
      </c>
      <c r="BJ312" s="32"/>
      <c r="BK312" s="32"/>
      <c r="BL312" s="32" t="s">
        <v>338</v>
      </c>
      <c r="BM312" s="395"/>
      <c r="BN312" s="395"/>
      <c r="BR312" s="395"/>
      <c r="BS312" s="395"/>
      <c r="GM312" s="12"/>
      <c r="GQ312" s="12"/>
      <c r="IO312" s="34" t="s">
        <v>351</v>
      </c>
    </row>
    <row r="313" spans="1:249" s="24" customFormat="1" x14ac:dyDescent="0.25">
      <c r="A313" s="24">
        <v>19</v>
      </c>
      <c r="B313" s="24" t="s">
        <v>333</v>
      </c>
      <c r="C313" s="24" t="s">
        <v>334</v>
      </c>
      <c r="D313" s="24">
        <v>1986</v>
      </c>
      <c r="E313" s="24">
        <v>1982</v>
      </c>
      <c r="F313" s="24" t="s">
        <v>303</v>
      </c>
      <c r="G313" s="24" t="s">
        <v>335</v>
      </c>
      <c r="H313" s="32" t="s">
        <v>2831</v>
      </c>
      <c r="I313" s="24">
        <v>33.32</v>
      </c>
      <c r="J313" s="24">
        <v>-84.43</v>
      </c>
      <c r="K313" s="24">
        <v>246.5</v>
      </c>
      <c r="Q313" s="42">
        <v>2</v>
      </c>
      <c r="R313" s="42" t="s">
        <v>1735</v>
      </c>
      <c r="S313" s="42"/>
      <c r="T313" s="42" t="s">
        <v>1876</v>
      </c>
      <c r="U313" s="42" t="s">
        <v>1385</v>
      </c>
      <c r="V313" s="42" t="s">
        <v>1723</v>
      </c>
      <c r="W313" s="42" t="s">
        <v>1384</v>
      </c>
      <c r="X313" s="42" t="s">
        <v>1393</v>
      </c>
      <c r="Z313" s="321"/>
      <c r="AA313" s="321"/>
      <c r="AB313" s="24" t="s">
        <v>241</v>
      </c>
      <c r="AF313" s="24" t="s">
        <v>1324</v>
      </c>
      <c r="AG313" s="24" t="s">
        <v>244</v>
      </c>
      <c r="AH313" s="138" t="s">
        <v>578</v>
      </c>
      <c r="AI313" s="24" t="s">
        <v>221</v>
      </c>
      <c r="AJ313" s="140" t="s">
        <v>221</v>
      </c>
      <c r="AN313" s="24" t="s">
        <v>219</v>
      </c>
      <c r="AO313" s="24" t="s">
        <v>219</v>
      </c>
      <c r="AP313" s="24" t="s">
        <v>178</v>
      </c>
      <c r="AQ313" s="32" t="s">
        <v>340</v>
      </c>
      <c r="AR313" s="32" t="s">
        <v>340</v>
      </c>
      <c r="AS313" s="32"/>
      <c r="AT313" s="24" t="s">
        <v>120</v>
      </c>
      <c r="AU313" s="24">
        <v>4</v>
      </c>
      <c r="AW313" s="24" t="s">
        <v>336</v>
      </c>
      <c r="AY313" s="24">
        <f>4.54*1000</f>
        <v>4540</v>
      </c>
      <c r="AZ313" s="24">
        <f>4.54/3.38*10</f>
        <v>13.431952662721894</v>
      </c>
      <c r="BA313" s="53"/>
      <c r="BB313" s="34" t="s">
        <v>341</v>
      </c>
      <c r="BH313" s="24">
        <f t="shared" si="54"/>
        <v>4059.9999999999995</v>
      </c>
      <c r="BI313" s="24">
        <f>4.86*1000</f>
        <v>4860</v>
      </c>
      <c r="BJ313" s="32"/>
      <c r="BK313" s="32"/>
      <c r="BL313" s="32" t="s">
        <v>338</v>
      </c>
      <c r="BM313" s="395"/>
      <c r="BN313" s="395"/>
      <c r="BR313" s="395"/>
      <c r="BS313" s="395"/>
      <c r="GM313" s="12"/>
      <c r="GQ313" s="12"/>
      <c r="IO313" s="34" t="s">
        <v>351</v>
      </c>
    </row>
    <row r="314" spans="1:249" s="24" customFormat="1" x14ac:dyDescent="0.25">
      <c r="A314" s="24">
        <v>19</v>
      </c>
      <c r="B314" s="24" t="s">
        <v>333</v>
      </c>
      <c r="C314" s="24" t="s">
        <v>334</v>
      </c>
      <c r="D314" s="24">
        <v>1986</v>
      </c>
      <c r="E314" s="24">
        <v>1982</v>
      </c>
      <c r="F314" s="24" t="s">
        <v>303</v>
      </c>
      <c r="G314" s="24" t="s">
        <v>335</v>
      </c>
      <c r="H314" s="32" t="s">
        <v>2831</v>
      </c>
      <c r="I314" s="24">
        <v>33.32</v>
      </c>
      <c r="J314" s="24">
        <v>-84.43</v>
      </c>
      <c r="K314" s="24">
        <v>246.5</v>
      </c>
      <c r="Q314" s="42">
        <v>2</v>
      </c>
      <c r="R314" s="42" t="s">
        <v>1735</v>
      </c>
      <c r="S314" s="42"/>
      <c r="T314" s="42" t="s">
        <v>1876</v>
      </c>
      <c r="U314" s="42" t="s">
        <v>1385</v>
      </c>
      <c r="V314" s="42" t="s">
        <v>1723</v>
      </c>
      <c r="W314" s="42" t="s">
        <v>1384</v>
      </c>
      <c r="X314" s="42" t="s">
        <v>1393</v>
      </c>
      <c r="Z314" s="321"/>
      <c r="AA314" s="321"/>
      <c r="AB314" s="24" t="s">
        <v>241</v>
      </c>
      <c r="AF314" s="24" t="s">
        <v>1324</v>
      </c>
      <c r="AG314" s="24" t="s">
        <v>1537</v>
      </c>
      <c r="AH314" s="138" t="s">
        <v>578</v>
      </c>
      <c r="AI314" s="24" t="s">
        <v>221</v>
      </c>
      <c r="AJ314" s="140" t="s">
        <v>221</v>
      </c>
      <c r="AN314" s="24" t="s">
        <v>219</v>
      </c>
      <c r="AO314" s="24" t="s">
        <v>219</v>
      </c>
      <c r="AP314" s="24" t="s">
        <v>178</v>
      </c>
      <c r="AQ314" s="32" t="s">
        <v>340</v>
      </c>
      <c r="AR314" s="32" t="s">
        <v>340</v>
      </c>
      <c r="AS314" s="32"/>
      <c r="AT314" s="24" t="s">
        <v>120</v>
      </c>
      <c r="AU314" s="24">
        <v>4</v>
      </c>
      <c r="AW314" s="24" t="s">
        <v>336</v>
      </c>
      <c r="AY314" s="24">
        <f>4.7*1000</f>
        <v>4700</v>
      </c>
      <c r="AZ314" s="24">
        <f>4.7/3*10</f>
        <v>15.666666666666666</v>
      </c>
      <c r="BA314" s="53"/>
      <c r="BB314" s="34" t="s">
        <v>341</v>
      </c>
      <c r="BH314" s="24">
        <f t="shared" si="54"/>
        <v>4059.9999999999995</v>
      </c>
      <c r="BI314" s="24">
        <f>4.97*1000</f>
        <v>4970</v>
      </c>
      <c r="BJ314" s="32"/>
      <c r="BK314" s="32"/>
      <c r="BL314" s="32" t="s">
        <v>338</v>
      </c>
      <c r="BM314" s="395"/>
      <c r="BN314" s="395"/>
      <c r="BR314" s="395"/>
      <c r="BS314" s="395"/>
      <c r="GM314" s="12"/>
      <c r="GQ314" s="12"/>
      <c r="IO314" s="34" t="s">
        <v>351</v>
      </c>
    </row>
    <row r="315" spans="1:249" s="34" customFormat="1" x14ac:dyDescent="0.25">
      <c r="A315" s="34">
        <v>19</v>
      </c>
      <c r="B315" s="34" t="s">
        <v>333</v>
      </c>
      <c r="C315" s="34" t="s">
        <v>334</v>
      </c>
      <c r="D315" s="34">
        <v>1986</v>
      </c>
      <c r="E315" s="34">
        <v>1983</v>
      </c>
      <c r="F315" s="34" t="s">
        <v>303</v>
      </c>
      <c r="G315" s="34" t="s">
        <v>335</v>
      </c>
      <c r="H315" s="32" t="s">
        <v>2831</v>
      </c>
      <c r="I315" s="34">
        <v>33.32</v>
      </c>
      <c r="J315" s="34">
        <v>-84.43</v>
      </c>
      <c r="K315" s="34">
        <v>246.5</v>
      </c>
      <c r="Q315" s="48">
        <v>3</v>
      </c>
      <c r="R315" s="48" t="s">
        <v>1735</v>
      </c>
      <c r="S315" s="48"/>
      <c r="T315" s="48" t="s">
        <v>1876</v>
      </c>
      <c r="U315" s="48" t="s">
        <v>1394</v>
      </c>
      <c r="V315" s="48" t="s">
        <v>1724</v>
      </c>
      <c r="W315" s="48" t="s">
        <v>1384</v>
      </c>
      <c r="X315" s="48" t="s">
        <v>1393</v>
      </c>
      <c r="Z315" s="328"/>
      <c r="AA315" s="328"/>
      <c r="AB315" s="34" t="s">
        <v>241</v>
      </c>
      <c r="AF315" s="34" t="s">
        <v>1324</v>
      </c>
      <c r="AG315" s="34" t="s">
        <v>132</v>
      </c>
      <c r="AH315" s="138" t="s">
        <v>132</v>
      </c>
      <c r="AI315" s="34" t="s">
        <v>221</v>
      </c>
      <c r="AJ315" s="140" t="s">
        <v>221</v>
      </c>
      <c r="AN315" s="34" t="s">
        <v>219</v>
      </c>
      <c r="AO315" s="34" t="s">
        <v>219</v>
      </c>
      <c r="AP315" s="34" t="s">
        <v>178</v>
      </c>
      <c r="AQ315" s="32" t="s">
        <v>340</v>
      </c>
      <c r="AR315" s="32" t="s">
        <v>340</v>
      </c>
      <c r="AS315" s="32"/>
      <c r="AT315" s="34" t="s">
        <v>120</v>
      </c>
      <c r="AU315" s="34">
        <v>4</v>
      </c>
      <c r="AW315" s="34" t="s">
        <v>336</v>
      </c>
      <c r="AY315" s="34">
        <f>4.83*1000</f>
        <v>4830</v>
      </c>
      <c r="AZ315" s="34">
        <f>4.83/0.97*10</f>
        <v>49.793814432989691</v>
      </c>
      <c r="BA315" s="53"/>
      <c r="BB315" s="34" t="s">
        <v>341</v>
      </c>
      <c r="BH315" s="34">
        <f>2.87*1000</f>
        <v>2870</v>
      </c>
      <c r="BI315" s="34">
        <f>2.96*1000</f>
        <v>2960</v>
      </c>
      <c r="BJ315" s="32"/>
      <c r="BK315" s="32"/>
      <c r="BL315" s="32" t="s">
        <v>338</v>
      </c>
      <c r="BM315" s="404"/>
      <c r="BN315" s="404"/>
      <c r="BR315" s="404"/>
      <c r="BS315" s="404"/>
      <c r="GM315" s="12"/>
      <c r="GQ315" s="12"/>
      <c r="IO315" s="34" t="s">
        <v>351</v>
      </c>
    </row>
    <row r="316" spans="1:249" s="34" customFormat="1" x14ac:dyDescent="0.25">
      <c r="A316" s="34">
        <v>19</v>
      </c>
      <c r="B316" s="34" t="s">
        <v>333</v>
      </c>
      <c r="C316" s="34" t="s">
        <v>334</v>
      </c>
      <c r="D316" s="34">
        <v>1986</v>
      </c>
      <c r="E316" s="34">
        <v>1983</v>
      </c>
      <c r="F316" s="34" t="s">
        <v>303</v>
      </c>
      <c r="G316" s="34" t="s">
        <v>335</v>
      </c>
      <c r="H316" s="32" t="s">
        <v>2831</v>
      </c>
      <c r="I316" s="34">
        <v>33.32</v>
      </c>
      <c r="J316" s="34">
        <v>-84.43</v>
      </c>
      <c r="K316" s="34">
        <v>246.5</v>
      </c>
      <c r="Q316" s="48">
        <v>3</v>
      </c>
      <c r="R316" s="48" t="s">
        <v>1735</v>
      </c>
      <c r="S316" s="48"/>
      <c r="T316" s="48" t="s">
        <v>1876</v>
      </c>
      <c r="U316" s="48" t="s">
        <v>1394</v>
      </c>
      <c r="V316" s="48" t="s">
        <v>1724</v>
      </c>
      <c r="W316" s="48" t="s">
        <v>1384</v>
      </c>
      <c r="X316" s="48" t="s">
        <v>1393</v>
      </c>
      <c r="Z316" s="328"/>
      <c r="AA316" s="328"/>
      <c r="AB316" s="34" t="s">
        <v>241</v>
      </c>
      <c r="AF316" s="34" t="s">
        <v>1324</v>
      </c>
      <c r="AG316" s="34" t="s">
        <v>1525</v>
      </c>
      <c r="AH316" s="138" t="s">
        <v>578</v>
      </c>
      <c r="AI316" s="34" t="s">
        <v>221</v>
      </c>
      <c r="AJ316" s="140" t="s">
        <v>221</v>
      </c>
      <c r="AN316" s="34" t="s">
        <v>219</v>
      </c>
      <c r="AO316" s="34" t="s">
        <v>219</v>
      </c>
      <c r="AP316" s="34" t="s">
        <v>178</v>
      </c>
      <c r="AQ316" s="32" t="s">
        <v>340</v>
      </c>
      <c r="AR316" s="32" t="s">
        <v>340</v>
      </c>
      <c r="AS316" s="32"/>
      <c r="AT316" s="34" t="s">
        <v>120</v>
      </c>
      <c r="AU316" s="34">
        <v>4</v>
      </c>
      <c r="AW316" s="34" t="s">
        <v>336</v>
      </c>
      <c r="AY316" s="34">
        <f>8.77*1000</f>
        <v>8770</v>
      </c>
      <c r="AZ316" s="34">
        <f>8.77/2.47*10</f>
        <v>35.506072874493924</v>
      </c>
      <c r="BA316" s="53"/>
      <c r="BB316" s="34" t="s">
        <v>341</v>
      </c>
      <c r="BH316" s="34">
        <f t="shared" ref="BH316:BH319" si="55">2.87*1000</f>
        <v>2870</v>
      </c>
      <c r="BI316" s="34">
        <f>3.56*1000</f>
        <v>3560</v>
      </c>
      <c r="BJ316" s="32"/>
      <c r="BK316" s="32"/>
      <c r="BL316" s="32" t="s">
        <v>338</v>
      </c>
      <c r="BM316" s="404"/>
      <c r="BN316" s="404"/>
      <c r="BR316" s="404"/>
      <c r="BS316" s="404"/>
      <c r="GM316" s="12"/>
      <c r="GQ316" s="12"/>
      <c r="IO316" s="34" t="s">
        <v>351</v>
      </c>
    </row>
    <row r="317" spans="1:249" s="34" customFormat="1" x14ac:dyDescent="0.25">
      <c r="A317" s="34">
        <v>19</v>
      </c>
      <c r="B317" s="34" t="s">
        <v>333</v>
      </c>
      <c r="C317" s="34" t="s">
        <v>334</v>
      </c>
      <c r="D317" s="34">
        <v>1986</v>
      </c>
      <c r="E317" s="34">
        <v>1983</v>
      </c>
      <c r="F317" s="34" t="s">
        <v>303</v>
      </c>
      <c r="G317" s="34" t="s">
        <v>335</v>
      </c>
      <c r="H317" s="32" t="s">
        <v>2831</v>
      </c>
      <c r="I317" s="34">
        <v>33.32</v>
      </c>
      <c r="J317" s="34">
        <v>-84.43</v>
      </c>
      <c r="K317" s="34">
        <v>246.5</v>
      </c>
      <c r="Q317" s="48">
        <v>3</v>
      </c>
      <c r="R317" s="48" t="s">
        <v>1735</v>
      </c>
      <c r="S317" s="48"/>
      <c r="T317" s="48" t="s">
        <v>1876</v>
      </c>
      <c r="U317" s="48" t="s">
        <v>1394</v>
      </c>
      <c r="V317" s="48" t="s">
        <v>1724</v>
      </c>
      <c r="W317" s="48" t="s">
        <v>1384</v>
      </c>
      <c r="X317" s="48" t="s">
        <v>1393</v>
      </c>
      <c r="Z317" s="328"/>
      <c r="AA317" s="328"/>
      <c r="AB317" s="34" t="s">
        <v>241</v>
      </c>
      <c r="AF317" s="34" t="s">
        <v>1324</v>
      </c>
      <c r="AG317" s="34" t="s">
        <v>1536</v>
      </c>
      <c r="AH317" s="138" t="s">
        <v>578</v>
      </c>
      <c r="AI317" s="34" t="s">
        <v>221</v>
      </c>
      <c r="AJ317" s="140" t="s">
        <v>221</v>
      </c>
      <c r="AN317" s="34" t="s">
        <v>219</v>
      </c>
      <c r="AO317" s="34" t="s">
        <v>219</v>
      </c>
      <c r="AP317" s="34" t="s">
        <v>178</v>
      </c>
      <c r="AQ317" s="32" t="s">
        <v>340</v>
      </c>
      <c r="AR317" s="32" t="s">
        <v>340</v>
      </c>
      <c r="AS317" s="32"/>
      <c r="AT317" s="34" t="s">
        <v>120</v>
      </c>
      <c r="AU317" s="34">
        <v>4</v>
      </c>
      <c r="AW317" s="34" t="s">
        <v>336</v>
      </c>
      <c r="AY317" s="34">
        <f>4.97*1000</f>
        <v>4970</v>
      </c>
      <c r="AZ317" s="34">
        <f>4.97/2.99*10</f>
        <v>16.622073578595316</v>
      </c>
      <c r="BA317" s="53"/>
      <c r="BB317" s="34" t="s">
        <v>341</v>
      </c>
      <c r="BH317" s="34">
        <f t="shared" si="55"/>
        <v>2870</v>
      </c>
      <c r="BI317" s="34">
        <f>2.5*1000</f>
        <v>2500</v>
      </c>
      <c r="BJ317" s="32"/>
      <c r="BK317" s="32"/>
      <c r="BL317" s="32" t="s">
        <v>338</v>
      </c>
      <c r="BM317" s="404"/>
      <c r="BN317" s="404"/>
      <c r="BR317" s="404"/>
      <c r="BS317" s="404"/>
      <c r="GM317" s="12"/>
      <c r="GQ317" s="12"/>
      <c r="IO317" s="34" t="s">
        <v>351</v>
      </c>
    </row>
    <row r="318" spans="1:249" s="34" customFormat="1" x14ac:dyDescent="0.25">
      <c r="A318" s="34">
        <v>19</v>
      </c>
      <c r="B318" s="34" t="s">
        <v>333</v>
      </c>
      <c r="C318" s="34" t="s">
        <v>334</v>
      </c>
      <c r="D318" s="34">
        <v>1986</v>
      </c>
      <c r="E318" s="34">
        <v>1983</v>
      </c>
      <c r="F318" s="34" t="s">
        <v>303</v>
      </c>
      <c r="G318" s="34" t="s">
        <v>335</v>
      </c>
      <c r="H318" s="32" t="s">
        <v>2831</v>
      </c>
      <c r="I318" s="34">
        <v>33.32</v>
      </c>
      <c r="J318" s="34">
        <v>-84.43</v>
      </c>
      <c r="K318" s="34">
        <v>246.5</v>
      </c>
      <c r="Q318" s="48">
        <v>3</v>
      </c>
      <c r="R318" s="48" t="s">
        <v>1735</v>
      </c>
      <c r="S318" s="48"/>
      <c r="T318" s="48" t="s">
        <v>1876</v>
      </c>
      <c r="U318" s="48" t="s">
        <v>1394</v>
      </c>
      <c r="V318" s="48" t="s">
        <v>1724</v>
      </c>
      <c r="W318" s="48" t="s">
        <v>1384</v>
      </c>
      <c r="X318" s="48" t="s">
        <v>1393</v>
      </c>
      <c r="Z318" s="328"/>
      <c r="AA318" s="328"/>
      <c r="AB318" s="34" t="s">
        <v>241</v>
      </c>
      <c r="AF318" s="34" t="s">
        <v>1324</v>
      </c>
      <c r="AG318" s="34" t="s">
        <v>244</v>
      </c>
      <c r="AH318" s="138" t="s">
        <v>578</v>
      </c>
      <c r="AI318" s="34" t="s">
        <v>221</v>
      </c>
      <c r="AJ318" s="140" t="s">
        <v>221</v>
      </c>
      <c r="AN318" s="34" t="s">
        <v>219</v>
      </c>
      <c r="AO318" s="34" t="s">
        <v>219</v>
      </c>
      <c r="AP318" s="34" t="s">
        <v>178</v>
      </c>
      <c r="AQ318" s="32" t="s">
        <v>340</v>
      </c>
      <c r="AR318" s="32" t="s">
        <v>340</v>
      </c>
      <c r="AS318" s="32"/>
      <c r="AT318" s="34" t="s">
        <v>120</v>
      </c>
      <c r="AU318" s="34">
        <v>4</v>
      </c>
      <c r="AW318" s="34" t="s">
        <v>336</v>
      </c>
      <c r="AY318" s="34">
        <f>4.15*1000</f>
        <v>4150</v>
      </c>
      <c r="AZ318" s="34">
        <f>4.15/4.5*10</f>
        <v>9.2222222222222232</v>
      </c>
      <c r="BA318" s="53"/>
      <c r="BB318" s="34" t="s">
        <v>341</v>
      </c>
      <c r="BH318" s="34">
        <f t="shared" si="55"/>
        <v>2870</v>
      </c>
      <c r="BI318" s="34">
        <f>1.98*1000</f>
        <v>1980</v>
      </c>
      <c r="BJ318" s="32"/>
      <c r="BK318" s="32"/>
      <c r="BL318" s="32" t="s">
        <v>338</v>
      </c>
      <c r="BM318" s="404"/>
      <c r="BN318" s="404"/>
      <c r="BR318" s="404"/>
      <c r="BS318" s="404"/>
      <c r="GM318" s="12"/>
      <c r="GQ318" s="12"/>
      <c r="IO318" s="34" t="s">
        <v>351</v>
      </c>
    </row>
    <row r="319" spans="1:249" s="34" customFormat="1" x14ac:dyDescent="0.25">
      <c r="A319" s="34">
        <v>19</v>
      </c>
      <c r="B319" s="34" t="s">
        <v>333</v>
      </c>
      <c r="C319" s="34" t="s">
        <v>334</v>
      </c>
      <c r="D319" s="34">
        <v>1986</v>
      </c>
      <c r="E319" s="34">
        <v>1983</v>
      </c>
      <c r="F319" s="34" t="s">
        <v>303</v>
      </c>
      <c r="G319" s="34" t="s">
        <v>335</v>
      </c>
      <c r="H319" s="32" t="s">
        <v>2831</v>
      </c>
      <c r="I319" s="34">
        <v>33.32</v>
      </c>
      <c r="J319" s="34">
        <v>-84.43</v>
      </c>
      <c r="K319" s="34">
        <v>246.5</v>
      </c>
      <c r="Q319" s="48">
        <v>3</v>
      </c>
      <c r="R319" s="48" t="s">
        <v>1735</v>
      </c>
      <c r="S319" s="48"/>
      <c r="T319" s="48" t="s">
        <v>1876</v>
      </c>
      <c r="U319" s="48" t="s">
        <v>1394</v>
      </c>
      <c r="V319" s="48" t="s">
        <v>1724</v>
      </c>
      <c r="W319" s="48" t="s">
        <v>1384</v>
      </c>
      <c r="X319" s="48" t="s">
        <v>1393</v>
      </c>
      <c r="Z319" s="328"/>
      <c r="AA319" s="328"/>
      <c r="AB319" s="34" t="s">
        <v>241</v>
      </c>
      <c r="AF319" s="34" t="s">
        <v>1324</v>
      </c>
      <c r="AG319" s="34" t="s">
        <v>1537</v>
      </c>
      <c r="AH319" s="138" t="s">
        <v>578</v>
      </c>
      <c r="AI319" s="34" t="s">
        <v>221</v>
      </c>
      <c r="AJ319" s="140" t="s">
        <v>221</v>
      </c>
      <c r="AN319" s="34" t="s">
        <v>219</v>
      </c>
      <c r="AO319" s="34" t="s">
        <v>219</v>
      </c>
      <c r="AP319" s="34" t="s">
        <v>178</v>
      </c>
      <c r="AQ319" s="32" t="s">
        <v>340</v>
      </c>
      <c r="AR319" s="32" t="s">
        <v>340</v>
      </c>
      <c r="AS319" s="32"/>
      <c r="AT319" s="34" t="s">
        <v>120</v>
      </c>
      <c r="AU319" s="34">
        <v>4</v>
      </c>
      <c r="AW319" s="34" t="s">
        <v>336</v>
      </c>
      <c r="AY319" s="34">
        <f>4.23*1000</f>
        <v>4230</v>
      </c>
      <c r="AZ319" s="34">
        <f>4.23/3.36*10</f>
        <v>12.589285714285715</v>
      </c>
      <c r="BA319" s="53"/>
      <c r="BB319" s="34" t="s">
        <v>341</v>
      </c>
      <c r="BH319" s="34">
        <f t="shared" si="55"/>
        <v>2870</v>
      </c>
      <c r="BI319" s="34">
        <f>2.77*1000</f>
        <v>2770</v>
      </c>
      <c r="BJ319" s="32"/>
      <c r="BK319" s="32"/>
      <c r="BL319" s="32" t="s">
        <v>338</v>
      </c>
      <c r="BM319" s="404"/>
      <c r="BN319" s="404"/>
      <c r="BR319" s="404"/>
      <c r="BS319" s="404"/>
      <c r="GM319" s="12"/>
      <c r="GQ319" s="12"/>
      <c r="IO319" s="34" t="s">
        <v>351</v>
      </c>
    </row>
    <row r="320" spans="1:249" s="33" customFormat="1" x14ac:dyDescent="0.25">
      <c r="A320" s="33">
        <v>20</v>
      </c>
      <c r="B320" s="33" t="s">
        <v>353</v>
      </c>
      <c r="C320" s="33" t="s">
        <v>354</v>
      </c>
      <c r="D320" s="33">
        <v>2014</v>
      </c>
      <c r="E320" s="33">
        <v>2010</v>
      </c>
      <c r="F320" s="33" t="s">
        <v>355</v>
      </c>
      <c r="G320" s="33" t="s">
        <v>352</v>
      </c>
      <c r="H320" s="32" t="s">
        <v>2831</v>
      </c>
      <c r="I320" s="33">
        <f t="shared" ref="I320:I333" si="56">42+40/60</f>
        <v>42.666666666666664</v>
      </c>
      <c r="J320" s="33">
        <f t="shared" ref="J320:J333" si="57">-84-28/60</f>
        <v>-84.466666666666669</v>
      </c>
      <c r="K320" s="33">
        <v>268.5</v>
      </c>
      <c r="Q320" s="47">
        <v>1</v>
      </c>
      <c r="R320" s="47" t="s">
        <v>1856</v>
      </c>
      <c r="S320" s="47" t="s">
        <v>1157</v>
      </c>
      <c r="T320" s="47" t="s">
        <v>1877</v>
      </c>
      <c r="U320" s="47" t="s">
        <v>1381</v>
      </c>
      <c r="V320" s="47" t="s">
        <v>1381</v>
      </c>
      <c r="W320" s="47" t="s">
        <v>1381</v>
      </c>
      <c r="X320" s="47" t="s">
        <v>1381</v>
      </c>
      <c r="Z320" s="327"/>
      <c r="AA320" s="327"/>
      <c r="AB320" s="33" t="s">
        <v>176</v>
      </c>
      <c r="AC320" s="33">
        <v>6.6</v>
      </c>
      <c r="AF320" s="33" t="s">
        <v>1325</v>
      </c>
      <c r="AG320" s="33" t="s">
        <v>244</v>
      </c>
      <c r="AH320" s="138" t="s">
        <v>578</v>
      </c>
      <c r="AI320" s="33" t="s">
        <v>221</v>
      </c>
      <c r="AJ320" s="140" t="s">
        <v>221</v>
      </c>
      <c r="AN320" s="33" t="s">
        <v>232</v>
      </c>
      <c r="AO320" s="33" t="s">
        <v>232</v>
      </c>
      <c r="AP320" s="33" t="s">
        <v>178</v>
      </c>
      <c r="AQ320" s="33">
        <v>0</v>
      </c>
      <c r="AR320" s="33">
        <v>0</v>
      </c>
      <c r="AS320" s="33" t="s">
        <v>178</v>
      </c>
      <c r="AT320" s="33" t="s">
        <v>161</v>
      </c>
      <c r="AU320" s="33">
        <v>4</v>
      </c>
      <c r="AW320" s="33" t="s">
        <v>142</v>
      </c>
      <c r="AX320" s="33">
        <v>5422</v>
      </c>
      <c r="BA320" s="54"/>
      <c r="BM320" s="402"/>
      <c r="BN320" s="402"/>
      <c r="BR320" s="402"/>
      <c r="BS320" s="402"/>
      <c r="FI320" s="33">
        <v>100</v>
      </c>
      <c r="FJ320" s="33">
        <v>11.715999999999999</v>
      </c>
      <c r="FM320" s="33" t="s">
        <v>356</v>
      </c>
      <c r="GM320" s="12"/>
      <c r="GQ320" s="12"/>
    </row>
    <row r="321" spans="1:250" s="33" customFormat="1" x14ac:dyDescent="0.25">
      <c r="A321" s="33">
        <v>20</v>
      </c>
      <c r="B321" s="33" t="s">
        <v>353</v>
      </c>
      <c r="C321" s="33" t="s">
        <v>354</v>
      </c>
      <c r="D321" s="33">
        <v>2014</v>
      </c>
      <c r="E321" s="33">
        <v>2010</v>
      </c>
      <c r="F321" s="33" t="s">
        <v>355</v>
      </c>
      <c r="G321" s="33" t="s">
        <v>352</v>
      </c>
      <c r="H321" s="32" t="s">
        <v>2831</v>
      </c>
      <c r="I321" s="33">
        <f t="shared" si="56"/>
        <v>42.666666666666664</v>
      </c>
      <c r="J321" s="33">
        <f t="shared" si="57"/>
        <v>-84.466666666666669</v>
      </c>
      <c r="K321" s="33">
        <v>268.5</v>
      </c>
      <c r="Q321" s="47">
        <v>1</v>
      </c>
      <c r="R321" s="47" t="s">
        <v>1856</v>
      </c>
      <c r="S321" s="47" t="s">
        <v>1157</v>
      </c>
      <c r="T321" s="47" t="s">
        <v>1877</v>
      </c>
      <c r="U321" s="47" t="s">
        <v>1381</v>
      </c>
      <c r="V321" s="47" t="s">
        <v>1381</v>
      </c>
      <c r="W321" s="47" t="s">
        <v>1381</v>
      </c>
      <c r="X321" s="47" t="s">
        <v>1381</v>
      </c>
      <c r="Z321" s="327"/>
      <c r="AA321" s="327"/>
      <c r="AB321" s="33" t="s">
        <v>176</v>
      </c>
      <c r="AC321" s="33">
        <v>6.6</v>
      </c>
      <c r="AF321" s="33" t="s">
        <v>1325</v>
      </c>
      <c r="AG321" s="33" t="s">
        <v>1555</v>
      </c>
      <c r="AH321" s="138" t="s">
        <v>1586</v>
      </c>
      <c r="AI321" s="33" t="s">
        <v>221</v>
      </c>
      <c r="AJ321" s="140" t="s">
        <v>221</v>
      </c>
      <c r="AN321" s="33" t="s">
        <v>232</v>
      </c>
      <c r="AO321" s="33" t="s">
        <v>232</v>
      </c>
      <c r="AP321" s="33" t="s">
        <v>178</v>
      </c>
      <c r="AQ321" s="33">
        <v>0</v>
      </c>
      <c r="AR321" s="33">
        <v>0</v>
      </c>
      <c r="AS321" s="33" t="s">
        <v>178</v>
      </c>
      <c r="AT321" s="33" t="s">
        <v>161</v>
      </c>
      <c r="AU321" s="33">
        <v>4</v>
      </c>
      <c r="AW321" s="33" t="s">
        <v>142</v>
      </c>
      <c r="AX321" s="33">
        <v>6205</v>
      </c>
      <c r="BA321" s="54"/>
      <c r="BM321" s="402"/>
      <c r="BN321" s="402"/>
      <c r="BR321" s="402"/>
      <c r="BS321" s="402"/>
      <c r="FI321" s="33">
        <v>100</v>
      </c>
      <c r="FJ321" s="33">
        <v>14.13</v>
      </c>
      <c r="FM321" s="33" t="s">
        <v>356</v>
      </c>
      <c r="GM321" s="12"/>
      <c r="GQ321" s="12"/>
    </row>
    <row r="322" spans="1:250" s="33" customFormat="1" x14ac:dyDescent="0.25">
      <c r="A322" s="33">
        <v>20</v>
      </c>
      <c r="B322" s="33" t="s">
        <v>353</v>
      </c>
      <c r="C322" s="33" t="s">
        <v>354</v>
      </c>
      <c r="D322" s="33">
        <v>2014</v>
      </c>
      <c r="E322" s="33">
        <v>2010</v>
      </c>
      <c r="F322" s="33" t="s">
        <v>355</v>
      </c>
      <c r="G322" s="33" t="s">
        <v>352</v>
      </c>
      <c r="H322" s="32" t="s">
        <v>2831</v>
      </c>
      <c r="I322" s="33">
        <f t="shared" si="56"/>
        <v>42.666666666666664</v>
      </c>
      <c r="J322" s="33">
        <f t="shared" si="57"/>
        <v>-84.466666666666669</v>
      </c>
      <c r="K322" s="33">
        <v>268.5</v>
      </c>
      <c r="Q322" s="47">
        <v>1</v>
      </c>
      <c r="R322" s="47" t="s">
        <v>1856</v>
      </c>
      <c r="S322" s="47" t="s">
        <v>1157</v>
      </c>
      <c r="T322" s="47" t="s">
        <v>1877</v>
      </c>
      <c r="U322" s="47" t="s">
        <v>1381</v>
      </c>
      <c r="V322" s="47" t="s">
        <v>1381</v>
      </c>
      <c r="W322" s="47" t="s">
        <v>1381</v>
      </c>
      <c r="X322" s="47" t="s">
        <v>1381</v>
      </c>
      <c r="Z322" s="327"/>
      <c r="AA322" s="327"/>
      <c r="AB322" s="33" t="s">
        <v>176</v>
      </c>
      <c r="AC322" s="33">
        <v>6.6</v>
      </c>
      <c r="AF322" s="33" t="s">
        <v>1325</v>
      </c>
      <c r="AG322" s="33" t="s">
        <v>1556</v>
      </c>
      <c r="AH322" s="138" t="s">
        <v>1586</v>
      </c>
      <c r="AI322" s="33" t="s">
        <v>221</v>
      </c>
      <c r="AJ322" s="140" t="s">
        <v>221</v>
      </c>
      <c r="AN322" s="33" t="s">
        <v>232</v>
      </c>
      <c r="AO322" s="33" t="s">
        <v>232</v>
      </c>
      <c r="AP322" s="33" t="s">
        <v>178</v>
      </c>
      <c r="AQ322" s="33">
        <v>0</v>
      </c>
      <c r="AR322" s="33">
        <v>0</v>
      </c>
      <c r="AS322" s="33" t="s">
        <v>178</v>
      </c>
      <c r="AT322" s="33" t="s">
        <v>161</v>
      </c>
      <c r="AU322" s="33">
        <v>4</v>
      </c>
      <c r="AW322" s="33" t="s">
        <v>142</v>
      </c>
      <c r="AX322" s="33">
        <v>5939</v>
      </c>
      <c r="BA322" s="54"/>
      <c r="BM322" s="402"/>
      <c r="BN322" s="402"/>
      <c r="BR322" s="402"/>
      <c r="BS322" s="402"/>
      <c r="FI322" s="33">
        <v>100</v>
      </c>
      <c r="FJ322" s="33">
        <v>9.5299999999999994</v>
      </c>
      <c r="FM322" s="33" t="s">
        <v>356</v>
      </c>
      <c r="GM322" s="12"/>
      <c r="GQ322" s="12"/>
    </row>
    <row r="323" spans="1:250" s="33" customFormat="1" x14ac:dyDescent="0.25">
      <c r="A323" s="33">
        <v>20</v>
      </c>
      <c r="B323" s="33" t="s">
        <v>353</v>
      </c>
      <c r="C323" s="33" t="s">
        <v>354</v>
      </c>
      <c r="D323" s="33">
        <v>2014</v>
      </c>
      <c r="E323" s="33">
        <v>2010</v>
      </c>
      <c r="F323" s="33" t="s">
        <v>355</v>
      </c>
      <c r="G323" s="33" t="s">
        <v>352</v>
      </c>
      <c r="H323" s="32" t="s">
        <v>2831</v>
      </c>
      <c r="I323" s="33">
        <f t="shared" si="56"/>
        <v>42.666666666666664</v>
      </c>
      <c r="J323" s="33">
        <f t="shared" si="57"/>
        <v>-84.466666666666669</v>
      </c>
      <c r="K323" s="33">
        <v>268.5</v>
      </c>
      <c r="Q323" s="47">
        <v>1</v>
      </c>
      <c r="R323" s="47" t="s">
        <v>1856</v>
      </c>
      <c r="S323" s="47" t="s">
        <v>1157</v>
      </c>
      <c r="T323" s="47" t="s">
        <v>1877</v>
      </c>
      <c r="U323" s="47" t="s">
        <v>1381</v>
      </c>
      <c r="V323" s="47" t="s">
        <v>1381</v>
      </c>
      <c r="W323" s="47" t="s">
        <v>1381</v>
      </c>
      <c r="X323" s="47" t="s">
        <v>1381</v>
      </c>
      <c r="Z323" s="327"/>
      <c r="AA323" s="327"/>
      <c r="AB323" s="33" t="s">
        <v>176</v>
      </c>
      <c r="AC323" s="33">
        <v>6.6</v>
      </c>
      <c r="AF323" s="33" t="s">
        <v>1325</v>
      </c>
      <c r="AG323" s="33" t="s">
        <v>1557</v>
      </c>
      <c r="AH323" s="138" t="s">
        <v>1586</v>
      </c>
      <c r="AI323" s="33" t="s">
        <v>221</v>
      </c>
      <c r="AJ323" s="140" t="s">
        <v>221</v>
      </c>
      <c r="AN323" s="33" t="s">
        <v>232</v>
      </c>
      <c r="AO323" s="33" t="s">
        <v>232</v>
      </c>
      <c r="AP323" s="33" t="s">
        <v>178</v>
      </c>
      <c r="AQ323" s="33">
        <v>0</v>
      </c>
      <c r="AR323" s="33">
        <v>0</v>
      </c>
      <c r="AS323" s="33" t="s">
        <v>178</v>
      </c>
      <c r="AT323" s="33" t="s">
        <v>161</v>
      </c>
      <c r="AU323" s="33">
        <v>4</v>
      </c>
      <c r="AW323" s="33" t="s">
        <v>142</v>
      </c>
      <c r="AX323" s="33">
        <v>5064</v>
      </c>
      <c r="BA323" s="54"/>
      <c r="BM323" s="402"/>
      <c r="BN323" s="402"/>
      <c r="BR323" s="402"/>
      <c r="BS323" s="402"/>
      <c r="FI323" s="33">
        <v>100</v>
      </c>
      <c r="FJ323" s="33">
        <v>7.8</v>
      </c>
      <c r="FM323" s="33" t="s">
        <v>356</v>
      </c>
      <c r="GM323" s="12"/>
      <c r="GQ323" s="12"/>
    </row>
    <row r="324" spans="1:250" s="33" customFormat="1" x14ac:dyDescent="0.25">
      <c r="A324" s="33">
        <v>20</v>
      </c>
      <c r="B324" s="33" t="s">
        <v>353</v>
      </c>
      <c r="C324" s="33" t="s">
        <v>354</v>
      </c>
      <c r="D324" s="33">
        <v>2014</v>
      </c>
      <c r="E324" s="33">
        <v>2010</v>
      </c>
      <c r="F324" s="33" t="s">
        <v>355</v>
      </c>
      <c r="G324" s="33" t="s">
        <v>352</v>
      </c>
      <c r="H324" s="32" t="s">
        <v>2831</v>
      </c>
      <c r="I324" s="33">
        <f t="shared" si="56"/>
        <v>42.666666666666664</v>
      </c>
      <c r="J324" s="33">
        <f t="shared" si="57"/>
        <v>-84.466666666666669</v>
      </c>
      <c r="K324" s="33">
        <v>268.5</v>
      </c>
      <c r="Q324" s="47">
        <v>1</v>
      </c>
      <c r="R324" s="47" t="s">
        <v>1856</v>
      </c>
      <c r="S324" s="47" t="s">
        <v>1157</v>
      </c>
      <c r="T324" s="47" t="s">
        <v>1877</v>
      </c>
      <c r="U324" s="47" t="s">
        <v>1381</v>
      </c>
      <c r="V324" s="47" t="s">
        <v>1381</v>
      </c>
      <c r="W324" s="47" t="s">
        <v>1381</v>
      </c>
      <c r="X324" s="47" t="s">
        <v>1381</v>
      </c>
      <c r="Z324" s="327"/>
      <c r="AA324" s="327"/>
      <c r="AB324" s="33" t="s">
        <v>176</v>
      </c>
      <c r="AC324" s="33">
        <v>6.6</v>
      </c>
      <c r="AF324" s="33" t="s">
        <v>1325</v>
      </c>
      <c r="AG324" s="33" t="s">
        <v>1558</v>
      </c>
      <c r="AH324" s="138" t="s">
        <v>1586</v>
      </c>
      <c r="AI324" s="33" t="s">
        <v>221</v>
      </c>
      <c r="AJ324" s="140" t="s">
        <v>221</v>
      </c>
      <c r="AN324" s="33" t="s">
        <v>232</v>
      </c>
      <c r="AO324" s="33" t="s">
        <v>232</v>
      </c>
      <c r="AP324" s="33" t="s">
        <v>178</v>
      </c>
      <c r="AQ324" s="33">
        <v>0</v>
      </c>
      <c r="AR324" s="33">
        <v>0</v>
      </c>
      <c r="AS324" s="33" t="s">
        <v>178</v>
      </c>
      <c r="AT324" s="33" t="s">
        <v>161</v>
      </c>
      <c r="AU324" s="33">
        <v>4</v>
      </c>
      <c r="AW324" s="33" t="s">
        <v>142</v>
      </c>
      <c r="AX324" s="33">
        <v>5489</v>
      </c>
      <c r="BA324" s="54"/>
      <c r="BM324" s="402"/>
      <c r="BN324" s="402"/>
      <c r="BR324" s="402"/>
      <c r="BS324" s="402"/>
      <c r="FI324" s="33">
        <v>100</v>
      </c>
      <c r="FJ324" s="33">
        <v>5.41</v>
      </c>
      <c r="FM324" s="33" t="s">
        <v>356</v>
      </c>
      <c r="GM324" s="12"/>
      <c r="GQ324" s="12"/>
    </row>
    <row r="325" spans="1:250" s="33" customFormat="1" x14ac:dyDescent="0.25">
      <c r="A325" s="33">
        <v>20</v>
      </c>
      <c r="B325" s="33" t="s">
        <v>353</v>
      </c>
      <c r="C325" s="33" t="s">
        <v>354</v>
      </c>
      <c r="D325" s="33">
        <v>2014</v>
      </c>
      <c r="E325" s="33">
        <v>2010</v>
      </c>
      <c r="F325" s="33" t="s">
        <v>355</v>
      </c>
      <c r="G325" s="33" t="s">
        <v>352</v>
      </c>
      <c r="H325" s="32" t="s">
        <v>2831</v>
      </c>
      <c r="I325" s="33">
        <f t="shared" si="56"/>
        <v>42.666666666666664</v>
      </c>
      <c r="J325" s="33">
        <f t="shared" si="57"/>
        <v>-84.466666666666669</v>
      </c>
      <c r="K325" s="33">
        <v>268.5</v>
      </c>
      <c r="Q325" s="47">
        <v>1</v>
      </c>
      <c r="R325" s="47" t="s">
        <v>1856</v>
      </c>
      <c r="S325" s="47" t="s">
        <v>1157</v>
      </c>
      <c r="T325" s="47" t="s">
        <v>1877</v>
      </c>
      <c r="U325" s="47" t="s">
        <v>1381</v>
      </c>
      <c r="V325" s="47" t="s">
        <v>1381</v>
      </c>
      <c r="W325" s="47" t="s">
        <v>1381</v>
      </c>
      <c r="X325" s="47" t="s">
        <v>1381</v>
      </c>
      <c r="Z325" s="327"/>
      <c r="AA325" s="327"/>
      <c r="AB325" s="33" t="s">
        <v>176</v>
      </c>
      <c r="AC325" s="33">
        <v>6.6</v>
      </c>
      <c r="AF325" s="33" t="s">
        <v>1325</v>
      </c>
      <c r="AG325" s="33" t="s">
        <v>1559</v>
      </c>
      <c r="AH325" s="138" t="s">
        <v>1586</v>
      </c>
      <c r="AI325" s="33" t="s">
        <v>221</v>
      </c>
      <c r="AJ325" s="140" t="s">
        <v>221</v>
      </c>
      <c r="AN325" s="33" t="s">
        <v>232</v>
      </c>
      <c r="AO325" s="33" t="s">
        <v>232</v>
      </c>
      <c r="AP325" s="33" t="s">
        <v>178</v>
      </c>
      <c r="AQ325" s="33">
        <v>0</v>
      </c>
      <c r="AR325" s="33">
        <v>0</v>
      </c>
      <c r="AS325" s="33" t="s">
        <v>178</v>
      </c>
      <c r="AT325" s="33" t="s">
        <v>161</v>
      </c>
      <c r="AU325" s="33">
        <v>4</v>
      </c>
      <c r="AW325" s="33" t="s">
        <v>142</v>
      </c>
      <c r="AX325" s="33">
        <v>4985</v>
      </c>
      <c r="BA325" s="54"/>
      <c r="BM325" s="402"/>
      <c r="BN325" s="402"/>
      <c r="BR325" s="402"/>
      <c r="BS325" s="402"/>
      <c r="FI325" s="33">
        <v>100</v>
      </c>
      <c r="FJ325" s="33">
        <v>6.35</v>
      </c>
      <c r="FM325" s="33" t="s">
        <v>356</v>
      </c>
      <c r="GM325" s="12"/>
      <c r="GQ325" s="12"/>
    </row>
    <row r="326" spans="1:250" s="33" customFormat="1" x14ac:dyDescent="0.25">
      <c r="A326" s="33">
        <v>20</v>
      </c>
      <c r="B326" s="33" t="s">
        <v>353</v>
      </c>
      <c r="C326" s="33" t="s">
        <v>354</v>
      </c>
      <c r="D326" s="33">
        <v>2014</v>
      </c>
      <c r="E326" s="33">
        <v>2010</v>
      </c>
      <c r="F326" s="33" t="s">
        <v>355</v>
      </c>
      <c r="G326" s="33" t="s">
        <v>352</v>
      </c>
      <c r="H326" s="32" t="s">
        <v>2831</v>
      </c>
      <c r="I326" s="33">
        <f t="shared" si="56"/>
        <v>42.666666666666664</v>
      </c>
      <c r="J326" s="33">
        <f t="shared" si="57"/>
        <v>-84.466666666666669</v>
      </c>
      <c r="K326" s="33">
        <v>268.5</v>
      </c>
      <c r="Q326" s="47">
        <v>1</v>
      </c>
      <c r="R326" s="47" t="s">
        <v>1856</v>
      </c>
      <c r="S326" s="47" t="s">
        <v>1157</v>
      </c>
      <c r="T326" s="47" t="s">
        <v>1877</v>
      </c>
      <c r="U326" s="47" t="s">
        <v>1381</v>
      </c>
      <c r="V326" s="47" t="s">
        <v>1381</v>
      </c>
      <c r="W326" s="47" t="s">
        <v>1381</v>
      </c>
      <c r="X326" s="47" t="s">
        <v>1381</v>
      </c>
      <c r="Z326" s="327"/>
      <c r="AA326" s="327"/>
      <c r="AB326" s="33" t="s">
        <v>176</v>
      </c>
      <c r="AC326" s="33">
        <v>6.6</v>
      </c>
      <c r="AF326" s="33" t="s">
        <v>1325</v>
      </c>
      <c r="AG326" s="33" t="s">
        <v>132</v>
      </c>
      <c r="AH326" s="138" t="s">
        <v>132</v>
      </c>
      <c r="AI326" s="33" t="s">
        <v>221</v>
      </c>
      <c r="AJ326" s="140" t="s">
        <v>221</v>
      </c>
      <c r="AN326" s="33" t="s">
        <v>232</v>
      </c>
      <c r="AO326" s="33" t="s">
        <v>232</v>
      </c>
      <c r="AP326" s="33" t="s">
        <v>178</v>
      </c>
      <c r="AQ326" s="33">
        <v>0</v>
      </c>
      <c r="AR326" s="33">
        <v>0</v>
      </c>
      <c r="AS326" s="33" t="s">
        <v>178</v>
      </c>
      <c r="AT326" s="33" t="s">
        <v>161</v>
      </c>
      <c r="AU326" s="33">
        <v>4</v>
      </c>
      <c r="AW326" s="33" t="s">
        <v>142</v>
      </c>
      <c r="AX326" s="33">
        <v>4057</v>
      </c>
      <c r="BA326" s="54"/>
      <c r="BM326" s="402"/>
      <c r="BN326" s="402"/>
      <c r="BR326" s="402"/>
      <c r="BS326" s="402"/>
      <c r="FI326" s="33">
        <v>100</v>
      </c>
      <c r="FJ326" s="33">
        <v>4.8</v>
      </c>
      <c r="FM326" s="33" t="s">
        <v>356</v>
      </c>
      <c r="GM326" s="12"/>
      <c r="GQ326" s="12"/>
    </row>
    <row r="327" spans="1:250" s="28" customFormat="1" x14ac:dyDescent="0.25">
      <c r="A327" s="28">
        <v>20</v>
      </c>
      <c r="B327" s="28" t="s">
        <v>353</v>
      </c>
      <c r="C327" s="28" t="s">
        <v>354</v>
      </c>
      <c r="D327" s="28">
        <v>2014</v>
      </c>
      <c r="E327" s="28">
        <v>2011</v>
      </c>
      <c r="F327" s="28" t="s">
        <v>355</v>
      </c>
      <c r="G327" s="28" t="s">
        <v>352</v>
      </c>
      <c r="H327" s="32" t="s">
        <v>2831</v>
      </c>
      <c r="I327" s="28">
        <f t="shared" si="56"/>
        <v>42.666666666666664</v>
      </c>
      <c r="J327" s="28">
        <f t="shared" si="57"/>
        <v>-84.466666666666669</v>
      </c>
      <c r="K327" s="28">
        <v>268.5</v>
      </c>
      <c r="Q327" s="46">
        <v>2</v>
      </c>
      <c r="R327" s="46" t="s">
        <v>1856</v>
      </c>
      <c r="S327" s="46" t="s">
        <v>1157</v>
      </c>
      <c r="T327" s="46" t="s">
        <v>1877</v>
      </c>
      <c r="U327" s="46" t="s">
        <v>1381</v>
      </c>
      <c r="V327" s="46" t="s">
        <v>1381</v>
      </c>
      <c r="W327" s="46" t="s">
        <v>1381</v>
      </c>
      <c r="X327" s="46" t="s">
        <v>1381</v>
      </c>
      <c r="Z327" s="326"/>
      <c r="AA327" s="326"/>
      <c r="AB327" s="28" t="s">
        <v>176</v>
      </c>
      <c r="AC327" s="28">
        <v>6.6</v>
      </c>
      <c r="AF327" s="28" t="s">
        <v>1325</v>
      </c>
      <c r="AG327" s="28" t="s">
        <v>244</v>
      </c>
      <c r="AH327" s="138" t="s">
        <v>578</v>
      </c>
      <c r="AI327" s="28" t="s">
        <v>221</v>
      </c>
      <c r="AJ327" s="140" t="s">
        <v>221</v>
      </c>
      <c r="AN327" s="28" t="s">
        <v>232</v>
      </c>
      <c r="AO327" s="28" t="s">
        <v>232</v>
      </c>
      <c r="AP327" s="28" t="s">
        <v>178</v>
      </c>
      <c r="AQ327" s="28">
        <v>0</v>
      </c>
      <c r="AR327" s="28">
        <v>0</v>
      </c>
      <c r="AS327" s="28" t="s">
        <v>178</v>
      </c>
      <c r="AT327" s="28" t="s">
        <v>161</v>
      </c>
      <c r="AU327" s="28">
        <v>4</v>
      </c>
      <c r="AW327" s="28" t="s">
        <v>142</v>
      </c>
      <c r="AX327" s="28">
        <v>3023</v>
      </c>
      <c r="BA327" s="54"/>
      <c r="BM327" s="401"/>
      <c r="BN327" s="401"/>
      <c r="BR327" s="401"/>
      <c r="BS327" s="401"/>
      <c r="FI327" s="28">
        <v>100</v>
      </c>
      <c r="FJ327" s="28">
        <v>37.82</v>
      </c>
      <c r="FM327" s="28" t="s">
        <v>356</v>
      </c>
      <c r="GM327" s="12"/>
      <c r="GQ327" s="12"/>
    </row>
    <row r="328" spans="1:250" s="28" customFormat="1" x14ac:dyDescent="0.25">
      <c r="A328" s="28">
        <v>20</v>
      </c>
      <c r="B328" s="28" t="s">
        <v>353</v>
      </c>
      <c r="C328" s="28" t="s">
        <v>354</v>
      </c>
      <c r="D328" s="28">
        <v>2014</v>
      </c>
      <c r="E328" s="28">
        <v>2011</v>
      </c>
      <c r="F328" s="28" t="s">
        <v>355</v>
      </c>
      <c r="G328" s="28" t="s">
        <v>352</v>
      </c>
      <c r="H328" s="32" t="s">
        <v>2831</v>
      </c>
      <c r="I328" s="28">
        <f t="shared" si="56"/>
        <v>42.666666666666664</v>
      </c>
      <c r="J328" s="28">
        <f t="shared" si="57"/>
        <v>-84.466666666666669</v>
      </c>
      <c r="K328" s="28">
        <v>268.5</v>
      </c>
      <c r="Q328" s="46">
        <v>2</v>
      </c>
      <c r="R328" s="46" t="s">
        <v>1856</v>
      </c>
      <c r="S328" s="46" t="s">
        <v>1157</v>
      </c>
      <c r="T328" s="46" t="s">
        <v>1877</v>
      </c>
      <c r="U328" s="46" t="s">
        <v>1381</v>
      </c>
      <c r="V328" s="46" t="s">
        <v>1381</v>
      </c>
      <c r="W328" s="46" t="s">
        <v>1381</v>
      </c>
      <c r="X328" s="46" t="s">
        <v>1381</v>
      </c>
      <c r="Z328" s="326"/>
      <c r="AA328" s="326"/>
      <c r="AB328" s="28" t="s">
        <v>176</v>
      </c>
      <c r="AC328" s="28">
        <v>6.6</v>
      </c>
      <c r="AF328" s="28" t="s">
        <v>1325</v>
      </c>
      <c r="AG328" s="28" t="s">
        <v>1555</v>
      </c>
      <c r="AH328" s="138" t="s">
        <v>1586</v>
      </c>
      <c r="AI328" s="28" t="s">
        <v>221</v>
      </c>
      <c r="AJ328" s="140" t="s">
        <v>221</v>
      </c>
      <c r="AN328" s="28" t="s">
        <v>232</v>
      </c>
      <c r="AO328" s="28" t="s">
        <v>232</v>
      </c>
      <c r="AP328" s="28" t="s">
        <v>178</v>
      </c>
      <c r="AQ328" s="28">
        <v>0</v>
      </c>
      <c r="AR328" s="28">
        <v>0</v>
      </c>
      <c r="AS328" s="28" t="s">
        <v>178</v>
      </c>
      <c r="AT328" s="28" t="s">
        <v>161</v>
      </c>
      <c r="AU328" s="28">
        <v>4</v>
      </c>
      <c r="AW328" s="28" t="s">
        <v>142</v>
      </c>
      <c r="AX328" s="28">
        <v>4216</v>
      </c>
      <c r="BA328" s="54"/>
      <c r="BM328" s="401"/>
      <c r="BN328" s="401"/>
      <c r="BR328" s="401"/>
      <c r="BS328" s="401"/>
      <c r="FI328" s="28">
        <v>100</v>
      </c>
      <c r="FJ328" s="28">
        <v>34.700000000000003</v>
      </c>
      <c r="FM328" s="28" t="s">
        <v>356</v>
      </c>
      <c r="GM328" s="12"/>
      <c r="GQ328" s="12"/>
    </row>
    <row r="329" spans="1:250" s="28" customFormat="1" x14ac:dyDescent="0.25">
      <c r="A329" s="28">
        <v>20</v>
      </c>
      <c r="B329" s="28" t="s">
        <v>353</v>
      </c>
      <c r="C329" s="28" t="s">
        <v>354</v>
      </c>
      <c r="D329" s="28">
        <v>2014</v>
      </c>
      <c r="E329" s="28">
        <v>2011</v>
      </c>
      <c r="F329" s="28" t="s">
        <v>355</v>
      </c>
      <c r="G329" s="28" t="s">
        <v>352</v>
      </c>
      <c r="H329" s="32" t="s">
        <v>2831</v>
      </c>
      <c r="I329" s="28">
        <f t="shared" si="56"/>
        <v>42.666666666666664</v>
      </c>
      <c r="J329" s="28">
        <f t="shared" si="57"/>
        <v>-84.466666666666669</v>
      </c>
      <c r="K329" s="28">
        <v>268.5</v>
      </c>
      <c r="Q329" s="46">
        <v>2</v>
      </c>
      <c r="R329" s="46" t="s">
        <v>1856</v>
      </c>
      <c r="S329" s="46" t="s">
        <v>1157</v>
      </c>
      <c r="T329" s="46" t="s">
        <v>1877</v>
      </c>
      <c r="U329" s="46" t="s">
        <v>1381</v>
      </c>
      <c r="V329" s="46" t="s">
        <v>1381</v>
      </c>
      <c r="W329" s="46" t="s">
        <v>1381</v>
      </c>
      <c r="X329" s="46" t="s">
        <v>1381</v>
      </c>
      <c r="Z329" s="326"/>
      <c r="AA329" s="326"/>
      <c r="AB329" s="28" t="s">
        <v>176</v>
      </c>
      <c r="AC329" s="28">
        <v>6.6</v>
      </c>
      <c r="AF329" s="28" t="s">
        <v>1325</v>
      </c>
      <c r="AG329" s="28" t="s">
        <v>1556</v>
      </c>
      <c r="AH329" s="138" t="s">
        <v>1586</v>
      </c>
      <c r="AI329" s="28" t="s">
        <v>221</v>
      </c>
      <c r="AJ329" s="140" t="s">
        <v>221</v>
      </c>
      <c r="AN329" s="28" t="s">
        <v>232</v>
      </c>
      <c r="AO329" s="28" t="s">
        <v>232</v>
      </c>
      <c r="AP329" s="28" t="s">
        <v>178</v>
      </c>
      <c r="AQ329" s="28">
        <v>0</v>
      </c>
      <c r="AR329" s="28">
        <v>0</v>
      </c>
      <c r="AS329" s="28" t="s">
        <v>178</v>
      </c>
      <c r="AT329" s="28" t="s">
        <v>161</v>
      </c>
      <c r="AU329" s="28">
        <v>4</v>
      </c>
      <c r="AW329" s="28" t="s">
        <v>142</v>
      </c>
      <c r="AX329" s="28">
        <v>4375</v>
      </c>
      <c r="BA329" s="54"/>
      <c r="BM329" s="401"/>
      <c r="BN329" s="401"/>
      <c r="BR329" s="401"/>
      <c r="BS329" s="401"/>
      <c r="FI329" s="28">
        <v>100</v>
      </c>
      <c r="FJ329" s="28">
        <v>30.66</v>
      </c>
      <c r="FM329" s="28" t="s">
        <v>356</v>
      </c>
      <c r="GM329" s="12"/>
      <c r="GQ329" s="12"/>
    </row>
    <row r="330" spans="1:250" s="28" customFormat="1" x14ac:dyDescent="0.25">
      <c r="A330" s="28">
        <v>20</v>
      </c>
      <c r="B330" s="28" t="s">
        <v>353</v>
      </c>
      <c r="C330" s="28" t="s">
        <v>354</v>
      </c>
      <c r="D330" s="28">
        <v>2014</v>
      </c>
      <c r="E330" s="28">
        <v>2011</v>
      </c>
      <c r="F330" s="28" t="s">
        <v>355</v>
      </c>
      <c r="G330" s="28" t="s">
        <v>352</v>
      </c>
      <c r="H330" s="32" t="s">
        <v>2831</v>
      </c>
      <c r="I330" s="28">
        <f t="shared" si="56"/>
        <v>42.666666666666664</v>
      </c>
      <c r="J330" s="28">
        <f t="shared" si="57"/>
        <v>-84.466666666666669</v>
      </c>
      <c r="K330" s="28">
        <v>268.5</v>
      </c>
      <c r="Q330" s="46">
        <v>2</v>
      </c>
      <c r="R330" s="46" t="s">
        <v>1856</v>
      </c>
      <c r="S330" s="46" t="s">
        <v>1157</v>
      </c>
      <c r="T330" s="46" t="s">
        <v>1877</v>
      </c>
      <c r="U330" s="46" t="s">
        <v>1381</v>
      </c>
      <c r="V330" s="46" t="s">
        <v>1381</v>
      </c>
      <c r="W330" s="46" t="s">
        <v>1381</v>
      </c>
      <c r="X330" s="46" t="s">
        <v>1381</v>
      </c>
      <c r="Z330" s="326"/>
      <c r="AA330" s="326"/>
      <c r="AB330" s="28" t="s">
        <v>176</v>
      </c>
      <c r="AC330" s="28">
        <v>6.6</v>
      </c>
      <c r="AF330" s="28" t="s">
        <v>1325</v>
      </c>
      <c r="AG330" s="28" t="s">
        <v>1557</v>
      </c>
      <c r="AH330" s="138" t="s">
        <v>1586</v>
      </c>
      <c r="AI330" s="28" t="s">
        <v>221</v>
      </c>
      <c r="AJ330" s="140" t="s">
        <v>221</v>
      </c>
      <c r="AN330" s="28" t="s">
        <v>232</v>
      </c>
      <c r="AO330" s="28" t="s">
        <v>232</v>
      </c>
      <c r="AP330" s="28" t="s">
        <v>178</v>
      </c>
      <c r="AQ330" s="28">
        <v>0</v>
      </c>
      <c r="AR330" s="28">
        <v>0</v>
      </c>
      <c r="AS330" s="28" t="s">
        <v>178</v>
      </c>
      <c r="AT330" s="28" t="s">
        <v>161</v>
      </c>
      <c r="AU330" s="28">
        <v>4</v>
      </c>
      <c r="AW330" s="28" t="s">
        <v>142</v>
      </c>
      <c r="AX330" s="28">
        <v>3500</v>
      </c>
      <c r="BA330" s="54"/>
      <c r="BM330" s="401"/>
      <c r="BN330" s="401"/>
      <c r="BR330" s="401"/>
      <c r="BS330" s="401"/>
      <c r="FI330" s="28">
        <v>100</v>
      </c>
      <c r="FJ330" s="28">
        <v>8.5</v>
      </c>
      <c r="FM330" s="28" t="s">
        <v>356</v>
      </c>
      <c r="GM330" s="12"/>
      <c r="GQ330" s="12"/>
    </row>
    <row r="331" spans="1:250" s="28" customFormat="1" x14ac:dyDescent="0.25">
      <c r="A331" s="28">
        <v>20</v>
      </c>
      <c r="B331" s="28" t="s">
        <v>353</v>
      </c>
      <c r="C331" s="28" t="s">
        <v>354</v>
      </c>
      <c r="D331" s="28">
        <v>2014</v>
      </c>
      <c r="E331" s="28">
        <v>2011</v>
      </c>
      <c r="F331" s="28" t="s">
        <v>355</v>
      </c>
      <c r="G331" s="28" t="s">
        <v>352</v>
      </c>
      <c r="H331" s="32" t="s">
        <v>2831</v>
      </c>
      <c r="I331" s="28">
        <f t="shared" si="56"/>
        <v>42.666666666666664</v>
      </c>
      <c r="J331" s="28">
        <f t="shared" si="57"/>
        <v>-84.466666666666669</v>
      </c>
      <c r="K331" s="28">
        <v>268.5</v>
      </c>
      <c r="Q331" s="46">
        <v>2</v>
      </c>
      <c r="R331" s="46" t="s">
        <v>1856</v>
      </c>
      <c r="S331" s="46" t="s">
        <v>1157</v>
      </c>
      <c r="T331" s="46" t="s">
        <v>1877</v>
      </c>
      <c r="U331" s="46" t="s">
        <v>1381</v>
      </c>
      <c r="V331" s="46" t="s">
        <v>1381</v>
      </c>
      <c r="W331" s="46" t="s">
        <v>1381</v>
      </c>
      <c r="X331" s="46" t="s">
        <v>1381</v>
      </c>
      <c r="Z331" s="326"/>
      <c r="AA331" s="326"/>
      <c r="AB331" s="28" t="s">
        <v>176</v>
      </c>
      <c r="AC331" s="28">
        <v>6.6</v>
      </c>
      <c r="AF331" s="28" t="s">
        <v>1325</v>
      </c>
      <c r="AG331" s="28" t="s">
        <v>1558</v>
      </c>
      <c r="AH331" s="138" t="s">
        <v>1586</v>
      </c>
      <c r="AI331" s="28" t="s">
        <v>221</v>
      </c>
      <c r="AJ331" s="140" t="s">
        <v>221</v>
      </c>
      <c r="AN331" s="28" t="s">
        <v>232</v>
      </c>
      <c r="AO331" s="28" t="s">
        <v>232</v>
      </c>
      <c r="AP331" s="28" t="s">
        <v>178</v>
      </c>
      <c r="AQ331" s="28">
        <v>0</v>
      </c>
      <c r="AR331" s="28">
        <v>0</v>
      </c>
      <c r="AS331" s="28" t="s">
        <v>178</v>
      </c>
      <c r="AT331" s="28" t="s">
        <v>161</v>
      </c>
      <c r="AU331" s="28">
        <v>4</v>
      </c>
      <c r="AW331" s="28" t="s">
        <v>142</v>
      </c>
      <c r="AX331" s="28">
        <v>4322</v>
      </c>
      <c r="BA331" s="54"/>
      <c r="BM331" s="401"/>
      <c r="BN331" s="401"/>
      <c r="BR331" s="401"/>
      <c r="BS331" s="401"/>
      <c r="FI331" s="28">
        <v>100</v>
      </c>
      <c r="FJ331" s="28">
        <v>13.16</v>
      </c>
      <c r="FM331" s="28" t="s">
        <v>356</v>
      </c>
      <c r="GM331" s="12"/>
      <c r="GQ331" s="12"/>
    </row>
    <row r="332" spans="1:250" s="28" customFormat="1" x14ac:dyDescent="0.25">
      <c r="A332" s="28">
        <v>20</v>
      </c>
      <c r="B332" s="28" t="s">
        <v>353</v>
      </c>
      <c r="C332" s="28" t="s">
        <v>354</v>
      </c>
      <c r="D332" s="28">
        <v>2014</v>
      </c>
      <c r="E332" s="28">
        <v>2011</v>
      </c>
      <c r="F332" s="28" t="s">
        <v>355</v>
      </c>
      <c r="G332" s="28" t="s">
        <v>352</v>
      </c>
      <c r="H332" s="32" t="s">
        <v>2831</v>
      </c>
      <c r="I332" s="28">
        <f t="shared" si="56"/>
        <v>42.666666666666664</v>
      </c>
      <c r="J332" s="28">
        <f t="shared" si="57"/>
        <v>-84.466666666666669</v>
      </c>
      <c r="K332" s="28">
        <v>268.5</v>
      </c>
      <c r="Q332" s="46">
        <v>2</v>
      </c>
      <c r="R332" s="46" t="s">
        <v>1856</v>
      </c>
      <c r="S332" s="46" t="s">
        <v>1157</v>
      </c>
      <c r="T332" s="46" t="s">
        <v>1877</v>
      </c>
      <c r="U332" s="46" t="s">
        <v>1381</v>
      </c>
      <c r="V332" s="46" t="s">
        <v>1381</v>
      </c>
      <c r="W332" s="46" t="s">
        <v>1381</v>
      </c>
      <c r="X332" s="46" t="s">
        <v>1381</v>
      </c>
      <c r="Z332" s="326"/>
      <c r="AA332" s="326"/>
      <c r="AB332" s="28" t="s">
        <v>176</v>
      </c>
      <c r="AC332" s="28">
        <v>6.6</v>
      </c>
      <c r="AF332" s="28" t="s">
        <v>1325</v>
      </c>
      <c r="AG332" s="28" t="s">
        <v>1559</v>
      </c>
      <c r="AH332" s="138" t="s">
        <v>1586</v>
      </c>
      <c r="AI332" s="28" t="s">
        <v>221</v>
      </c>
      <c r="AJ332" s="140" t="s">
        <v>221</v>
      </c>
      <c r="AN332" s="28" t="s">
        <v>232</v>
      </c>
      <c r="AO332" s="28" t="s">
        <v>232</v>
      </c>
      <c r="AP332" s="28" t="s">
        <v>178</v>
      </c>
      <c r="AQ332" s="28">
        <v>0</v>
      </c>
      <c r="AR332" s="28">
        <v>0</v>
      </c>
      <c r="AS332" s="28" t="s">
        <v>178</v>
      </c>
      <c r="AT332" s="28" t="s">
        <v>161</v>
      </c>
      <c r="AU332" s="28">
        <v>4</v>
      </c>
      <c r="AW332" s="28" t="s">
        <v>142</v>
      </c>
      <c r="AX332" s="28">
        <v>3606</v>
      </c>
      <c r="BA332" s="54"/>
      <c r="BM332" s="401"/>
      <c r="BN332" s="401"/>
      <c r="BR332" s="401"/>
      <c r="BS332" s="401"/>
      <c r="FI332" s="28">
        <v>100</v>
      </c>
      <c r="FJ332" s="28">
        <v>8.3800000000000008</v>
      </c>
      <c r="FM332" s="28" t="s">
        <v>356</v>
      </c>
      <c r="GM332" s="12"/>
      <c r="GQ332" s="12"/>
    </row>
    <row r="333" spans="1:250" s="28" customFormat="1" x14ac:dyDescent="0.25">
      <c r="A333" s="28">
        <v>20</v>
      </c>
      <c r="B333" s="28" t="s">
        <v>353</v>
      </c>
      <c r="C333" s="28" t="s">
        <v>354</v>
      </c>
      <c r="D333" s="28">
        <v>2014</v>
      </c>
      <c r="E333" s="28">
        <v>2011</v>
      </c>
      <c r="F333" s="28" t="s">
        <v>355</v>
      </c>
      <c r="G333" s="28" t="s">
        <v>352</v>
      </c>
      <c r="H333" s="32" t="s">
        <v>2831</v>
      </c>
      <c r="I333" s="28">
        <f t="shared" si="56"/>
        <v>42.666666666666664</v>
      </c>
      <c r="J333" s="28">
        <f t="shared" si="57"/>
        <v>-84.466666666666669</v>
      </c>
      <c r="K333" s="28">
        <v>268.5</v>
      </c>
      <c r="Q333" s="46">
        <v>2</v>
      </c>
      <c r="R333" s="46" t="s">
        <v>1856</v>
      </c>
      <c r="S333" s="46" t="s">
        <v>1157</v>
      </c>
      <c r="T333" s="46" t="s">
        <v>1877</v>
      </c>
      <c r="U333" s="46" t="s">
        <v>1381</v>
      </c>
      <c r="V333" s="46" t="s">
        <v>1381</v>
      </c>
      <c r="W333" s="46" t="s">
        <v>1381</v>
      </c>
      <c r="X333" s="46" t="s">
        <v>1381</v>
      </c>
      <c r="Z333" s="326"/>
      <c r="AA333" s="326"/>
      <c r="AB333" s="28" t="s">
        <v>176</v>
      </c>
      <c r="AC333" s="28">
        <v>6.6</v>
      </c>
      <c r="AF333" s="28" t="s">
        <v>1325</v>
      </c>
      <c r="AG333" s="28" t="s">
        <v>132</v>
      </c>
      <c r="AH333" s="138" t="s">
        <v>132</v>
      </c>
      <c r="AI333" s="28" t="s">
        <v>221</v>
      </c>
      <c r="AJ333" s="140" t="s">
        <v>221</v>
      </c>
      <c r="AN333" s="28" t="s">
        <v>232</v>
      </c>
      <c r="AO333" s="28" t="s">
        <v>232</v>
      </c>
      <c r="AP333" s="28" t="s">
        <v>178</v>
      </c>
      <c r="AQ333" s="28">
        <v>0</v>
      </c>
      <c r="AR333" s="28">
        <v>0</v>
      </c>
      <c r="AS333" s="28" t="s">
        <v>178</v>
      </c>
      <c r="AT333" s="28" t="s">
        <v>161</v>
      </c>
      <c r="AU333" s="28">
        <v>4</v>
      </c>
      <c r="AW333" s="28" t="s">
        <v>142</v>
      </c>
      <c r="AX333" s="28">
        <v>3235</v>
      </c>
      <c r="BA333" s="54"/>
      <c r="BM333" s="401"/>
      <c r="BN333" s="401"/>
      <c r="BR333" s="401"/>
      <c r="BS333" s="401"/>
      <c r="FI333" s="28">
        <v>100</v>
      </c>
      <c r="FJ333" s="28">
        <v>5.72</v>
      </c>
      <c r="FM333" s="28" t="s">
        <v>356</v>
      </c>
      <c r="GM333" s="12"/>
      <c r="GQ333" s="12"/>
    </row>
    <row r="334" spans="1:250" s="35" customFormat="1" x14ac:dyDescent="0.25">
      <c r="A334" s="35">
        <v>21</v>
      </c>
      <c r="B334" s="35" t="s">
        <v>357</v>
      </c>
      <c r="C334" s="35" t="s">
        <v>358</v>
      </c>
      <c r="D334" s="35">
        <v>2013</v>
      </c>
      <c r="E334" s="35">
        <v>2009</v>
      </c>
      <c r="F334" s="35" t="s">
        <v>359</v>
      </c>
      <c r="G334" s="35" t="s">
        <v>362</v>
      </c>
      <c r="H334" s="32" t="s">
        <v>2831</v>
      </c>
      <c r="I334" s="35">
        <v>38.92</v>
      </c>
      <c r="J334" s="35">
        <v>-76.150000000000006</v>
      </c>
      <c r="K334" s="35">
        <v>4.8</v>
      </c>
      <c r="Q334" s="49">
        <v>1</v>
      </c>
      <c r="R334" s="49" t="s">
        <v>1735</v>
      </c>
      <c r="S334" s="49"/>
      <c r="T334" s="49" t="s">
        <v>1878</v>
      </c>
      <c r="U334" s="49" t="s">
        <v>1383</v>
      </c>
      <c r="V334" s="49" t="s">
        <v>1722</v>
      </c>
      <c r="W334" s="49" t="s">
        <v>1383</v>
      </c>
      <c r="X334" s="49" t="s">
        <v>1383</v>
      </c>
      <c r="Z334" s="329"/>
      <c r="AA334" s="329"/>
      <c r="AB334" s="35" t="s">
        <v>1612</v>
      </c>
      <c r="AG334" s="35" t="s">
        <v>1534</v>
      </c>
      <c r="AH334" s="138" t="s">
        <v>578</v>
      </c>
      <c r="AI334" s="35" t="s">
        <v>367</v>
      </c>
      <c r="AJ334" s="140" t="s">
        <v>230</v>
      </c>
      <c r="AQ334" s="35" t="s">
        <v>360</v>
      </c>
      <c r="AR334" s="35" t="s">
        <v>360</v>
      </c>
      <c r="AS334" s="35" t="s">
        <v>178</v>
      </c>
      <c r="AT334" s="35" t="s">
        <v>161</v>
      </c>
      <c r="AU334" s="35">
        <v>4</v>
      </c>
      <c r="AW334" s="35" t="s">
        <v>142</v>
      </c>
      <c r="BA334" s="53"/>
      <c r="BM334" s="405"/>
      <c r="BN334" s="405"/>
      <c r="BR334" s="405"/>
      <c r="BS334" s="405"/>
      <c r="FS334" s="35">
        <v>0.2</v>
      </c>
      <c r="FT334" s="35">
        <v>0.2</v>
      </c>
      <c r="FW334" s="35" t="s">
        <v>365</v>
      </c>
      <c r="GM334" s="12"/>
      <c r="GQ334" s="12"/>
      <c r="IO334" s="35" t="s">
        <v>366</v>
      </c>
      <c r="IP334" s="35" t="s">
        <v>712</v>
      </c>
    </row>
    <row r="335" spans="1:250" s="35" customFormat="1" x14ac:dyDescent="0.25">
      <c r="A335" s="35">
        <v>21</v>
      </c>
      <c r="B335" s="35" t="s">
        <v>357</v>
      </c>
      <c r="C335" s="35" t="s">
        <v>358</v>
      </c>
      <c r="D335" s="35">
        <v>2013</v>
      </c>
      <c r="E335" s="35">
        <v>2009</v>
      </c>
      <c r="F335" s="35" t="s">
        <v>359</v>
      </c>
      <c r="G335" s="35" t="s">
        <v>362</v>
      </c>
      <c r="H335" s="32" t="s">
        <v>2831</v>
      </c>
      <c r="I335" s="35">
        <v>38.92</v>
      </c>
      <c r="J335" s="35">
        <v>-76.150000000000006</v>
      </c>
      <c r="K335" s="35">
        <v>4.8</v>
      </c>
      <c r="Q335" s="49">
        <v>1</v>
      </c>
      <c r="R335" s="49" t="s">
        <v>1735</v>
      </c>
      <c r="S335" s="49"/>
      <c r="T335" s="49" t="s">
        <v>1879</v>
      </c>
      <c r="U335" s="49" t="s">
        <v>1383</v>
      </c>
      <c r="V335" s="49" t="s">
        <v>1722</v>
      </c>
      <c r="W335" s="49" t="s">
        <v>1383</v>
      </c>
      <c r="X335" s="49" t="s">
        <v>1383</v>
      </c>
      <c r="Z335" s="329"/>
      <c r="AA335" s="329"/>
      <c r="AB335" s="35" t="s">
        <v>1612</v>
      </c>
      <c r="AG335" s="35" t="s">
        <v>1534</v>
      </c>
      <c r="AH335" s="138" t="s">
        <v>578</v>
      </c>
      <c r="AI335" s="35" t="s">
        <v>367</v>
      </c>
      <c r="AJ335" s="140" t="s">
        <v>230</v>
      </c>
      <c r="AQ335" s="35" t="s">
        <v>360</v>
      </c>
      <c r="AR335" s="35" t="s">
        <v>360</v>
      </c>
      <c r="AS335" s="35" t="s">
        <v>178</v>
      </c>
      <c r="AT335" s="35" t="s">
        <v>161</v>
      </c>
      <c r="AU335" s="35">
        <v>4</v>
      </c>
      <c r="AW335" s="35" t="s">
        <v>142</v>
      </c>
      <c r="BA335" s="53"/>
      <c r="BM335" s="405"/>
      <c r="BN335" s="405"/>
      <c r="BR335" s="405"/>
      <c r="BS335" s="405"/>
      <c r="FS335" s="35">
        <v>1.79</v>
      </c>
      <c r="FT335" s="35">
        <v>2.71</v>
      </c>
      <c r="FW335" s="35" t="s">
        <v>365</v>
      </c>
      <c r="GM335" s="12"/>
      <c r="GQ335" s="12"/>
      <c r="IO335" s="35" t="s">
        <v>366</v>
      </c>
      <c r="IP335" s="35" t="s">
        <v>712</v>
      </c>
    </row>
    <row r="336" spans="1:250" s="35" customFormat="1" x14ac:dyDescent="0.25">
      <c r="A336" s="35">
        <v>21</v>
      </c>
      <c r="B336" s="35" t="s">
        <v>357</v>
      </c>
      <c r="C336" s="35" t="s">
        <v>358</v>
      </c>
      <c r="D336" s="35">
        <v>2013</v>
      </c>
      <c r="E336" s="35">
        <v>2009</v>
      </c>
      <c r="F336" s="35" t="s">
        <v>359</v>
      </c>
      <c r="G336" s="35" t="s">
        <v>362</v>
      </c>
      <c r="H336" s="32" t="s">
        <v>2831</v>
      </c>
      <c r="I336" s="35">
        <v>38.92</v>
      </c>
      <c r="J336" s="35">
        <v>-76.150000000000006</v>
      </c>
      <c r="K336" s="35">
        <v>4.8</v>
      </c>
      <c r="Q336" s="49">
        <v>1</v>
      </c>
      <c r="R336" s="49" t="s">
        <v>1735</v>
      </c>
      <c r="S336" s="49"/>
      <c r="T336" s="49" t="s">
        <v>1880</v>
      </c>
      <c r="U336" s="49" t="s">
        <v>1383</v>
      </c>
      <c r="V336" s="49" t="s">
        <v>1722</v>
      </c>
      <c r="W336" s="49" t="s">
        <v>1383</v>
      </c>
      <c r="X336" s="49" t="s">
        <v>1383</v>
      </c>
      <c r="Z336" s="329"/>
      <c r="AA336" s="329"/>
      <c r="AB336" s="35" t="s">
        <v>1612</v>
      </c>
      <c r="AG336" s="35" t="s">
        <v>1534</v>
      </c>
      <c r="AH336" s="138" t="s">
        <v>578</v>
      </c>
      <c r="AI336" s="35" t="s">
        <v>367</v>
      </c>
      <c r="AJ336" s="140" t="s">
        <v>230</v>
      </c>
      <c r="AQ336" s="35" t="s">
        <v>360</v>
      </c>
      <c r="AR336" s="35" t="s">
        <v>360</v>
      </c>
      <c r="AS336" s="35" t="s">
        <v>178</v>
      </c>
      <c r="AT336" s="35" t="s">
        <v>161</v>
      </c>
      <c r="AU336" s="35">
        <v>4</v>
      </c>
      <c r="AW336" s="35" t="s">
        <v>142</v>
      </c>
      <c r="BA336" s="53"/>
      <c r="BM336" s="405"/>
      <c r="BN336" s="405"/>
      <c r="BR336" s="405"/>
      <c r="BS336" s="405"/>
      <c r="FS336" s="35">
        <v>4.59</v>
      </c>
      <c r="FT336" s="35">
        <v>3.62</v>
      </c>
      <c r="FW336" s="35" t="s">
        <v>365</v>
      </c>
      <c r="GM336" s="12"/>
      <c r="GQ336" s="12"/>
      <c r="IO336" s="35" t="s">
        <v>366</v>
      </c>
      <c r="IP336" s="35" t="s">
        <v>712</v>
      </c>
    </row>
    <row r="337" spans="1:250" s="35" customFormat="1" x14ac:dyDescent="0.25">
      <c r="A337" s="35">
        <v>21</v>
      </c>
      <c r="B337" s="35" t="s">
        <v>357</v>
      </c>
      <c r="C337" s="35" t="s">
        <v>358</v>
      </c>
      <c r="D337" s="35">
        <v>2013</v>
      </c>
      <c r="E337" s="35">
        <v>2009</v>
      </c>
      <c r="F337" s="35" t="s">
        <v>359</v>
      </c>
      <c r="G337" s="35" t="s">
        <v>362</v>
      </c>
      <c r="H337" s="32" t="s">
        <v>2831</v>
      </c>
      <c r="I337" s="35">
        <v>38.92</v>
      </c>
      <c r="J337" s="35">
        <v>-76.150000000000006</v>
      </c>
      <c r="K337" s="35">
        <v>4.8</v>
      </c>
      <c r="Q337" s="49">
        <v>1</v>
      </c>
      <c r="R337" s="49" t="s">
        <v>1735</v>
      </c>
      <c r="S337" s="49"/>
      <c r="T337" s="49" t="s">
        <v>1881</v>
      </c>
      <c r="U337" s="49" t="s">
        <v>1383</v>
      </c>
      <c r="V337" s="49" t="s">
        <v>1722</v>
      </c>
      <c r="W337" s="49" t="s">
        <v>1383</v>
      </c>
      <c r="X337" s="49" t="s">
        <v>1383</v>
      </c>
      <c r="Z337" s="329"/>
      <c r="AA337" s="329"/>
      <c r="AB337" s="35" t="s">
        <v>1612</v>
      </c>
      <c r="AG337" s="35" t="s">
        <v>1534</v>
      </c>
      <c r="AH337" s="138" t="s">
        <v>578</v>
      </c>
      <c r="AI337" s="35" t="s">
        <v>367</v>
      </c>
      <c r="AJ337" s="140" t="s">
        <v>230</v>
      </c>
      <c r="AQ337" s="35" t="s">
        <v>360</v>
      </c>
      <c r="AR337" s="35" t="s">
        <v>360</v>
      </c>
      <c r="AS337" s="35" t="s">
        <v>178</v>
      </c>
      <c r="AT337" s="35" t="s">
        <v>161</v>
      </c>
      <c r="AU337" s="35">
        <v>4</v>
      </c>
      <c r="AW337" s="35" t="s">
        <v>142</v>
      </c>
      <c r="BA337" s="53"/>
      <c r="BM337" s="405"/>
      <c r="BN337" s="405"/>
      <c r="BR337" s="405"/>
      <c r="BS337" s="405"/>
      <c r="FS337" s="35">
        <v>5.23</v>
      </c>
      <c r="FT337" s="35">
        <v>3.39</v>
      </c>
      <c r="FW337" s="35" t="s">
        <v>365</v>
      </c>
      <c r="GM337" s="12"/>
      <c r="GQ337" s="12"/>
      <c r="IO337" s="35" t="s">
        <v>366</v>
      </c>
      <c r="IP337" s="35" t="s">
        <v>712</v>
      </c>
    </row>
    <row r="338" spans="1:250" s="35" customFormat="1" x14ac:dyDescent="0.25">
      <c r="A338" s="35">
        <v>21</v>
      </c>
      <c r="B338" s="35" t="s">
        <v>357</v>
      </c>
      <c r="C338" s="35" t="s">
        <v>358</v>
      </c>
      <c r="D338" s="35">
        <v>2013</v>
      </c>
      <c r="E338" s="35">
        <v>2009</v>
      </c>
      <c r="F338" s="35" t="s">
        <v>359</v>
      </c>
      <c r="G338" s="35" t="s">
        <v>362</v>
      </c>
      <c r="H338" s="32" t="s">
        <v>2831</v>
      </c>
      <c r="I338" s="35">
        <v>38.92</v>
      </c>
      <c r="J338" s="35">
        <v>-76.150000000000006</v>
      </c>
      <c r="K338" s="35">
        <v>4.8</v>
      </c>
      <c r="Q338" s="49">
        <v>1</v>
      </c>
      <c r="R338" s="49" t="s">
        <v>1735</v>
      </c>
      <c r="S338" s="49"/>
      <c r="T338" s="49" t="s">
        <v>1882</v>
      </c>
      <c r="U338" s="49" t="s">
        <v>1383</v>
      </c>
      <c r="V338" s="49" t="s">
        <v>1722</v>
      </c>
      <c r="W338" s="49" t="s">
        <v>1383</v>
      </c>
      <c r="X338" s="49" t="s">
        <v>1383</v>
      </c>
      <c r="Z338" s="329"/>
      <c r="AA338" s="329"/>
      <c r="AB338" s="35" t="s">
        <v>1612</v>
      </c>
      <c r="AG338" s="35" t="s">
        <v>1534</v>
      </c>
      <c r="AH338" s="138" t="s">
        <v>578</v>
      </c>
      <c r="AI338" s="35" t="s">
        <v>367</v>
      </c>
      <c r="AJ338" s="140" t="s">
        <v>230</v>
      </c>
      <c r="AQ338" s="35" t="s">
        <v>360</v>
      </c>
      <c r="AR338" s="35" t="s">
        <v>360</v>
      </c>
      <c r="AS338" s="35" t="s">
        <v>178</v>
      </c>
      <c r="AT338" s="35" t="s">
        <v>161</v>
      </c>
      <c r="AU338" s="35">
        <v>4</v>
      </c>
      <c r="AW338" s="35" t="s">
        <v>142</v>
      </c>
      <c r="BA338" s="53"/>
      <c r="BM338" s="405"/>
      <c r="BN338" s="405"/>
      <c r="BR338" s="405"/>
      <c r="BS338" s="405"/>
      <c r="FS338" s="35">
        <v>1.19</v>
      </c>
      <c r="FT338" s="35">
        <v>0.5</v>
      </c>
      <c r="FW338" s="35" t="s">
        <v>365</v>
      </c>
      <c r="GM338" s="12"/>
      <c r="GQ338" s="12"/>
      <c r="IO338" s="35" t="s">
        <v>366</v>
      </c>
      <c r="IP338" s="35" t="s">
        <v>712</v>
      </c>
    </row>
    <row r="339" spans="1:250" s="24" customFormat="1" x14ac:dyDescent="0.25">
      <c r="A339" s="24">
        <v>21</v>
      </c>
      <c r="B339" s="24" t="s">
        <v>357</v>
      </c>
      <c r="C339" s="24" t="s">
        <v>358</v>
      </c>
      <c r="D339" s="24">
        <v>2013</v>
      </c>
      <c r="E339" s="24">
        <v>2010</v>
      </c>
      <c r="F339" s="24" t="s">
        <v>359</v>
      </c>
      <c r="G339" s="24" t="s">
        <v>362</v>
      </c>
      <c r="H339" s="32" t="s">
        <v>2831</v>
      </c>
      <c r="I339" s="24">
        <v>38.92</v>
      </c>
      <c r="J339" s="24">
        <v>-76.150000000000006</v>
      </c>
      <c r="K339" s="24">
        <v>4.8</v>
      </c>
      <c r="Q339" s="42">
        <v>2</v>
      </c>
      <c r="R339" s="42" t="s">
        <v>1735</v>
      </c>
      <c r="S339" s="42"/>
      <c r="T339" s="42" t="s">
        <v>1878</v>
      </c>
      <c r="U339" s="42" t="s">
        <v>1383</v>
      </c>
      <c r="V339" s="42" t="s">
        <v>1722</v>
      </c>
      <c r="W339" s="42" t="s">
        <v>1383</v>
      </c>
      <c r="X339" s="42" t="s">
        <v>1383</v>
      </c>
      <c r="Z339" s="321"/>
      <c r="AA339" s="321"/>
      <c r="AB339" s="24" t="s">
        <v>1612</v>
      </c>
      <c r="AG339" s="24" t="s">
        <v>1534</v>
      </c>
      <c r="AH339" s="138" t="s">
        <v>578</v>
      </c>
      <c r="AI339" s="24" t="s">
        <v>367</v>
      </c>
      <c r="AJ339" s="140" t="s">
        <v>230</v>
      </c>
      <c r="AQ339" s="24" t="s">
        <v>360</v>
      </c>
      <c r="AR339" s="24" t="s">
        <v>360</v>
      </c>
      <c r="AS339" s="24" t="s">
        <v>178</v>
      </c>
      <c r="AT339" s="24" t="s">
        <v>161</v>
      </c>
      <c r="AU339" s="24">
        <v>4</v>
      </c>
      <c r="AW339" s="24" t="s">
        <v>142</v>
      </c>
      <c r="BA339" s="53"/>
      <c r="BM339" s="395"/>
      <c r="BN339" s="395"/>
      <c r="BR339" s="395"/>
      <c r="BS339" s="395"/>
      <c r="FS339" s="24">
        <v>0.01</v>
      </c>
      <c r="FT339" s="24">
        <v>0.01</v>
      </c>
      <c r="FW339" s="24" t="s">
        <v>365</v>
      </c>
      <c r="GM339" s="12"/>
      <c r="GQ339" s="12"/>
      <c r="IO339" s="24" t="s">
        <v>366</v>
      </c>
      <c r="IP339" s="24" t="s">
        <v>712</v>
      </c>
    </row>
    <row r="340" spans="1:250" s="24" customFormat="1" x14ac:dyDescent="0.25">
      <c r="A340" s="24">
        <v>21</v>
      </c>
      <c r="B340" s="24" t="s">
        <v>357</v>
      </c>
      <c r="C340" s="24" t="s">
        <v>358</v>
      </c>
      <c r="D340" s="24">
        <v>2013</v>
      </c>
      <c r="E340" s="24">
        <v>2010</v>
      </c>
      <c r="F340" s="24" t="s">
        <v>359</v>
      </c>
      <c r="G340" s="24" t="s">
        <v>362</v>
      </c>
      <c r="H340" s="32" t="s">
        <v>2831</v>
      </c>
      <c r="I340" s="24">
        <v>38.92</v>
      </c>
      <c r="J340" s="24">
        <v>-76.150000000000006</v>
      </c>
      <c r="K340" s="24">
        <v>4.8</v>
      </c>
      <c r="Q340" s="42">
        <v>2</v>
      </c>
      <c r="R340" s="42" t="s">
        <v>1735</v>
      </c>
      <c r="S340" s="42"/>
      <c r="T340" s="42" t="s">
        <v>1879</v>
      </c>
      <c r="U340" s="42" t="s">
        <v>1383</v>
      </c>
      <c r="V340" s="42" t="s">
        <v>1722</v>
      </c>
      <c r="W340" s="42" t="s">
        <v>1383</v>
      </c>
      <c r="X340" s="42" t="s">
        <v>1383</v>
      </c>
      <c r="Z340" s="321"/>
      <c r="AA340" s="321"/>
      <c r="AB340" s="24" t="s">
        <v>1612</v>
      </c>
      <c r="AG340" s="24" t="s">
        <v>1534</v>
      </c>
      <c r="AH340" s="138" t="s">
        <v>578</v>
      </c>
      <c r="AI340" s="24" t="s">
        <v>367</v>
      </c>
      <c r="AJ340" s="140" t="s">
        <v>230</v>
      </c>
      <c r="AQ340" s="24" t="s">
        <v>360</v>
      </c>
      <c r="AR340" s="24" t="s">
        <v>360</v>
      </c>
      <c r="AS340" s="24" t="s">
        <v>178</v>
      </c>
      <c r="AT340" s="24" t="s">
        <v>161</v>
      </c>
      <c r="AU340" s="24">
        <v>4</v>
      </c>
      <c r="AW340" s="24" t="s">
        <v>142</v>
      </c>
      <c r="BA340" s="53"/>
      <c r="BM340" s="395"/>
      <c r="BN340" s="395"/>
      <c r="BR340" s="395"/>
      <c r="BS340" s="395"/>
      <c r="FS340" s="24">
        <v>0.18</v>
      </c>
      <c r="FT340" s="24">
        <v>0.09</v>
      </c>
      <c r="FW340" s="24" t="s">
        <v>365</v>
      </c>
      <c r="GM340" s="12"/>
      <c r="GQ340" s="12"/>
      <c r="IO340" s="24" t="s">
        <v>366</v>
      </c>
      <c r="IP340" s="24" t="s">
        <v>712</v>
      </c>
    </row>
    <row r="341" spans="1:250" s="24" customFormat="1" x14ac:dyDescent="0.25">
      <c r="A341" s="24">
        <v>21</v>
      </c>
      <c r="B341" s="24" t="s">
        <v>357</v>
      </c>
      <c r="C341" s="24" t="s">
        <v>358</v>
      </c>
      <c r="D341" s="24">
        <v>2013</v>
      </c>
      <c r="E341" s="24">
        <v>2010</v>
      </c>
      <c r="F341" s="24" t="s">
        <v>359</v>
      </c>
      <c r="G341" s="24" t="s">
        <v>362</v>
      </c>
      <c r="H341" s="32" t="s">
        <v>2831</v>
      </c>
      <c r="I341" s="24">
        <v>38.92</v>
      </c>
      <c r="J341" s="24">
        <v>-76.150000000000006</v>
      </c>
      <c r="K341" s="24">
        <v>4.8</v>
      </c>
      <c r="Q341" s="42">
        <v>2</v>
      </c>
      <c r="R341" s="42" t="s">
        <v>1735</v>
      </c>
      <c r="S341" s="42"/>
      <c r="T341" s="42" t="s">
        <v>1880</v>
      </c>
      <c r="U341" s="42" t="s">
        <v>1383</v>
      </c>
      <c r="V341" s="42" t="s">
        <v>1722</v>
      </c>
      <c r="W341" s="42" t="s">
        <v>1383</v>
      </c>
      <c r="X341" s="42" t="s">
        <v>1383</v>
      </c>
      <c r="Z341" s="321"/>
      <c r="AA341" s="321"/>
      <c r="AB341" s="24" t="s">
        <v>1612</v>
      </c>
      <c r="AG341" s="24" t="s">
        <v>1534</v>
      </c>
      <c r="AH341" s="138" t="s">
        <v>578</v>
      </c>
      <c r="AI341" s="24" t="s">
        <v>367</v>
      </c>
      <c r="AJ341" s="140" t="s">
        <v>230</v>
      </c>
      <c r="AQ341" s="24" t="s">
        <v>360</v>
      </c>
      <c r="AR341" s="24" t="s">
        <v>360</v>
      </c>
      <c r="AS341" s="24" t="s">
        <v>178</v>
      </c>
      <c r="AT341" s="24" t="s">
        <v>161</v>
      </c>
      <c r="AU341" s="24">
        <v>4</v>
      </c>
      <c r="AW341" s="24" t="s">
        <v>142</v>
      </c>
      <c r="BA341" s="53"/>
      <c r="BM341" s="395"/>
      <c r="BN341" s="395"/>
      <c r="BR341" s="395"/>
      <c r="BS341" s="395"/>
      <c r="FS341" s="24">
        <v>1.83</v>
      </c>
      <c r="FT341" s="24">
        <v>1.06</v>
      </c>
      <c r="FW341" s="24" t="s">
        <v>365</v>
      </c>
      <c r="GM341" s="12"/>
      <c r="GQ341" s="12"/>
      <c r="IO341" s="24" t="s">
        <v>366</v>
      </c>
      <c r="IP341" s="24" t="s">
        <v>712</v>
      </c>
    </row>
    <row r="342" spans="1:250" s="24" customFormat="1" x14ac:dyDescent="0.25">
      <c r="A342" s="24">
        <v>21</v>
      </c>
      <c r="B342" s="24" t="s">
        <v>357</v>
      </c>
      <c r="C342" s="24" t="s">
        <v>358</v>
      </c>
      <c r="D342" s="24">
        <v>2013</v>
      </c>
      <c r="E342" s="24">
        <v>2010</v>
      </c>
      <c r="F342" s="24" t="s">
        <v>359</v>
      </c>
      <c r="G342" s="24" t="s">
        <v>362</v>
      </c>
      <c r="H342" s="32" t="s">
        <v>2831</v>
      </c>
      <c r="I342" s="24">
        <v>38.92</v>
      </c>
      <c r="J342" s="24">
        <v>-76.150000000000006</v>
      </c>
      <c r="K342" s="24">
        <v>4.8</v>
      </c>
      <c r="Q342" s="42">
        <v>2</v>
      </c>
      <c r="R342" s="42" t="s">
        <v>1735</v>
      </c>
      <c r="S342" s="42"/>
      <c r="T342" s="42" t="s">
        <v>1881</v>
      </c>
      <c r="U342" s="42" t="s">
        <v>1383</v>
      </c>
      <c r="V342" s="42" t="s">
        <v>1722</v>
      </c>
      <c r="W342" s="42" t="s">
        <v>1383</v>
      </c>
      <c r="X342" s="42" t="s">
        <v>1383</v>
      </c>
      <c r="Z342" s="321"/>
      <c r="AA342" s="321"/>
      <c r="AB342" s="24" t="s">
        <v>1612</v>
      </c>
      <c r="AG342" s="24" t="s">
        <v>1534</v>
      </c>
      <c r="AH342" s="138" t="s">
        <v>578</v>
      </c>
      <c r="AI342" s="24" t="s">
        <v>367</v>
      </c>
      <c r="AJ342" s="140" t="s">
        <v>230</v>
      </c>
      <c r="AQ342" s="24" t="s">
        <v>360</v>
      </c>
      <c r="AR342" s="24" t="s">
        <v>360</v>
      </c>
      <c r="AS342" s="24" t="s">
        <v>178</v>
      </c>
      <c r="AT342" s="24" t="s">
        <v>161</v>
      </c>
      <c r="AU342" s="24">
        <v>4</v>
      </c>
      <c r="AW342" s="24" t="s">
        <v>142</v>
      </c>
      <c r="BA342" s="53"/>
      <c r="BM342" s="395"/>
      <c r="BN342" s="395"/>
      <c r="BR342" s="395"/>
      <c r="BS342" s="395"/>
      <c r="FS342" s="24">
        <v>2.71</v>
      </c>
      <c r="FT342" s="24">
        <v>3.39</v>
      </c>
      <c r="FW342" s="24" t="s">
        <v>365</v>
      </c>
      <c r="GM342" s="12"/>
      <c r="GQ342" s="12"/>
      <c r="IO342" s="24" t="s">
        <v>366</v>
      </c>
      <c r="IP342" s="24" t="s">
        <v>712</v>
      </c>
    </row>
    <row r="343" spans="1:250" s="24" customFormat="1" x14ac:dyDescent="0.25">
      <c r="A343" s="24">
        <v>21</v>
      </c>
      <c r="B343" s="24" t="s">
        <v>357</v>
      </c>
      <c r="C343" s="24" t="s">
        <v>358</v>
      </c>
      <c r="D343" s="24">
        <v>2013</v>
      </c>
      <c r="E343" s="24">
        <v>2010</v>
      </c>
      <c r="F343" s="24" t="s">
        <v>359</v>
      </c>
      <c r="G343" s="24" t="s">
        <v>362</v>
      </c>
      <c r="H343" s="32" t="s">
        <v>2831</v>
      </c>
      <c r="I343" s="24">
        <v>38.92</v>
      </c>
      <c r="J343" s="24">
        <v>-76.150000000000006</v>
      </c>
      <c r="K343" s="24">
        <v>4.8</v>
      </c>
      <c r="Q343" s="42">
        <v>2</v>
      </c>
      <c r="R343" s="42" t="s">
        <v>1735</v>
      </c>
      <c r="S343" s="42"/>
      <c r="T343" s="42" t="s">
        <v>1882</v>
      </c>
      <c r="U343" s="42" t="s">
        <v>1383</v>
      </c>
      <c r="V343" s="42" t="s">
        <v>1722</v>
      </c>
      <c r="W343" s="42" t="s">
        <v>1383</v>
      </c>
      <c r="X343" s="42" t="s">
        <v>1383</v>
      </c>
      <c r="Z343" s="321"/>
      <c r="AA343" s="321"/>
      <c r="AB343" s="24" t="s">
        <v>1612</v>
      </c>
      <c r="AG343" s="24" t="s">
        <v>1534</v>
      </c>
      <c r="AH343" s="138" t="s">
        <v>578</v>
      </c>
      <c r="AI343" s="24" t="s">
        <v>367</v>
      </c>
      <c r="AJ343" s="140" t="s">
        <v>230</v>
      </c>
      <c r="AQ343" s="24" t="s">
        <v>360</v>
      </c>
      <c r="AR343" s="24" t="s">
        <v>360</v>
      </c>
      <c r="AS343" s="24" t="s">
        <v>178</v>
      </c>
      <c r="AT343" s="24" t="s">
        <v>161</v>
      </c>
      <c r="AU343" s="24">
        <v>4</v>
      </c>
      <c r="AW343" s="24" t="s">
        <v>142</v>
      </c>
      <c r="BA343" s="53"/>
      <c r="BM343" s="395"/>
      <c r="BN343" s="395"/>
      <c r="BR343" s="395"/>
      <c r="BS343" s="395"/>
      <c r="FS343" s="24">
        <v>2.75</v>
      </c>
      <c r="FT343" s="24">
        <v>1.65</v>
      </c>
      <c r="FW343" s="24" t="s">
        <v>365</v>
      </c>
      <c r="GM343" s="12"/>
      <c r="GQ343" s="12"/>
      <c r="IO343" s="24" t="s">
        <v>366</v>
      </c>
      <c r="IP343" s="24" t="s">
        <v>712</v>
      </c>
    </row>
    <row r="344" spans="1:250" s="24" customFormat="1" x14ac:dyDescent="0.25">
      <c r="A344" s="24">
        <v>21</v>
      </c>
      <c r="B344" s="24" t="s">
        <v>357</v>
      </c>
      <c r="C344" s="24" t="s">
        <v>358</v>
      </c>
      <c r="D344" s="24">
        <v>2013</v>
      </c>
      <c r="E344" s="24">
        <v>2010</v>
      </c>
      <c r="F344" s="24" t="s">
        <v>359</v>
      </c>
      <c r="G344" s="24" t="s">
        <v>362</v>
      </c>
      <c r="H344" s="32" t="s">
        <v>2831</v>
      </c>
      <c r="I344" s="24">
        <v>38.92</v>
      </c>
      <c r="J344" s="24">
        <v>-76.150000000000006</v>
      </c>
      <c r="K344" s="24">
        <v>4.8</v>
      </c>
      <c r="Q344" s="42">
        <v>2</v>
      </c>
      <c r="R344" s="42" t="s">
        <v>1735</v>
      </c>
      <c r="S344" s="42"/>
      <c r="T344" s="42" t="s">
        <v>1883</v>
      </c>
      <c r="U344" s="42" t="s">
        <v>1383</v>
      </c>
      <c r="V344" s="42" t="s">
        <v>1722</v>
      </c>
      <c r="W344" s="42" t="s">
        <v>1383</v>
      </c>
      <c r="X344" s="42" t="s">
        <v>1383</v>
      </c>
      <c r="Z344" s="321"/>
      <c r="AA344" s="321"/>
      <c r="AB344" s="24" t="s">
        <v>1612</v>
      </c>
      <c r="AG344" s="24" t="s">
        <v>1534</v>
      </c>
      <c r="AH344" s="138" t="s">
        <v>578</v>
      </c>
      <c r="AI344" s="24" t="s">
        <v>367</v>
      </c>
      <c r="AJ344" s="140" t="s">
        <v>230</v>
      </c>
      <c r="AQ344" s="24" t="s">
        <v>360</v>
      </c>
      <c r="AR344" s="24" t="s">
        <v>360</v>
      </c>
      <c r="AS344" s="24" t="s">
        <v>178</v>
      </c>
      <c r="AT344" s="24" t="s">
        <v>161</v>
      </c>
      <c r="AU344" s="24">
        <v>4</v>
      </c>
      <c r="AW344" s="24" t="s">
        <v>142</v>
      </c>
      <c r="BA344" s="53"/>
      <c r="BM344" s="395"/>
      <c r="BN344" s="395"/>
      <c r="BR344" s="395"/>
      <c r="BS344" s="395"/>
      <c r="FS344" s="24">
        <v>1.19</v>
      </c>
      <c r="FT344" s="24">
        <v>0.5</v>
      </c>
      <c r="FW344" s="24" t="s">
        <v>365</v>
      </c>
      <c r="GM344" s="12"/>
      <c r="GQ344" s="12"/>
      <c r="IO344" s="24" t="s">
        <v>366</v>
      </c>
      <c r="IP344" s="24" t="s">
        <v>712</v>
      </c>
    </row>
    <row r="345" spans="1:250" s="35" customFormat="1" x14ac:dyDescent="0.25">
      <c r="A345" s="35">
        <v>21</v>
      </c>
      <c r="B345" s="35" t="s">
        <v>357</v>
      </c>
      <c r="C345" s="35" t="s">
        <v>358</v>
      </c>
      <c r="D345" s="35">
        <v>2013</v>
      </c>
      <c r="E345" s="35">
        <v>2009</v>
      </c>
      <c r="F345" s="35" t="s">
        <v>359</v>
      </c>
      <c r="G345" s="35" t="s">
        <v>361</v>
      </c>
      <c r="H345" s="32" t="s">
        <v>2831</v>
      </c>
      <c r="I345" s="35">
        <v>38.82</v>
      </c>
      <c r="J345" s="35">
        <v>-76.75</v>
      </c>
      <c r="K345" s="35">
        <v>5.5</v>
      </c>
      <c r="Q345" s="49">
        <v>1</v>
      </c>
      <c r="R345" s="49" t="s">
        <v>1735</v>
      </c>
      <c r="S345" s="49"/>
      <c r="T345" s="49" t="s">
        <v>1878</v>
      </c>
      <c r="U345" s="49" t="s">
        <v>1383</v>
      </c>
      <c r="V345" s="49" t="s">
        <v>1722</v>
      </c>
      <c r="W345" s="49" t="s">
        <v>1383</v>
      </c>
      <c r="X345" s="49" t="s">
        <v>1383</v>
      </c>
      <c r="Z345" s="329"/>
      <c r="AA345" s="329"/>
      <c r="AB345" s="35" t="s">
        <v>1612</v>
      </c>
      <c r="AG345" s="35" t="s">
        <v>1534</v>
      </c>
      <c r="AH345" s="138" t="s">
        <v>578</v>
      </c>
      <c r="AI345" s="35" t="s">
        <v>367</v>
      </c>
      <c r="AJ345" s="140" t="s">
        <v>230</v>
      </c>
      <c r="AQ345" s="35" t="s">
        <v>360</v>
      </c>
      <c r="AR345" s="35" t="s">
        <v>360</v>
      </c>
      <c r="AS345" s="35" t="s">
        <v>178</v>
      </c>
      <c r="AT345" s="35" t="s">
        <v>161</v>
      </c>
      <c r="AU345" s="35">
        <v>4</v>
      </c>
      <c r="AW345" s="35" t="s">
        <v>142</v>
      </c>
      <c r="BA345" s="53"/>
      <c r="BM345" s="405"/>
      <c r="BN345" s="405"/>
      <c r="BR345" s="405"/>
      <c r="BS345" s="405"/>
      <c r="FS345" s="35">
        <v>0.25</v>
      </c>
      <c r="FT345" s="35">
        <v>0.25</v>
      </c>
      <c r="FW345" s="35" t="s">
        <v>365</v>
      </c>
      <c r="GM345" s="12"/>
      <c r="GQ345" s="12"/>
      <c r="IO345" s="35" t="s">
        <v>366</v>
      </c>
      <c r="IP345" s="35" t="s">
        <v>712</v>
      </c>
    </row>
    <row r="346" spans="1:250" s="35" customFormat="1" x14ac:dyDescent="0.25">
      <c r="A346" s="35">
        <v>21</v>
      </c>
      <c r="B346" s="35" t="s">
        <v>357</v>
      </c>
      <c r="C346" s="35" t="s">
        <v>358</v>
      </c>
      <c r="D346" s="35">
        <v>2013</v>
      </c>
      <c r="E346" s="35">
        <v>2009</v>
      </c>
      <c r="F346" s="35" t="s">
        <v>359</v>
      </c>
      <c r="G346" s="35" t="s">
        <v>361</v>
      </c>
      <c r="H346" s="32" t="s">
        <v>2831</v>
      </c>
      <c r="I346" s="35">
        <v>38.82</v>
      </c>
      <c r="J346" s="35">
        <v>-76.75</v>
      </c>
      <c r="K346" s="35">
        <v>5.5</v>
      </c>
      <c r="Q346" s="49">
        <v>1</v>
      </c>
      <c r="R346" s="49" t="s">
        <v>1735</v>
      </c>
      <c r="S346" s="49"/>
      <c r="T346" s="49" t="s">
        <v>1879</v>
      </c>
      <c r="U346" s="49" t="s">
        <v>1383</v>
      </c>
      <c r="V346" s="49" t="s">
        <v>1722</v>
      </c>
      <c r="W346" s="49" t="s">
        <v>1383</v>
      </c>
      <c r="X346" s="49" t="s">
        <v>1383</v>
      </c>
      <c r="Z346" s="329"/>
      <c r="AA346" s="329"/>
      <c r="AB346" s="35" t="s">
        <v>1612</v>
      </c>
      <c r="AG346" s="35" t="s">
        <v>1534</v>
      </c>
      <c r="AH346" s="138" t="s">
        <v>578</v>
      </c>
      <c r="AI346" s="35" t="s">
        <v>367</v>
      </c>
      <c r="AJ346" s="140" t="s">
        <v>230</v>
      </c>
      <c r="AQ346" s="35" t="s">
        <v>360</v>
      </c>
      <c r="AR346" s="35" t="s">
        <v>360</v>
      </c>
      <c r="AS346" s="35" t="s">
        <v>178</v>
      </c>
      <c r="AT346" s="35" t="s">
        <v>161</v>
      </c>
      <c r="AU346" s="35">
        <v>4</v>
      </c>
      <c r="AW346" s="35" t="s">
        <v>142</v>
      </c>
      <c r="BA346" s="53"/>
      <c r="BM346" s="405"/>
      <c r="BN346" s="405"/>
      <c r="BR346" s="405"/>
      <c r="BS346" s="405"/>
      <c r="FS346" s="35">
        <v>0.65</v>
      </c>
      <c r="FT346" s="35">
        <v>0.4</v>
      </c>
      <c r="FW346" s="35" t="s">
        <v>365</v>
      </c>
      <c r="GM346" s="12"/>
      <c r="GQ346" s="12"/>
      <c r="IO346" s="35" t="s">
        <v>366</v>
      </c>
      <c r="IP346" s="35" t="s">
        <v>712</v>
      </c>
    </row>
    <row r="347" spans="1:250" s="35" customFormat="1" x14ac:dyDescent="0.25">
      <c r="A347" s="35">
        <v>21</v>
      </c>
      <c r="B347" s="35" t="s">
        <v>357</v>
      </c>
      <c r="C347" s="35" t="s">
        <v>358</v>
      </c>
      <c r="D347" s="35">
        <v>2013</v>
      </c>
      <c r="E347" s="35">
        <v>2009</v>
      </c>
      <c r="F347" s="35" t="s">
        <v>359</v>
      </c>
      <c r="G347" s="35" t="s">
        <v>361</v>
      </c>
      <c r="H347" s="32" t="s">
        <v>2831</v>
      </c>
      <c r="I347" s="35">
        <v>38.82</v>
      </c>
      <c r="J347" s="35">
        <v>-76.75</v>
      </c>
      <c r="K347" s="35">
        <v>5.5</v>
      </c>
      <c r="Q347" s="49">
        <v>1</v>
      </c>
      <c r="R347" s="49" t="s">
        <v>1735</v>
      </c>
      <c r="S347" s="49"/>
      <c r="T347" s="49" t="s">
        <v>1880</v>
      </c>
      <c r="U347" s="49" t="s">
        <v>1383</v>
      </c>
      <c r="V347" s="49" t="s">
        <v>1722</v>
      </c>
      <c r="W347" s="49" t="s">
        <v>1383</v>
      </c>
      <c r="X347" s="49" t="s">
        <v>1383</v>
      </c>
      <c r="Z347" s="329"/>
      <c r="AA347" s="329"/>
      <c r="AB347" s="35" t="s">
        <v>1612</v>
      </c>
      <c r="AG347" s="35" t="s">
        <v>1534</v>
      </c>
      <c r="AH347" s="138" t="s">
        <v>578</v>
      </c>
      <c r="AI347" s="35" t="s">
        <v>367</v>
      </c>
      <c r="AJ347" s="140" t="s">
        <v>230</v>
      </c>
      <c r="AQ347" s="35" t="s">
        <v>360</v>
      </c>
      <c r="AR347" s="35" t="s">
        <v>360</v>
      </c>
      <c r="AS347" s="35" t="s">
        <v>178</v>
      </c>
      <c r="AT347" s="35" t="s">
        <v>161</v>
      </c>
      <c r="AU347" s="35">
        <v>4</v>
      </c>
      <c r="AW347" s="35" t="s">
        <v>142</v>
      </c>
      <c r="BA347" s="53"/>
      <c r="BM347" s="405"/>
      <c r="BN347" s="405"/>
      <c r="BR347" s="405"/>
      <c r="BS347" s="405"/>
      <c r="FS347" s="35">
        <v>4.32</v>
      </c>
      <c r="FT347" s="35">
        <v>4.32</v>
      </c>
      <c r="FW347" s="35" t="s">
        <v>365</v>
      </c>
      <c r="GM347" s="12"/>
      <c r="GQ347" s="12"/>
      <c r="IO347" s="35" t="s">
        <v>366</v>
      </c>
      <c r="IP347" s="35" t="s">
        <v>712</v>
      </c>
    </row>
    <row r="348" spans="1:250" s="35" customFormat="1" x14ac:dyDescent="0.25">
      <c r="A348" s="35">
        <v>21</v>
      </c>
      <c r="B348" s="35" t="s">
        <v>357</v>
      </c>
      <c r="C348" s="35" t="s">
        <v>358</v>
      </c>
      <c r="D348" s="35">
        <v>2013</v>
      </c>
      <c r="E348" s="35">
        <v>2009</v>
      </c>
      <c r="F348" s="35" t="s">
        <v>359</v>
      </c>
      <c r="G348" s="35" t="s">
        <v>361</v>
      </c>
      <c r="H348" s="32" t="s">
        <v>2831</v>
      </c>
      <c r="I348" s="35">
        <v>38.82</v>
      </c>
      <c r="J348" s="35">
        <v>-76.75</v>
      </c>
      <c r="K348" s="35">
        <v>5.5</v>
      </c>
      <c r="Q348" s="49">
        <v>1</v>
      </c>
      <c r="R348" s="49" t="s">
        <v>1735</v>
      </c>
      <c r="S348" s="49"/>
      <c r="T348" s="49" t="s">
        <v>1881</v>
      </c>
      <c r="U348" s="49" t="s">
        <v>1383</v>
      </c>
      <c r="V348" s="49" t="s">
        <v>1722</v>
      </c>
      <c r="W348" s="49" t="s">
        <v>1383</v>
      </c>
      <c r="X348" s="49" t="s">
        <v>1383</v>
      </c>
      <c r="Z348" s="329"/>
      <c r="AA348" s="329"/>
      <c r="AB348" s="35" t="s">
        <v>1612</v>
      </c>
      <c r="AG348" s="35" t="s">
        <v>1534</v>
      </c>
      <c r="AH348" s="138" t="s">
        <v>578</v>
      </c>
      <c r="AI348" s="35" t="s">
        <v>367</v>
      </c>
      <c r="AJ348" s="140" t="s">
        <v>230</v>
      </c>
      <c r="AQ348" s="35" t="s">
        <v>360</v>
      </c>
      <c r="AR348" s="35" t="s">
        <v>360</v>
      </c>
      <c r="AS348" s="35" t="s">
        <v>178</v>
      </c>
      <c r="AT348" s="35" t="s">
        <v>161</v>
      </c>
      <c r="AU348" s="35">
        <v>4</v>
      </c>
      <c r="AW348" s="35" t="s">
        <v>142</v>
      </c>
      <c r="BA348" s="53"/>
      <c r="BM348" s="405"/>
      <c r="BN348" s="405"/>
      <c r="BR348" s="405"/>
      <c r="BS348" s="405"/>
      <c r="FS348" s="35">
        <v>5.68</v>
      </c>
      <c r="FT348" s="35">
        <v>2.56</v>
      </c>
      <c r="FW348" s="35" t="s">
        <v>365</v>
      </c>
      <c r="GM348" s="12"/>
      <c r="GQ348" s="12"/>
      <c r="IO348" s="35" t="s">
        <v>366</v>
      </c>
      <c r="IP348" s="35" t="s">
        <v>712</v>
      </c>
    </row>
    <row r="349" spans="1:250" s="35" customFormat="1" x14ac:dyDescent="0.25">
      <c r="A349" s="35">
        <v>21</v>
      </c>
      <c r="B349" s="35" t="s">
        <v>357</v>
      </c>
      <c r="C349" s="35" t="s">
        <v>358</v>
      </c>
      <c r="D349" s="35">
        <v>2013</v>
      </c>
      <c r="E349" s="35">
        <v>2009</v>
      </c>
      <c r="F349" s="35" t="s">
        <v>359</v>
      </c>
      <c r="G349" s="35" t="s">
        <v>361</v>
      </c>
      <c r="H349" s="32" t="s">
        <v>2831</v>
      </c>
      <c r="I349" s="35">
        <v>38.82</v>
      </c>
      <c r="J349" s="35">
        <v>-76.75</v>
      </c>
      <c r="K349" s="35">
        <v>5.5</v>
      </c>
      <c r="Q349" s="49">
        <v>1</v>
      </c>
      <c r="R349" s="49" t="s">
        <v>1735</v>
      </c>
      <c r="S349" s="49"/>
      <c r="T349" s="49" t="s">
        <v>1882</v>
      </c>
      <c r="U349" s="49" t="s">
        <v>1383</v>
      </c>
      <c r="V349" s="49" t="s">
        <v>1722</v>
      </c>
      <c r="W349" s="49" t="s">
        <v>1383</v>
      </c>
      <c r="X349" s="49" t="s">
        <v>1383</v>
      </c>
      <c r="Z349" s="329"/>
      <c r="AA349" s="329"/>
      <c r="AB349" s="35" t="s">
        <v>1612</v>
      </c>
      <c r="AG349" s="35" t="s">
        <v>1534</v>
      </c>
      <c r="AH349" s="138" t="s">
        <v>578</v>
      </c>
      <c r="AI349" s="35" t="s">
        <v>367</v>
      </c>
      <c r="AJ349" s="140" t="s">
        <v>230</v>
      </c>
      <c r="AQ349" s="35" t="s">
        <v>360</v>
      </c>
      <c r="AR349" s="35" t="s">
        <v>360</v>
      </c>
      <c r="AS349" s="35" t="s">
        <v>178</v>
      </c>
      <c r="AT349" s="35" t="s">
        <v>161</v>
      </c>
      <c r="AU349" s="35">
        <v>4</v>
      </c>
      <c r="AW349" s="35" t="s">
        <v>142</v>
      </c>
      <c r="BA349" s="53"/>
      <c r="BM349" s="405"/>
      <c r="BN349" s="405"/>
      <c r="BR349" s="405"/>
      <c r="BS349" s="405"/>
      <c r="FS349" s="35">
        <v>3.47</v>
      </c>
      <c r="FT349" s="35">
        <v>0.8</v>
      </c>
      <c r="FW349" s="35" t="s">
        <v>365</v>
      </c>
      <c r="GM349" s="12"/>
      <c r="GQ349" s="12"/>
      <c r="IO349" s="35" t="s">
        <v>366</v>
      </c>
      <c r="IP349" s="35" t="s">
        <v>712</v>
      </c>
    </row>
    <row r="350" spans="1:250" s="24" customFormat="1" x14ac:dyDescent="0.25">
      <c r="A350" s="24">
        <v>21</v>
      </c>
      <c r="B350" s="24" t="s">
        <v>357</v>
      </c>
      <c r="C350" s="24" t="s">
        <v>358</v>
      </c>
      <c r="D350" s="24">
        <v>2013</v>
      </c>
      <c r="E350" s="24">
        <v>2010</v>
      </c>
      <c r="F350" s="24" t="s">
        <v>359</v>
      </c>
      <c r="G350" s="24" t="s">
        <v>361</v>
      </c>
      <c r="H350" s="32" t="s">
        <v>2831</v>
      </c>
      <c r="I350" s="24">
        <v>38.82</v>
      </c>
      <c r="J350" s="24">
        <v>-76.75</v>
      </c>
      <c r="K350" s="24">
        <v>5.5</v>
      </c>
      <c r="Q350" s="42">
        <v>2</v>
      </c>
      <c r="R350" s="42" t="s">
        <v>1735</v>
      </c>
      <c r="S350" s="42"/>
      <c r="T350" s="42" t="s">
        <v>1878</v>
      </c>
      <c r="U350" s="42" t="s">
        <v>1383</v>
      </c>
      <c r="V350" s="42" t="s">
        <v>1722</v>
      </c>
      <c r="W350" s="42" t="s">
        <v>1383</v>
      </c>
      <c r="X350" s="42" t="s">
        <v>1383</v>
      </c>
      <c r="Z350" s="321"/>
      <c r="AA350" s="321"/>
      <c r="AB350" s="24" t="s">
        <v>1612</v>
      </c>
      <c r="AG350" s="24" t="s">
        <v>1534</v>
      </c>
      <c r="AH350" s="138" t="s">
        <v>578</v>
      </c>
      <c r="AI350" s="24" t="s">
        <v>367</v>
      </c>
      <c r="AJ350" s="140" t="s">
        <v>230</v>
      </c>
      <c r="AQ350" s="24" t="s">
        <v>360</v>
      </c>
      <c r="AR350" s="24" t="s">
        <v>360</v>
      </c>
      <c r="AS350" s="24" t="s">
        <v>178</v>
      </c>
      <c r="AT350" s="24" t="s">
        <v>161</v>
      </c>
      <c r="AU350" s="24">
        <v>4</v>
      </c>
      <c r="AW350" s="24" t="s">
        <v>142</v>
      </c>
      <c r="BA350" s="53"/>
      <c r="BM350" s="395"/>
      <c r="BN350" s="395"/>
      <c r="BR350" s="395"/>
      <c r="BS350" s="395"/>
      <c r="FS350" s="24">
        <v>0.01</v>
      </c>
      <c r="FT350" s="24">
        <v>0.01</v>
      </c>
      <c r="FW350" s="24" t="s">
        <v>365</v>
      </c>
      <c r="GM350" s="12"/>
      <c r="GQ350" s="12"/>
      <c r="IO350" s="24" t="s">
        <v>366</v>
      </c>
      <c r="IP350" s="24" t="s">
        <v>712</v>
      </c>
    </row>
    <row r="351" spans="1:250" s="24" customFormat="1" x14ac:dyDescent="0.25">
      <c r="A351" s="24">
        <v>21</v>
      </c>
      <c r="B351" s="24" t="s">
        <v>357</v>
      </c>
      <c r="C351" s="24" t="s">
        <v>358</v>
      </c>
      <c r="D351" s="24">
        <v>2013</v>
      </c>
      <c r="E351" s="24">
        <v>2010</v>
      </c>
      <c r="F351" s="24" t="s">
        <v>359</v>
      </c>
      <c r="G351" s="24" t="s">
        <v>361</v>
      </c>
      <c r="H351" s="32" t="s">
        <v>2831</v>
      </c>
      <c r="I351" s="24">
        <v>38.82</v>
      </c>
      <c r="J351" s="24">
        <v>-76.75</v>
      </c>
      <c r="K351" s="24">
        <v>5.5</v>
      </c>
      <c r="Q351" s="42">
        <v>2</v>
      </c>
      <c r="R351" s="42" t="s">
        <v>1735</v>
      </c>
      <c r="S351" s="42"/>
      <c r="T351" s="42" t="s">
        <v>1879</v>
      </c>
      <c r="U351" s="42" t="s">
        <v>1383</v>
      </c>
      <c r="V351" s="42" t="s">
        <v>1722</v>
      </c>
      <c r="W351" s="42" t="s">
        <v>1383</v>
      </c>
      <c r="X351" s="42" t="s">
        <v>1383</v>
      </c>
      <c r="Z351" s="321"/>
      <c r="AA351" s="321"/>
      <c r="AB351" s="24" t="s">
        <v>1612</v>
      </c>
      <c r="AG351" s="24" t="s">
        <v>1534</v>
      </c>
      <c r="AH351" s="138" t="s">
        <v>578</v>
      </c>
      <c r="AI351" s="24" t="s">
        <v>367</v>
      </c>
      <c r="AJ351" s="140" t="s">
        <v>230</v>
      </c>
      <c r="AQ351" s="24" t="s">
        <v>360</v>
      </c>
      <c r="AR351" s="24" t="s">
        <v>360</v>
      </c>
      <c r="AS351" s="24" t="s">
        <v>178</v>
      </c>
      <c r="AT351" s="24" t="s">
        <v>161</v>
      </c>
      <c r="AU351" s="24">
        <v>4</v>
      </c>
      <c r="AW351" s="24" t="s">
        <v>142</v>
      </c>
      <c r="BA351" s="53"/>
      <c r="BM351" s="395"/>
      <c r="BN351" s="395"/>
      <c r="BR351" s="395"/>
      <c r="BS351" s="395"/>
      <c r="FS351" s="24">
        <v>0.14000000000000001</v>
      </c>
      <c r="FT351" s="24">
        <v>0.09</v>
      </c>
      <c r="FW351" s="24" t="s">
        <v>365</v>
      </c>
      <c r="GM351" s="12"/>
      <c r="GQ351" s="12"/>
      <c r="IO351" s="24" t="s">
        <v>366</v>
      </c>
      <c r="IP351" s="24" t="s">
        <v>712</v>
      </c>
    </row>
    <row r="352" spans="1:250" s="24" customFormat="1" x14ac:dyDescent="0.25">
      <c r="A352" s="24">
        <v>21</v>
      </c>
      <c r="B352" s="24" t="s">
        <v>357</v>
      </c>
      <c r="C352" s="24" t="s">
        <v>358</v>
      </c>
      <c r="D352" s="24">
        <v>2013</v>
      </c>
      <c r="E352" s="24">
        <v>2010</v>
      </c>
      <c r="F352" s="24" t="s">
        <v>359</v>
      </c>
      <c r="G352" s="24" t="s">
        <v>361</v>
      </c>
      <c r="H352" s="32" t="s">
        <v>2831</v>
      </c>
      <c r="I352" s="24">
        <v>38.82</v>
      </c>
      <c r="J352" s="24">
        <v>-76.75</v>
      </c>
      <c r="K352" s="24">
        <v>5.5</v>
      </c>
      <c r="Q352" s="42">
        <v>2</v>
      </c>
      <c r="R352" s="42" t="s">
        <v>1735</v>
      </c>
      <c r="S352" s="42"/>
      <c r="T352" s="42" t="s">
        <v>1880</v>
      </c>
      <c r="U352" s="42" t="s">
        <v>1383</v>
      </c>
      <c r="V352" s="42" t="s">
        <v>1722</v>
      </c>
      <c r="W352" s="42" t="s">
        <v>1383</v>
      </c>
      <c r="X352" s="42" t="s">
        <v>1383</v>
      </c>
      <c r="Z352" s="321"/>
      <c r="AA352" s="321"/>
      <c r="AB352" s="24" t="s">
        <v>1612</v>
      </c>
      <c r="AG352" s="24" t="s">
        <v>1534</v>
      </c>
      <c r="AH352" s="138" t="s">
        <v>578</v>
      </c>
      <c r="AI352" s="24" t="s">
        <v>367</v>
      </c>
      <c r="AJ352" s="140" t="s">
        <v>230</v>
      </c>
      <c r="AQ352" s="24" t="s">
        <v>360</v>
      </c>
      <c r="AR352" s="24" t="s">
        <v>360</v>
      </c>
      <c r="AS352" s="24" t="s">
        <v>178</v>
      </c>
      <c r="AT352" s="24" t="s">
        <v>161</v>
      </c>
      <c r="AU352" s="24">
        <v>4</v>
      </c>
      <c r="AW352" s="24" t="s">
        <v>142</v>
      </c>
      <c r="BA352" s="53"/>
      <c r="BM352" s="395"/>
      <c r="BN352" s="395"/>
      <c r="BR352" s="395"/>
      <c r="BS352" s="395"/>
      <c r="FS352" s="24">
        <v>4.29</v>
      </c>
      <c r="FT352" s="24">
        <v>1.37</v>
      </c>
      <c r="FW352" s="24" t="s">
        <v>365</v>
      </c>
      <c r="GM352" s="12"/>
      <c r="GQ352" s="12"/>
      <c r="IO352" s="24" t="s">
        <v>366</v>
      </c>
      <c r="IP352" s="24" t="s">
        <v>712</v>
      </c>
    </row>
    <row r="353" spans="1:251" s="24" customFormat="1" x14ac:dyDescent="0.25">
      <c r="A353" s="24">
        <v>21</v>
      </c>
      <c r="B353" s="24" t="s">
        <v>357</v>
      </c>
      <c r="C353" s="24" t="s">
        <v>358</v>
      </c>
      <c r="D353" s="24">
        <v>2013</v>
      </c>
      <c r="E353" s="24">
        <v>2010</v>
      </c>
      <c r="F353" s="24" t="s">
        <v>359</v>
      </c>
      <c r="G353" s="24" t="s">
        <v>361</v>
      </c>
      <c r="H353" s="32" t="s">
        <v>2831</v>
      </c>
      <c r="I353" s="24">
        <v>38.82</v>
      </c>
      <c r="J353" s="24">
        <v>-76.75</v>
      </c>
      <c r="K353" s="24">
        <v>5.5</v>
      </c>
      <c r="Q353" s="42">
        <v>2</v>
      </c>
      <c r="R353" s="42" t="s">
        <v>1735</v>
      </c>
      <c r="S353" s="42"/>
      <c r="T353" s="42" t="s">
        <v>1881</v>
      </c>
      <c r="U353" s="42" t="s">
        <v>1383</v>
      </c>
      <c r="V353" s="42" t="s">
        <v>1722</v>
      </c>
      <c r="W353" s="42" t="s">
        <v>1383</v>
      </c>
      <c r="X353" s="42" t="s">
        <v>1383</v>
      </c>
      <c r="Z353" s="321"/>
      <c r="AA353" s="321"/>
      <c r="AB353" s="24" t="s">
        <v>1612</v>
      </c>
      <c r="AG353" s="24" t="s">
        <v>1534</v>
      </c>
      <c r="AH353" s="138" t="s">
        <v>578</v>
      </c>
      <c r="AI353" s="24" t="s">
        <v>367</v>
      </c>
      <c r="AJ353" s="140" t="s">
        <v>230</v>
      </c>
      <c r="AQ353" s="24" t="s">
        <v>360</v>
      </c>
      <c r="AR353" s="24" t="s">
        <v>360</v>
      </c>
      <c r="AS353" s="24" t="s">
        <v>178</v>
      </c>
      <c r="AT353" s="24" t="s">
        <v>161</v>
      </c>
      <c r="AU353" s="24">
        <v>4</v>
      </c>
      <c r="AW353" s="24" t="s">
        <v>142</v>
      </c>
      <c r="BA353" s="53"/>
      <c r="BM353" s="395"/>
      <c r="BN353" s="395"/>
      <c r="BR353" s="395"/>
      <c r="BS353" s="395"/>
      <c r="FS353" s="24">
        <v>1.28</v>
      </c>
      <c r="FT353" s="24">
        <v>0.27</v>
      </c>
      <c r="FW353" s="24" t="s">
        <v>365</v>
      </c>
      <c r="GM353" s="12"/>
      <c r="GQ353" s="12"/>
      <c r="IO353" s="24" t="s">
        <v>366</v>
      </c>
      <c r="IP353" s="24" t="s">
        <v>712</v>
      </c>
    </row>
    <row r="354" spans="1:251" s="24" customFormat="1" x14ac:dyDescent="0.25">
      <c r="A354" s="24">
        <v>21</v>
      </c>
      <c r="B354" s="24" t="s">
        <v>357</v>
      </c>
      <c r="C354" s="24" t="s">
        <v>358</v>
      </c>
      <c r="D354" s="24">
        <v>2013</v>
      </c>
      <c r="E354" s="24">
        <v>2010</v>
      </c>
      <c r="F354" s="24" t="s">
        <v>359</v>
      </c>
      <c r="G354" s="24" t="s">
        <v>361</v>
      </c>
      <c r="H354" s="32" t="s">
        <v>2831</v>
      </c>
      <c r="I354" s="24">
        <v>38.82</v>
      </c>
      <c r="J354" s="24">
        <v>-76.75</v>
      </c>
      <c r="K354" s="24">
        <v>5.5</v>
      </c>
      <c r="Q354" s="42">
        <v>2</v>
      </c>
      <c r="R354" s="42" t="s">
        <v>1735</v>
      </c>
      <c r="S354" s="42"/>
      <c r="T354" s="42" t="s">
        <v>1882</v>
      </c>
      <c r="U354" s="42" t="s">
        <v>1383</v>
      </c>
      <c r="V354" s="42" t="s">
        <v>1722</v>
      </c>
      <c r="W354" s="42" t="s">
        <v>1383</v>
      </c>
      <c r="X354" s="42" t="s">
        <v>1383</v>
      </c>
      <c r="Z354" s="321"/>
      <c r="AA354" s="321"/>
      <c r="AB354" s="24" t="s">
        <v>1612</v>
      </c>
      <c r="AG354" s="24" t="s">
        <v>1534</v>
      </c>
      <c r="AH354" s="138" t="s">
        <v>578</v>
      </c>
      <c r="AI354" s="24" t="s">
        <v>367</v>
      </c>
      <c r="AJ354" s="140" t="s">
        <v>230</v>
      </c>
      <c r="AQ354" s="24" t="s">
        <v>360</v>
      </c>
      <c r="AR354" s="24" t="s">
        <v>360</v>
      </c>
      <c r="AS354" s="24" t="s">
        <v>178</v>
      </c>
      <c r="AT354" s="24" t="s">
        <v>161</v>
      </c>
      <c r="AU354" s="24">
        <v>4</v>
      </c>
      <c r="AW354" s="24" t="s">
        <v>142</v>
      </c>
      <c r="BA354" s="53"/>
      <c r="BM354" s="395"/>
      <c r="BN354" s="395"/>
      <c r="BR354" s="395"/>
      <c r="BS354" s="395"/>
      <c r="FS354" s="24">
        <v>2.19</v>
      </c>
      <c r="FT354" s="24">
        <v>1.23</v>
      </c>
      <c r="FW354" s="24" t="s">
        <v>365</v>
      </c>
      <c r="GM354" s="12"/>
      <c r="GQ354" s="12"/>
      <c r="IO354" s="24" t="s">
        <v>366</v>
      </c>
      <c r="IP354" s="24" t="s">
        <v>712</v>
      </c>
    </row>
    <row r="355" spans="1:251" s="24" customFormat="1" x14ac:dyDescent="0.25">
      <c r="A355" s="24">
        <v>21</v>
      </c>
      <c r="B355" s="24" t="s">
        <v>357</v>
      </c>
      <c r="C355" s="24" t="s">
        <v>358</v>
      </c>
      <c r="D355" s="24">
        <v>2013</v>
      </c>
      <c r="E355" s="24">
        <v>2010</v>
      </c>
      <c r="F355" s="24" t="s">
        <v>359</v>
      </c>
      <c r="G355" s="24" t="s">
        <v>361</v>
      </c>
      <c r="H355" s="32" t="s">
        <v>2831</v>
      </c>
      <c r="I355" s="24">
        <v>38.82</v>
      </c>
      <c r="J355" s="24">
        <v>-76.75</v>
      </c>
      <c r="K355" s="24">
        <v>5.5</v>
      </c>
      <c r="Q355" s="42">
        <v>2</v>
      </c>
      <c r="R355" s="42" t="s">
        <v>1735</v>
      </c>
      <c r="S355" s="42"/>
      <c r="T355" s="42" t="s">
        <v>1883</v>
      </c>
      <c r="U355" s="42" t="s">
        <v>1383</v>
      </c>
      <c r="V355" s="42" t="s">
        <v>1722</v>
      </c>
      <c r="W355" s="42" t="s">
        <v>1383</v>
      </c>
      <c r="X355" s="42" t="s">
        <v>1383</v>
      </c>
      <c r="Z355" s="321"/>
      <c r="AA355" s="321"/>
      <c r="AB355" s="24" t="s">
        <v>1612</v>
      </c>
      <c r="AG355" s="24" t="s">
        <v>1534</v>
      </c>
      <c r="AH355" s="138" t="s">
        <v>578</v>
      </c>
      <c r="AI355" s="24" t="s">
        <v>367</v>
      </c>
      <c r="AJ355" s="140" t="s">
        <v>230</v>
      </c>
      <c r="AQ355" s="24" t="s">
        <v>360</v>
      </c>
      <c r="AR355" s="24" t="s">
        <v>360</v>
      </c>
      <c r="AS355" s="24" t="s">
        <v>178</v>
      </c>
      <c r="AT355" s="24" t="s">
        <v>161</v>
      </c>
      <c r="AU355" s="24">
        <v>4</v>
      </c>
      <c r="AW355" s="24" t="s">
        <v>142</v>
      </c>
      <c r="BA355" s="53"/>
      <c r="BM355" s="395"/>
      <c r="BN355" s="395"/>
      <c r="BR355" s="395"/>
      <c r="BS355" s="395"/>
      <c r="FS355" s="24">
        <v>0.96</v>
      </c>
      <c r="FT355" s="24">
        <v>0.09</v>
      </c>
      <c r="FW355" s="24" t="s">
        <v>365</v>
      </c>
      <c r="GM355" s="12"/>
      <c r="GQ355" s="12"/>
      <c r="IO355" s="24" t="s">
        <v>366</v>
      </c>
      <c r="IP355" s="24" t="s">
        <v>712</v>
      </c>
    </row>
    <row r="356" spans="1:251" s="35" customFormat="1" x14ac:dyDescent="0.25">
      <c r="A356" s="35">
        <v>21</v>
      </c>
      <c r="B356" s="35" t="s">
        <v>357</v>
      </c>
      <c r="C356" s="35" t="s">
        <v>358</v>
      </c>
      <c r="D356" s="35">
        <v>2013</v>
      </c>
      <c r="E356" s="35">
        <v>2011</v>
      </c>
      <c r="F356" s="35" t="s">
        <v>359</v>
      </c>
      <c r="G356" s="35" t="s">
        <v>361</v>
      </c>
      <c r="H356" s="32" t="s">
        <v>2831</v>
      </c>
      <c r="I356" s="35">
        <v>38.82</v>
      </c>
      <c r="J356" s="35">
        <v>-76.75</v>
      </c>
      <c r="K356" s="35">
        <v>5.5</v>
      </c>
      <c r="Q356" s="49">
        <v>3</v>
      </c>
      <c r="R356" s="49" t="s">
        <v>1735</v>
      </c>
      <c r="S356" s="49"/>
      <c r="T356" s="49" t="s">
        <v>1878</v>
      </c>
      <c r="U356" s="49" t="s">
        <v>1383</v>
      </c>
      <c r="V356" s="49" t="s">
        <v>1722</v>
      </c>
      <c r="W356" s="49" t="s">
        <v>1383</v>
      </c>
      <c r="X356" s="49" t="s">
        <v>1383</v>
      </c>
      <c r="Z356" s="329"/>
      <c r="AA356" s="329"/>
      <c r="AB356" s="35" t="s">
        <v>1612</v>
      </c>
      <c r="AG356" s="35" t="s">
        <v>1534</v>
      </c>
      <c r="AH356" s="138" t="s">
        <v>578</v>
      </c>
      <c r="AI356" s="35" t="s">
        <v>367</v>
      </c>
      <c r="AJ356" s="140" t="s">
        <v>230</v>
      </c>
      <c r="AQ356" s="35" t="s">
        <v>360</v>
      </c>
      <c r="AR356" s="35" t="s">
        <v>360</v>
      </c>
      <c r="AS356" s="35" t="s">
        <v>178</v>
      </c>
      <c r="AT356" s="35" t="s">
        <v>161</v>
      </c>
      <c r="AU356" s="35">
        <v>4</v>
      </c>
      <c r="AW356" s="35" t="s">
        <v>142</v>
      </c>
      <c r="BA356" s="53"/>
      <c r="BM356" s="405"/>
      <c r="BN356" s="405"/>
      <c r="BR356" s="405"/>
      <c r="BS356" s="405"/>
      <c r="FS356" s="35">
        <v>0.05</v>
      </c>
      <c r="FT356" s="35">
        <v>0.05</v>
      </c>
      <c r="FW356" s="35" t="s">
        <v>365</v>
      </c>
      <c r="GM356" s="12"/>
      <c r="GQ356" s="12"/>
      <c r="IO356" s="35" t="s">
        <v>366</v>
      </c>
      <c r="IP356" s="35" t="s">
        <v>712</v>
      </c>
    </row>
    <row r="357" spans="1:251" s="35" customFormat="1" x14ac:dyDescent="0.25">
      <c r="A357" s="35">
        <v>21</v>
      </c>
      <c r="B357" s="35" t="s">
        <v>357</v>
      </c>
      <c r="C357" s="35" t="s">
        <v>358</v>
      </c>
      <c r="D357" s="35">
        <v>2013</v>
      </c>
      <c r="E357" s="35">
        <v>2011</v>
      </c>
      <c r="F357" s="35" t="s">
        <v>359</v>
      </c>
      <c r="G357" s="35" t="s">
        <v>361</v>
      </c>
      <c r="H357" s="32" t="s">
        <v>2831</v>
      </c>
      <c r="I357" s="35">
        <v>38.82</v>
      </c>
      <c r="J357" s="35">
        <v>-76.75</v>
      </c>
      <c r="K357" s="35">
        <v>5.5</v>
      </c>
      <c r="Q357" s="49">
        <v>3</v>
      </c>
      <c r="R357" s="49" t="s">
        <v>1735</v>
      </c>
      <c r="S357" s="49"/>
      <c r="T357" s="49" t="s">
        <v>1879</v>
      </c>
      <c r="U357" s="49" t="s">
        <v>1383</v>
      </c>
      <c r="V357" s="49" t="s">
        <v>1722</v>
      </c>
      <c r="W357" s="49" t="s">
        <v>1383</v>
      </c>
      <c r="X357" s="49" t="s">
        <v>1383</v>
      </c>
      <c r="Z357" s="329"/>
      <c r="AA357" s="329"/>
      <c r="AB357" s="35" t="s">
        <v>1612</v>
      </c>
      <c r="AG357" s="35" t="s">
        <v>1534</v>
      </c>
      <c r="AH357" s="138" t="s">
        <v>578</v>
      </c>
      <c r="AI357" s="35" t="s">
        <v>367</v>
      </c>
      <c r="AJ357" s="140" t="s">
        <v>230</v>
      </c>
      <c r="AQ357" s="35" t="s">
        <v>360</v>
      </c>
      <c r="AR357" s="35" t="s">
        <v>360</v>
      </c>
      <c r="AS357" s="35" t="s">
        <v>178</v>
      </c>
      <c r="AT357" s="35" t="s">
        <v>161</v>
      </c>
      <c r="AU357" s="35">
        <v>4</v>
      </c>
      <c r="AW357" s="35" t="s">
        <v>142</v>
      </c>
      <c r="BA357" s="53"/>
      <c r="BM357" s="405"/>
      <c r="BN357" s="405"/>
      <c r="BR357" s="405"/>
      <c r="BS357" s="405"/>
      <c r="FS357" s="35">
        <v>0.09</v>
      </c>
      <c r="FT357" s="35">
        <v>0.09</v>
      </c>
      <c r="FW357" s="35" t="s">
        <v>365</v>
      </c>
      <c r="GM357" s="12"/>
      <c r="GQ357" s="12"/>
      <c r="IO357" s="35" t="s">
        <v>366</v>
      </c>
      <c r="IP357" s="35" t="s">
        <v>712</v>
      </c>
    </row>
    <row r="358" spans="1:251" s="35" customFormat="1" x14ac:dyDescent="0.25">
      <c r="A358" s="35">
        <v>21</v>
      </c>
      <c r="B358" s="35" t="s">
        <v>357</v>
      </c>
      <c r="C358" s="35" t="s">
        <v>358</v>
      </c>
      <c r="D358" s="35">
        <v>2013</v>
      </c>
      <c r="E358" s="35">
        <v>2011</v>
      </c>
      <c r="F358" s="35" t="s">
        <v>359</v>
      </c>
      <c r="G358" s="35" t="s">
        <v>361</v>
      </c>
      <c r="H358" s="32" t="s">
        <v>2831</v>
      </c>
      <c r="I358" s="35">
        <v>38.82</v>
      </c>
      <c r="J358" s="35">
        <v>-76.75</v>
      </c>
      <c r="K358" s="35">
        <v>5.5</v>
      </c>
      <c r="Q358" s="49">
        <v>3</v>
      </c>
      <c r="R358" s="49" t="s">
        <v>1735</v>
      </c>
      <c r="S358" s="49"/>
      <c r="T358" s="49" t="s">
        <v>1880</v>
      </c>
      <c r="U358" s="49" t="s">
        <v>1383</v>
      </c>
      <c r="V358" s="49" t="s">
        <v>1722</v>
      </c>
      <c r="W358" s="49" t="s">
        <v>1383</v>
      </c>
      <c r="X358" s="49" t="s">
        <v>1383</v>
      </c>
      <c r="Z358" s="329"/>
      <c r="AA358" s="329"/>
      <c r="AB358" s="35" t="s">
        <v>1612</v>
      </c>
      <c r="AG358" s="35" t="s">
        <v>1534</v>
      </c>
      <c r="AH358" s="138" t="s">
        <v>578</v>
      </c>
      <c r="AI358" s="35" t="s">
        <v>367</v>
      </c>
      <c r="AJ358" s="140" t="s">
        <v>230</v>
      </c>
      <c r="AQ358" s="35" t="s">
        <v>360</v>
      </c>
      <c r="AR358" s="35" t="s">
        <v>360</v>
      </c>
      <c r="AS358" s="35" t="s">
        <v>178</v>
      </c>
      <c r="AT358" s="35" t="s">
        <v>161</v>
      </c>
      <c r="AU358" s="35">
        <v>4</v>
      </c>
      <c r="AW358" s="35" t="s">
        <v>142</v>
      </c>
      <c r="BA358" s="53"/>
      <c r="BM358" s="405"/>
      <c r="BN358" s="405"/>
      <c r="BR358" s="405"/>
      <c r="BS358" s="405"/>
      <c r="FS358" s="35">
        <v>0.56000000000000005</v>
      </c>
      <c r="FT358" s="35">
        <v>0.37</v>
      </c>
      <c r="FW358" s="35" t="s">
        <v>365</v>
      </c>
      <c r="GM358" s="12"/>
      <c r="GQ358" s="12"/>
      <c r="IO358" s="35" t="s">
        <v>366</v>
      </c>
      <c r="IP358" s="35" t="s">
        <v>712</v>
      </c>
    </row>
    <row r="359" spans="1:251" s="35" customFormat="1" x14ac:dyDescent="0.25">
      <c r="A359" s="35">
        <v>21</v>
      </c>
      <c r="B359" s="35" t="s">
        <v>357</v>
      </c>
      <c r="C359" s="35" t="s">
        <v>358</v>
      </c>
      <c r="D359" s="35">
        <v>2013</v>
      </c>
      <c r="E359" s="35">
        <v>2011</v>
      </c>
      <c r="F359" s="35" t="s">
        <v>359</v>
      </c>
      <c r="G359" s="35" t="s">
        <v>361</v>
      </c>
      <c r="H359" s="32" t="s">
        <v>2831</v>
      </c>
      <c r="I359" s="35">
        <v>38.82</v>
      </c>
      <c r="J359" s="35">
        <v>-76.75</v>
      </c>
      <c r="K359" s="35">
        <v>5.5</v>
      </c>
      <c r="Q359" s="49">
        <v>3</v>
      </c>
      <c r="R359" s="49" t="s">
        <v>1735</v>
      </c>
      <c r="S359" s="49"/>
      <c r="T359" s="49" t="s">
        <v>1881</v>
      </c>
      <c r="U359" s="49" t="s">
        <v>1383</v>
      </c>
      <c r="V359" s="49" t="s">
        <v>1722</v>
      </c>
      <c r="W359" s="49" t="s">
        <v>1383</v>
      </c>
      <c r="X359" s="49" t="s">
        <v>1383</v>
      </c>
      <c r="Z359" s="329"/>
      <c r="AA359" s="329"/>
      <c r="AB359" s="35" t="s">
        <v>1612</v>
      </c>
      <c r="AG359" s="35" t="s">
        <v>1534</v>
      </c>
      <c r="AH359" s="138" t="s">
        <v>578</v>
      </c>
      <c r="AI359" s="35" t="s">
        <v>367</v>
      </c>
      <c r="AJ359" s="140" t="s">
        <v>230</v>
      </c>
      <c r="AQ359" s="35" t="s">
        <v>360</v>
      </c>
      <c r="AR359" s="35" t="s">
        <v>360</v>
      </c>
      <c r="AS359" s="35" t="s">
        <v>178</v>
      </c>
      <c r="AT359" s="35" t="s">
        <v>161</v>
      </c>
      <c r="AU359" s="35">
        <v>4</v>
      </c>
      <c r="AW359" s="35" t="s">
        <v>142</v>
      </c>
      <c r="BA359" s="53"/>
      <c r="BM359" s="405"/>
      <c r="BN359" s="405"/>
      <c r="BR359" s="405"/>
      <c r="BS359" s="405"/>
      <c r="FS359" s="35">
        <v>3.43</v>
      </c>
      <c r="FT359" s="35">
        <v>6.48</v>
      </c>
      <c r="FW359" s="35" t="s">
        <v>365</v>
      </c>
      <c r="GM359" s="12"/>
      <c r="GQ359" s="12"/>
      <c r="IO359" s="35" t="s">
        <v>366</v>
      </c>
      <c r="IP359" s="35" t="s">
        <v>712</v>
      </c>
    </row>
    <row r="360" spans="1:251" s="35" customFormat="1" x14ac:dyDescent="0.25">
      <c r="A360" s="35">
        <v>21</v>
      </c>
      <c r="B360" s="35" t="s">
        <v>357</v>
      </c>
      <c r="C360" s="35" t="s">
        <v>358</v>
      </c>
      <c r="D360" s="35">
        <v>2013</v>
      </c>
      <c r="E360" s="35">
        <v>2011</v>
      </c>
      <c r="F360" s="35" t="s">
        <v>359</v>
      </c>
      <c r="G360" s="35" t="s">
        <v>361</v>
      </c>
      <c r="H360" s="32" t="s">
        <v>2831</v>
      </c>
      <c r="I360" s="35">
        <v>38.82</v>
      </c>
      <c r="J360" s="35">
        <v>-76.75</v>
      </c>
      <c r="K360" s="35">
        <v>5.5</v>
      </c>
      <c r="Q360" s="49">
        <v>3</v>
      </c>
      <c r="R360" s="49" t="s">
        <v>1735</v>
      </c>
      <c r="S360" s="49"/>
      <c r="T360" s="49" t="s">
        <v>1882</v>
      </c>
      <c r="U360" s="49" t="s">
        <v>1383</v>
      </c>
      <c r="V360" s="49" t="s">
        <v>1722</v>
      </c>
      <c r="W360" s="49" t="s">
        <v>1383</v>
      </c>
      <c r="X360" s="49" t="s">
        <v>1383</v>
      </c>
      <c r="Z360" s="329"/>
      <c r="AA360" s="329"/>
      <c r="AB360" s="35" t="s">
        <v>1612</v>
      </c>
      <c r="AG360" s="35" t="s">
        <v>1534</v>
      </c>
      <c r="AH360" s="138" t="s">
        <v>578</v>
      </c>
      <c r="AI360" s="35" t="s">
        <v>367</v>
      </c>
      <c r="AJ360" s="140" t="s">
        <v>230</v>
      </c>
      <c r="AQ360" s="35" t="s">
        <v>360</v>
      </c>
      <c r="AR360" s="35" t="s">
        <v>360</v>
      </c>
      <c r="AS360" s="35" t="s">
        <v>178</v>
      </c>
      <c r="AT360" s="35" t="s">
        <v>161</v>
      </c>
      <c r="AU360" s="35">
        <v>4</v>
      </c>
      <c r="AW360" s="35" t="s">
        <v>142</v>
      </c>
      <c r="BA360" s="53"/>
      <c r="BM360" s="405"/>
      <c r="BN360" s="405"/>
      <c r="BR360" s="405"/>
      <c r="BS360" s="405"/>
      <c r="FS360" s="35">
        <v>6.02</v>
      </c>
      <c r="FT360" s="35">
        <v>7.96</v>
      </c>
      <c r="FW360" s="35" t="s">
        <v>365</v>
      </c>
      <c r="GM360" s="12"/>
      <c r="GQ360" s="12"/>
      <c r="IO360" s="35" t="s">
        <v>366</v>
      </c>
      <c r="IP360" s="35" t="s">
        <v>712</v>
      </c>
    </row>
    <row r="361" spans="1:251" x14ac:dyDescent="0.25">
      <c r="A361" s="37">
        <v>22</v>
      </c>
      <c r="B361" s="37" t="s">
        <v>357</v>
      </c>
      <c r="C361" s="37" t="s">
        <v>358</v>
      </c>
      <c r="D361" s="37">
        <v>2013</v>
      </c>
      <c r="E361" s="37">
        <v>2009</v>
      </c>
      <c r="F361" s="37" t="s">
        <v>374</v>
      </c>
      <c r="G361" s="37" t="s">
        <v>361</v>
      </c>
      <c r="H361" s="32" t="s">
        <v>2831</v>
      </c>
      <c r="I361" s="37">
        <v>38.82</v>
      </c>
      <c r="J361" s="37">
        <v>-76.75</v>
      </c>
      <c r="K361" s="37">
        <v>5.5</v>
      </c>
      <c r="Q361" s="50">
        <v>1</v>
      </c>
      <c r="R361" s="50" t="s">
        <v>1735</v>
      </c>
      <c r="T361" s="50" t="s">
        <v>1884</v>
      </c>
      <c r="U361" s="50" t="s">
        <v>1383</v>
      </c>
      <c r="V361" s="49" t="s">
        <v>1722</v>
      </c>
      <c r="W361" s="50" t="s">
        <v>1383</v>
      </c>
      <c r="X361" s="50" t="s">
        <v>1383</v>
      </c>
      <c r="AB361" s="35" t="s">
        <v>1612</v>
      </c>
      <c r="AG361" s="37" t="s">
        <v>1534</v>
      </c>
      <c r="AH361" s="138" t="s">
        <v>578</v>
      </c>
      <c r="AI361" s="37" t="s">
        <v>367</v>
      </c>
      <c r="AJ361" s="142" t="s">
        <v>230</v>
      </c>
      <c r="AQ361" s="37" t="s">
        <v>360</v>
      </c>
      <c r="AR361" s="37" t="s">
        <v>360</v>
      </c>
      <c r="AS361" s="37" t="s">
        <v>178</v>
      </c>
      <c r="AT361" s="37" t="s">
        <v>161</v>
      </c>
      <c r="AU361" s="37">
        <v>4</v>
      </c>
      <c r="AW361" s="37" t="s">
        <v>142</v>
      </c>
      <c r="BA361" s="55"/>
      <c r="FX361" s="37">
        <v>53</v>
      </c>
      <c r="FY361" s="37">
        <v>41</v>
      </c>
      <c r="GB361" s="37" t="s">
        <v>370</v>
      </c>
      <c r="IO361" s="37" t="s">
        <v>371</v>
      </c>
      <c r="IQ361" s="37"/>
    </row>
    <row r="362" spans="1:251" x14ac:dyDescent="0.25">
      <c r="A362" s="37">
        <v>22</v>
      </c>
      <c r="B362" s="37" t="s">
        <v>357</v>
      </c>
      <c r="C362" s="37" t="s">
        <v>358</v>
      </c>
      <c r="D362" s="37">
        <v>2013</v>
      </c>
      <c r="E362" s="37">
        <v>2010</v>
      </c>
      <c r="F362" s="37" t="s">
        <v>374</v>
      </c>
      <c r="G362" s="37" t="s">
        <v>361</v>
      </c>
      <c r="H362" s="32" t="s">
        <v>2831</v>
      </c>
      <c r="I362" s="37">
        <v>38.82</v>
      </c>
      <c r="J362" s="37">
        <v>-76.75</v>
      </c>
      <c r="K362" s="37">
        <v>5.5</v>
      </c>
      <c r="Q362" s="50">
        <v>2</v>
      </c>
      <c r="R362" s="50" t="s">
        <v>1735</v>
      </c>
      <c r="T362" s="50" t="s">
        <v>1885</v>
      </c>
      <c r="U362" s="50" t="s">
        <v>1383</v>
      </c>
      <c r="V362" s="49" t="s">
        <v>1722</v>
      </c>
      <c r="W362" s="50" t="s">
        <v>1383</v>
      </c>
      <c r="X362" s="50" t="s">
        <v>1383</v>
      </c>
      <c r="AB362" s="35" t="s">
        <v>1612</v>
      </c>
      <c r="AG362" s="37" t="s">
        <v>1534</v>
      </c>
      <c r="AH362" s="138" t="s">
        <v>578</v>
      </c>
      <c r="AI362" s="37" t="s">
        <v>367</v>
      </c>
      <c r="AJ362" s="142" t="s">
        <v>230</v>
      </c>
      <c r="AQ362" s="37" t="s">
        <v>368</v>
      </c>
      <c r="AR362" s="37" t="s">
        <v>368</v>
      </c>
      <c r="AS362" s="37" t="s">
        <v>178</v>
      </c>
      <c r="AT362" s="37" t="s">
        <v>161</v>
      </c>
      <c r="AU362" s="37">
        <v>4</v>
      </c>
      <c r="AW362" s="37" t="s">
        <v>142</v>
      </c>
      <c r="BA362" s="55"/>
      <c r="FX362" s="37">
        <v>43.2</v>
      </c>
      <c r="FY362" s="37">
        <v>47.9</v>
      </c>
      <c r="GB362" s="37" t="s">
        <v>370</v>
      </c>
      <c r="IO362" s="37" t="s">
        <v>371</v>
      </c>
      <c r="IQ362" s="37"/>
    </row>
    <row r="363" spans="1:251" x14ac:dyDescent="0.25">
      <c r="A363" s="37">
        <v>22</v>
      </c>
      <c r="B363" s="37" t="s">
        <v>357</v>
      </c>
      <c r="C363" s="37" t="s">
        <v>358</v>
      </c>
      <c r="D363" s="37">
        <v>2013</v>
      </c>
      <c r="E363" s="37">
        <v>2010</v>
      </c>
      <c r="F363" s="37" t="s">
        <v>374</v>
      </c>
      <c r="G363" s="37" t="s">
        <v>361</v>
      </c>
      <c r="H363" s="32" t="s">
        <v>2831</v>
      </c>
      <c r="I363" s="37">
        <v>38.82</v>
      </c>
      <c r="J363" s="37">
        <v>-76.75</v>
      </c>
      <c r="K363" s="37">
        <v>5.5</v>
      </c>
      <c r="Q363" s="50">
        <v>2</v>
      </c>
      <c r="R363" s="50" t="s">
        <v>1735</v>
      </c>
      <c r="T363" s="50" t="s">
        <v>1885</v>
      </c>
      <c r="U363" s="50" t="s">
        <v>1383</v>
      </c>
      <c r="V363" s="49" t="s">
        <v>1722</v>
      </c>
      <c r="W363" s="50" t="s">
        <v>1383</v>
      </c>
      <c r="X363" s="50" t="s">
        <v>1383</v>
      </c>
      <c r="AB363" s="35" t="s">
        <v>1612</v>
      </c>
      <c r="AG363" s="37" t="s">
        <v>1534</v>
      </c>
      <c r="AH363" s="138" t="s">
        <v>578</v>
      </c>
      <c r="AI363" s="37" t="s">
        <v>367</v>
      </c>
      <c r="AJ363" s="142" t="s">
        <v>230</v>
      </c>
      <c r="AQ363" s="37" t="s">
        <v>369</v>
      </c>
      <c r="AR363" s="37" t="s">
        <v>369</v>
      </c>
      <c r="AS363" s="37" t="s">
        <v>178</v>
      </c>
      <c r="AT363" s="37" t="s">
        <v>161</v>
      </c>
      <c r="AU363" s="37">
        <v>4</v>
      </c>
      <c r="AW363" s="37" t="s">
        <v>142</v>
      </c>
      <c r="BA363" s="55"/>
      <c r="FX363" s="37">
        <v>43</v>
      </c>
      <c r="FY363" s="37">
        <v>44.8</v>
      </c>
      <c r="GB363" s="37" t="s">
        <v>370</v>
      </c>
      <c r="IO363" s="37" t="s">
        <v>371</v>
      </c>
      <c r="IQ363" s="37"/>
    </row>
    <row r="364" spans="1:251" s="36" customFormat="1" x14ac:dyDescent="0.25">
      <c r="A364" s="36">
        <v>22</v>
      </c>
      <c r="B364" s="36" t="s">
        <v>357</v>
      </c>
      <c r="C364" s="36" t="s">
        <v>358</v>
      </c>
      <c r="D364" s="36">
        <v>2013</v>
      </c>
      <c r="E364" s="36">
        <v>2011</v>
      </c>
      <c r="F364" s="36" t="s">
        <v>374</v>
      </c>
      <c r="G364" s="36" t="s">
        <v>361</v>
      </c>
      <c r="H364" s="32" t="s">
        <v>2831</v>
      </c>
      <c r="I364" s="36">
        <v>38.82</v>
      </c>
      <c r="J364" s="36">
        <v>-76.75</v>
      </c>
      <c r="K364" s="36">
        <v>5.5</v>
      </c>
      <c r="Q364" s="51">
        <v>3</v>
      </c>
      <c r="R364" s="51" t="s">
        <v>1735</v>
      </c>
      <c r="S364" s="51"/>
      <c r="T364" s="51" t="s">
        <v>1885</v>
      </c>
      <c r="U364" s="51" t="s">
        <v>1383</v>
      </c>
      <c r="V364" s="51" t="s">
        <v>1722</v>
      </c>
      <c r="W364" s="51" t="s">
        <v>1383</v>
      </c>
      <c r="X364" s="51" t="s">
        <v>1383</v>
      </c>
      <c r="Z364" s="331"/>
      <c r="AA364" s="331"/>
      <c r="AB364" s="36" t="s">
        <v>1612</v>
      </c>
      <c r="AG364" s="36" t="s">
        <v>1534</v>
      </c>
      <c r="AH364" s="138" t="s">
        <v>578</v>
      </c>
      <c r="AI364" s="36" t="s">
        <v>367</v>
      </c>
      <c r="AJ364" s="142" t="s">
        <v>230</v>
      </c>
      <c r="AQ364" s="36" t="s">
        <v>368</v>
      </c>
      <c r="AR364" s="36" t="s">
        <v>368</v>
      </c>
      <c r="AS364" s="36" t="s">
        <v>178</v>
      </c>
      <c r="AT364" s="36" t="s">
        <v>161</v>
      </c>
      <c r="AU364" s="36">
        <v>4</v>
      </c>
      <c r="AW364" s="36" t="s">
        <v>142</v>
      </c>
      <c r="BA364" s="55"/>
      <c r="BM364" s="407"/>
      <c r="BN364" s="407"/>
      <c r="BR364" s="407"/>
      <c r="BS364" s="407"/>
      <c r="FX364" s="36">
        <v>65.7</v>
      </c>
      <c r="FY364" s="36">
        <v>62.5</v>
      </c>
      <c r="GB364" s="36" t="s">
        <v>370</v>
      </c>
      <c r="IO364" s="36" t="s">
        <v>371</v>
      </c>
    </row>
    <row r="365" spans="1:251" s="36" customFormat="1" x14ac:dyDescent="0.25">
      <c r="A365" s="36">
        <v>22</v>
      </c>
      <c r="B365" s="36" t="s">
        <v>357</v>
      </c>
      <c r="C365" s="36" t="s">
        <v>358</v>
      </c>
      <c r="D365" s="36">
        <v>2013</v>
      </c>
      <c r="E365" s="36">
        <v>2011</v>
      </c>
      <c r="F365" s="36" t="s">
        <v>374</v>
      </c>
      <c r="G365" s="36" t="s">
        <v>361</v>
      </c>
      <c r="H365" s="32" t="s">
        <v>2831</v>
      </c>
      <c r="I365" s="36">
        <v>38.82</v>
      </c>
      <c r="J365" s="36">
        <v>-76.75</v>
      </c>
      <c r="K365" s="36">
        <v>5.5</v>
      </c>
      <c r="Q365" s="51">
        <v>3</v>
      </c>
      <c r="R365" s="51" t="s">
        <v>1735</v>
      </c>
      <c r="S365" s="51"/>
      <c r="T365" s="51" t="s">
        <v>1885</v>
      </c>
      <c r="U365" s="51" t="s">
        <v>1383</v>
      </c>
      <c r="V365" s="51" t="s">
        <v>1722</v>
      </c>
      <c r="W365" s="51" t="s">
        <v>1383</v>
      </c>
      <c r="X365" s="51" t="s">
        <v>1383</v>
      </c>
      <c r="Z365" s="331"/>
      <c r="AA365" s="331"/>
      <c r="AB365" s="36" t="s">
        <v>1612</v>
      </c>
      <c r="AG365" s="36" t="s">
        <v>1534</v>
      </c>
      <c r="AH365" s="138" t="s">
        <v>578</v>
      </c>
      <c r="AI365" s="36" t="s">
        <v>367</v>
      </c>
      <c r="AJ365" s="142" t="s">
        <v>230</v>
      </c>
      <c r="AQ365" s="36" t="s">
        <v>369</v>
      </c>
      <c r="AR365" s="36" t="s">
        <v>369</v>
      </c>
      <c r="AS365" s="36" t="s">
        <v>178</v>
      </c>
      <c r="AT365" s="36" t="s">
        <v>161</v>
      </c>
      <c r="AU365" s="36">
        <v>4</v>
      </c>
      <c r="AW365" s="36" t="s">
        <v>142</v>
      </c>
      <c r="BA365" s="55"/>
      <c r="BM365" s="407"/>
      <c r="BN365" s="407"/>
      <c r="BR365" s="407"/>
      <c r="BS365" s="407"/>
      <c r="FX365" s="36">
        <v>62</v>
      </c>
      <c r="FY365" s="36">
        <v>69</v>
      </c>
      <c r="GB365" s="36" t="s">
        <v>370</v>
      </c>
      <c r="IO365" s="36" t="s">
        <v>371</v>
      </c>
    </row>
    <row r="366" spans="1:251" s="36" customFormat="1" x14ac:dyDescent="0.25">
      <c r="A366" s="36">
        <v>22</v>
      </c>
      <c r="B366" s="36" t="s">
        <v>357</v>
      </c>
      <c r="C366" s="36" t="s">
        <v>358</v>
      </c>
      <c r="D366" s="36">
        <v>2013</v>
      </c>
      <c r="E366" s="36">
        <v>2011</v>
      </c>
      <c r="F366" s="36" t="s">
        <v>374</v>
      </c>
      <c r="G366" s="36" t="s">
        <v>361</v>
      </c>
      <c r="H366" s="32" t="s">
        <v>2831</v>
      </c>
      <c r="I366" s="36">
        <v>38.82</v>
      </c>
      <c r="J366" s="36">
        <v>-76.75</v>
      </c>
      <c r="K366" s="36">
        <v>5.5</v>
      </c>
      <c r="Q366" s="51">
        <v>3</v>
      </c>
      <c r="R366" s="51" t="s">
        <v>1735</v>
      </c>
      <c r="S366" s="51"/>
      <c r="T366" s="51" t="s">
        <v>1886</v>
      </c>
      <c r="U366" s="51" t="s">
        <v>1383</v>
      </c>
      <c r="V366" s="51" t="s">
        <v>1722</v>
      </c>
      <c r="W366" s="51" t="s">
        <v>1383</v>
      </c>
      <c r="X366" s="51" t="s">
        <v>1383</v>
      </c>
      <c r="Z366" s="331"/>
      <c r="AA366" s="331"/>
      <c r="AB366" s="36" t="s">
        <v>1612</v>
      </c>
      <c r="AG366" s="36" t="s">
        <v>1534</v>
      </c>
      <c r="AH366" s="138" t="s">
        <v>578</v>
      </c>
      <c r="AI366" s="36" t="s">
        <v>367</v>
      </c>
      <c r="AJ366" s="142" t="s">
        <v>230</v>
      </c>
      <c r="AQ366" s="36" t="s">
        <v>368</v>
      </c>
      <c r="AR366" s="36" t="s">
        <v>368</v>
      </c>
      <c r="AS366" s="36" t="s">
        <v>178</v>
      </c>
      <c r="AT366" s="36" t="s">
        <v>161</v>
      </c>
      <c r="AU366" s="36">
        <v>4</v>
      </c>
      <c r="AW366" s="36" t="s">
        <v>142</v>
      </c>
      <c r="BA366" s="55"/>
      <c r="BM366" s="407"/>
      <c r="BN366" s="407"/>
      <c r="BR366" s="407"/>
      <c r="BS366" s="407"/>
      <c r="FX366" s="36">
        <v>57.9</v>
      </c>
      <c r="FY366" s="36">
        <v>66.7</v>
      </c>
      <c r="GB366" s="36" t="s">
        <v>370</v>
      </c>
      <c r="IO366" s="36" t="s">
        <v>371</v>
      </c>
    </row>
    <row r="367" spans="1:251" s="36" customFormat="1" x14ac:dyDescent="0.25">
      <c r="A367" s="36">
        <v>22</v>
      </c>
      <c r="B367" s="36" t="s">
        <v>357</v>
      </c>
      <c r="C367" s="36" t="s">
        <v>358</v>
      </c>
      <c r="D367" s="36">
        <v>2013</v>
      </c>
      <c r="E367" s="36">
        <v>2011</v>
      </c>
      <c r="F367" s="36" t="s">
        <v>374</v>
      </c>
      <c r="G367" s="36" t="s">
        <v>361</v>
      </c>
      <c r="H367" s="32" t="s">
        <v>2831</v>
      </c>
      <c r="I367" s="36">
        <v>38.82</v>
      </c>
      <c r="J367" s="36">
        <v>-76.75</v>
      </c>
      <c r="K367" s="36">
        <v>5.5</v>
      </c>
      <c r="Q367" s="51">
        <v>3</v>
      </c>
      <c r="R367" s="51" t="s">
        <v>1735</v>
      </c>
      <c r="S367" s="51"/>
      <c r="T367" s="51" t="s">
        <v>1886</v>
      </c>
      <c r="U367" s="51" t="s">
        <v>1383</v>
      </c>
      <c r="V367" s="51" t="s">
        <v>1722</v>
      </c>
      <c r="W367" s="51" t="s">
        <v>1383</v>
      </c>
      <c r="X367" s="51" t="s">
        <v>1383</v>
      </c>
      <c r="Z367" s="331"/>
      <c r="AA367" s="331"/>
      <c r="AB367" s="36" t="s">
        <v>1612</v>
      </c>
      <c r="AG367" s="36" t="s">
        <v>1534</v>
      </c>
      <c r="AH367" s="138" t="s">
        <v>578</v>
      </c>
      <c r="AI367" s="36" t="s">
        <v>367</v>
      </c>
      <c r="AJ367" s="142" t="s">
        <v>230</v>
      </c>
      <c r="AQ367" s="36" t="s">
        <v>369</v>
      </c>
      <c r="AR367" s="36" t="s">
        <v>369</v>
      </c>
      <c r="AS367" s="36" t="s">
        <v>178</v>
      </c>
      <c r="AT367" s="36" t="s">
        <v>161</v>
      </c>
      <c r="AU367" s="36">
        <v>4</v>
      </c>
      <c r="AW367" s="36" t="s">
        <v>142</v>
      </c>
      <c r="BA367" s="55"/>
      <c r="BM367" s="407"/>
      <c r="BN367" s="407"/>
      <c r="BR367" s="407"/>
      <c r="BS367" s="407"/>
      <c r="FX367" s="36">
        <v>58.4</v>
      </c>
      <c r="FY367" s="36">
        <v>65.2</v>
      </c>
      <c r="GB367" s="36" t="s">
        <v>370</v>
      </c>
      <c r="IO367" s="36" t="s">
        <v>371</v>
      </c>
    </row>
    <row r="368" spans="1:251" s="36" customFormat="1" x14ac:dyDescent="0.25">
      <c r="A368" s="36">
        <v>22</v>
      </c>
      <c r="B368" s="36" t="s">
        <v>357</v>
      </c>
      <c r="C368" s="36" t="s">
        <v>358</v>
      </c>
      <c r="D368" s="36">
        <v>2013</v>
      </c>
      <c r="E368" s="36">
        <v>2011</v>
      </c>
      <c r="F368" s="36" t="s">
        <v>374</v>
      </c>
      <c r="G368" s="36" t="s">
        <v>361</v>
      </c>
      <c r="H368" s="32" t="s">
        <v>2831</v>
      </c>
      <c r="I368" s="36">
        <v>38.82</v>
      </c>
      <c r="J368" s="36">
        <v>-76.75</v>
      </c>
      <c r="K368" s="36">
        <v>5.5</v>
      </c>
      <c r="Q368" s="51">
        <v>3</v>
      </c>
      <c r="R368" s="51" t="s">
        <v>1735</v>
      </c>
      <c r="S368" s="51"/>
      <c r="T368" s="51" t="s">
        <v>1887</v>
      </c>
      <c r="U368" s="51" t="s">
        <v>1383</v>
      </c>
      <c r="V368" s="51" t="s">
        <v>1722</v>
      </c>
      <c r="W368" s="51" t="s">
        <v>1383</v>
      </c>
      <c r="X368" s="51" t="s">
        <v>1383</v>
      </c>
      <c r="Z368" s="331"/>
      <c r="AA368" s="331"/>
      <c r="AB368" s="36" t="s">
        <v>1612</v>
      </c>
      <c r="AG368" s="36" t="s">
        <v>1534</v>
      </c>
      <c r="AH368" s="138" t="s">
        <v>578</v>
      </c>
      <c r="AI368" s="36" t="s">
        <v>367</v>
      </c>
      <c r="AJ368" s="142" t="s">
        <v>230</v>
      </c>
      <c r="AQ368" s="36" t="s">
        <v>368</v>
      </c>
      <c r="AR368" s="36" t="s">
        <v>368</v>
      </c>
      <c r="AS368" s="36" t="s">
        <v>178</v>
      </c>
      <c r="AT368" s="36" t="s">
        <v>161</v>
      </c>
      <c r="AU368" s="36">
        <v>4</v>
      </c>
      <c r="AW368" s="36" t="s">
        <v>142</v>
      </c>
      <c r="BA368" s="55"/>
      <c r="BM368" s="407"/>
      <c r="BN368" s="407"/>
      <c r="BR368" s="407"/>
      <c r="BS368" s="407"/>
      <c r="FX368" s="36">
        <v>75.900000000000006</v>
      </c>
      <c r="FY368" s="36">
        <v>74.599999999999994</v>
      </c>
      <c r="GB368" s="36" t="s">
        <v>370</v>
      </c>
      <c r="IO368" s="36" t="s">
        <v>371</v>
      </c>
    </row>
    <row r="369" spans="1:249" s="36" customFormat="1" x14ac:dyDescent="0.25">
      <c r="A369" s="36">
        <v>22</v>
      </c>
      <c r="B369" s="36" t="s">
        <v>357</v>
      </c>
      <c r="C369" s="36" t="s">
        <v>358</v>
      </c>
      <c r="D369" s="36">
        <v>2013</v>
      </c>
      <c r="E369" s="36">
        <v>2011</v>
      </c>
      <c r="F369" s="36" t="s">
        <v>374</v>
      </c>
      <c r="G369" s="36" t="s">
        <v>361</v>
      </c>
      <c r="H369" s="32" t="s">
        <v>2831</v>
      </c>
      <c r="I369" s="36">
        <v>38.82</v>
      </c>
      <c r="J369" s="36">
        <v>-76.75</v>
      </c>
      <c r="K369" s="36">
        <v>5.5</v>
      </c>
      <c r="Q369" s="51">
        <v>3</v>
      </c>
      <c r="R369" s="51" t="s">
        <v>1735</v>
      </c>
      <c r="S369" s="51"/>
      <c r="T369" s="51" t="s">
        <v>1887</v>
      </c>
      <c r="U369" s="51" t="s">
        <v>1383</v>
      </c>
      <c r="V369" s="51" t="s">
        <v>1722</v>
      </c>
      <c r="W369" s="51" t="s">
        <v>1383</v>
      </c>
      <c r="X369" s="51" t="s">
        <v>1383</v>
      </c>
      <c r="Z369" s="331"/>
      <c r="AA369" s="331"/>
      <c r="AB369" s="36" t="s">
        <v>1612</v>
      </c>
      <c r="AG369" s="36" t="s">
        <v>1534</v>
      </c>
      <c r="AH369" s="138" t="s">
        <v>578</v>
      </c>
      <c r="AI369" s="36" t="s">
        <v>367</v>
      </c>
      <c r="AJ369" s="142" t="s">
        <v>230</v>
      </c>
      <c r="AQ369" s="36" t="s">
        <v>369</v>
      </c>
      <c r="AR369" s="36" t="s">
        <v>369</v>
      </c>
      <c r="AS369" s="36" t="s">
        <v>178</v>
      </c>
      <c r="AT369" s="36" t="s">
        <v>161</v>
      </c>
      <c r="AU369" s="36">
        <v>4</v>
      </c>
      <c r="AW369" s="36" t="s">
        <v>142</v>
      </c>
      <c r="BA369" s="55"/>
      <c r="BM369" s="407"/>
      <c r="BN369" s="407"/>
      <c r="BR369" s="407"/>
      <c r="BS369" s="407"/>
      <c r="FX369" s="36">
        <v>62.6</v>
      </c>
      <c r="FY369" s="36">
        <v>60.1</v>
      </c>
      <c r="GB369" s="36" t="s">
        <v>370</v>
      </c>
      <c r="IO369" s="36" t="s">
        <v>371</v>
      </c>
    </row>
    <row r="370" spans="1:249" s="35" customFormat="1" x14ac:dyDescent="0.25">
      <c r="A370" s="35">
        <v>23</v>
      </c>
      <c r="B370" s="35" t="s">
        <v>357</v>
      </c>
      <c r="C370" s="35" t="s">
        <v>358</v>
      </c>
      <c r="D370" s="35">
        <v>2016</v>
      </c>
      <c r="E370" s="35">
        <v>2009</v>
      </c>
      <c r="F370" s="35" t="s">
        <v>372</v>
      </c>
      <c r="G370" s="35" t="s">
        <v>362</v>
      </c>
      <c r="H370" s="32" t="s">
        <v>2831</v>
      </c>
      <c r="I370" s="35">
        <v>38.92</v>
      </c>
      <c r="J370" s="35">
        <v>-76.150000000000006</v>
      </c>
      <c r="K370" s="35">
        <v>4.8</v>
      </c>
      <c r="Q370" s="49">
        <v>1</v>
      </c>
      <c r="R370" s="49" t="s">
        <v>1735</v>
      </c>
      <c r="S370" s="49"/>
      <c r="T370" s="49" t="s">
        <v>1888</v>
      </c>
      <c r="U370" s="49" t="s">
        <v>1383</v>
      </c>
      <c r="V370" s="49" t="s">
        <v>1722</v>
      </c>
      <c r="W370" s="49" t="s">
        <v>1383</v>
      </c>
      <c r="X370" s="49" t="s">
        <v>1383</v>
      </c>
      <c r="Z370" s="329"/>
      <c r="AA370" s="329"/>
      <c r="AB370" s="35" t="s">
        <v>1612</v>
      </c>
      <c r="AG370" s="35" t="s">
        <v>1534</v>
      </c>
      <c r="AH370" s="138" t="s">
        <v>578</v>
      </c>
      <c r="AI370" s="35" t="s">
        <v>367</v>
      </c>
      <c r="AJ370" s="140" t="s">
        <v>230</v>
      </c>
      <c r="AQ370" s="35" t="s">
        <v>360</v>
      </c>
      <c r="AR370" s="35" t="s">
        <v>360</v>
      </c>
      <c r="AS370" s="35" t="s">
        <v>178</v>
      </c>
      <c r="AT370" s="35" t="s">
        <v>161</v>
      </c>
      <c r="AU370" s="35">
        <v>4</v>
      </c>
      <c r="AW370" s="35" t="s">
        <v>142</v>
      </c>
      <c r="BA370" s="53"/>
      <c r="BH370" s="35">
        <v>48.34</v>
      </c>
      <c r="BI370" s="35">
        <v>137.63</v>
      </c>
      <c r="BM370" s="405"/>
      <c r="BN370" s="405"/>
      <c r="BR370" s="405"/>
      <c r="BS370" s="405"/>
      <c r="GM370" s="12"/>
      <c r="GQ370" s="12"/>
    </row>
    <row r="371" spans="1:249" s="35" customFormat="1" x14ac:dyDescent="0.25">
      <c r="A371" s="35">
        <v>23</v>
      </c>
      <c r="B371" s="35" t="s">
        <v>357</v>
      </c>
      <c r="C371" s="35" t="s">
        <v>358</v>
      </c>
      <c r="D371" s="35">
        <v>2016</v>
      </c>
      <c r="E371" s="35">
        <v>2009</v>
      </c>
      <c r="F371" s="35" t="s">
        <v>372</v>
      </c>
      <c r="G371" s="35" t="s">
        <v>362</v>
      </c>
      <c r="H371" s="32" t="s">
        <v>2831</v>
      </c>
      <c r="I371" s="35">
        <v>38.92</v>
      </c>
      <c r="J371" s="35">
        <v>-76.150000000000006</v>
      </c>
      <c r="K371" s="35">
        <v>4.8</v>
      </c>
      <c r="Q371" s="49">
        <v>1</v>
      </c>
      <c r="R371" s="49" t="s">
        <v>1735</v>
      </c>
      <c r="S371" s="49"/>
      <c r="T371" s="49" t="s">
        <v>1889</v>
      </c>
      <c r="U371" s="49" t="s">
        <v>1383</v>
      </c>
      <c r="V371" s="49" t="s">
        <v>1722</v>
      </c>
      <c r="W371" s="49" t="s">
        <v>1383</v>
      </c>
      <c r="X371" s="49" t="s">
        <v>1383</v>
      </c>
      <c r="Z371" s="329"/>
      <c r="AA371" s="329"/>
      <c r="AB371" s="35" t="s">
        <v>1612</v>
      </c>
      <c r="AG371" s="35" t="s">
        <v>1534</v>
      </c>
      <c r="AH371" s="138" t="s">
        <v>578</v>
      </c>
      <c r="AI371" s="35" t="s">
        <v>367</v>
      </c>
      <c r="AJ371" s="140" t="s">
        <v>230</v>
      </c>
      <c r="AQ371" s="35" t="s">
        <v>360</v>
      </c>
      <c r="AR371" s="35" t="s">
        <v>360</v>
      </c>
      <c r="AS371" s="35" t="s">
        <v>178</v>
      </c>
      <c r="AT371" s="35" t="s">
        <v>161</v>
      </c>
      <c r="AU371" s="35">
        <v>4</v>
      </c>
      <c r="AW371" s="35" t="s">
        <v>142</v>
      </c>
      <c r="BA371" s="53"/>
      <c r="BH371" s="35">
        <v>380.767</v>
      </c>
      <c r="BI371" s="35">
        <v>486.28</v>
      </c>
      <c r="BM371" s="405"/>
      <c r="BN371" s="405"/>
      <c r="BR371" s="405"/>
      <c r="BS371" s="405"/>
      <c r="GM371" s="12"/>
      <c r="GQ371" s="12"/>
    </row>
    <row r="372" spans="1:249" s="35" customFormat="1" x14ac:dyDescent="0.25">
      <c r="A372" s="35">
        <v>23</v>
      </c>
      <c r="B372" s="35" t="s">
        <v>357</v>
      </c>
      <c r="C372" s="35" t="s">
        <v>358</v>
      </c>
      <c r="D372" s="35">
        <v>2016</v>
      </c>
      <c r="E372" s="35">
        <v>2009</v>
      </c>
      <c r="F372" s="35" t="s">
        <v>372</v>
      </c>
      <c r="G372" s="35" t="s">
        <v>362</v>
      </c>
      <c r="H372" s="32" t="s">
        <v>2831</v>
      </c>
      <c r="I372" s="35">
        <v>38.92</v>
      </c>
      <c r="J372" s="35">
        <v>-76.150000000000006</v>
      </c>
      <c r="K372" s="35">
        <v>4.8</v>
      </c>
      <c r="Q372" s="49">
        <v>1</v>
      </c>
      <c r="R372" s="49" t="s">
        <v>1735</v>
      </c>
      <c r="S372" s="49"/>
      <c r="T372" s="49" t="s">
        <v>1890</v>
      </c>
      <c r="U372" s="49" t="s">
        <v>1383</v>
      </c>
      <c r="V372" s="49" t="s">
        <v>1722</v>
      </c>
      <c r="W372" s="49" t="s">
        <v>1383</v>
      </c>
      <c r="X372" s="49" t="s">
        <v>1383</v>
      </c>
      <c r="Z372" s="329"/>
      <c r="AA372" s="329"/>
      <c r="AB372" s="35" t="s">
        <v>1612</v>
      </c>
      <c r="AG372" s="35" t="s">
        <v>1534</v>
      </c>
      <c r="AH372" s="138" t="s">
        <v>578</v>
      </c>
      <c r="AI372" s="35" t="s">
        <v>367</v>
      </c>
      <c r="AJ372" s="140" t="s">
        <v>230</v>
      </c>
      <c r="AQ372" s="35" t="s">
        <v>360</v>
      </c>
      <c r="AR372" s="35" t="s">
        <v>360</v>
      </c>
      <c r="AS372" s="35" t="s">
        <v>178</v>
      </c>
      <c r="AT372" s="35" t="s">
        <v>161</v>
      </c>
      <c r="AU372" s="35">
        <v>4</v>
      </c>
      <c r="AW372" s="35" t="s">
        <v>142</v>
      </c>
      <c r="BA372" s="53"/>
      <c r="BH372" s="35">
        <v>173.48</v>
      </c>
      <c r="BI372" s="35">
        <v>165.37</v>
      </c>
      <c r="BM372" s="405"/>
      <c r="BN372" s="405"/>
      <c r="BR372" s="405"/>
      <c r="BS372" s="405"/>
      <c r="GM372" s="12"/>
      <c r="GQ372" s="12"/>
    </row>
    <row r="373" spans="1:249" s="35" customFormat="1" x14ac:dyDescent="0.25">
      <c r="A373" s="35">
        <v>23</v>
      </c>
      <c r="B373" s="35" t="s">
        <v>357</v>
      </c>
      <c r="C373" s="35" t="s">
        <v>358</v>
      </c>
      <c r="D373" s="35">
        <v>2016</v>
      </c>
      <c r="E373" s="35">
        <v>2009</v>
      </c>
      <c r="F373" s="35" t="s">
        <v>372</v>
      </c>
      <c r="G373" s="35" t="s">
        <v>362</v>
      </c>
      <c r="H373" s="32" t="s">
        <v>2831</v>
      </c>
      <c r="I373" s="35">
        <v>38.92</v>
      </c>
      <c r="J373" s="35">
        <v>-76.150000000000006</v>
      </c>
      <c r="K373" s="35">
        <v>4.8</v>
      </c>
      <c r="Q373" s="49">
        <v>1</v>
      </c>
      <c r="R373" s="49" t="s">
        <v>1735</v>
      </c>
      <c r="S373" s="49"/>
      <c r="T373" s="49" t="s">
        <v>1891</v>
      </c>
      <c r="U373" s="49" t="s">
        <v>1383</v>
      </c>
      <c r="V373" s="49" t="s">
        <v>1722</v>
      </c>
      <c r="W373" s="49" t="s">
        <v>1383</v>
      </c>
      <c r="X373" s="49" t="s">
        <v>1383</v>
      </c>
      <c r="Z373" s="329"/>
      <c r="AA373" s="329"/>
      <c r="AB373" s="35" t="s">
        <v>1612</v>
      </c>
      <c r="AG373" s="35" t="s">
        <v>1534</v>
      </c>
      <c r="AH373" s="138" t="s">
        <v>578</v>
      </c>
      <c r="AI373" s="35" t="s">
        <v>367</v>
      </c>
      <c r="AJ373" s="140" t="s">
        <v>230</v>
      </c>
      <c r="AQ373" s="35" t="s">
        <v>360</v>
      </c>
      <c r="AR373" s="35" t="s">
        <v>360</v>
      </c>
      <c r="AS373" s="35" t="s">
        <v>178</v>
      </c>
      <c r="AT373" s="35" t="s">
        <v>161</v>
      </c>
      <c r="AU373" s="35">
        <v>4</v>
      </c>
      <c r="AW373" s="35" t="s">
        <v>142</v>
      </c>
      <c r="BA373" s="53"/>
      <c r="BH373" s="35">
        <v>205.76</v>
      </c>
      <c r="BI373" s="35">
        <v>148.96</v>
      </c>
      <c r="BM373" s="405"/>
      <c r="BN373" s="405"/>
      <c r="BR373" s="405"/>
      <c r="BS373" s="405"/>
      <c r="GM373" s="12"/>
      <c r="GQ373" s="12"/>
    </row>
    <row r="374" spans="1:249" s="35" customFormat="1" x14ac:dyDescent="0.25">
      <c r="A374" s="35">
        <v>23</v>
      </c>
      <c r="B374" s="35" t="s">
        <v>357</v>
      </c>
      <c r="C374" s="35" t="s">
        <v>358</v>
      </c>
      <c r="D374" s="35">
        <v>2016</v>
      </c>
      <c r="E374" s="35">
        <v>2009</v>
      </c>
      <c r="F374" s="35" t="s">
        <v>372</v>
      </c>
      <c r="G374" s="35" t="s">
        <v>362</v>
      </c>
      <c r="H374" s="32" t="s">
        <v>2831</v>
      </c>
      <c r="I374" s="35">
        <v>38.92</v>
      </c>
      <c r="J374" s="35">
        <v>-76.150000000000006</v>
      </c>
      <c r="K374" s="35">
        <v>4.8</v>
      </c>
      <c r="Q374" s="49">
        <v>1</v>
      </c>
      <c r="R374" s="49" t="s">
        <v>1735</v>
      </c>
      <c r="S374" s="49"/>
      <c r="T374" s="49" t="s">
        <v>1892</v>
      </c>
      <c r="U374" s="49" t="s">
        <v>1383</v>
      </c>
      <c r="V374" s="49" t="s">
        <v>1722</v>
      </c>
      <c r="W374" s="49" t="s">
        <v>1383</v>
      </c>
      <c r="X374" s="49" t="s">
        <v>1383</v>
      </c>
      <c r="Z374" s="329"/>
      <c r="AA374" s="329"/>
      <c r="AB374" s="35" t="s">
        <v>1612</v>
      </c>
      <c r="AG374" s="35" t="s">
        <v>1534</v>
      </c>
      <c r="AH374" s="138" t="s">
        <v>578</v>
      </c>
      <c r="AI374" s="35" t="s">
        <v>367</v>
      </c>
      <c r="AJ374" s="140" t="s">
        <v>230</v>
      </c>
      <c r="AQ374" s="35" t="s">
        <v>360</v>
      </c>
      <c r="AR374" s="35" t="s">
        <v>360</v>
      </c>
      <c r="AS374" s="35" t="s">
        <v>178</v>
      </c>
      <c r="AT374" s="35" t="s">
        <v>161</v>
      </c>
      <c r="AU374" s="35">
        <v>4</v>
      </c>
      <c r="AW374" s="35" t="s">
        <v>142</v>
      </c>
      <c r="BA374" s="53"/>
      <c r="BH374" s="35">
        <v>773.56</v>
      </c>
      <c r="BI374" s="35">
        <v>375.87</v>
      </c>
      <c r="BM374" s="405"/>
      <c r="BN374" s="405"/>
      <c r="BR374" s="405"/>
      <c r="BS374" s="405"/>
      <c r="GM374" s="12"/>
      <c r="GQ374" s="12"/>
    </row>
    <row r="375" spans="1:249" s="35" customFormat="1" x14ac:dyDescent="0.25">
      <c r="A375" s="35">
        <v>23</v>
      </c>
      <c r="B375" s="35" t="s">
        <v>357</v>
      </c>
      <c r="C375" s="35" t="s">
        <v>358</v>
      </c>
      <c r="D375" s="35">
        <v>2016</v>
      </c>
      <c r="E375" s="35">
        <v>2009</v>
      </c>
      <c r="F375" s="35" t="s">
        <v>372</v>
      </c>
      <c r="G375" s="35" t="s">
        <v>362</v>
      </c>
      <c r="H375" s="32" t="s">
        <v>2831</v>
      </c>
      <c r="I375" s="35">
        <v>38.92</v>
      </c>
      <c r="J375" s="35">
        <v>-76.150000000000006</v>
      </c>
      <c r="K375" s="35">
        <v>4.8</v>
      </c>
      <c r="Q375" s="49">
        <v>1</v>
      </c>
      <c r="R375" s="49" t="s">
        <v>1735</v>
      </c>
      <c r="S375" s="49"/>
      <c r="T375" s="49" t="s">
        <v>1893</v>
      </c>
      <c r="U375" s="49" t="s">
        <v>1383</v>
      </c>
      <c r="V375" s="49" t="s">
        <v>1722</v>
      </c>
      <c r="W375" s="49" t="s">
        <v>1383</v>
      </c>
      <c r="X375" s="49" t="s">
        <v>1383</v>
      </c>
      <c r="Z375" s="329"/>
      <c r="AA375" s="329"/>
      <c r="AB375" s="35" t="s">
        <v>1612</v>
      </c>
      <c r="AG375" s="35" t="s">
        <v>1534</v>
      </c>
      <c r="AH375" s="138" t="s">
        <v>578</v>
      </c>
      <c r="AI375" s="35" t="s">
        <v>367</v>
      </c>
      <c r="AJ375" s="140" t="s">
        <v>230</v>
      </c>
      <c r="AQ375" s="35" t="s">
        <v>360</v>
      </c>
      <c r="AR375" s="35" t="s">
        <v>360</v>
      </c>
      <c r="AS375" s="35" t="s">
        <v>178</v>
      </c>
      <c r="AT375" s="35" t="s">
        <v>161</v>
      </c>
      <c r="AU375" s="35">
        <v>4</v>
      </c>
      <c r="AW375" s="35" t="s">
        <v>142</v>
      </c>
      <c r="BA375" s="53"/>
      <c r="BH375" s="35">
        <v>980.16</v>
      </c>
      <c r="BI375" s="35">
        <v>631.19000000000005</v>
      </c>
      <c r="BM375" s="405"/>
      <c r="BN375" s="405"/>
      <c r="BR375" s="405"/>
      <c r="BS375" s="405"/>
      <c r="GM375" s="12"/>
      <c r="GQ375" s="12"/>
    </row>
    <row r="376" spans="1:249" s="35" customFormat="1" x14ac:dyDescent="0.25">
      <c r="A376" s="35">
        <v>23</v>
      </c>
      <c r="B376" s="35" t="s">
        <v>357</v>
      </c>
      <c r="C376" s="35" t="s">
        <v>358</v>
      </c>
      <c r="D376" s="35">
        <v>2016</v>
      </c>
      <c r="E376" s="35">
        <v>2009</v>
      </c>
      <c r="F376" s="35" t="s">
        <v>372</v>
      </c>
      <c r="G376" s="35" t="s">
        <v>362</v>
      </c>
      <c r="H376" s="32" t="s">
        <v>2831</v>
      </c>
      <c r="I376" s="35">
        <v>38.92</v>
      </c>
      <c r="J376" s="35">
        <v>-76.150000000000006</v>
      </c>
      <c r="K376" s="35">
        <v>4.8</v>
      </c>
      <c r="Q376" s="49">
        <v>1</v>
      </c>
      <c r="R376" s="49" t="s">
        <v>1735</v>
      </c>
      <c r="S376" s="49"/>
      <c r="T376" s="49" t="s">
        <v>1894</v>
      </c>
      <c r="U376" s="49" t="s">
        <v>1383</v>
      </c>
      <c r="V376" s="49" t="s">
        <v>1722</v>
      </c>
      <c r="W376" s="49" t="s">
        <v>1383</v>
      </c>
      <c r="X376" s="49" t="s">
        <v>1383</v>
      </c>
      <c r="Z376" s="329"/>
      <c r="AA376" s="329"/>
      <c r="AB376" s="35" t="s">
        <v>1612</v>
      </c>
      <c r="AG376" s="35" t="s">
        <v>1534</v>
      </c>
      <c r="AH376" s="138" t="s">
        <v>578</v>
      </c>
      <c r="AI376" s="35" t="s">
        <v>367</v>
      </c>
      <c r="AJ376" s="140" t="s">
        <v>230</v>
      </c>
      <c r="AQ376" s="35" t="s">
        <v>360</v>
      </c>
      <c r="AR376" s="35" t="s">
        <v>360</v>
      </c>
      <c r="AS376" s="35" t="s">
        <v>178</v>
      </c>
      <c r="AT376" s="35" t="s">
        <v>161</v>
      </c>
      <c r="AU376" s="35">
        <v>4</v>
      </c>
      <c r="AW376" s="35" t="s">
        <v>142</v>
      </c>
      <c r="BA376" s="53"/>
      <c r="BH376" s="35">
        <v>1158.3800000000001</v>
      </c>
      <c r="BI376" s="35">
        <v>358.94</v>
      </c>
      <c r="BM376" s="405"/>
      <c r="BN376" s="405"/>
      <c r="BR376" s="405"/>
      <c r="BS376" s="405"/>
      <c r="GM376" s="12"/>
      <c r="GQ376" s="12"/>
    </row>
    <row r="377" spans="1:249" s="35" customFormat="1" x14ac:dyDescent="0.25">
      <c r="A377" s="35">
        <v>23</v>
      </c>
      <c r="B377" s="35" t="s">
        <v>357</v>
      </c>
      <c r="C377" s="35" t="s">
        <v>358</v>
      </c>
      <c r="D377" s="35">
        <v>2016</v>
      </c>
      <c r="E377" s="35">
        <v>2009</v>
      </c>
      <c r="F377" s="35" t="s">
        <v>372</v>
      </c>
      <c r="G377" s="35" t="s">
        <v>362</v>
      </c>
      <c r="H377" s="32" t="s">
        <v>2831</v>
      </c>
      <c r="I377" s="35">
        <v>38.92</v>
      </c>
      <c r="J377" s="35">
        <v>-76.150000000000006</v>
      </c>
      <c r="K377" s="35">
        <v>4.8</v>
      </c>
      <c r="Q377" s="49">
        <v>1</v>
      </c>
      <c r="R377" s="49" t="s">
        <v>1735</v>
      </c>
      <c r="S377" s="49"/>
      <c r="T377" s="49" t="s">
        <v>1895</v>
      </c>
      <c r="U377" s="49" t="s">
        <v>1383</v>
      </c>
      <c r="V377" s="49" t="s">
        <v>1722</v>
      </c>
      <c r="W377" s="49" t="s">
        <v>1383</v>
      </c>
      <c r="X377" s="49" t="s">
        <v>1383</v>
      </c>
      <c r="Z377" s="329"/>
      <c r="AA377" s="329"/>
      <c r="AB377" s="35" t="s">
        <v>1612</v>
      </c>
      <c r="AG377" s="35" t="s">
        <v>1534</v>
      </c>
      <c r="AH377" s="138" t="s">
        <v>578</v>
      </c>
      <c r="AI377" s="35" t="s">
        <v>367</v>
      </c>
      <c r="AJ377" s="140" t="s">
        <v>230</v>
      </c>
      <c r="AQ377" s="35" t="s">
        <v>360</v>
      </c>
      <c r="AR377" s="35" t="s">
        <v>360</v>
      </c>
      <c r="AS377" s="35" t="s">
        <v>178</v>
      </c>
      <c r="AT377" s="35" t="s">
        <v>161</v>
      </c>
      <c r="AU377" s="35">
        <v>4</v>
      </c>
      <c r="AW377" s="35" t="s">
        <v>142</v>
      </c>
      <c r="BA377" s="53"/>
      <c r="BH377" s="35">
        <v>573.70000000000005</v>
      </c>
      <c r="BI377" s="35">
        <v>131.72999999999999</v>
      </c>
      <c r="BM377" s="405"/>
      <c r="BN377" s="405"/>
      <c r="BR377" s="405"/>
      <c r="BS377" s="405"/>
      <c r="GM377" s="12"/>
      <c r="GQ377" s="12"/>
    </row>
    <row r="378" spans="1:249" s="35" customFormat="1" x14ac:dyDescent="0.25">
      <c r="A378" s="35">
        <v>23</v>
      </c>
      <c r="B378" s="35" t="s">
        <v>357</v>
      </c>
      <c r="C378" s="35" t="s">
        <v>358</v>
      </c>
      <c r="D378" s="35">
        <v>2016</v>
      </c>
      <c r="E378" s="35">
        <v>2009</v>
      </c>
      <c r="F378" s="35" t="s">
        <v>372</v>
      </c>
      <c r="G378" s="35" t="s">
        <v>362</v>
      </c>
      <c r="H378" s="32" t="s">
        <v>2831</v>
      </c>
      <c r="I378" s="35">
        <v>38.92</v>
      </c>
      <c r="J378" s="35">
        <v>-76.150000000000006</v>
      </c>
      <c r="K378" s="35">
        <v>4.8</v>
      </c>
      <c r="Q378" s="49">
        <v>1</v>
      </c>
      <c r="R378" s="49" t="s">
        <v>1735</v>
      </c>
      <c r="S378" s="49"/>
      <c r="T378" s="49" t="s">
        <v>1896</v>
      </c>
      <c r="U378" s="49" t="s">
        <v>1383</v>
      </c>
      <c r="V378" s="49" t="s">
        <v>1722</v>
      </c>
      <c r="W378" s="49" t="s">
        <v>1383</v>
      </c>
      <c r="X378" s="49" t="s">
        <v>1383</v>
      </c>
      <c r="Z378" s="329"/>
      <c r="AA378" s="329"/>
      <c r="AB378" s="35" t="s">
        <v>1612</v>
      </c>
      <c r="AG378" s="35" t="s">
        <v>1534</v>
      </c>
      <c r="AH378" s="138" t="s">
        <v>578</v>
      </c>
      <c r="AI378" s="35" t="s">
        <v>367</v>
      </c>
      <c r="AJ378" s="140" t="s">
        <v>230</v>
      </c>
      <c r="AQ378" s="35" t="s">
        <v>360</v>
      </c>
      <c r="AR378" s="35" t="s">
        <v>360</v>
      </c>
      <c r="AS378" s="35" t="s">
        <v>178</v>
      </c>
      <c r="AT378" s="35" t="s">
        <v>161</v>
      </c>
      <c r="AU378" s="35">
        <v>4</v>
      </c>
      <c r="AW378" s="35" t="s">
        <v>142</v>
      </c>
      <c r="BA378" s="53"/>
      <c r="BH378" s="35">
        <v>800.61</v>
      </c>
      <c r="BI378" s="35">
        <v>191.9</v>
      </c>
      <c r="BM378" s="405"/>
      <c r="BN378" s="405"/>
      <c r="BR378" s="405"/>
      <c r="BS378" s="405"/>
      <c r="GM378" s="12"/>
      <c r="GQ378" s="12"/>
    </row>
    <row r="379" spans="1:249" s="35" customFormat="1" x14ac:dyDescent="0.25">
      <c r="A379" s="35">
        <v>23</v>
      </c>
      <c r="B379" s="35" t="s">
        <v>357</v>
      </c>
      <c r="C379" s="35" t="s">
        <v>358</v>
      </c>
      <c r="D379" s="35">
        <v>2016</v>
      </c>
      <c r="E379" s="35">
        <v>2009</v>
      </c>
      <c r="F379" s="35" t="s">
        <v>372</v>
      </c>
      <c r="G379" s="35" t="s">
        <v>362</v>
      </c>
      <c r="H379" s="32" t="s">
        <v>2831</v>
      </c>
      <c r="I379" s="35">
        <v>38.92</v>
      </c>
      <c r="J379" s="35">
        <v>-76.150000000000006</v>
      </c>
      <c r="K379" s="35">
        <v>4.8</v>
      </c>
      <c r="Q379" s="49">
        <v>1</v>
      </c>
      <c r="R379" s="49" t="s">
        <v>1735</v>
      </c>
      <c r="S379" s="49"/>
      <c r="T379" s="49" t="s">
        <v>1897</v>
      </c>
      <c r="U379" s="49" t="s">
        <v>1383</v>
      </c>
      <c r="V379" s="49" t="s">
        <v>1722</v>
      </c>
      <c r="W379" s="49" t="s">
        <v>1383</v>
      </c>
      <c r="X379" s="49" t="s">
        <v>1383</v>
      </c>
      <c r="Z379" s="329"/>
      <c r="AA379" s="329"/>
      <c r="AB379" s="35" t="s">
        <v>1612</v>
      </c>
      <c r="AG379" s="35" t="s">
        <v>1534</v>
      </c>
      <c r="AH379" s="138" t="s">
        <v>578</v>
      </c>
      <c r="AI379" s="35" t="s">
        <v>367</v>
      </c>
      <c r="AJ379" s="140" t="s">
        <v>230</v>
      </c>
      <c r="AQ379" s="35" t="s">
        <v>360</v>
      </c>
      <c r="AR379" s="35" t="s">
        <v>360</v>
      </c>
      <c r="AS379" s="35" t="s">
        <v>178</v>
      </c>
      <c r="AT379" s="35" t="s">
        <v>161</v>
      </c>
      <c r="AU379" s="35">
        <v>4</v>
      </c>
      <c r="AW379" s="35" t="s">
        <v>142</v>
      </c>
      <c r="BA379" s="53"/>
      <c r="BH379" s="35">
        <v>893.59</v>
      </c>
      <c r="BI379" s="35">
        <v>240.28</v>
      </c>
      <c r="BM379" s="405"/>
      <c r="BN379" s="405"/>
      <c r="BR379" s="405"/>
      <c r="BS379" s="405"/>
      <c r="GM379" s="12"/>
      <c r="GQ379" s="12"/>
    </row>
    <row r="380" spans="1:249" s="35" customFormat="1" x14ac:dyDescent="0.25">
      <c r="A380" s="35">
        <v>23</v>
      </c>
      <c r="B380" s="35" t="s">
        <v>357</v>
      </c>
      <c r="C380" s="35" t="s">
        <v>358</v>
      </c>
      <c r="D380" s="35">
        <v>2016</v>
      </c>
      <c r="E380" s="35">
        <v>2009</v>
      </c>
      <c r="F380" s="35" t="s">
        <v>372</v>
      </c>
      <c r="G380" s="35" t="s">
        <v>362</v>
      </c>
      <c r="H380" s="32" t="s">
        <v>2831</v>
      </c>
      <c r="I380" s="35">
        <v>38.92</v>
      </c>
      <c r="J380" s="35">
        <v>-76.150000000000006</v>
      </c>
      <c r="K380" s="35">
        <v>4.8</v>
      </c>
      <c r="Q380" s="49">
        <v>1</v>
      </c>
      <c r="R380" s="49" t="s">
        <v>1735</v>
      </c>
      <c r="S380" s="49"/>
      <c r="T380" s="49" t="s">
        <v>1898</v>
      </c>
      <c r="U380" s="49" t="s">
        <v>1383</v>
      </c>
      <c r="V380" s="49" t="s">
        <v>1722</v>
      </c>
      <c r="W380" s="49" t="s">
        <v>1383</v>
      </c>
      <c r="X380" s="49" t="s">
        <v>1383</v>
      </c>
      <c r="Z380" s="329"/>
      <c r="AA380" s="329"/>
      <c r="AB380" s="35" t="s">
        <v>1612</v>
      </c>
      <c r="AG380" s="35" t="s">
        <v>1534</v>
      </c>
      <c r="AH380" s="138" t="s">
        <v>578</v>
      </c>
      <c r="AI380" s="35" t="s">
        <v>367</v>
      </c>
      <c r="AJ380" s="140" t="s">
        <v>230</v>
      </c>
      <c r="AQ380" s="35" t="s">
        <v>360</v>
      </c>
      <c r="AR380" s="35" t="s">
        <v>360</v>
      </c>
      <c r="AS380" s="35" t="s">
        <v>178</v>
      </c>
      <c r="AT380" s="35" t="s">
        <v>161</v>
      </c>
      <c r="AU380" s="35">
        <v>4</v>
      </c>
      <c r="AW380" s="35" t="s">
        <v>142</v>
      </c>
      <c r="BA380" s="53"/>
      <c r="BH380" s="35">
        <v>787.75</v>
      </c>
      <c r="BI380" s="35">
        <v>183.11</v>
      </c>
      <c r="BM380" s="405"/>
      <c r="BN380" s="405"/>
      <c r="BR380" s="405"/>
      <c r="BS380" s="405"/>
      <c r="GM380" s="12"/>
      <c r="GQ380" s="12"/>
    </row>
    <row r="381" spans="1:249" s="35" customFormat="1" x14ac:dyDescent="0.25">
      <c r="A381" s="35">
        <v>23</v>
      </c>
      <c r="B381" s="35" t="s">
        <v>357</v>
      </c>
      <c r="C381" s="35" t="s">
        <v>358</v>
      </c>
      <c r="D381" s="35">
        <v>2016</v>
      </c>
      <c r="E381" s="35">
        <v>2009</v>
      </c>
      <c r="F381" s="35" t="s">
        <v>372</v>
      </c>
      <c r="G381" s="35" t="s">
        <v>362</v>
      </c>
      <c r="H381" s="32" t="s">
        <v>2831</v>
      </c>
      <c r="I381" s="35">
        <v>38.92</v>
      </c>
      <c r="J381" s="35">
        <v>-76.150000000000006</v>
      </c>
      <c r="K381" s="35">
        <v>4.8</v>
      </c>
      <c r="Q381" s="49">
        <v>1</v>
      </c>
      <c r="R381" s="49" t="s">
        <v>1735</v>
      </c>
      <c r="S381" s="49"/>
      <c r="T381" s="49" t="s">
        <v>1899</v>
      </c>
      <c r="U381" s="49" t="s">
        <v>1383</v>
      </c>
      <c r="V381" s="49" t="s">
        <v>1722</v>
      </c>
      <c r="W381" s="49" t="s">
        <v>1383</v>
      </c>
      <c r="X381" s="49" t="s">
        <v>1383</v>
      </c>
      <c r="Z381" s="329"/>
      <c r="AA381" s="329"/>
      <c r="AB381" s="35" t="s">
        <v>1612</v>
      </c>
      <c r="AG381" s="35" t="s">
        <v>1534</v>
      </c>
      <c r="AH381" s="138" t="s">
        <v>578</v>
      </c>
      <c r="AI381" s="35" t="s">
        <v>367</v>
      </c>
      <c r="AJ381" s="140" t="s">
        <v>230</v>
      </c>
      <c r="AQ381" s="35" t="s">
        <v>360</v>
      </c>
      <c r="AR381" s="35" t="s">
        <v>360</v>
      </c>
      <c r="AS381" s="35" t="s">
        <v>178</v>
      </c>
      <c r="AT381" s="35" t="s">
        <v>161</v>
      </c>
      <c r="AU381" s="35">
        <v>4</v>
      </c>
      <c r="AW381" s="35" t="s">
        <v>142</v>
      </c>
      <c r="BA381" s="53"/>
      <c r="BH381" s="35">
        <v>414.26</v>
      </c>
      <c r="BI381" s="35">
        <v>158.61000000000001</v>
      </c>
      <c r="BM381" s="405"/>
      <c r="BN381" s="405"/>
      <c r="BR381" s="405"/>
      <c r="BS381" s="405"/>
      <c r="GM381" s="12"/>
      <c r="GQ381" s="12"/>
    </row>
    <row r="382" spans="1:249" s="24" customFormat="1" x14ac:dyDescent="0.25">
      <c r="A382" s="24">
        <v>23</v>
      </c>
      <c r="B382" s="24" t="s">
        <v>357</v>
      </c>
      <c r="C382" s="24" t="s">
        <v>358</v>
      </c>
      <c r="D382" s="24">
        <v>2016</v>
      </c>
      <c r="E382" s="24">
        <v>2009</v>
      </c>
      <c r="F382" s="24" t="s">
        <v>372</v>
      </c>
      <c r="G382" s="24" t="s">
        <v>361</v>
      </c>
      <c r="H382" s="32" t="s">
        <v>2831</v>
      </c>
      <c r="I382" s="24">
        <v>38.82</v>
      </c>
      <c r="J382" s="24">
        <v>-76.75</v>
      </c>
      <c r="K382" s="24">
        <v>5.5</v>
      </c>
      <c r="Q382" s="42">
        <v>1</v>
      </c>
      <c r="R382" s="42" t="s">
        <v>1735</v>
      </c>
      <c r="S382" s="42"/>
      <c r="T382" s="42" t="s">
        <v>1888</v>
      </c>
      <c r="U382" s="42" t="s">
        <v>1383</v>
      </c>
      <c r="V382" s="42" t="s">
        <v>1722</v>
      </c>
      <c r="W382" s="42" t="s">
        <v>1383</v>
      </c>
      <c r="X382" s="42" t="s">
        <v>1383</v>
      </c>
      <c r="Z382" s="321"/>
      <c r="AA382" s="321"/>
      <c r="AB382" s="24" t="s">
        <v>1612</v>
      </c>
      <c r="AG382" s="24" t="s">
        <v>1534</v>
      </c>
      <c r="AH382" s="138" t="s">
        <v>578</v>
      </c>
      <c r="AI382" s="24" t="s">
        <v>367</v>
      </c>
      <c r="AJ382" s="140" t="s">
        <v>230</v>
      </c>
      <c r="AQ382" s="24" t="s">
        <v>360</v>
      </c>
      <c r="AR382" s="24" t="s">
        <v>360</v>
      </c>
      <c r="AS382" s="24" t="s">
        <v>178</v>
      </c>
      <c r="AT382" s="24" t="s">
        <v>161</v>
      </c>
      <c r="AU382" s="24">
        <v>4</v>
      </c>
      <c r="AW382" s="24" t="s">
        <v>142</v>
      </c>
      <c r="BA382" s="53"/>
      <c r="BH382" s="24">
        <v>134.26</v>
      </c>
      <c r="BI382" s="24">
        <v>124.87</v>
      </c>
      <c r="BM382" s="395"/>
      <c r="BN382" s="395"/>
      <c r="BR382" s="395"/>
      <c r="BS382" s="395"/>
      <c r="GM382" s="12"/>
      <c r="GQ382" s="12"/>
    </row>
    <row r="383" spans="1:249" s="24" customFormat="1" x14ac:dyDescent="0.25">
      <c r="A383" s="24">
        <v>23</v>
      </c>
      <c r="B383" s="24" t="s">
        <v>357</v>
      </c>
      <c r="C383" s="24" t="s">
        <v>358</v>
      </c>
      <c r="D383" s="24">
        <v>2016</v>
      </c>
      <c r="E383" s="24">
        <v>2009</v>
      </c>
      <c r="F383" s="24" t="s">
        <v>372</v>
      </c>
      <c r="G383" s="24" t="s">
        <v>361</v>
      </c>
      <c r="H383" s="32" t="s">
        <v>2831</v>
      </c>
      <c r="I383" s="24">
        <v>38.82</v>
      </c>
      <c r="J383" s="24">
        <v>-76.75</v>
      </c>
      <c r="K383" s="24">
        <v>5.5</v>
      </c>
      <c r="Q383" s="42">
        <v>1</v>
      </c>
      <c r="R383" s="42" t="s">
        <v>1735</v>
      </c>
      <c r="S383" s="42"/>
      <c r="T383" s="42" t="s">
        <v>1889</v>
      </c>
      <c r="U383" s="42" t="s">
        <v>1383</v>
      </c>
      <c r="V383" s="42" t="s">
        <v>1722</v>
      </c>
      <c r="W383" s="42" t="s">
        <v>1383</v>
      </c>
      <c r="X383" s="42" t="s">
        <v>1383</v>
      </c>
      <c r="Z383" s="321"/>
      <c r="AA383" s="321"/>
      <c r="AB383" s="24" t="s">
        <v>1612</v>
      </c>
      <c r="AG383" s="24" t="s">
        <v>1534</v>
      </c>
      <c r="AH383" s="138" t="s">
        <v>578</v>
      </c>
      <c r="AI383" s="24" t="s">
        <v>367</v>
      </c>
      <c r="AJ383" s="140" t="s">
        <v>230</v>
      </c>
      <c r="AQ383" s="24" t="s">
        <v>360</v>
      </c>
      <c r="AR383" s="24" t="s">
        <v>360</v>
      </c>
      <c r="AS383" s="24" t="s">
        <v>178</v>
      </c>
      <c r="AT383" s="24" t="s">
        <v>161</v>
      </c>
      <c r="AU383" s="24">
        <v>4</v>
      </c>
      <c r="AW383" s="24" t="s">
        <v>142</v>
      </c>
      <c r="BA383" s="53"/>
      <c r="BH383" s="24">
        <v>145.25</v>
      </c>
      <c r="BI383" s="24">
        <v>134.22999999999999</v>
      </c>
      <c r="BM383" s="395"/>
      <c r="BN383" s="395"/>
      <c r="BR383" s="395"/>
      <c r="BS383" s="395"/>
      <c r="GM383" s="12"/>
      <c r="GQ383" s="12"/>
    </row>
    <row r="384" spans="1:249" s="24" customFormat="1" x14ac:dyDescent="0.25">
      <c r="A384" s="24">
        <v>23</v>
      </c>
      <c r="B384" s="24" t="s">
        <v>357</v>
      </c>
      <c r="C384" s="24" t="s">
        <v>358</v>
      </c>
      <c r="D384" s="24">
        <v>2016</v>
      </c>
      <c r="E384" s="24">
        <v>2009</v>
      </c>
      <c r="F384" s="24" t="s">
        <v>372</v>
      </c>
      <c r="G384" s="24" t="s">
        <v>361</v>
      </c>
      <c r="H384" s="32" t="s">
        <v>2831</v>
      </c>
      <c r="I384" s="24">
        <v>38.82</v>
      </c>
      <c r="J384" s="24">
        <v>-76.75</v>
      </c>
      <c r="K384" s="24">
        <v>5.5</v>
      </c>
      <c r="Q384" s="42">
        <v>1</v>
      </c>
      <c r="R384" s="42" t="s">
        <v>1735</v>
      </c>
      <c r="S384" s="42"/>
      <c r="T384" s="42" t="s">
        <v>1890</v>
      </c>
      <c r="U384" s="42" t="s">
        <v>1383</v>
      </c>
      <c r="V384" s="42" t="s">
        <v>1722</v>
      </c>
      <c r="W384" s="42" t="s">
        <v>1383</v>
      </c>
      <c r="X384" s="42" t="s">
        <v>1383</v>
      </c>
      <c r="Z384" s="321"/>
      <c r="AA384" s="321"/>
      <c r="AB384" s="24" t="s">
        <v>1612</v>
      </c>
      <c r="AG384" s="24" t="s">
        <v>1534</v>
      </c>
      <c r="AH384" s="138" t="s">
        <v>578</v>
      </c>
      <c r="AI384" s="24" t="s">
        <v>367</v>
      </c>
      <c r="AJ384" s="140" t="s">
        <v>230</v>
      </c>
      <c r="AQ384" s="24" t="s">
        <v>360</v>
      </c>
      <c r="AR384" s="24" t="s">
        <v>360</v>
      </c>
      <c r="AS384" s="24" t="s">
        <v>178</v>
      </c>
      <c r="AT384" s="24" t="s">
        <v>161</v>
      </c>
      <c r="AU384" s="24">
        <v>4</v>
      </c>
      <c r="AW384" s="24" t="s">
        <v>142</v>
      </c>
      <c r="BA384" s="53"/>
      <c r="BH384" s="24">
        <v>95.83</v>
      </c>
      <c r="BI384" s="24">
        <v>95.83</v>
      </c>
      <c r="BM384" s="395"/>
      <c r="BN384" s="395"/>
      <c r="BR384" s="395"/>
      <c r="BS384" s="395"/>
      <c r="GM384" s="12"/>
      <c r="GQ384" s="12"/>
    </row>
    <row r="385" spans="1:199" s="24" customFormat="1" x14ac:dyDescent="0.25">
      <c r="A385" s="24">
        <v>23</v>
      </c>
      <c r="B385" s="24" t="s">
        <v>357</v>
      </c>
      <c r="C385" s="24" t="s">
        <v>358</v>
      </c>
      <c r="D385" s="24">
        <v>2016</v>
      </c>
      <c r="E385" s="24">
        <v>2009</v>
      </c>
      <c r="F385" s="24" t="s">
        <v>372</v>
      </c>
      <c r="G385" s="24" t="s">
        <v>361</v>
      </c>
      <c r="H385" s="32" t="s">
        <v>2831</v>
      </c>
      <c r="I385" s="24">
        <v>38.82</v>
      </c>
      <c r="J385" s="24">
        <v>-76.75</v>
      </c>
      <c r="K385" s="24">
        <v>5.5</v>
      </c>
      <c r="Q385" s="42">
        <v>1</v>
      </c>
      <c r="R385" s="42" t="s">
        <v>1735</v>
      </c>
      <c r="S385" s="42"/>
      <c r="T385" s="42" t="s">
        <v>1891</v>
      </c>
      <c r="U385" s="42" t="s">
        <v>1383</v>
      </c>
      <c r="V385" s="42" t="s">
        <v>1722</v>
      </c>
      <c r="W385" s="42" t="s">
        <v>1383</v>
      </c>
      <c r="X385" s="42" t="s">
        <v>1383</v>
      </c>
      <c r="Z385" s="321"/>
      <c r="AA385" s="321"/>
      <c r="AB385" s="24" t="s">
        <v>1612</v>
      </c>
      <c r="AG385" s="24" t="s">
        <v>1534</v>
      </c>
      <c r="AH385" s="138" t="s">
        <v>578</v>
      </c>
      <c r="AI385" s="24" t="s">
        <v>367</v>
      </c>
      <c r="AJ385" s="140" t="s">
        <v>230</v>
      </c>
      <c r="AQ385" s="24" t="s">
        <v>360</v>
      </c>
      <c r="AR385" s="24" t="s">
        <v>360</v>
      </c>
      <c r="AS385" s="24" t="s">
        <v>178</v>
      </c>
      <c r="AT385" s="24" t="s">
        <v>161</v>
      </c>
      <c r="AU385" s="24">
        <v>4</v>
      </c>
      <c r="AW385" s="24" t="s">
        <v>142</v>
      </c>
      <c r="BA385" s="53"/>
      <c r="BH385" s="24">
        <v>131.72</v>
      </c>
      <c r="BI385" s="24">
        <v>115.8</v>
      </c>
      <c r="BM385" s="395"/>
      <c r="BN385" s="395"/>
      <c r="BR385" s="395"/>
      <c r="BS385" s="395"/>
      <c r="GM385" s="12"/>
      <c r="GQ385" s="12"/>
    </row>
    <row r="386" spans="1:199" s="24" customFormat="1" x14ac:dyDescent="0.25">
      <c r="A386" s="24">
        <v>23</v>
      </c>
      <c r="B386" s="24" t="s">
        <v>357</v>
      </c>
      <c r="C386" s="24" t="s">
        <v>358</v>
      </c>
      <c r="D386" s="24">
        <v>2016</v>
      </c>
      <c r="E386" s="24">
        <v>2009</v>
      </c>
      <c r="F386" s="24" t="s">
        <v>372</v>
      </c>
      <c r="G386" s="24" t="s">
        <v>361</v>
      </c>
      <c r="H386" s="32" t="s">
        <v>2831</v>
      </c>
      <c r="I386" s="24">
        <v>38.82</v>
      </c>
      <c r="J386" s="24">
        <v>-76.75</v>
      </c>
      <c r="K386" s="24">
        <v>5.5</v>
      </c>
      <c r="Q386" s="42">
        <v>1</v>
      </c>
      <c r="R386" s="42" t="s">
        <v>1735</v>
      </c>
      <c r="S386" s="42"/>
      <c r="T386" s="42" t="s">
        <v>1892</v>
      </c>
      <c r="U386" s="42" t="s">
        <v>1383</v>
      </c>
      <c r="V386" s="42" t="s">
        <v>1722</v>
      </c>
      <c r="W386" s="42" t="s">
        <v>1383</v>
      </c>
      <c r="X386" s="42" t="s">
        <v>1383</v>
      </c>
      <c r="Z386" s="321"/>
      <c r="AA386" s="321"/>
      <c r="AB386" s="24" t="s">
        <v>1612</v>
      </c>
      <c r="AG386" s="24" t="s">
        <v>1534</v>
      </c>
      <c r="AH386" s="138" t="s">
        <v>578</v>
      </c>
      <c r="AI386" s="24" t="s">
        <v>367</v>
      </c>
      <c r="AJ386" s="140" t="s">
        <v>230</v>
      </c>
      <c r="AQ386" s="24" t="s">
        <v>360</v>
      </c>
      <c r="AR386" s="24" t="s">
        <v>360</v>
      </c>
      <c r="AS386" s="24" t="s">
        <v>178</v>
      </c>
      <c r="AT386" s="24" t="s">
        <v>161</v>
      </c>
      <c r="AU386" s="24">
        <v>4</v>
      </c>
      <c r="AW386" s="24" t="s">
        <v>142</v>
      </c>
      <c r="BA386" s="53"/>
      <c r="BH386" s="24">
        <v>136.16999999999999</v>
      </c>
      <c r="BI386" s="24">
        <v>142.71</v>
      </c>
      <c r="BM386" s="395"/>
      <c r="BN386" s="395"/>
      <c r="BR386" s="395"/>
      <c r="BS386" s="395"/>
      <c r="GM386" s="12"/>
      <c r="GQ386" s="12"/>
    </row>
    <row r="387" spans="1:199" s="24" customFormat="1" x14ac:dyDescent="0.25">
      <c r="A387" s="24">
        <v>23</v>
      </c>
      <c r="B387" s="24" t="s">
        <v>357</v>
      </c>
      <c r="C387" s="24" t="s">
        <v>358</v>
      </c>
      <c r="D387" s="24">
        <v>2016</v>
      </c>
      <c r="E387" s="24">
        <v>2009</v>
      </c>
      <c r="F387" s="24" t="s">
        <v>372</v>
      </c>
      <c r="G387" s="24" t="s">
        <v>361</v>
      </c>
      <c r="H387" s="32" t="s">
        <v>2831</v>
      </c>
      <c r="I387" s="24">
        <v>38.82</v>
      </c>
      <c r="J387" s="24">
        <v>-76.75</v>
      </c>
      <c r="K387" s="24">
        <v>5.5</v>
      </c>
      <c r="Q387" s="42">
        <v>1</v>
      </c>
      <c r="R387" s="42" t="s">
        <v>1735</v>
      </c>
      <c r="S387" s="42"/>
      <c r="T387" s="42" t="s">
        <v>1893</v>
      </c>
      <c r="U387" s="42" t="s">
        <v>1383</v>
      </c>
      <c r="V387" s="42" t="s">
        <v>1722</v>
      </c>
      <c r="W387" s="42" t="s">
        <v>1383</v>
      </c>
      <c r="X387" s="42" t="s">
        <v>1383</v>
      </c>
      <c r="Z387" s="321"/>
      <c r="AA387" s="321"/>
      <c r="AB387" s="24" t="s">
        <v>1612</v>
      </c>
      <c r="AG387" s="24" t="s">
        <v>1534</v>
      </c>
      <c r="AH387" s="138" t="s">
        <v>578</v>
      </c>
      <c r="AI387" s="24" t="s">
        <v>367</v>
      </c>
      <c r="AJ387" s="140" t="s">
        <v>230</v>
      </c>
      <c r="AQ387" s="24" t="s">
        <v>360</v>
      </c>
      <c r="AR387" s="24" t="s">
        <v>360</v>
      </c>
      <c r="AS387" s="24" t="s">
        <v>178</v>
      </c>
      <c r="AT387" s="24" t="s">
        <v>161</v>
      </c>
      <c r="AU387" s="24">
        <v>4</v>
      </c>
      <c r="AW387" s="24" t="s">
        <v>142</v>
      </c>
      <c r="BA387" s="53"/>
      <c r="BH387" s="24">
        <v>156.55000000000001</v>
      </c>
      <c r="BI387" s="24">
        <v>143.08000000000001</v>
      </c>
      <c r="BM387" s="395"/>
      <c r="BN387" s="395"/>
      <c r="BR387" s="395"/>
      <c r="BS387" s="395"/>
      <c r="GM387" s="12"/>
      <c r="GQ387" s="12"/>
    </row>
    <row r="388" spans="1:199" s="24" customFormat="1" x14ac:dyDescent="0.25">
      <c r="A388" s="24">
        <v>23</v>
      </c>
      <c r="B388" s="24" t="s">
        <v>357</v>
      </c>
      <c r="C388" s="24" t="s">
        <v>358</v>
      </c>
      <c r="D388" s="24">
        <v>2016</v>
      </c>
      <c r="E388" s="24">
        <v>2009</v>
      </c>
      <c r="F388" s="24" t="s">
        <v>372</v>
      </c>
      <c r="G388" s="24" t="s">
        <v>361</v>
      </c>
      <c r="H388" s="32" t="s">
        <v>2831</v>
      </c>
      <c r="I388" s="24">
        <v>38.82</v>
      </c>
      <c r="J388" s="24">
        <v>-76.75</v>
      </c>
      <c r="K388" s="24">
        <v>5.5</v>
      </c>
      <c r="Q388" s="42">
        <v>1</v>
      </c>
      <c r="R388" s="42" t="s">
        <v>1735</v>
      </c>
      <c r="S388" s="42"/>
      <c r="T388" s="42" t="s">
        <v>1894</v>
      </c>
      <c r="U388" s="42" t="s">
        <v>1383</v>
      </c>
      <c r="V388" s="42" t="s">
        <v>1722</v>
      </c>
      <c r="W388" s="42" t="s">
        <v>1383</v>
      </c>
      <c r="X388" s="42" t="s">
        <v>1383</v>
      </c>
      <c r="Z388" s="321"/>
      <c r="AA388" s="321"/>
      <c r="AB388" s="24" t="s">
        <v>1612</v>
      </c>
      <c r="AG388" s="24" t="s">
        <v>1534</v>
      </c>
      <c r="AH388" s="138" t="s">
        <v>578</v>
      </c>
      <c r="AI388" s="24" t="s">
        <v>367</v>
      </c>
      <c r="AJ388" s="140" t="s">
        <v>230</v>
      </c>
      <c r="AQ388" s="24" t="s">
        <v>360</v>
      </c>
      <c r="AR388" s="24" t="s">
        <v>360</v>
      </c>
      <c r="AS388" s="24" t="s">
        <v>178</v>
      </c>
      <c r="AT388" s="24" t="s">
        <v>161</v>
      </c>
      <c r="AU388" s="24">
        <v>4</v>
      </c>
      <c r="AW388" s="24" t="s">
        <v>142</v>
      </c>
      <c r="BA388" s="53"/>
      <c r="BH388" s="24">
        <v>213.67</v>
      </c>
      <c r="BI388" s="24">
        <v>208.77</v>
      </c>
      <c r="BM388" s="395"/>
      <c r="BN388" s="395"/>
      <c r="BR388" s="395"/>
      <c r="BS388" s="395"/>
      <c r="GM388" s="12"/>
      <c r="GQ388" s="12"/>
    </row>
    <row r="389" spans="1:199" s="24" customFormat="1" x14ac:dyDescent="0.25">
      <c r="A389" s="24">
        <v>23</v>
      </c>
      <c r="B389" s="24" t="s">
        <v>357</v>
      </c>
      <c r="C389" s="24" t="s">
        <v>358</v>
      </c>
      <c r="D389" s="24">
        <v>2016</v>
      </c>
      <c r="E389" s="24">
        <v>2009</v>
      </c>
      <c r="F389" s="24" t="s">
        <v>372</v>
      </c>
      <c r="G389" s="24" t="s">
        <v>361</v>
      </c>
      <c r="H389" s="32" t="s">
        <v>2831</v>
      </c>
      <c r="I389" s="24">
        <v>38.82</v>
      </c>
      <c r="J389" s="24">
        <v>-76.75</v>
      </c>
      <c r="K389" s="24">
        <v>5.5</v>
      </c>
      <c r="Q389" s="42">
        <v>1</v>
      </c>
      <c r="R389" s="42" t="s">
        <v>1735</v>
      </c>
      <c r="S389" s="42"/>
      <c r="T389" s="42" t="s">
        <v>1895</v>
      </c>
      <c r="U389" s="42" t="s">
        <v>1383</v>
      </c>
      <c r="V389" s="42" t="s">
        <v>1722</v>
      </c>
      <c r="W389" s="42" t="s">
        <v>1383</v>
      </c>
      <c r="X389" s="42" t="s">
        <v>1383</v>
      </c>
      <c r="Z389" s="321"/>
      <c r="AA389" s="321"/>
      <c r="AB389" s="24" t="s">
        <v>1612</v>
      </c>
      <c r="AG389" s="24" t="s">
        <v>1534</v>
      </c>
      <c r="AH389" s="138" t="s">
        <v>578</v>
      </c>
      <c r="AI389" s="24" t="s">
        <v>367</v>
      </c>
      <c r="AJ389" s="140" t="s">
        <v>230</v>
      </c>
      <c r="AQ389" s="24" t="s">
        <v>360</v>
      </c>
      <c r="AR389" s="24" t="s">
        <v>360</v>
      </c>
      <c r="AS389" s="24" t="s">
        <v>178</v>
      </c>
      <c r="AT389" s="24" t="s">
        <v>161</v>
      </c>
      <c r="AU389" s="24">
        <v>4</v>
      </c>
      <c r="AW389" s="24" t="s">
        <v>142</v>
      </c>
      <c r="BA389" s="53"/>
      <c r="BH389" s="24">
        <v>147.91999999999999</v>
      </c>
      <c r="BI389" s="24">
        <v>125.47</v>
      </c>
      <c r="BM389" s="395"/>
      <c r="BN389" s="395"/>
      <c r="BR389" s="395"/>
      <c r="BS389" s="395"/>
      <c r="GM389" s="12"/>
      <c r="GQ389" s="12"/>
    </row>
    <row r="390" spans="1:199" s="24" customFormat="1" x14ac:dyDescent="0.25">
      <c r="A390" s="24">
        <v>23</v>
      </c>
      <c r="B390" s="24" t="s">
        <v>357</v>
      </c>
      <c r="C390" s="24" t="s">
        <v>358</v>
      </c>
      <c r="D390" s="24">
        <v>2016</v>
      </c>
      <c r="E390" s="24">
        <v>2009</v>
      </c>
      <c r="F390" s="24" t="s">
        <v>372</v>
      </c>
      <c r="G390" s="24" t="s">
        <v>361</v>
      </c>
      <c r="H390" s="32" t="s">
        <v>2831</v>
      </c>
      <c r="I390" s="24">
        <v>38.82</v>
      </c>
      <c r="J390" s="24">
        <v>-76.75</v>
      </c>
      <c r="K390" s="24">
        <v>5.5</v>
      </c>
      <c r="Q390" s="42">
        <v>1</v>
      </c>
      <c r="R390" s="42" t="s">
        <v>1735</v>
      </c>
      <c r="S390" s="42"/>
      <c r="T390" s="42" t="s">
        <v>1896</v>
      </c>
      <c r="U390" s="42" t="s">
        <v>1383</v>
      </c>
      <c r="V390" s="42" t="s">
        <v>1722</v>
      </c>
      <c r="W390" s="42" t="s">
        <v>1383</v>
      </c>
      <c r="X390" s="42" t="s">
        <v>1383</v>
      </c>
      <c r="Z390" s="321"/>
      <c r="AA390" s="321"/>
      <c r="AB390" s="24" t="s">
        <v>1612</v>
      </c>
      <c r="AG390" s="24" t="s">
        <v>1534</v>
      </c>
      <c r="AH390" s="138" t="s">
        <v>578</v>
      </c>
      <c r="AI390" s="24" t="s">
        <v>367</v>
      </c>
      <c r="AJ390" s="140" t="s">
        <v>230</v>
      </c>
      <c r="AQ390" s="24" t="s">
        <v>360</v>
      </c>
      <c r="AR390" s="24" t="s">
        <v>360</v>
      </c>
      <c r="AS390" s="24" t="s">
        <v>178</v>
      </c>
      <c r="AT390" s="24" t="s">
        <v>161</v>
      </c>
      <c r="AU390" s="24">
        <v>4</v>
      </c>
      <c r="AW390" s="24" t="s">
        <v>142</v>
      </c>
      <c r="BA390" s="53"/>
      <c r="BH390" s="24">
        <v>176.87</v>
      </c>
      <c r="BI390" s="24">
        <v>107.89</v>
      </c>
      <c r="BM390" s="395"/>
      <c r="BN390" s="395"/>
      <c r="BR390" s="395"/>
      <c r="BS390" s="395"/>
      <c r="GM390" s="12"/>
      <c r="GQ390" s="12"/>
    </row>
    <row r="391" spans="1:199" s="24" customFormat="1" x14ac:dyDescent="0.25">
      <c r="A391" s="24">
        <v>23</v>
      </c>
      <c r="B391" s="24" t="s">
        <v>357</v>
      </c>
      <c r="C391" s="24" t="s">
        <v>358</v>
      </c>
      <c r="D391" s="24">
        <v>2016</v>
      </c>
      <c r="E391" s="24">
        <v>2009</v>
      </c>
      <c r="F391" s="24" t="s">
        <v>372</v>
      </c>
      <c r="G391" s="24" t="s">
        <v>361</v>
      </c>
      <c r="H391" s="32" t="s">
        <v>2831</v>
      </c>
      <c r="I391" s="24">
        <v>38.82</v>
      </c>
      <c r="J391" s="24">
        <v>-76.75</v>
      </c>
      <c r="K391" s="24">
        <v>5.5</v>
      </c>
      <c r="Q391" s="42">
        <v>1</v>
      </c>
      <c r="R391" s="42" t="s">
        <v>1735</v>
      </c>
      <c r="S391" s="42"/>
      <c r="T391" s="42" t="s">
        <v>1897</v>
      </c>
      <c r="U391" s="42" t="s">
        <v>1383</v>
      </c>
      <c r="V391" s="42" t="s">
        <v>1722</v>
      </c>
      <c r="W391" s="42" t="s">
        <v>1383</v>
      </c>
      <c r="X391" s="42" t="s">
        <v>1383</v>
      </c>
      <c r="Z391" s="321"/>
      <c r="AA391" s="321"/>
      <c r="AB391" s="24" t="s">
        <v>1612</v>
      </c>
      <c r="AG391" s="24" t="s">
        <v>1534</v>
      </c>
      <c r="AH391" s="138" t="s">
        <v>578</v>
      </c>
      <c r="AI391" s="24" t="s">
        <v>367</v>
      </c>
      <c r="AJ391" s="140" t="s">
        <v>230</v>
      </c>
      <c r="AQ391" s="24" t="s">
        <v>360</v>
      </c>
      <c r="AR391" s="24" t="s">
        <v>360</v>
      </c>
      <c r="AS391" s="24" t="s">
        <v>178</v>
      </c>
      <c r="AT391" s="24" t="s">
        <v>161</v>
      </c>
      <c r="AU391" s="24">
        <v>4</v>
      </c>
      <c r="AW391" s="24" t="s">
        <v>142</v>
      </c>
      <c r="BA391" s="53"/>
      <c r="BH391" s="24">
        <v>205.41</v>
      </c>
      <c r="BI391" s="24">
        <v>123.37</v>
      </c>
      <c r="BM391" s="395"/>
      <c r="BN391" s="395"/>
      <c r="BR391" s="395"/>
      <c r="BS391" s="395"/>
      <c r="GM391" s="12"/>
      <c r="GQ391" s="12"/>
    </row>
    <row r="392" spans="1:199" s="24" customFormat="1" x14ac:dyDescent="0.25">
      <c r="A392" s="24">
        <v>23</v>
      </c>
      <c r="B392" s="24" t="s">
        <v>357</v>
      </c>
      <c r="C392" s="24" t="s">
        <v>358</v>
      </c>
      <c r="D392" s="24">
        <v>2016</v>
      </c>
      <c r="E392" s="24">
        <v>2009</v>
      </c>
      <c r="F392" s="24" t="s">
        <v>372</v>
      </c>
      <c r="G392" s="24" t="s">
        <v>361</v>
      </c>
      <c r="H392" s="32" t="s">
        <v>2831</v>
      </c>
      <c r="I392" s="24">
        <v>38.82</v>
      </c>
      <c r="J392" s="24">
        <v>-76.75</v>
      </c>
      <c r="K392" s="24">
        <v>5.5</v>
      </c>
      <c r="Q392" s="42">
        <v>1</v>
      </c>
      <c r="R392" s="42" t="s">
        <v>1735</v>
      </c>
      <c r="S392" s="42"/>
      <c r="T392" s="42" t="s">
        <v>1898</v>
      </c>
      <c r="U392" s="42" t="s">
        <v>1383</v>
      </c>
      <c r="V392" s="42" t="s">
        <v>1722</v>
      </c>
      <c r="W392" s="42" t="s">
        <v>1383</v>
      </c>
      <c r="X392" s="42" t="s">
        <v>1383</v>
      </c>
      <c r="Z392" s="321"/>
      <c r="AA392" s="321"/>
      <c r="AB392" s="24" t="s">
        <v>1612</v>
      </c>
      <c r="AG392" s="24" t="s">
        <v>1534</v>
      </c>
      <c r="AH392" s="138" t="s">
        <v>578</v>
      </c>
      <c r="AI392" s="24" t="s">
        <v>367</v>
      </c>
      <c r="AJ392" s="140" t="s">
        <v>230</v>
      </c>
      <c r="AQ392" s="24" t="s">
        <v>360</v>
      </c>
      <c r="AR392" s="24" t="s">
        <v>360</v>
      </c>
      <c r="AS392" s="24" t="s">
        <v>178</v>
      </c>
      <c r="AT392" s="24" t="s">
        <v>161</v>
      </c>
      <c r="AU392" s="24">
        <v>4</v>
      </c>
      <c r="AW392" s="24" t="s">
        <v>142</v>
      </c>
      <c r="BA392" s="53"/>
      <c r="BH392" s="24">
        <v>184.57</v>
      </c>
      <c r="BI392" s="24">
        <v>143.34</v>
      </c>
      <c r="BM392" s="395"/>
      <c r="BN392" s="395"/>
      <c r="BR392" s="395"/>
      <c r="BS392" s="395"/>
      <c r="GM392" s="12"/>
      <c r="GQ392" s="12"/>
    </row>
    <row r="393" spans="1:199" s="24" customFormat="1" x14ac:dyDescent="0.25">
      <c r="A393" s="24">
        <v>23</v>
      </c>
      <c r="B393" s="24" t="s">
        <v>357</v>
      </c>
      <c r="C393" s="24" t="s">
        <v>358</v>
      </c>
      <c r="D393" s="24">
        <v>2016</v>
      </c>
      <c r="E393" s="24">
        <v>2009</v>
      </c>
      <c r="F393" s="24" t="s">
        <v>372</v>
      </c>
      <c r="G393" s="24" t="s">
        <v>361</v>
      </c>
      <c r="H393" s="32" t="s">
        <v>2831</v>
      </c>
      <c r="I393" s="24">
        <v>38.82</v>
      </c>
      <c r="J393" s="24">
        <v>-76.75</v>
      </c>
      <c r="K393" s="24">
        <v>5.5</v>
      </c>
      <c r="Q393" s="42">
        <v>1</v>
      </c>
      <c r="R393" s="42" t="s">
        <v>1735</v>
      </c>
      <c r="S393" s="42"/>
      <c r="T393" s="42" t="s">
        <v>1899</v>
      </c>
      <c r="U393" s="42" t="s">
        <v>1383</v>
      </c>
      <c r="V393" s="42" t="s">
        <v>1722</v>
      </c>
      <c r="W393" s="42" t="s">
        <v>1383</v>
      </c>
      <c r="X393" s="42" t="s">
        <v>1383</v>
      </c>
      <c r="Z393" s="321"/>
      <c r="AA393" s="321"/>
      <c r="AB393" s="24" t="s">
        <v>1612</v>
      </c>
      <c r="AG393" s="24" t="s">
        <v>1534</v>
      </c>
      <c r="AH393" s="138" t="s">
        <v>578</v>
      </c>
      <c r="AI393" s="24" t="s">
        <v>367</v>
      </c>
      <c r="AJ393" s="140" t="s">
        <v>230</v>
      </c>
      <c r="AQ393" s="24" t="s">
        <v>360</v>
      </c>
      <c r="AR393" s="24" t="s">
        <v>360</v>
      </c>
      <c r="AS393" s="24" t="s">
        <v>178</v>
      </c>
      <c r="AT393" s="24" t="s">
        <v>161</v>
      </c>
      <c r="AU393" s="24">
        <v>4</v>
      </c>
      <c r="AW393" s="24" t="s">
        <v>142</v>
      </c>
      <c r="BA393" s="53"/>
      <c r="BH393" s="24">
        <v>125.35</v>
      </c>
      <c r="BI393" s="24">
        <v>115.56</v>
      </c>
      <c r="BM393" s="395"/>
      <c r="BN393" s="395"/>
      <c r="BR393" s="395"/>
      <c r="BS393" s="395"/>
      <c r="GM393" s="12"/>
      <c r="GQ393" s="12"/>
    </row>
    <row r="394" spans="1:199" s="35" customFormat="1" x14ac:dyDescent="0.25">
      <c r="A394" s="35">
        <v>23</v>
      </c>
      <c r="B394" s="35" t="s">
        <v>357</v>
      </c>
      <c r="C394" s="35" t="s">
        <v>358</v>
      </c>
      <c r="D394" s="35">
        <v>2016</v>
      </c>
      <c r="E394" s="35">
        <v>2010</v>
      </c>
      <c r="F394" s="35" t="s">
        <v>372</v>
      </c>
      <c r="G394" s="35" t="s">
        <v>362</v>
      </c>
      <c r="H394" s="32" t="s">
        <v>2831</v>
      </c>
      <c r="I394" s="35">
        <v>38.92</v>
      </c>
      <c r="J394" s="35">
        <v>-76.150000000000006</v>
      </c>
      <c r="K394" s="35">
        <v>4.8</v>
      </c>
      <c r="Q394" s="49">
        <v>2</v>
      </c>
      <c r="R394" s="49" t="s">
        <v>1735</v>
      </c>
      <c r="S394" s="49"/>
      <c r="T394" s="49" t="s">
        <v>1890</v>
      </c>
      <c r="U394" s="49" t="s">
        <v>1383</v>
      </c>
      <c r="V394" s="49" t="s">
        <v>1722</v>
      </c>
      <c r="W394" s="49" t="s">
        <v>1383</v>
      </c>
      <c r="X394" s="49" t="s">
        <v>1383</v>
      </c>
      <c r="Z394" s="329"/>
      <c r="AA394" s="329"/>
      <c r="AB394" s="35" t="s">
        <v>1612</v>
      </c>
      <c r="AG394" s="35" t="s">
        <v>1534</v>
      </c>
      <c r="AH394" s="138" t="s">
        <v>578</v>
      </c>
      <c r="AI394" s="35" t="s">
        <v>367</v>
      </c>
      <c r="AJ394" s="140" t="s">
        <v>230</v>
      </c>
      <c r="AQ394" s="35" t="s">
        <v>360</v>
      </c>
      <c r="AR394" s="35" t="s">
        <v>360</v>
      </c>
      <c r="AS394" s="35" t="s">
        <v>178</v>
      </c>
      <c r="AT394" s="35" t="s">
        <v>161</v>
      </c>
      <c r="AU394" s="35">
        <v>4</v>
      </c>
      <c r="AW394" s="35" t="s">
        <v>142</v>
      </c>
      <c r="BA394" s="53"/>
      <c r="BH394" s="35">
        <v>143.54</v>
      </c>
      <c r="BI394" s="35">
        <v>111.54</v>
      </c>
      <c r="BM394" s="405"/>
      <c r="BN394" s="405"/>
      <c r="BR394" s="405"/>
      <c r="BS394" s="405"/>
      <c r="GM394" s="12"/>
      <c r="GQ394" s="12"/>
    </row>
    <row r="395" spans="1:199" s="35" customFormat="1" x14ac:dyDescent="0.25">
      <c r="A395" s="35">
        <v>23</v>
      </c>
      <c r="B395" s="35" t="s">
        <v>357</v>
      </c>
      <c r="C395" s="35" t="s">
        <v>358</v>
      </c>
      <c r="D395" s="35">
        <v>2016</v>
      </c>
      <c r="E395" s="35">
        <v>2010</v>
      </c>
      <c r="F395" s="35" t="s">
        <v>372</v>
      </c>
      <c r="G395" s="35" t="s">
        <v>362</v>
      </c>
      <c r="H395" s="32" t="s">
        <v>2831</v>
      </c>
      <c r="I395" s="35">
        <v>38.92</v>
      </c>
      <c r="J395" s="35">
        <v>-76.150000000000006</v>
      </c>
      <c r="K395" s="35">
        <v>4.8</v>
      </c>
      <c r="Q395" s="49">
        <v>2</v>
      </c>
      <c r="R395" s="49" t="s">
        <v>1735</v>
      </c>
      <c r="S395" s="49"/>
      <c r="T395" s="49" t="s">
        <v>1900</v>
      </c>
      <c r="U395" s="49" t="s">
        <v>1383</v>
      </c>
      <c r="V395" s="49" t="s">
        <v>1722</v>
      </c>
      <c r="W395" s="49" t="s">
        <v>1383</v>
      </c>
      <c r="X395" s="49" t="s">
        <v>1383</v>
      </c>
      <c r="Z395" s="329"/>
      <c r="AA395" s="329"/>
      <c r="AB395" s="35" t="s">
        <v>1612</v>
      </c>
      <c r="AG395" s="35" t="s">
        <v>1534</v>
      </c>
      <c r="AH395" s="138" t="s">
        <v>578</v>
      </c>
      <c r="AI395" s="35" t="s">
        <v>367</v>
      </c>
      <c r="AJ395" s="140" t="s">
        <v>230</v>
      </c>
      <c r="AQ395" s="35" t="s">
        <v>360</v>
      </c>
      <c r="AR395" s="35" t="s">
        <v>360</v>
      </c>
      <c r="AS395" s="35" t="s">
        <v>178</v>
      </c>
      <c r="AT395" s="35" t="s">
        <v>161</v>
      </c>
      <c r="AU395" s="35">
        <v>4</v>
      </c>
      <c r="AW395" s="35" t="s">
        <v>142</v>
      </c>
      <c r="BA395" s="53"/>
      <c r="BH395" s="35">
        <v>199.11</v>
      </c>
      <c r="BI395" s="35">
        <v>128.12</v>
      </c>
      <c r="BM395" s="405"/>
      <c r="BN395" s="405"/>
      <c r="BR395" s="405"/>
      <c r="BS395" s="405"/>
      <c r="GM395" s="12"/>
      <c r="GQ395" s="12"/>
    </row>
    <row r="396" spans="1:199" s="35" customFormat="1" x14ac:dyDescent="0.25">
      <c r="A396" s="35">
        <v>23</v>
      </c>
      <c r="B396" s="35" t="s">
        <v>357</v>
      </c>
      <c r="C396" s="35" t="s">
        <v>358</v>
      </c>
      <c r="D396" s="35">
        <v>2016</v>
      </c>
      <c r="E396" s="35">
        <v>2010</v>
      </c>
      <c r="F396" s="35" t="s">
        <v>372</v>
      </c>
      <c r="G396" s="35" t="s">
        <v>362</v>
      </c>
      <c r="H396" s="32" t="s">
        <v>2831</v>
      </c>
      <c r="I396" s="35">
        <v>38.92</v>
      </c>
      <c r="J396" s="35">
        <v>-76.150000000000006</v>
      </c>
      <c r="K396" s="35">
        <v>4.8</v>
      </c>
      <c r="Q396" s="49">
        <v>2</v>
      </c>
      <c r="R396" s="49" t="s">
        <v>1735</v>
      </c>
      <c r="S396" s="49"/>
      <c r="T396" s="49" t="s">
        <v>1901</v>
      </c>
      <c r="U396" s="49" t="s">
        <v>1383</v>
      </c>
      <c r="V396" s="49" t="s">
        <v>1722</v>
      </c>
      <c r="W396" s="49" t="s">
        <v>1383</v>
      </c>
      <c r="X396" s="49" t="s">
        <v>1383</v>
      </c>
      <c r="Z396" s="329"/>
      <c r="AA396" s="329"/>
      <c r="AB396" s="35" t="s">
        <v>1612</v>
      </c>
      <c r="AG396" s="35" t="s">
        <v>1534</v>
      </c>
      <c r="AH396" s="138" t="s">
        <v>578</v>
      </c>
      <c r="AI396" s="35" t="s">
        <v>367</v>
      </c>
      <c r="AJ396" s="140" t="s">
        <v>230</v>
      </c>
      <c r="AQ396" s="35" t="s">
        <v>360</v>
      </c>
      <c r="AR396" s="35" t="s">
        <v>360</v>
      </c>
      <c r="AS396" s="35" t="s">
        <v>178</v>
      </c>
      <c r="AT396" s="35" t="s">
        <v>161</v>
      </c>
      <c r="AU396" s="35">
        <v>4</v>
      </c>
      <c r="AW396" s="35" t="s">
        <v>142</v>
      </c>
      <c r="BA396" s="53"/>
      <c r="BH396" s="35">
        <v>147.15</v>
      </c>
      <c r="BI396" s="35">
        <v>135.15</v>
      </c>
      <c r="BM396" s="405"/>
      <c r="BN396" s="405"/>
      <c r="BR396" s="405"/>
      <c r="BS396" s="405"/>
      <c r="GM396" s="12"/>
      <c r="GQ396" s="12"/>
    </row>
    <row r="397" spans="1:199" s="35" customFormat="1" x14ac:dyDescent="0.25">
      <c r="A397" s="35">
        <v>23</v>
      </c>
      <c r="B397" s="35" t="s">
        <v>357</v>
      </c>
      <c r="C397" s="35" t="s">
        <v>358</v>
      </c>
      <c r="D397" s="35">
        <v>2016</v>
      </c>
      <c r="E397" s="35">
        <v>2010</v>
      </c>
      <c r="F397" s="35" t="s">
        <v>372</v>
      </c>
      <c r="G397" s="35" t="s">
        <v>362</v>
      </c>
      <c r="H397" s="32" t="s">
        <v>2831</v>
      </c>
      <c r="I397" s="35">
        <v>38.92</v>
      </c>
      <c r="J397" s="35">
        <v>-76.150000000000006</v>
      </c>
      <c r="K397" s="35">
        <v>4.8</v>
      </c>
      <c r="Q397" s="49">
        <v>2</v>
      </c>
      <c r="R397" s="49" t="s">
        <v>1735</v>
      </c>
      <c r="S397" s="49"/>
      <c r="T397" s="49" t="s">
        <v>1895</v>
      </c>
      <c r="U397" s="49" t="s">
        <v>1383</v>
      </c>
      <c r="V397" s="49" t="s">
        <v>1722</v>
      </c>
      <c r="W397" s="49" t="s">
        <v>1383</v>
      </c>
      <c r="X397" s="49" t="s">
        <v>1383</v>
      </c>
      <c r="Z397" s="329"/>
      <c r="AA397" s="329"/>
      <c r="AB397" s="35" t="s">
        <v>1612</v>
      </c>
      <c r="AG397" s="35" t="s">
        <v>1534</v>
      </c>
      <c r="AH397" s="138" t="s">
        <v>578</v>
      </c>
      <c r="AI397" s="35" t="s">
        <v>367</v>
      </c>
      <c r="AJ397" s="140" t="s">
        <v>230</v>
      </c>
      <c r="AQ397" s="35" t="s">
        <v>360</v>
      </c>
      <c r="AR397" s="35" t="s">
        <v>360</v>
      </c>
      <c r="AS397" s="35" t="s">
        <v>178</v>
      </c>
      <c r="AT397" s="35" t="s">
        <v>161</v>
      </c>
      <c r="AU397" s="35">
        <v>4</v>
      </c>
      <c r="AW397" s="35" t="s">
        <v>142</v>
      </c>
      <c r="BA397" s="53"/>
      <c r="BH397" s="35">
        <v>212.21</v>
      </c>
      <c r="BI397" s="35">
        <v>177.71</v>
      </c>
      <c r="BM397" s="405"/>
      <c r="BN397" s="405"/>
      <c r="BR397" s="405"/>
      <c r="BS397" s="405"/>
      <c r="GM397" s="12"/>
      <c r="GQ397" s="12"/>
    </row>
    <row r="398" spans="1:199" s="35" customFormat="1" x14ac:dyDescent="0.25">
      <c r="A398" s="35">
        <v>23</v>
      </c>
      <c r="B398" s="35" t="s">
        <v>357</v>
      </c>
      <c r="C398" s="35" t="s">
        <v>358</v>
      </c>
      <c r="D398" s="35">
        <v>2016</v>
      </c>
      <c r="E398" s="35">
        <v>2010</v>
      </c>
      <c r="F398" s="35" t="s">
        <v>372</v>
      </c>
      <c r="G398" s="35" t="s">
        <v>362</v>
      </c>
      <c r="H398" s="32" t="s">
        <v>2831</v>
      </c>
      <c r="I398" s="35">
        <v>38.92</v>
      </c>
      <c r="J398" s="35">
        <v>-76.150000000000006</v>
      </c>
      <c r="K398" s="35">
        <v>4.8</v>
      </c>
      <c r="Q398" s="49">
        <v>2</v>
      </c>
      <c r="R398" s="49" t="s">
        <v>1735</v>
      </c>
      <c r="S398" s="49"/>
      <c r="T398" s="49" t="s">
        <v>1896</v>
      </c>
      <c r="U398" s="49" t="s">
        <v>1383</v>
      </c>
      <c r="V398" s="49" t="s">
        <v>1722</v>
      </c>
      <c r="W398" s="49" t="s">
        <v>1383</v>
      </c>
      <c r="X398" s="49" t="s">
        <v>1383</v>
      </c>
      <c r="Z398" s="329"/>
      <c r="AA398" s="329"/>
      <c r="AB398" s="35" t="s">
        <v>1612</v>
      </c>
      <c r="AG398" s="35" t="s">
        <v>1534</v>
      </c>
      <c r="AH398" s="138" t="s">
        <v>578</v>
      </c>
      <c r="AI398" s="35" t="s">
        <v>367</v>
      </c>
      <c r="AJ398" s="140" t="s">
        <v>230</v>
      </c>
      <c r="AQ398" s="35" t="s">
        <v>360</v>
      </c>
      <c r="AR398" s="35" t="s">
        <v>360</v>
      </c>
      <c r="AS398" s="35" t="s">
        <v>178</v>
      </c>
      <c r="AT398" s="35" t="s">
        <v>161</v>
      </c>
      <c r="AU398" s="35">
        <v>4</v>
      </c>
      <c r="AW398" s="35" t="s">
        <v>142</v>
      </c>
      <c r="BA398" s="53"/>
      <c r="BH398" s="35">
        <v>215.25</v>
      </c>
      <c r="BI398" s="35">
        <v>163.25</v>
      </c>
      <c r="BM398" s="405"/>
      <c r="BN398" s="405"/>
      <c r="BR398" s="405"/>
      <c r="BS398" s="405"/>
      <c r="GM398" s="12"/>
      <c r="GQ398" s="12"/>
    </row>
    <row r="399" spans="1:199" s="35" customFormat="1" x14ac:dyDescent="0.25">
      <c r="A399" s="35">
        <v>23</v>
      </c>
      <c r="B399" s="35" t="s">
        <v>357</v>
      </c>
      <c r="C399" s="35" t="s">
        <v>358</v>
      </c>
      <c r="D399" s="35">
        <v>2016</v>
      </c>
      <c r="E399" s="35">
        <v>2010</v>
      </c>
      <c r="F399" s="35" t="s">
        <v>372</v>
      </c>
      <c r="G399" s="35" t="s">
        <v>362</v>
      </c>
      <c r="H399" s="32" t="s">
        <v>2831</v>
      </c>
      <c r="I399" s="35">
        <v>38.92</v>
      </c>
      <c r="J399" s="35">
        <v>-76.150000000000006</v>
      </c>
      <c r="K399" s="35">
        <v>4.8</v>
      </c>
      <c r="Q399" s="49">
        <v>2</v>
      </c>
      <c r="R399" s="49" t="s">
        <v>1735</v>
      </c>
      <c r="S399" s="49"/>
      <c r="T399" s="49" t="s">
        <v>1897</v>
      </c>
      <c r="U399" s="49" t="s">
        <v>1383</v>
      </c>
      <c r="V399" s="49" t="s">
        <v>1722</v>
      </c>
      <c r="W399" s="49" t="s">
        <v>1383</v>
      </c>
      <c r="X399" s="49" t="s">
        <v>1383</v>
      </c>
      <c r="Z399" s="329"/>
      <c r="AA399" s="329"/>
      <c r="AB399" s="35" t="s">
        <v>1612</v>
      </c>
      <c r="AG399" s="35" t="s">
        <v>1534</v>
      </c>
      <c r="AH399" s="138" t="s">
        <v>578</v>
      </c>
      <c r="AI399" s="35" t="s">
        <v>367</v>
      </c>
      <c r="AJ399" s="140" t="s">
        <v>230</v>
      </c>
      <c r="AQ399" s="35" t="s">
        <v>360</v>
      </c>
      <c r="AR399" s="35" t="s">
        <v>360</v>
      </c>
      <c r="AS399" s="35" t="s">
        <v>178</v>
      </c>
      <c r="AT399" s="35" t="s">
        <v>161</v>
      </c>
      <c r="AU399" s="35">
        <v>4</v>
      </c>
      <c r="AW399" s="35" t="s">
        <v>142</v>
      </c>
      <c r="BA399" s="53"/>
      <c r="BH399" s="35">
        <v>182.28</v>
      </c>
      <c r="BI399" s="35">
        <v>130.79</v>
      </c>
      <c r="BM399" s="405"/>
      <c r="BN399" s="405"/>
      <c r="BR399" s="405"/>
      <c r="BS399" s="405"/>
      <c r="GM399" s="12"/>
      <c r="GQ399" s="12"/>
    </row>
    <row r="400" spans="1:199" s="35" customFormat="1" x14ac:dyDescent="0.25">
      <c r="A400" s="35">
        <v>23</v>
      </c>
      <c r="B400" s="35" t="s">
        <v>357</v>
      </c>
      <c r="C400" s="35" t="s">
        <v>358</v>
      </c>
      <c r="D400" s="35">
        <v>2016</v>
      </c>
      <c r="E400" s="35">
        <v>2010</v>
      </c>
      <c r="F400" s="35" t="s">
        <v>372</v>
      </c>
      <c r="G400" s="35" t="s">
        <v>362</v>
      </c>
      <c r="H400" s="32" t="s">
        <v>2831</v>
      </c>
      <c r="I400" s="35">
        <v>38.92</v>
      </c>
      <c r="J400" s="35">
        <v>-76.150000000000006</v>
      </c>
      <c r="K400" s="35">
        <v>4.8</v>
      </c>
      <c r="Q400" s="49">
        <v>2</v>
      </c>
      <c r="R400" s="49" t="s">
        <v>1735</v>
      </c>
      <c r="S400" s="49"/>
      <c r="T400" s="49" t="s">
        <v>1899</v>
      </c>
      <c r="U400" s="49" t="s">
        <v>1383</v>
      </c>
      <c r="V400" s="49" t="s">
        <v>1722</v>
      </c>
      <c r="W400" s="49" t="s">
        <v>1383</v>
      </c>
      <c r="X400" s="49" t="s">
        <v>1383</v>
      </c>
      <c r="Z400" s="329"/>
      <c r="AA400" s="329"/>
      <c r="AB400" s="35" t="s">
        <v>1612</v>
      </c>
      <c r="AG400" s="35" t="s">
        <v>1534</v>
      </c>
      <c r="AH400" s="138" t="s">
        <v>578</v>
      </c>
      <c r="AI400" s="35" t="s">
        <v>367</v>
      </c>
      <c r="AJ400" s="140" t="s">
        <v>230</v>
      </c>
      <c r="AQ400" s="35" t="s">
        <v>360</v>
      </c>
      <c r="AR400" s="35" t="s">
        <v>360</v>
      </c>
      <c r="AS400" s="35" t="s">
        <v>178</v>
      </c>
      <c r="AT400" s="35" t="s">
        <v>161</v>
      </c>
      <c r="AU400" s="35">
        <v>4</v>
      </c>
      <c r="AW400" s="35" t="s">
        <v>142</v>
      </c>
      <c r="BA400" s="53"/>
      <c r="BH400" s="35">
        <v>163.34</v>
      </c>
      <c r="BI400" s="35">
        <v>163.34</v>
      </c>
      <c r="BM400" s="405"/>
      <c r="BN400" s="405"/>
      <c r="BR400" s="405"/>
      <c r="BS400" s="405"/>
      <c r="GM400" s="12"/>
      <c r="GQ400" s="12"/>
    </row>
    <row r="401" spans="1:199" s="35" customFormat="1" x14ac:dyDescent="0.25">
      <c r="A401" s="35">
        <v>23</v>
      </c>
      <c r="B401" s="35" t="s">
        <v>357</v>
      </c>
      <c r="C401" s="35" t="s">
        <v>358</v>
      </c>
      <c r="D401" s="35">
        <v>2016</v>
      </c>
      <c r="E401" s="35">
        <v>2010</v>
      </c>
      <c r="F401" s="35" t="s">
        <v>372</v>
      </c>
      <c r="G401" s="35" t="s">
        <v>362</v>
      </c>
      <c r="H401" s="32" t="s">
        <v>2831</v>
      </c>
      <c r="I401" s="35">
        <v>38.92</v>
      </c>
      <c r="J401" s="35">
        <v>-76.150000000000006</v>
      </c>
      <c r="K401" s="35">
        <v>4.8</v>
      </c>
      <c r="Q401" s="49">
        <v>2</v>
      </c>
      <c r="R401" s="49" t="s">
        <v>1735</v>
      </c>
      <c r="S401" s="49"/>
      <c r="T401" s="49" t="s">
        <v>1902</v>
      </c>
      <c r="U401" s="49" t="s">
        <v>1383</v>
      </c>
      <c r="V401" s="49" t="s">
        <v>1722</v>
      </c>
      <c r="W401" s="49" t="s">
        <v>1383</v>
      </c>
      <c r="X401" s="49" t="s">
        <v>1383</v>
      </c>
      <c r="Z401" s="329"/>
      <c r="AA401" s="329"/>
      <c r="AB401" s="35" t="s">
        <v>1612</v>
      </c>
      <c r="AG401" s="35" t="s">
        <v>1534</v>
      </c>
      <c r="AH401" s="138" t="s">
        <v>578</v>
      </c>
      <c r="AI401" s="35" t="s">
        <v>367</v>
      </c>
      <c r="AJ401" s="140" t="s">
        <v>230</v>
      </c>
      <c r="AQ401" s="35" t="s">
        <v>360</v>
      </c>
      <c r="AR401" s="35" t="s">
        <v>360</v>
      </c>
      <c r="AS401" s="35" t="s">
        <v>178</v>
      </c>
      <c r="AT401" s="35" t="s">
        <v>161</v>
      </c>
      <c r="AU401" s="35">
        <v>4</v>
      </c>
      <c r="AW401" s="35" t="s">
        <v>142</v>
      </c>
      <c r="BA401" s="53"/>
      <c r="BH401" s="35">
        <v>160.38</v>
      </c>
      <c r="BI401" s="35">
        <v>101.88</v>
      </c>
      <c r="BM401" s="405"/>
      <c r="BN401" s="405"/>
      <c r="BR401" s="405"/>
      <c r="BS401" s="405"/>
      <c r="GM401" s="12"/>
      <c r="GQ401" s="12"/>
    </row>
    <row r="402" spans="1:199" s="35" customFormat="1" x14ac:dyDescent="0.25">
      <c r="A402" s="35">
        <v>23</v>
      </c>
      <c r="B402" s="35" t="s">
        <v>357</v>
      </c>
      <c r="C402" s="35" t="s">
        <v>358</v>
      </c>
      <c r="D402" s="35">
        <v>2016</v>
      </c>
      <c r="E402" s="35">
        <v>2010</v>
      </c>
      <c r="F402" s="35" t="s">
        <v>372</v>
      </c>
      <c r="G402" s="35" t="s">
        <v>362</v>
      </c>
      <c r="H402" s="32" t="s">
        <v>2831</v>
      </c>
      <c r="I402" s="35">
        <v>38.92</v>
      </c>
      <c r="J402" s="35">
        <v>-76.150000000000006</v>
      </c>
      <c r="K402" s="35">
        <v>4.8</v>
      </c>
      <c r="Q402" s="49">
        <v>2</v>
      </c>
      <c r="R402" s="49" t="s">
        <v>1735</v>
      </c>
      <c r="S402" s="49"/>
      <c r="T402" s="49" t="s">
        <v>1903</v>
      </c>
      <c r="U402" s="49" t="s">
        <v>1383</v>
      </c>
      <c r="V402" s="49" t="s">
        <v>1722</v>
      </c>
      <c r="W402" s="49" t="s">
        <v>1383</v>
      </c>
      <c r="X402" s="49" t="s">
        <v>1383</v>
      </c>
      <c r="Z402" s="329"/>
      <c r="AA402" s="329"/>
      <c r="AB402" s="35" t="s">
        <v>1612</v>
      </c>
      <c r="AG402" s="35" t="s">
        <v>1534</v>
      </c>
      <c r="AH402" s="138" t="s">
        <v>578</v>
      </c>
      <c r="AI402" s="35" t="s">
        <v>367</v>
      </c>
      <c r="AJ402" s="140" t="s">
        <v>230</v>
      </c>
      <c r="AQ402" s="35" t="s">
        <v>360</v>
      </c>
      <c r="AR402" s="35" t="s">
        <v>360</v>
      </c>
      <c r="AS402" s="35" t="s">
        <v>178</v>
      </c>
      <c r="AT402" s="35" t="s">
        <v>161</v>
      </c>
      <c r="AU402" s="35">
        <v>4</v>
      </c>
      <c r="AW402" s="35" t="s">
        <v>142</v>
      </c>
      <c r="BA402" s="53"/>
      <c r="BH402" s="35">
        <v>160.44</v>
      </c>
      <c r="BI402" s="35">
        <v>95.94</v>
      </c>
      <c r="BM402" s="405"/>
      <c r="BN402" s="405"/>
      <c r="BR402" s="405"/>
      <c r="BS402" s="405"/>
      <c r="GM402" s="12"/>
      <c r="GQ402" s="12"/>
    </row>
    <row r="403" spans="1:199" s="24" customFormat="1" x14ac:dyDescent="0.25">
      <c r="A403" s="24">
        <v>23</v>
      </c>
      <c r="B403" s="24" t="s">
        <v>357</v>
      </c>
      <c r="C403" s="24" t="s">
        <v>358</v>
      </c>
      <c r="D403" s="24">
        <v>2016</v>
      </c>
      <c r="E403" s="24">
        <v>2010</v>
      </c>
      <c r="F403" s="24" t="s">
        <v>372</v>
      </c>
      <c r="G403" s="24" t="s">
        <v>361</v>
      </c>
      <c r="H403" s="32" t="s">
        <v>2831</v>
      </c>
      <c r="I403" s="24">
        <v>38.82</v>
      </c>
      <c r="J403" s="24">
        <v>-76.75</v>
      </c>
      <c r="K403" s="24">
        <v>5.5</v>
      </c>
      <c r="Q403" s="42">
        <v>2</v>
      </c>
      <c r="R403" s="42" t="s">
        <v>1735</v>
      </c>
      <c r="S403" s="42"/>
      <c r="T403" s="42" t="s">
        <v>1904</v>
      </c>
      <c r="U403" s="42" t="s">
        <v>1383</v>
      </c>
      <c r="V403" s="42" t="s">
        <v>1722</v>
      </c>
      <c r="W403" s="42" t="s">
        <v>1383</v>
      </c>
      <c r="X403" s="42" t="s">
        <v>1383</v>
      </c>
      <c r="Z403" s="321"/>
      <c r="AA403" s="321"/>
      <c r="AB403" s="24" t="s">
        <v>1612</v>
      </c>
      <c r="AG403" s="24" t="s">
        <v>1534</v>
      </c>
      <c r="AH403" s="138" t="s">
        <v>578</v>
      </c>
      <c r="AI403" s="24" t="s">
        <v>367</v>
      </c>
      <c r="AJ403" s="140" t="s">
        <v>230</v>
      </c>
      <c r="AQ403" s="24" t="s">
        <v>360</v>
      </c>
      <c r="AR403" s="24" t="s">
        <v>360</v>
      </c>
      <c r="AS403" s="24" t="s">
        <v>178</v>
      </c>
      <c r="AT403" s="24" t="s">
        <v>161</v>
      </c>
      <c r="AU403" s="24">
        <v>4</v>
      </c>
      <c r="AW403" s="24" t="s">
        <v>142</v>
      </c>
      <c r="BA403" s="53"/>
      <c r="BH403" s="24">
        <v>129.25</v>
      </c>
      <c r="BI403" s="24">
        <v>1</v>
      </c>
      <c r="BM403" s="395"/>
      <c r="BN403" s="395"/>
      <c r="BR403" s="395"/>
      <c r="BS403" s="395"/>
      <c r="GM403" s="12"/>
      <c r="GQ403" s="12"/>
    </row>
    <row r="404" spans="1:199" s="24" customFormat="1" x14ac:dyDescent="0.25">
      <c r="A404" s="24">
        <v>23</v>
      </c>
      <c r="B404" s="24" t="s">
        <v>357</v>
      </c>
      <c r="C404" s="24" t="s">
        <v>358</v>
      </c>
      <c r="D404" s="24">
        <v>2016</v>
      </c>
      <c r="E404" s="24">
        <v>2010</v>
      </c>
      <c r="F404" s="24" t="s">
        <v>372</v>
      </c>
      <c r="G404" s="24" t="s">
        <v>361</v>
      </c>
      <c r="H404" s="32" t="s">
        <v>2831</v>
      </c>
      <c r="I404" s="24">
        <v>38.82</v>
      </c>
      <c r="J404" s="24">
        <v>-76.75</v>
      </c>
      <c r="K404" s="24">
        <v>5.5</v>
      </c>
      <c r="Q404" s="42">
        <v>2</v>
      </c>
      <c r="R404" s="42" t="s">
        <v>1735</v>
      </c>
      <c r="S404" s="42"/>
      <c r="T404" s="42" t="s">
        <v>1905</v>
      </c>
      <c r="U404" s="42" t="s">
        <v>1383</v>
      </c>
      <c r="V404" s="42" t="s">
        <v>1722</v>
      </c>
      <c r="W404" s="42" t="s">
        <v>1383</v>
      </c>
      <c r="X404" s="42" t="s">
        <v>1383</v>
      </c>
      <c r="Z404" s="321"/>
      <c r="AA404" s="321"/>
      <c r="AB404" s="24" t="s">
        <v>1612</v>
      </c>
      <c r="AG404" s="24" t="s">
        <v>1534</v>
      </c>
      <c r="AH404" s="138" t="s">
        <v>578</v>
      </c>
      <c r="AI404" s="24" t="s">
        <v>367</v>
      </c>
      <c r="AJ404" s="140" t="s">
        <v>230</v>
      </c>
      <c r="AQ404" s="24" t="s">
        <v>360</v>
      </c>
      <c r="AR404" s="24" t="s">
        <v>360</v>
      </c>
      <c r="AS404" s="24" t="s">
        <v>178</v>
      </c>
      <c r="AT404" s="24" t="s">
        <v>161</v>
      </c>
      <c r="AU404" s="24">
        <v>4</v>
      </c>
      <c r="AW404" s="24" t="s">
        <v>142</v>
      </c>
      <c r="BA404" s="53"/>
      <c r="BH404" s="24">
        <v>727.89</v>
      </c>
      <c r="BI404" s="24">
        <v>68.03</v>
      </c>
      <c r="BM404" s="395"/>
      <c r="BN404" s="395"/>
      <c r="BR404" s="395"/>
      <c r="BS404" s="395"/>
      <c r="GM404" s="12"/>
      <c r="GQ404" s="12"/>
    </row>
    <row r="405" spans="1:199" s="24" customFormat="1" x14ac:dyDescent="0.25">
      <c r="A405" s="24">
        <v>23</v>
      </c>
      <c r="B405" s="24" t="s">
        <v>357</v>
      </c>
      <c r="C405" s="24" t="s">
        <v>358</v>
      </c>
      <c r="D405" s="24">
        <v>2016</v>
      </c>
      <c r="E405" s="24">
        <v>2010</v>
      </c>
      <c r="F405" s="24" t="s">
        <v>372</v>
      </c>
      <c r="G405" s="24" t="s">
        <v>361</v>
      </c>
      <c r="H405" s="32" t="s">
        <v>2831</v>
      </c>
      <c r="I405" s="24">
        <v>38.82</v>
      </c>
      <c r="J405" s="24">
        <v>-76.75</v>
      </c>
      <c r="K405" s="24">
        <v>5.5</v>
      </c>
      <c r="Q405" s="42">
        <v>2</v>
      </c>
      <c r="R405" s="42" t="s">
        <v>1735</v>
      </c>
      <c r="S405" s="42"/>
      <c r="T405" s="42" t="s">
        <v>1893</v>
      </c>
      <c r="U405" s="42" t="s">
        <v>1383</v>
      </c>
      <c r="V405" s="42" t="s">
        <v>1722</v>
      </c>
      <c r="W405" s="42" t="s">
        <v>1383</v>
      </c>
      <c r="X405" s="42" t="s">
        <v>1383</v>
      </c>
      <c r="Z405" s="321"/>
      <c r="AA405" s="321"/>
      <c r="AB405" s="24" t="s">
        <v>1612</v>
      </c>
      <c r="AG405" s="24" t="s">
        <v>1534</v>
      </c>
      <c r="AH405" s="138" t="s">
        <v>578</v>
      </c>
      <c r="AI405" s="24" t="s">
        <v>367</v>
      </c>
      <c r="AJ405" s="140" t="s">
        <v>230</v>
      </c>
      <c r="AQ405" s="24" t="s">
        <v>360</v>
      </c>
      <c r="AR405" s="24" t="s">
        <v>360</v>
      </c>
      <c r="AS405" s="24" t="s">
        <v>178</v>
      </c>
      <c r="AT405" s="24" t="s">
        <v>161</v>
      </c>
      <c r="AU405" s="24">
        <v>4</v>
      </c>
      <c r="AW405" s="24" t="s">
        <v>142</v>
      </c>
      <c r="BA405" s="53"/>
      <c r="BH405" s="24">
        <v>619.04999999999995</v>
      </c>
      <c r="BI405" s="24">
        <v>231.29</v>
      </c>
      <c r="BM405" s="395"/>
      <c r="BN405" s="395"/>
      <c r="BR405" s="395"/>
      <c r="BS405" s="395"/>
      <c r="GM405" s="12"/>
      <c r="GQ405" s="12"/>
    </row>
    <row r="406" spans="1:199" s="24" customFormat="1" x14ac:dyDescent="0.25">
      <c r="A406" s="24">
        <v>23</v>
      </c>
      <c r="B406" s="24" t="s">
        <v>357</v>
      </c>
      <c r="C406" s="24" t="s">
        <v>358</v>
      </c>
      <c r="D406" s="24">
        <v>2016</v>
      </c>
      <c r="E406" s="24">
        <v>2010</v>
      </c>
      <c r="F406" s="24" t="s">
        <v>372</v>
      </c>
      <c r="G406" s="24" t="s">
        <v>361</v>
      </c>
      <c r="H406" s="32" t="s">
        <v>2831</v>
      </c>
      <c r="I406" s="24">
        <v>38.82</v>
      </c>
      <c r="J406" s="24">
        <v>-76.75</v>
      </c>
      <c r="K406" s="24">
        <v>5.5</v>
      </c>
      <c r="Q406" s="42">
        <v>2</v>
      </c>
      <c r="R406" s="42" t="s">
        <v>1735</v>
      </c>
      <c r="S406" s="42"/>
      <c r="T406" s="42" t="s">
        <v>1894</v>
      </c>
      <c r="U406" s="42" t="s">
        <v>1383</v>
      </c>
      <c r="V406" s="42" t="s">
        <v>1722</v>
      </c>
      <c r="W406" s="42" t="s">
        <v>1383</v>
      </c>
      <c r="X406" s="42" t="s">
        <v>1383</v>
      </c>
      <c r="Z406" s="321"/>
      <c r="AA406" s="321"/>
      <c r="AB406" s="24" t="s">
        <v>1612</v>
      </c>
      <c r="AG406" s="24" t="s">
        <v>1534</v>
      </c>
      <c r="AH406" s="138" t="s">
        <v>578</v>
      </c>
      <c r="AI406" s="24" t="s">
        <v>367</v>
      </c>
      <c r="AJ406" s="140" t="s">
        <v>230</v>
      </c>
      <c r="AQ406" s="24" t="s">
        <v>360</v>
      </c>
      <c r="AR406" s="24" t="s">
        <v>360</v>
      </c>
      <c r="AS406" s="24" t="s">
        <v>178</v>
      </c>
      <c r="AT406" s="24" t="s">
        <v>161</v>
      </c>
      <c r="AU406" s="24">
        <v>4</v>
      </c>
      <c r="AW406" s="24" t="s">
        <v>142</v>
      </c>
      <c r="BA406" s="53"/>
      <c r="BH406" s="24">
        <v>591.84</v>
      </c>
      <c r="BI406" s="24">
        <v>81.63</v>
      </c>
      <c r="BM406" s="395"/>
      <c r="BN406" s="395"/>
      <c r="BR406" s="395"/>
      <c r="BS406" s="395"/>
      <c r="GM406" s="12"/>
      <c r="GQ406" s="12"/>
    </row>
    <row r="407" spans="1:199" s="24" customFormat="1" x14ac:dyDescent="0.25">
      <c r="A407" s="24">
        <v>23</v>
      </c>
      <c r="B407" s="24" t="s">
        <v>357</v>
      </c>
      <c r="C407" s="24" t="s">
        <v>358</v>
      </c>
      <c r="D407" s="24">
        <v>2016</v>
      </c>
      <c r="E407" s="24">
        <v>2010</v>
      </c>
      <c r="F407" s="24" t="s">
        <v>372</v>
      </c>
      <c r="G407" s="24" t="s">
        <v>361</v>
      </c>
      <c r="H407" s="32" t="s">
        <v>2831</v>
      </c>
      <c r="I407" s="24">
        <v>38.82</v>
      </c>
      <c r="J407" s="24">
        <v>-76.75</v>
      </c>
      <c r="K407" s="24">
        <v>5.5</v>
      </c>
      <c r="Q407" s="42">
        <v>2</v>
      </c>
      <c r="R407" s="42" t="s">
        <v>1735</v>
      </c>
      <c r="S407" s="42"/>
      <c r="T407" s="42" t="s">
        <v>1906</v>
      </c>
      <c r="U407" s="42" t="s">
        <v>1383</v>
      </c>
      <c r="V407" s="42" t="s">
        <v>1722</v>
      </c>
      <c r="W407" s="42" t="s">
        <v>1383</v>
      </c>
      <c r="X407" s="42" t="s">
        <v>1383</v>
      </c>
      <c r="Z407" s="321"/>
      <c r="AA407" s="321"/>
      <c r="AB407" s="24" t="s">
        <v>1612</v>
      </c>
      <c r="AG407" s="24" t="s">
        <v>1534</v>
      </c>
      <c r="AH407" s="138" t="s">
        <v>578</v>
      </c>
      <c r="AI407" s="24" t="s">
        <v>367</v>
      </c>
      <c r="AJ407" s="140" t="s">
        <v>230</v>
      </c>
      <c r="AQ407" s="24" t="s">
        <v>360</v>
      </c>
      <c r="AR407" s="24" t="s">
        <v>360</v>
      </c>
      <c r="AS407" s="24" t="s">
        <v>178</v>
      </c>
      <c r="AT407" s="24" t="s">
        <v>161</v>
      </c>
      <c r="AU407" s="24">
        <v>4</v>
      </c>
      <c r="AW407" s="24" t="s">
        <v>142</v>
      </c>
      <c r="BA407" s="53"/>
      <c r="BH407" s="24">
        <v>401.36</v>
      </c>
      <c r="BI407" s="24">
        <v>142.86000000000001</v>
      </c>
      <c r="BM407" s="395"/>
      <c r="BN407" s="395"/>
      <c r="BR407" s="395"/>
      <c r="BS407" s="395"/>
      <c r="GM407" s="12"/>
      <c r="GQ407" s="12"/>
    </row>
    <row r="408" spans="1:199" s="24" customFormat="1" x14ac:dyDescent="0.25">
      <c r="A408" s="24">
        <v>23</v>
      </c>
      <c r="B408" s="24" t="s">
        <v>357</v>
      </c>
      <c r="C408" s="24" t="s">
        <v>358</v>
      </c>
      <c r="D408" s="24">
        <v>2016</v>
      </c>
      <c r="E408" s="24">
        <v>2010</v>
      </c>
      <c r="F408" s="24" t="s">
        <v>372</v>
      </c>
      <c r="G408" s="24" t="s">
        <v>361</v>
      </c>
      <c r="H408" s="32" t="s">
        <v>2831</v>
      </c>
      <c r="I408" s="24">
        <v>38.82</v>
      </c>
      <c r="J408" s="24">
        <v>-76.75</v>
      </c>
      <c r="K408" s="24">
        <v>5.5</v>
      </c>
      <c r="Q408" s="42">
        <v>2</v>
      </c>
      <c r="R408" s="42" t="s">
        <v>1735</v>
      </c>
      <c r="S408" s="42"/>
      <c r="T408" s="42" t="s">
        <v>1907</v>
      </c>
      <c r="U408" s="42" t="s">
        <v>1383</v>
      </c>
      <c r="V408" s="42" t="s">
        <v>1722</v>
      </c>
      <c r="W408" s="42" t="s">
        <v>1383</v>
      </c>
      <c r="X408" s="42" t="s">
        <v>1383</v>
      </c>
      <c r="Z408" s="321"/>
      <c r="AA408" s="321"/>
      <c r="AB408" s="24" t="s">
        <v>1612</v>
      </c>
      <c r="AG408" s="24" t="s">
        <v>1534</v>
      </c>
      <c r="AH408" s="138" t="s">
        <v>578</v>
      </c>
      <c r="AI408" s="24" t="s">
        <v>367</v>
      </c>
      <c r="AJ408" s="140" t="s">
        <v>230</v>
      </c>
      <c r="AQ408" s="24" t="s">
        <v>360</v>
      </c>
      <c r="AR408" s="24" t="s">
        <v>360</v>
      </c>
      <c r="AS408" s="24" t="s">
        <v>178</v>
      </c>
      <c r="AT408" s="24" t="s">
        <v>161</v>
      </c>
      <c r="AU408" s="24">
        <v>4</v>
      </c>
      <c r="AW408" s="24" t="s">
        <v>142</v>
      </c>
      <c r="BA408" s="53"/>
      <c r="BH408" s="24">
        <v>1095.24</v>
      </c>
      <c r="BI408" s="24">
        <v>204.08</v>
      </c>
      <c r="BM408" s="395"/>
      <c r="BN408" s="395"/>
      <c r="BR408" s="395"/>
      <c r="BS408" s="395"/>
      <c r="GM408" s="12"/>
      <c r="GQ408" s="12"/>
    </row>
    <row r="409" spans="1:199" s="24" customFormat="1" x14ac:dyDescent="0.25">
      <c r="A409" s="24">
        <v>23</v>
      </c>
      <c r="B409" s="24" t="s">
        <v>357</v>
      </c>
      <c r="C409" s="24" t="s">
        <v>358</v>
      </c>
      <c r="D409" s="24">
        <v>2016</v>
      </c>
      <c r="E409" s="24">
        <v>2010</v>
      </c>
      <c r="F409" s="24" t="s">
        <v>372</v>
      </c>
      <c r="G409" s="24" t="s">
        <v>361</v>
      </c>
      <c r="H409" s="32" t="s">
        <v>2831</v>
      </c>
      <c r="I409" s="24">
        <v>38.82</v>
      </c>
      <c r="J409" s="24">
        <v>-76.75</v>
      </c>
      <c r="K409" s="24">
        <v>5.5</v>
      </c>
      <c r="Q409" s="42">
        <v>2</v>
      </c>
      <c r="R409" s="42" t="s">
        <v>1735</v>
      </c>
      <c r="S409" s="42"/>
      <c r="T409" s="42" t="s">
        <v>1908</v>
      </c>
      <c r="U409" s="42" t="s">
        <v>1383</v>
      </c>
      <c r="V409" s="42" t="s">
        <v>1722</v>
      </c>
      <c r="W409" s="42" t="s">
        <v>1383</v>
      </c>
      <c r="X409" s="42" t="s">
        <v>1383</v>
      </c>
      <c r="Z409" s="321"/>
      <c r="AA409" s="321"/>
      <c r="AB409" s="24" t="s">
        <v>1612</v>
      </c>
      <c r="AG409" s="24" t="s">
        <v>1534</v>
      </c>
      <c r="AH409" s="138" t="s">
        <v>578</v>
      </c>
      <c r="AI409" s="24" t="s">
        <v>367</v>
      </c>
      <c r="AJ409" s="140" t="s">
        <v>230</v>
      </c>
      <c r="AQ409" s="24" t="s">
        <v>360</v>
      </c>
      <c r="AR409" s="24" t="s">
        <v>360</v>
      </c>
      <c r="AS409" s="24" t="s">
        <v>178</v>
      </c>
      <c r="AT409" s="24" t="s">
        <v>161</v>
      </c>
      <c r="AU409" s="24">
        <v>4</v>
      </c>
      <c r="AW409" s="24" t="s">
        <v>142</v>
      </c>
      <c r="BA409" s="53"/>
      <c r="BH409" s="24">
        <v>1482.99</v>
      </c>
      <c r="BI409" s="24">
        <v>489.8</v>
      </c>
      <c r="BM409" s="395"/>
      <c r="BN409" s="395"/>
      <c r="BR409" s="395"/>
      <c r="BS409" s="395"/>
      <c r="GM409" s="12"/>
      <c r="GQ409" s="12"/>
    </row>
    <row r="410" spans="1:199" s="24" customFormat="1" x14ac:dyDescent="0.25">
      <c r="A410" s="24">
        <v>23</v>
      </c>
      <c r="B410" s="24" t="s">
        <v>357</v>
      </c>
      <c r="C410" s="24" t="s">
        <v>358</v>
      </c>
      <c r="D410" s="24">
        <v>2016</v>
      </c>
      <c r="E410" s="24">
        <v>2010</v>
      </c>
      <c r="F410" s="24" t="s">
        <v>372</v>
      </c>
      <c r="G410" s="24" t="s">
        <v>361</v>
      </c>
      <c r="H410" s="32" t="s">
        <v>2831</v>
      </c>
      <c r="I410" s="24">
        <v>38.82</v>
      </c>
      <c r="J410" s="24">
        <v>-76.75</v>
      </c>
      <c r="K410" s="24">
        <v>5.5</v>
      </c>
      <c r="Q410" s="42">
        <v>2</v>
      </c>
      <c r="R410" s="42" t="s">
        <v>1735</v>
      </c>
      <c r="S410" s="42"/>
      <c r="T410" s="42" t="s">
        <v>1897</v>
      </c>
      <c r="U410" s="42" t="s">
        <v>1383</v>
      </c>
      <c r="V410" s="42" t="s">
        <v>1722</v>
      </c>
      <c r="W410" s="42" t="s">
        <v>1383</v>
      </c>
      <c r="X410" s="42" t="s">
        <v>1383</v>
      </c>
      <c r="Z410" s="321"/>
      <c r="AA410" s="321"/>
      <c r="AB410" s="24" t="s">
        <v>1612</v>
      </c>
      <c r="AG410" s="24" t="s">
        <v>1534</v>
      </c>
      <c r="AH410" s="138" t="s">
        <v>578</v>
      </c>
      <c r="AI410" s="24" t="s">
        <v>367</v>
      </c>
      <c r="AJ410" s="140" t="s">
        <v>230</v>
      </c>
      <c r="AQ410" s="24" t="s">
        <v>360</v>
      </c>
      <c r="AR410" s="24" t="s">
        <v>360</v>
      </c>
      <c r="AS410" s="24" t="s">
        <v>178</v>
      </c>
      <c r="AT410" s="24" t="s">
        <v>161</v>
      </c>
      <c r="AU410" s="24">
        <v>4</v>
      </c>
      <c r="AW410" s="24" t="s">
        <v>142</v>
      </c>
      <c r="BA410" s="53"/>
      <c r="BH410" s="24">
        <v>353.74</v>
      </c>
      <c r="BI410" s="24">
        <v>136.05000000000001</v>
      </c>
      <c r="BM410" s="395"/>
      <c r="BN410" s="395"/>
      <c r="BR410" s="395"/>
      <c r="BS410" s="395"/>
      <c r="GM410" s="12"/>
      <c r="GQ410" s="12"/>
    </row>
    <row r="411" spans="1:199" s="24" customFormat="1" x14ac:dyDescent="0.25">
      <c r="A411" s="24">
        <v>23</v>
      </c>
      <c r="B411" s="24" t="s">
        <v>357</v>
      </c>
      <c r="C411" s="24" t="s">
        <v>358</v>
      </c>
      <c r="D411" s="24">
        <v>2016</v>
      </c>
      <c r="E411" s="24">
        <v>2010</v>
      </c>
      <c r="F411" s="24" t="s">
        <v>372</v>
      </c>
      <c r="G411" s="24" t="s">
        <v>361</v>
      </c>
      <c r="H411" s="32" t="s">
        <v>2831</v>
      </c>
      <c r="I411" s="24">
        <v>38.82</v>
      </c>
      <c r="J411" s="24">
        <v>-76.75</v>
      </c>
      <c r="K411" s="24">
        <v>5.5</v>
      </c>
      <c r="Q411" s="42">
        <v>2</v>
      </c>
      <c r="R411" s="42" t="s">
        <v>1735</v>
      </c>
      <c r="S411" s="42"/>
      <c r="T411" s="42" t="s">
        <v>1909</v>
      </c>
      <c r="U411" s="42" t="s">
        <v>1383</v>
      </c>
      <c r="V411" s="42" t="s">
        <v>1722</v>
      </c>
      <c r="W411" s="42" t="s">
        <v>1383</v>
      </c>
      <c r="X411" s="42" t="s">
        <v>1383</v>
      </c>
      <c r="Z411" s="321"/>
      <c r="AA411" s="321"/>
      <c r="AB411" s="24" t="s">
        <v>1612</v>
      </c>
      <c r="AG411" s="24" t="s">
        <v>1534</v>
      </c>
      <c r="AH411" s="138" t="s">
        <v>578</v>
      </c>
      <c r="AI411" s="24" t="s">
        <v>367</v>
      </c>
      <c r="AJ411" s="140" t="s">
        <v>230</v>
      </c>
      <c r="AQ411" s="24" t="s">
        <v>360</v>
      </c>
      <c r="AR411" s="24" t="s">
        <v>360</v>
      </c>
      <c r="AS411" s="24" t="s">
        <v>178</v>
      </c>
      <c r="AT411" s="24" t="s">
        <v>161</v>
      </c>
      <c r="AU411" s="24">
        <v>4</v>
      </c>
      <c r="AW411" s="24" t="s">
        <v>142</v>
      </c>
      <c r="BA411" s="53"/>
      <c r="BH411" s="24">
        <v>544.22</v>
      </c>
      <c r="BI411" s="24">
        <v>122.45</v>
      </c>
      <c r="BM411" s="395"/>
      <c r="BN411" s="395"/>
      <c r="BR411" s="395"/>
      <c r="BS411" s="395"/>
      <c r="GM411" s="12"/>
      <c r="GQ411" s="12"/>
    </row>
    <row r="412" spans="1:199" s="24" customFormat="1" x14ac:dyDescent="0.25">
      <c r="A412" s="24">
        <v>23</v>
      </c>
      <c r="B412" s="24" t="s">
        <v>357</v>
      </c>
      <c r="C412" s="24" t="s">
        <v>358</v>
      </c>
      <c r="D412" s="24">
        <v>2016</v>
      </c>
      <c r="E412" s="24">
        <v>2010</v>
      </c>
      <c r="F412" s="24" t="s">
        <v>372</v>
      </c>
      <c r="G412" s="24" t="s">
        <v>361</v>
      </c>
      <c r="H412" s="32" t="s">
        <v>2831</v>
      </c>
      <c r="I412" s="24">
        <v>38.82</v>
      </c>
      <c r="J412" s="24">
        <v>-76.75</v>
      </c>
      <c r="K412" s="24">
        <v>5.5</v>
      </c>
      <c r="Q412" s="42">
        <v>2</v>
      </c>
      <c r="R412" s="42" t="s">
        <v>1735</v>
      </c>
      <c r="S412" s="42"/>
      <c r="T412" s="42" t="s">
        <v>1898</v>
      </c>
      <c r="U412" s="42" t="s">
        <v>1383</v>
      </c>
      <c r="V412" s="42" t="s">
        <v>1722</v>
      </c>
      <c r="W412" s="42" t="s">
        <v>1383</v>
      </c>
      <c r="X412" s="42" t="s">
        <v>1383</v>
      </c>
      <c r="Z412" s="321"/>
      <c r="AA412" s="321"/>
      <c r="AB412" s="24" t="s">
        <v>1612</v>
      </c>
      <c r="AG412" s="24" t="s">
        <v>1534</v>
      </c>
      <c r="AH412" s="138" t="s">
        <v>578</v>
      </c>
      <c r="AI412" s="24" t="s">
        <v>367</v>
      </c>
      <c r="AJ412" s="140" t="s">
        <v>230</v>
      </c>
      <c r="AQ412" s="24" t="s">
        <v>360</v>
      </c>
      <c r="AR412" s="24" t="s">
        <v>360</v>
      </c>
      <c r="AS412" s="24" t="s">
        <v>178</v>
      </c>
      <c r="AT412" s="24" t="s">
        <v>161</v>
      </c>
      <c r="AU412" s="24">
        <v>4</v>
      </c>
      <c r="AW412" s="24" t="s">
        <v>142</v>
      </c>
      <c r="BA412" s="53"/>
      <c r="BH412" s="24">
        <v>272.11</v>
      </c>
      <c r="BI412" s="24">
        <v>81.63</v>
      </c>
      <c r="BM412" s="395"/>
      <c r="BN412" s="395"/>
      <c r="BR412" s="395"/>
      <c r="BS412" s="395"/>
      <c r="GM412" s="12"/>
      <c r="GQ412" s="12"/>
    </row>
    <row r="413" spans="1:199" s="24" customFormat="1" x14ac:dyDescent="0.25">
      <c r="A413" s="24">
        <v>23</v>
      </c>
      <c r="B413" s="24" t="s">
        <v>357</v>
      </c>
      <c r="C413" s="24" t="s">
        <v>358</v>
      </c>
      <c r="D413" s="24">
        <v>2016</v>
      </c>
      <c r="E413" s="24">
        <v>2010</v>
      </c>
      <c r="F413" s="24" t="s">
        <v>372</v>
      </c>
      <c r="G413" s="24" t="s">
        <v>361</v>
      </c>
      <c r="H413" s="32" t="s">
        <v>2831</v>
      </c>
      <c r="I413" s="24">
        <v>38.82</v>
      </c>
      <c r="J413" s="24">
        <v>-76.75</v>
      </c>
      <c r="K413" s="24">
        <v>5.5</v>
      </c>
      <c r="Q413" s="42">
        <v>2</v>
      </c>
      <c r="R413" s="42" t="s">
        <v>1735</v>
      </c>
      <c r="S413" s="42"/>
      <c r="T413" s="42" t="s">
        <v>1899</v>
      </c>
      <c r="U413" s="42" t="s">
        <v>1383</v>
      </c>
      <c r="V413" s="42" t="s">
        <v>1722</v>
      </c>
      <c r="W413" s="42" t="s">
        <v>1383</v>
      </c>
      <c r="X413" s="42" t="s">
        <v>1383</v>
      </c>
      <c r="Z413" s="321"/>
      <c r="AA413" s="321"/>
      <c r="AB413" s="24" t="s">
        <v>1612</v>
      </c>
      <c r="AG413" s="24" t="s">
        <v>1534</v>
      </c>
      <c r="AH413" s="138" t="s">
        <v>578</v>
      </c>
      <c r="AI413" s="24" t="s">
        <v>367</v>
      </c>
      <c r="AJ413" s="140" t="s">
        <v>230</v>
      </c>
      <c r="AQ413" s="24" t="s">
        <v>360</v>
      </c>
      <c r="AR413" s="24" t="s">
        <v>360</v>
      </c>
      <c r="AS413" s="24" t="s">
        <v>178</v>
      </c>
      <c r="AT413" s="24" t="s">
        <v>161</v>
      </c>
      <c r="AU413" s="24">
        <v>4</v>
      </c>
      <c r="AW413" s="24" t="s">
        <v>142</v>
      </c>
      <c r="BA413" s="53"/>
      <c r="BH413" s="24">
        <v>653.05999999999995</v>
      </c>
      <c r="BI413" s="24">
        <v>326.52999999999997</v>
      </c>
      <c r="BM413" s="395"/>
      <c r="BN413" s="395"/>
      <c r="BR413" s="395"/>
      <c r="BS413" s="395"/>
      <c r="GM413" s="12"/>
      <c r="GQ413" s="12"/>
    </row>
    <row r="414" spans="1:199" s="24" customFormat="1" x14ac:dyDescent="0.25">
      <c r="A414" s="24">
        <v>23</v>
      </c>
      <c r="B414" s="24" t="s">
        <v>357</v>
      </c>
      <c r="C414" s="24" t="s">
        <v>358</v>
      </c>
      <c r="D414" s="24">
        <v>2016</v>
      </c>
      <c r="E414" s="24">
        <v>2010</v>
      </c>
      <c r="F414" s="24" t="s">
        <v>372</v>
      </c>
      <c r="G414" s="24" t="s">
        <v>361</v>
      </c>
      <c r="H414" s="32" t="s">
        <v>2831</v>
      </c>
      <c r="I414" s="24">
        <v>38.82</v>
      </c>
      <c r="J414" s="24">
        <v>-76.75</v>
      </c>
      <c r="K414" s="24">
        <v>5.5</v>
      </c>
      <c r="Q414" s="42">
        <v>2</v>
      </c>
      <c r="R414" s="42" t="s">
        <v>1735</v>
      </c>
      <c r="S414" s="42"/>
      <c r="T414" s="42" t="s">
        <v>1902</v>
      </c>
      <c r="U414" s="42" t="s">
        <v>1383</v>
      </c>
      <c r="V414" s="42" t="s">
        <v>1722</v>
      </c>
      <c r="W414" s="42" t="s">
        <v>1383</v>
      </c>
      <c r="X414" s="42" t="s">
        <v>1383</v>
      </c>
      <c r="Z414" s="321"/>
      <c r="AA414" s="321"/>
      <c r="AB414" s="24" t="s">
        <v>1612</v>
      </c>
      <c r="AG414" s="24" t="s">
        <v>1534</v>
      </c>
      <c r="AH414" s="138" t="s">
        <v>578</v>
      </c>
      <c r="AI414" s="24" t="s">
        <v>367</v>
      </c>
      <c r="AJ414" s="140" t="s">
        <v>230</v>
      </c>
      <c r="AQ414" s="24" t="s">
        <v>360</v>
      </c>
      <c r="AR414" s="24" t="s">
        <v>360</v>
      </c>
      <c r="AS414" s="24" t="s">
        <v>178</v>
      </c>
      <c r="AT414" s="24" t="s">
        <v>161</v>
      </c>
      <c r="AU414" s="24">
        <v>4</v>
      </c>
      <c r="AW414" s="24" t="s">
        <v>142</v>
      </c>
      <c r="BA414" s="53"/>
      <c r="BH414" s="24">
        <v>1721.09</v>
      </c>
      <c r="BI414" s="24">
        <v>238.1</v>
      </c>
      <c r="BM414" s="395"/>
      <c r="BN414" s="395"/>
      <c r="BR414" s="395"/>
      <c r="BS414" s="395"/>
      <c r="GM414" s="12"/>
      <c r="GQ414" s="12"/>
    </row>
    <row r="415" spans="1:199" s="24" customFormat="1" x14ac:dyDescent="0.25">
      <c r="A415" s="24">
        <v>23</v>
      </c>
      <c r="B415" s="24" t="s">
        <v>357</v>
      </c>
      <c r="C415" s="24" t="s">
        <v>358</v>
      </c>
      <c r="D415" s="24">
        <v>2016</v>
      </c>
      <c r="E415" s="24">
        <v>2010</v>
      </c>
      <c r="F415" s="24" t="s">
        <v>372</v>
      </c>
      <c r="G415" s="24" t="s">
        <v>361</v>
      </c>
      <c r="H415" s="32" t="s">
        <v>2831</v>
      </c>
      <c r="I415" s="24">
        <v>38.82</v>
      </c>
      <c r="J415" s="24">
        <v>-76.75</v>
      </c>
      <c r="K415" s="24">
        <v>5.5</v>
      </c>
      <c r="Q415" s="42">
        <v>2</v>
      </c>
      <c r="R415" s="42" t="s">
        <v>1735</v>
      </c>
      <c r="S415" s="42"/>
      <c r="T415" s="42" t="s">
        <v>1910</v>
      </c>
      <c r="U415" s="42" t="s">
        <v>1383</v>
      </c>
      <c r="V415" s="42" t="s">
        <v>1722</v>
      </c>
      <c r="W415" s="42" t="s">
        <v>1383</v>
      </c>
      <c r="X415" s="42" t="s">
        <v>1383</v>
      </c>
      <c r="Z415" s="321"/>
      <c r="AA415" s="321"/>
      <c r="AB415" s="24" t="s">
        <v>1612</v>
      </c>
      <c r="AG415" s="24" t="s">
        <v>1534</v>
      </c>
      <c r="AH415" s="138" t="s">
        <v>578</v>
      </c>
      <c r="AI415" s="24" t="s">
        <v>367</v>
      </c>
      <c r="AJ415" s="140" t="s">
        <v>230</v>
      </c>
      <c r="AQ415" s="24" t="s">
        <v>360</v>
      </c>
      <c r="AR415" s="24" t="s">
        <v>360</v>
      </c>
      <c r="AS415" s="24" t="s">
        <v>178</v>
      </c>
      <c r="AT415" s="24" t="s">
        <v>161</v>
      </c>
      <c r="AU415" s="24">
        <v>4</v>
      </c>
      <c r="AW415" s="24" t="s">
        <v>142</v>
      </c>
      <c r="BA415" s="53"/>
      <c r="BH415" s="24">
        <v>659.86</v>
      </c>
      <c r="BI415" s="24">
        <v>210.88</v>
      </c>
      <c r="BM415" s="395"/>
      <c r="BN415" s="395"/>
      <c r="BR415" s="395"/>
      <c r="BS415" s="395"/>
      <c r="GM415" s="12"/>
      <c r="GQ415" s="12"/>
    </row>
    <row r="416" spans="1:199" s="24" customFormat="1" x14ac:dyDescent="0.25">
      <c r="A416" s="24">
        <v>23</v>
      </c>
      <c r="B416" s="24" t="s">
        <v>357</v>
      </c>
      <c r="C416" s="24" t="s">
        <v>358</v>
      </c>
      <c r="D416" s="24">
        <v>2016</v>
      </c>
      <c r="E416" s="24">
        <v>2010</v>
      </c>
      <c r="F416" s="24" t="s">
        <v>372</v>
      </c>
      <c r="G416" s="24" t="s">
        <v>361</v>
      </c>
      <c r="H416" s="32" t="s">
        <v>2831</v>
      </c>
      <c r="I416" s="24">
        <v>38.82</v>
      </c>
      <c r="J416" s="24">
        <v>-76.75</v>
      </c>
      <c r="K416" s="24">
        <v>5.5</v>
      </c>
      <c r="Q416" s="42">
        <v>2</v>
      </c>
      <c r="R416" s="42" t="s">
        <v>1735</v>
      </c>
      <c r="S416" s="42"/>
      <c r="T416" s="42" t="s">
        <v>1911</v>
      </c>
      <c r="U416" s="42" t="s">
        <v>1383</v>
      </c>
      <c r="V416" s="42" t="s">
        <v>1722</v>
      </c>
      <c r="W416" s="42" t="s">
        <v>1383</v>
      </c>
      <c r="X416" s="42" t="s">
        <v>1383</v>
      </c>
      <c r="Z416" s="321"/>
      <c r="AA416" s="321"/>
      <c r="AB416" s="24" t="s">
        <v>1612</v>
      </c>
      <c r="AG416" s="24" t="s">
        <v>1534</v>
      </c>
      <c r="AH416" s="138" t="s">
        <v>578</v>
      </c>
      <c r="AI416" s="24" t="s">
        <v>367</v>
      </c>
      <c r="AJ416" s="140" t="s">
        <v>230</v>
      </c>
      <c r="AQ416" s="24" t="s">
        <v>360</v>
      </c>
      <c r="AR416" s="24" t="s">
        <v>360</v>
      </c>
      <c r="AS416" s="24" t="s">
        <v>178</v>
      </c>
      <c r="AT416" s="24" t="s">
        <v>161</v>
      </c>
      <c r="AU416" s="24">
        <v>4</v>
      </c>
      <c r="AW416" s="24" t="s">
        <v>142</v>
      </c>
      <c r="BA416" s="53"/>
      <c r="BH416" s="24">
        <v>537.41999999999996</v>
      </c>
      <c r="BI416" s="24">
        <v>360.54</v>
      </c>
      <c r="BM416" s="395"/>
      <c r="BN416" s="395"/>
      <c r="BR416" s="395"/>
      <c r="BS416" s="395"/>
      <c r="GM416" s="12"/>
      <c r="GQ416" s="12"/>
    </row>
    <row r="417" spans="1:249" s="35" customFormat="1" x14ac:dyDescent="0.25">
      <c r="A417" s="35">
        <v>23</v>
      </c>
      <c r="B417" s="35" t="s">
        <v>357</v>
      </c>
      <c r="C417" s="35" t="s">
        <v>358</v>
      </c>
      <c r="D417" s="35">
        <v>2016</v>
      </c>
      <c r="E417" s="35">
        <v>2011</v>
      </c>
      <c r="F417" s="35" t="s">
        <v>372</v>
      </c>
      <c r="G417" s="35" t="s">
        <v>362</v>
      </c>
      <c r="H417" s="32" t="s">
        <v>2831</v>
      </c>
      <c r="I417" s="35">
        <v>38.92</v>
      </c>
      <c r="J417" s="35">
        <v>-76.150000000000006</v>
      </c>
      <c r="K417" s="35">
        <v>4.8</v>
      </c>
      <c r="Q417" s="49">
        <v>3</v>
      </c>
      <c r="R417" s="49" t="s">
        <v>1735</v>
      </c>
      <c r="S417" s="49"/>
      <c r="T417" s="49" t="s">
        <v>1905</v>
      </c>
      <c r="U417" s="49" t="s">
        <v>1383</v>
      </c>
      <c r="V417" s="49" t="s">
        <v>1722</v>
      </c>
      <c r="W417" s="49" t="s">
        <v>1383</v>
      </c>
      <c r="X417" s="49" t="s">
        <v>1383</v>
      </c>
      <c r="Z417" s="329"/>
      <c r="AA417" s="329"/>
      <c r="AB417" s="35" t="s">
        <v>1612</v>
      </c>
      <c r="AG417" s="35" t="s">
        <v>1534</v>
      </c>
      <c r="AH417" s="138" t="s">
        <v>578</v>
      </c>
      <c r="AI417" s="35" t="s">
        <v>367</v>
      </c>
      <c r="AJ417" s="140" t="s">
        <v>230</v>
      </c>
      <c r="AQ417" s="35" t="s">
        <v>360</v>
      </c>
      <c r="AR417" s="35" t="s">
        <v>360</v>
      </c>
      <c r="AS417" s="35" t="s">
        <v>178</v>
      </c>
      <c r="AT417" s="35" t="s">
        <v>161</v>
      </c>
      <c r="AU417" s="35">
        <v>4</v>
      </c>
      <c r="AW417" s="35" t="s">
        <v>142</v>
      </c>
      <c r="BA417" s="53"/>
      <c r="BH417" s="35">
        <v>1.5</v>
      </c>
      <c r="BI417" s="35">
        <v>1.5</v>
      </c>
      <c r="BM417" s="405"/>
      <c r="BN417" s="405"/>
      <c r="BR417" s="405"/>
      <c r="BS417" s="405"/>
      <c r="GM417" s="12"/>
      <c r="GQ417" s="12"/>
    </row>
    <row r="418" spans="1:249" s="35" customFormat="1" x14ac:dyDescent="0.25">
      <c r="A418" s="35">
        <v>23</v>
      </c>
      <c r="B418" s="35" t="s">
        <v>357</v>
      </c>
      <c r="C418" s="35" t="s">
        <v>358</v>
      </c>
      <c r="D418" s="35">
        <v>2016</v>
      </c>
      <c r="E418" s="35">
        <v>2011</v>
      </c>
      <c r="F418" s="35" t="s">
        <v>372</v>
      </c>
      <c r="G418" s="35" t="s">
        <v>362</v>
      </c>
      <c r="H418" s="32" t="s">
        <v>2831</v>
      </c>
      <c r="I418" s="35">
        <v>38.92</v>
      </c>
      <c r="J418" s="35">
        <v>-76.150000000000006</v>
      </c>
      <c r="K418" s="35">
        <v>4.8</v>
      </c>
      <c r="Q418" s="49">
        <v>3</v>
      </c>
      <c r="R418" s="49" t="s">
        <v>1735</v>
      </c>
      <c r="S418" s="49"/>
      <c r="T418" s="49" t="s">
        <v>1900</v>
      </c>
      <c r="U418" s="49" t="s">
        <v>1383</v>
      </c>
      <c r="V418" s="49" t="s">
        <v>1722</v>
      </c>
      <c r="W418" s="49" t="s">
        <v>1383</v>
      </c>
      <c r="X418" s="49" t="s">
        <v>1383</v>
      </c>
      <c r="Z418" s="329"/>
      <c r="AA418" s="329"/>
      <c r="AB418" s="35" t="s">
        <v>1612</v>
      </c>
      <c r="AG418" s="35" t="s">
        <v>1534</v>
      </c>
      <c r="AH418" s="138" t="s">
        <v>578</v>
      </c>
      <c r="AI418" s="35" t="s">
        <v>367</v>
      </c>
      <c r="AJ418" s="140" t="s">
        <v>230</v>
      </c>
      <c r="AQ418" s="35" t="s">
        <v>360</v>
      </c>
      <c r="AR418" s="35" t="s">
        <v>360</v>
      </c>
      <c r="AS418" s="35" t="s">
        <v>178</v>
      </c>
      <c r="AT418" s="35" t="s">
        <v>161</v>
      </c>
      <c r="AU418" s="35">
        <v>4</v>
      </c>
      <c r="AW418" s="35" t="s">
        <v>142</v>
      </c>
      <c r="BA418" s="53"/>
      <c r="BH418" s="35">
        <v>1.5</v>
      </c>
      <c r="BI418" s="35">
        <v>1.5</v>
      </c>
      <c r="BM418" s="405"/>
      <c r="BN418" s="405"/>
      <c r="BR418" s="405"/>
      <c r="BS418" s="405"/>
      <c r="GM418" s="12"/>
      <c r="GQ418" s="12"/>
    </row>
    <row r="419" spans="1:249" s="35" customFormat="1" x14ac:dyDescent="0.25">
      <c r="A419" s="35">
        <v>23</v>
      </c>
      <c r="B419" s="35" t="s">
        <v>357</v>
      </c>
      <c r="C419" s="35" t="s">
        <v>358</v>
      </c>
      <c r="D419" s="35">
        <v>2016</v>
      </c>
      <c r="E419" s="35">
        <v>2011</v>
      </c>
      <c r="F419" s="35" t="s">
        <v>372</v>
      </c>
      <c r="G419" s="35" t="s">
        <v>362</v>
      </c>
      <c r="H419" s="32" t="s">
        <v>2831</v>
      </c>
      <c r="I419" s="35">
        <v>38.92</v>
      </c>
      <c r="J419" s="35">
        <v>-76.150000000000006</v>
      </c>
      <c r="K419" s="35">
        <v>4.8</v>
      </c>
      <c r="Q419" s="49">
        <v>3</v>
      </c>
      <c r="R419" s="49" t="s">
        <v>1735</v>
      </c>
      <c r="S419" s="49"/>
      <c r="T419" s="49" t="s">
        <v>1901</v>
      </c>
      <c r="U419" s="49" t="s">
        <v>1383</v>
      </c>
      <c r="V419" s="49" t="s">
        <v>1722</v>
      </c>
      <c r="W419" s="49" t="s">
        <v>1383</v>
      </c>
      <c r="X419" s="49" t="s">
        <v>1383</v>
      </c>
      <c r="Z419" s="329"/>
      <c r="AA419" s="329"/>
      <c r="AB419" s="35" t="s">
        <v>1612</v>
      </c>
      <c r="AG419" s="35" t="s">
        <v>1534</v>
      </c>
      <c r="AH419" s="138" t="s">
        <v>578</v>
      </c>
      <c r="AI419" s="35" t="s">
        <v>367</v>
      </c>
      <c r="AJ419" s="140" t="s">
        <v>230</v>
      </c>
      <c r="AQ419" s="35" t="s">
        <v>360</v>
      </c>
      <c r="AR419" s="35" t="s">
        <v>360</v>
      </c>
      <c r="AS419" s="35" t="s">
        <v>178</v>
      </c>
      <c r="AT419" s="35" t="s">
        <v>161</v>
      </c>
      <c r="AU419" s="35">
        <v>4</v>
      </c>
      <c r="AW419" s="35" t="s">
        <v>142</v>
      </c>
      <c r="BA419" s="53"/>
      <c r="BH419" s="35">
        <v>1.5</v>
      </c>
      <c r="BI419" s="35">
        <v>1.5</v>
      </c>
      <c r="BM419" s="405"/>
      <c r="BN419" s="405"/>
      <c r="BR419" s="405"/>
      <c r="BS419" s="405"/>
      <c r="GM419" s="12"/>
      <c r="GQ419" s="12"/>
    </row>
    <row r="420" spans="1:249" s="35" customFormat="1" x14ac:dyDescent="0.25">
      <c r="A420" s="35">
        <v>23</v>
      </c>
      <c r="B420" s="35" t="s">
        <v>357</v>
      </c>
      <c r="C420" s="35" t="s">
        <v>358</v>
      </c>
      <c r="D420" s="35">
        <v>2016</v>
      </c>
      <c r="E420" s="35">
        <v>2011</v>
      </c>
      <c r="F420" s="35" t="s">
        <v>372</v>
      </c>
      <c r="G420" s="35" t="s">
        <v>362</v>
      </c>
      <c r="H420" s="32" t="s">
        <v>2831</v>
      </c>
      <c r="I420" s="35">
        <v>38.92</v>
      </c>
      <c r="J420" s="35">
        <v>-76.150000000000006</v>
      </c>
      <c r="K420" s="35">
        <v>4.8</v>
      </c>
      <c r="Q420" s="49">
        <v>3</v>
      </c>
      <c r="R420" s="49" t="s">
        <v>1735</v>
      </c>
      <c r="S420" s="49"/>
      <c r="T420" s="49" t="s">
        <v>1906</v>
      </c>
      <c r="U420" s="49" t="s">
        <v>1383</v>
      </c>
      <c r="V420" s="49" t="s">
        <v>1722</v>
      </c>
      <c r="W420" s="49" t="s">
        <v>1383</v>
      </c>
      <c r="X420" s="49" t="s">
        <v>1383</v>
      </c>
      <c r="Z420" s="329"/>
      <c r="AA420" s="329"/>
      <c r="AB420" s="35" t="s">
        <v>1612</v>
      </c>
      <c r="AG420" s="35" t="s">
        <v>1534</v>
      </c>
      <c r="AH420" s="138" t="s">
        <v>578</v>
      </c>
      <c r="AI420" s="35" t="s">
        <v>367</v>
      </c>
      <c r="AJ420" s="140" t="s">
        <v>230</v>
      </c>
      <c r="AQ420" s="35" t="s">
        <v>360</v>
      </c>
      <c r="AR420" s="35" t="s">
        <v>360</v>
      </c>
      <c r="AS420" s="35" t="s">
        <v>178</v>
      </c>
      <c r="AT420" s="35" t="s">
        <v>161</v>
      </c>
      <c r="AU420" s="35">
        <v>4</v>
      </c>
      <c r="AW420" s="35" t="s">
        <v>142</v>
      </c>
      <c r="BA420" s="53"/>
      <c r="BH420" s="35">
        <v>174.25</v>
      </c>
      <c r="BI420" s="35">
        <v>415.72</v>
      </c>
      <c r="BM420" s="405"/>
      <c r="BN420" s="405"/>
      <c r="BR420" s="405"/>
      <c r="BS420" s="405"/>
      <c r="GM420" s="12"/>
      <c r="GQ420" s="12"/>
    </row>
    <row r="421" spans="1:249" s="35" customFormat="1" x14ac:dyDescent="0.25">
      <c r="A421" s="35">
        <v>23</v>
      </c>
      <c r="B421" s="35" t="s">
        <v>357</v>
      </c>
      <c r="C421" s="35" t="s">
        <v>358</v>
      </c>
      <c r="D421" s="35">
        <v>2016</v>
      </c>
      <c r="E421" s="35">
        <v>2011</v>
      </c>
      <c r="F421" s="35" t="s">
        <v>372</v>
      </c>
      <c r="G421" s="35" t="s">
        <v>362</v>
      </c>
      <c r="H421" s="32" t="s">
        <v>2831</v>
      </c>
      <c r="I421" s="35">
        <v>38.92</v>
      </c>
      <c r="J421" s="35">
        <v>-76.150000000000006</v>
      </c>
      <c r="K421" s="35">
        <v>4.8</v>
      </c>
      <c r="Q421" s="49">
        <v>3</v>
      </c>
      <c r="R421" s="49" t="s">
        <v>1735</v>
      </c>
      <c r="S421" s="49"/>
      <c r="T421" s="49" t="s">
        <v>1907</v>
      </c>
      <c r="U421" s="49" t="s">
        <v>1383</v>
      </c>
      <c r="V421" s="49" t="s">
        <v>1722</v>
      </c>
      <c r="W421" s="49" t="s">
        <v>1383</v>
      </c>
      <c r="X421" s="49" t="s">
        <v>1383</v>
      </c>
      <c r="Z421" s="329"/>
      <c r="AA421" s="329"/>
      <c r="AB421" s="35" t="s">
        <v>1612</v>
      </c>
      <c r="AG421" s="35" t="s">
        <v>1534</v>
      </c>
      <c r="AH421" s="138" t="s">
        <v>578</v>
      </c>
      <c r="AI421" s="35" t="s">
        <v>367</v>
      </c>
      <c r="AJ421" s="140" t="s">
        <v>230</v>
      </c>
      <c r="AQ421" s="35" t="s">
        <v>360</v>
      </c>
      <c r="AR421" s="35" t="s">
        <v>360</v>
      </c>
      <c r="AS421" s="35" t="s">
        <v>178</v>
      </c>
      <c r="AT421" s="35" t="s">
        <v>161</v>
      </c>
      <c r="AU421" s="35">
        <v>4</v>
      </c>
      <c r="AW421" s="35" t="s">
        <v>142</v>
      </c>
      <c r="BA421" s="53"/>
      <c r="BH421" s="35">
        <v>302.44</v>
      </c>
      <c r="BI421" s="35">
        <v>508.13</v>
      </c>
      <c r="BM421" s="405"/>
      <c r="BN421" s="405"/>
      <c r="BR421" s="405"/>
      <c r="BS421" s="405"/>
      <c r="GM421" s="12"/>
      <c r="GQ421" s="12"/>
    </row>
    <row r="422" spans="1:249" s="35" customFormat="1" x14ac:dyDescent="0.25">
      <c r="A422" s="35">
        <v>23</v>
      </c>
      <c r="B422" s="35" t="s">
        <v>357</v>
      </c>
      <c r="C422" s="35" t="s">
        <v>358</v>
      </c>
      <c r="D422" s="35">
        <v>2016</v>
      </c>
      <c r="E422" s="35">
        <v>2011</v>
      </c>
      <c r="F422" s="35" t="s">
        <v>372</v>
      </c>
      <c r="G422" s="35" t="s">
        <v>362</v>
      </c>
      <c r="H422" s="32" t="s">
        <v>2831</v>
      </c>
      <c r="I422" s="35">
        <v>38.92</v>
      </c>
      <c r="J422" s="35">
        <v>-76.150000000000006</v>
      </c>
      <c r="K422" s="35">
        <v>4.8</v>
      </c>
      <c r="Q422" s="49">
        <v>3</v>
      </c>
      <c r="R422" s="49" t="s">
        <v>1735</v>
      </c>
      <c r="S422" s="49"/>
      <c r="T422" s="49" t="s">
        <v>1908</v>
      </c>
      <c r="U422" s="49" t="s">
        <v>1383</v>
      </c>
      <c r="V422" s="49" t="s">
        <v>1722</v>
      </c>
      <c r="W422" s="49" t="s">
        <v>1383</v>
      </c>
      <c r="X422" s="49" t="s">
        <v>1383</v>
      </c>
      <c r="Z422" s="329"/>
      <c r="AA422" s="329"/>
      <c r="AB422" s="35" t="s">
        <v>1612</v>
      </c>
      <c r="AG422" s="35" t="s">
        <v>1534</v>
      </c>
      <c r="AH422" s="138" t="s">
        <v>578</v>
      </c>
      <c r="AI422" s="35" t="s">
        <v>367</v>
      </c>
      <c r="AJ422" s="140" t="s">
        <v>230</v>
      </c>
      <c r="AQ422" s="35" t="s">
        <v>360</v>
      </c>
      <c r="AR422" s="35" t="s">
        <v>360</v>
      </c>
      <c r="AS422" s="35" t="s">
        <v>178</v>
      </c>
      <c r="AT422" s="35" t="s">
        <v>161</v>
      </c>
      <c r="AU422" s="35">
        <v>4</v>
      </c>
      <c r="AW422" s="35" t="s">
        <v>142</v>
      </c>
      <c r="BA422" s="53"/>
      <c r="BH422" s="35">
        <v>624.39</v>
      </c>
      <c r="BI422" s="35">
        <v>716.8</v>
      </c>
      <c r="BM422" s="405"/>
      <c r="BN422" s="405"/>
      <c r="BR422" s="405"/>
      <c r="BS422" s="405"/>
      <c r="GM422" s="12"/>
      <c r="GQ422" s="12"/>
    </row>
    <row r="423" spans="1:249" s="35" customFormat="1" x14ac:dyDescent="0.25">
      <c r="A423" s="35">
        <v>23</v>
      </c>
      <c r="B423" s="35" t="s">
        <v>357</v>
      </c>
      <c r="C423" s="35" t="s">
        <v>358</v>
      </c>
      <c r="D423" s="35">
        <v>2016</v>
      </c>
      <c r="E423" s="35">
        <v>2011</v>
      </c>
      <c r="F423" s="35" t="s">
        <v>372</v>
      </c>
      <c r="G423" s="35" t="s">
        <v>362</v>
      </c>
      <c r="H423" s="32" t="s">
        <v>2831</v>
      </c>
      <c r="I423" s="35">
        <v>38.92</v>
      </c>
      <c r="J423" s="35">
        <v>-76.150000000000006</v>
      </c>
      <c r="K423" s="35">
        <v>4.8</v>
      </c>
      <c r="Q423" s="49">
        <v>3</v>
      </c>
      <c r="R423" s="49" t="s">
        <v>1735</v>
      </c>
      <c r="S423" s="49"/>
      <c r="T423" s="49" t="s">
        <v>1898</v>
      </c>
      <c r="U423" s="49" t="s">
        <v>1383</v>
      </c>
      <c r="V423" s="49" t="s">
        <v>1722</v>
      </c>
      <c r="W423" s="49" t="s">
        <v>1383</v>
      </c>
      <c r="X423" s="49" t="s">
        <v>1383</v>
      </c>
      <c r="Z423" s="329"/>
      <c r="AA423" s="329"/>
      <c r="AB423" s="35" t="s">
        <v>1612</v>
      </c>
      <c r="AG423" s="35" t="s">
        <v>1534</v>
      </c>
      <c r="AH423" s="138" t="s">
        <v>578</v>
      </c>
      <c r="AI423" s="35" t="s">
        <v>367</v>
      </c>
      <c r="AJ423" s="140" t="s">
        <v>230</v>
      </c>
      <c r="AQ423" s="35" t="s">
        <v>360</v>
      </c>
      <c r="AR423" s="35" t="s">
        <v>360</v>
      </c>
      <c r="AS423" s="35" t="s">
        <v>178</v>
      </c>
      <c r="AT423" s="35" t="s">
        <v>161</v>
      </c>
      <c r="AU423" s="35">
        <v>4</v>
      </c>
      <c r="AW423" s="35" t="s">
        <v>142</v>
      </c>
      <c r="BA423" s="53"/>
      <c r="BH423" s="35">
        <v>663.14</v>
      </c>
      <c r="BI423" s="35">
        <v>603.52</v>
      </c>
      <c r="BM423" s="405"/>
      <c r="BN423" s="405"/>
      <c r="BR423" s="405"/>
      <c r="BS423" s="405"/>
      <c r="GM423" s="12"/>
      <c r="GQ423" s="12"/>
    </row>
    <row r="424" spans="1:249" s="35" customFormat="1" x14ac:dyDescent="0.25">
      <c r="A424" s="35">
        <v>23</v>
      </c>
      <c r="B424" s="35" t="s">
        <v>357</v>
      </c>
      <c r="C424" s="35" t="s">
        <v>358</v>
      </c>
      <c r="D424" s="35">
        <v>2016</v>
      </c>
      <c r="E424" s="35">
        <v>2011</v>
      </c>
      <c r="F424" s="35" t="s">
        <v>372</v>
      </c>
      <c r="G424" s="35" t="s">
        <v>362</v>
      </c>
      <c r="H424" s="32" t="s">
        <v>2831</v>
      </c>
      <c r="I424" s="35">
        <v>38.92</v>
      </c>
      <c r="J424" s="35">
        <v>-76.150000000000006</v>
      </c>
      <c r="K424" s="35">
        <v>4.8</v>
      </c>
      <c r="Q424" s="49">
        <v>3</v>
      </c>
      <c r="R424" s="49" t="s">
        <v>1735</v>
      </c>
      <c r="S424" s="49"/>
      <c r="T424" s="49" t="s">
        <v>1912</v>
      </c>
      <c r="U424" s="49" t="s">
        <v>1383</v>
      </c>
      <c r="V424" s="49" t="s">
        <v>1722</v>
      </c>
      <c r="W424" s="49" t="s">
        <v>1383</v>
      </c>
      <c r="X424" s="49" t="s">
        <v>1383</v>
      </c>
      <c r="Z424" s="329"/>
      <c r="AA424" s="329"/>
      <c r="AB424" s="35" t="s">
        <v>1612</v>
      </c>
      <c r="AG424" s="35" t="s">
        <v>1534</v>
      </c>
      <c r="AH424" s="138" t="s">
        <v>578</v>
      </c>
      <c r="AI424" s="35" t="s">
        <v>367</v>
      </c>
      <c r="AJ424" s="140" t="s">
        <v>230</v>
      </c>
      <c r="AQ424" s="35" t="s">
        <v>360</v>
      </c>
      <c r="AR424" s="35" t="s">
        <v>360</v>
      </c>
      <c r="AS424" s="35" t="s">
        <v>178</v>
      </c>
      <c r="AT424" s="35" t="s">
        <v>161</v>
      </c>
      <c r="AU424" s="35">
        <v>4</v>
      </c>
      <c r="AW424" s="35" t="s">
        <v>142</v>
      </c>
      <c r="BA424" s="53"/>
      <c r="BH424" s="35">
        <v>147.43</v>
      </c>
      <c r="BI424" s="35">
        <v>138.47999999999999</v>
      </c>
      <c r="BM424" s="405"/>
      <c r="BN424" s="405"/>
      <c r="BR424" s="405"/>
      <c r="BS424" s="405"/>
      <c r="GM424" s="12"/>
      <c r="GQ424" s="12"/>
    </row>
    <row r="425" spans="1:249" s="35" customFormat="1" x14ac:dyDescent="0.25">
      <c r="A425" s="35">
        <v>23</v>
      </c>
      <c r="B425" s="35" t="s">
        <v>357</v>
      </c>
      <c r="C425" s="35" t="s">
        <v>358</v>
      </c>
      <c r="D425" s="35">
        <v>2016</v>
      </c>
      <c r="E425" s="35">
        <v>2011</v>
      </c>
      <c r="F425" s="35" t="s">
        <v>372</v>
      </c>
      <c r="G425" s="35" t="s">
        <v>362</v>
      </c>
      <c r="H425" s="32" t="s">
        <v>2831</v>
      </c>
      <c r="I425" s="35">
        <v>38.92</v>
      </c>
      <c r="J425" s="35">
        <v>-76.150000000000006</v>
      </c>
      <c r="K425" s="35">
        <v>4.8</v>
      </c>
      <c r="Q425" s="49">
        <v>3</v>
      </c>
      <c r="R425" s="49" t="s">
        <v>1735</v>
      </c>
      <c r="S425" s="49"/>
      <c r="T425" s="49" t="s">
        <v>1910</v>
      </c>
      <c r="U425" s="49" t="s">
        <v>1383</v>
      </c>
      <c r="V425" s="49" t="s">
        <v>1722</v>
      </c>
      <c r="W425" s="49" t="s">
        <v>1383</v>
      </c>
      <c r="X425" s="49" t="s">
        <v>1383</v>
      </c>
      <c r="Z425" s="329"/>
      <c r="AA425" s="329"/>
      <c r="AB425" s="35" t="s">
        <v>1612</v>
      </c>
      <c r="AG425" s="35" t="s">
        <v>1534</v>
      </c>
      <c r="AH425" s="138" t="s">
        <v>578</v>
      </c>
      <c r="AI425" s="35" t="s">
        <v>367</v>
      </c>
      <c r="AJ425" s="140" t="s">
        <v>230</v>
      </c>
      <c r="AQ425" s="35" t="s">
        <v>360</v>
      </c>
      <c r="AR425" s="35" t="s">
        <v>360</v>
      </c>
      <c r="AS425" s="35" t="s">
        <v>178</v>
      </c>
      <c r="AT425" s="35" t="s">
        <v>161</v>
      </c>
      <c r="AU425" s="35">
        <v>4</v>
      </c>
      <c r="AW425" s="35" t="s">
        <v>142</v>
      </c>
      <c r="BA425" s="53"/>
      <c r="BH425" s="35">
        <v>108.67</v>
      </c>
      <c r="BI425" s="35">
        <v>96.75</v>
      </c>
      <c r="BM425" s="405"/>
      <c r="BN425" s="405"/>
      <c r="BR425" s="405"/>
      <c r="BS425" s="405"/>
      <c r="GM425" s="12"/>
      <c r="GQ425" s="12"/>
    </row>
    <row r="426" spans="1:249" s="33" customFormat="1" x14ac:dyDescent="0.25">
      <c r="A426" s="33">
        <v>24</v>
      </c>
      <c r="B426" s="33" t="s">
        <v>375</v>
      </c>
      <c r="C426" s="33" t="s">
        <v>376</v>
      </c>
      <c r="D426" s="33">
        <v>2013</v>
      </c>
      <c r="E426" s="33">
        <v>2003</v>
      </c>
      <c r="F426" s="33" t="s">
        <v>268</v>
      </c>
      <c r="G426" s="33" t="s">
        <v>377</v>
      </c>
      <c r="H426" s="32" t="s">
        <v>2831</v>
      </c>
      <c r="I426" s="33">
        <v>31.48</v>
      </c>
      <c r="J426" s="33">
        <v>-83.53</v>
      </c>
      <c r="K426" s="33">
        <v>108.4</v>
      </c>
      <c r="L426" s="33">
        <v>19.600000000000001</v>
      </c>
      <c r="M426" s="33">
        <v>18.600000000000001</v>
      </c>
      <c r="N426" s="33">
        <v>976</v>
      </c>
      <c r="O426" s="33">
        <v>1192</v>
      </c>
      <c r="Q426" s="47">
        <v>2</v>
      </c>
      <c r="R426" s="47" t="s">
        <v>1867</v>
      </c>
      <c r="S426" s="47"/>
      <c r="T426" s="47" t="s">
        <v>1913</v>
      </c>
      <c r="U426" s="47" t="s">
        <v>1384</v>
      </c>
      <c r="V426" s="47" t="s">
        <v>1723</v>
      </c>
      <c r="W426" s="47" t="s">
        <v>1384</v>
      </c>
      <c r="X426" s="47" t="s">
        <v>1384</v>
      </c>
      <c r="Y426" s="33">
        <f t="shared" ref="Y426:Y434" si="58">(1.55+1.78)/2</f>
        <v>1.665</v>
      </c>
      <c r="Z426" s="327"/>
      <c r="AA426" s="327"/>
      <c r="AB426" s="33" t="s">
        <v>176</v>
      </c>
      <c r="AF426" s="33" t="s">
        <v>1326</v>
      </c>
      <c r="AG426" s="33" t="s">
        <v>1554</v>
      </c>
      <c r="AH426" s="138" t="s">
        <v>1587</v>
      </c>
      <c r="AI426" s="33" t="s">
        <v>798</v>
      </c>
      <c r="AJ426" s="141" t="s">
        <v>133</v>
      </c>
      <c r="AK426" s="33" t="s">
        <v>379</v>
      </c>
      <c r="AL426" s="33" t="s">
        <v>379</v>
      </c>
      <c r="AM426" s="33" t="s">
        <v>178</v>
      </c>
      <c r="AN426" s="33" t="s">
        <v>232</v>
      </c>
      <c r="AO426" s="33" t="s">
        <v>378</v>
      </c>
      <c r="AP426" s="33" t="s">
        <v>503</v>
      </c>
      <c r="AQ426" s="33" t="s">
        <v>339</v>
      </c>
      <c r="AR426" s="33" t="s">
        <v>339</v>
      </c>
      <c r="AS426" s="33" t="s">
        <v>178</v>
      </c>
      <c r="AT426" s="33" t="s">
        <v>120</v>
      </c>
      <c r="AU426" s="33">
        <v>4</v>
      </c>
      <c r="AW426" s="33" t="s">
        <v>142</v>
      </c>
      <c r="AY426" s="33">
        <f>(4.4+7.5)/2*1000</f>
        <v>5950</v>
      </c>
      <c r="AZ426" s="33">
        <f>AY426/(117+149)*2</f>
        <v>44.736842105263158</v>
      </c>
      <c r="BA426" s="54"/>
      <c r="BH426" s="33">
        <f>1.3*1000</f>
        <v>1300</v>
      </c>
      <c r="BI426" s="33">
        <f>3.2*1000</f>
        <v>3200</v>
      </c>
      <c r="BM426" s="402">
        <f>(1.64+1.65+1.63+1.65+1.69+1.73+1.66)/7</f>
        <v>1.6642857142857144</v>
      </c>
      <c r="BN426" s="402">
        <f>(1.65+1.63+1.61+1.64+1.65+1.71+1.64)/7</f>
        <v>1.6471428571428572</v>
      </c>
      <c r="BR426" s="402">
        <f>4.6/1000*100</f>
        <v>0.45999999999999996</v>
      </c>
      <c r="BS426" s="402">
        <v>0.74</v>
      </c>
      <c r="BV426" s="33" t="s">
        <v>619</v>
      </c>
      <c r="BW426" s="33">
        <v>0.2</v>
      </c>
      <c r="BX426" s="33">
        <v>0.5</v>
      </c>
      <c r="CA426" s="33" t="s">
        <v>235</v>
      </c>
      <c r="DZ426" s="33">
        <f>(24.8+17.7)/2</f>
        <v>21.25</v>
      </c>
      <c r="EA426" s="33">
        <f>(23.1+21)/2</f>
        <v>22.05</v>
      </c>
      <c r="EY426" s="33">
        <v>13.8</v>
      </c>
      <c r="EZ426" s="33">
        <v>14.1</v>
      </c>
      <c r="FC426" s="167">
        <v>37599</v>
      </c>
      <c r="GM426" s="12"/>
      <c r="GQ426" s="12"/>
      <c r="IO426" s="33" t="s">
        <v>713</v>
      </c>
    </row>
    <row r="427" spans="1:249" s="33" customFormat="1" x14ac:dyDescent="0.25">
      <c r="A427" s="33">
        <v>24</v>
      </c>
      <c r="B427" s="33" t="s">
        <v>375</v>
      </c>
      <c r="C427" s="33" t="s">
        <v>376</v>
      </c>
      <c r="D427" s="33">
        <v>2013</v>
      </c>
      <c r="E427" s="33">
        <v>2003</v>
      </c>
      <c r="F427" s="33" t="s">
        <v>268</v>
      </c>
      <c r="G427" s="33" t="s">
        <v>377</v>
      </c>
      <c r="H427" s="32" t="s">
        <v>2831</v>
      </c>
      <c r="I427" s="33">
        <v>31.48</v>
      </c>
      <c r="J427" s="33">
        <v>-83.53</v>
      </c>
      <c r="K427" s="33">
        <v>108.4</v>
      </c>
      <c r="L427" s="33">
        <v>19.600000000000001</v>
      </c>
      <c r="M427" s="33">
        <v>18.600000000000001</v>
      </c>
      <c r="N427" s="33">
        <v>976</v>
      </c>
      <c r="O427" s="33">
        <v>1192</v>
      </c>
      <c r="Q427" s="47">
        <v>2</v>
      </c>
      <c r="R427" s="47" t="s">
        <v>1867</v>
      </c>
      <c r="S427" s="47"/>
      <c r="T427" s="47" t="s">
        <v>1913</v>
      </c>
      <c r="U427" s="47" t="s">
        <v>1384</v>
      </c>
      <c r="V427" s="47" t="s">
        <v>1723</v>
      </c>
      <c r="W427" s="47" t="s">
        <v>1384</v>
      </c>
      <c r="X427" s="47" t="s">
        <v>1384</v>
      </c>
      <c r="Y427" s="33">
        <f t="shared" si="58"/>
        <v>1.665</v>
      </c>
      <c r="Z427" s="327"/>
      <c r="AA427" s="327"/>
      <c r="AB427" s="33" t="s">
        <v>176</v>
      </c>
      <c r="AF427" s="33" t="s">
        <v>1326</v>
      </c>
      <c r="AG427" s="33" t="s">
        <v>1534</v>
      </c>
      <c r="AH427" s="138" t="s">
        <v>578</v>
      </c>
      <c r="AI427" s="33" t="s">
        <v>798</v>
      </c>
      <c r="AJ427" s="141" t="s">
        <v>133</v>
      </c>
      <c r="AK427" s="33" t="s">
        <v>379</v>
      </c>
      <c r="AL427" s="33" t="s">
        <v>379</v>
      </c>
      <c r="AM427" s="33" t="s">
        <v>178</v>
      </c>
      <c r="AN427" s="33" t="s">
        <v>232</v>
      </c>
      <c r="AO427" s="33" t="s">
        <v>378</v>
      </c>
      <c r="AP427" s="33" t="s">
        <v>503</v>
      </c>
      <c r="AQ427" s="33" t="s">
        <v>339</v>
      </c>
      <c r="AR427" s="33" t="s">
        <v>339</v>
      </c>
      <c r="AS427" s="33" t="s">
        <v>178</v>
      </c>
      <c r="AT427" s="33" t="s">
        <v>120</v>
      </c>
      <c r="AU427" s="33">
        <v>4</v>
      </c>
      <c r="AW427" s="33" t="s">
        <v>142</v>
      </c>
      <c r="AY427" s="33">
        <f>8.8/2*1000</f>
        <v>4400</v>
      </c>
      <c r="AZ427" s="33">
        <f>AY427/181*2</f>
        <v>48.618784530386741</v>
      </c>
      <c r="BA427" s="54"/>
      <c r="BH427" s="33">
        <f t="shared" ref="BH427:BH428" si="59">1.3*1000</f>
        <v>1300</v>
      </c>
      <c r="BI427" s="33">
        <f>2.4*1000</f>
        <v>2400</v>
      </c>
      <c r="BM427" s="402"/>
      <c r="BN427" s="402"/>
      <c r="BR427" s="402">
        <f t="shared" ref="BR427:BR428" si="60">4.6/1000*100</f>
        <v>0.45999999999999996</v>
      </c>
      <c r="BS427" s="402">
        <v>0.7</v>
      </c>
      <c r="BV427" s="33" t="s">
        <v>619</v>
      </c>
      <c r="BW427" s="33">
        <v>0.2</v>
      </c>
      <c r="BX427" s="33">
        <v>0.5</v>
      </c>
      <c r="CA427" s="33" t="s">
        <v>235</v>
      </c>
      <c r="EY427" s="33">
        <v>13.8</v>
      </c>
      <c r="EZ427" s="33">
        <v>14.8</v>
      </c>
      <c r="FC427" s="167">
        <v>37748</v>
      </c>
      <c r="GM427" s="12"/>
      <c r="GQ427" s="12"/>
      <c r="IO427" s="33" t="s">
        <v>713</v>
      </c>
    </row>
    <row r="428" spans="1:249" s="33" customFormat="1" x14ac:dyDescent="0.25">
      <c r="A428" s="33">
        <v>24</v>
      </c>
      <c r="B428" s="33" t="s">
        <v>375</v>
      </c>
      <c r="C428" s="33" t="s">
        <v>376</v>
      </c>
      <c r="D428" s="33">
        <v>2013</v>
      </c>
      <c r="E428" s="33">
        <v>2003</v>
      </c>
      <c r="F428" s="33" t="s">
        <v>268</v>
      </c>
      <c r="G428" s="33" t="s">
        <v>377</v>
      </c>
      <c r="H428" s="32" t="s">
        <v>2831</v>
      </c>
      <c r="I428" s="33">
        <v>31.48</v>
      </c>
      <c r="J428" s="33">
        <v>-83.53</v>
      </c>
      <c r="K428" s="33">
        <v>108.4</v>
      </c>
      <c r="L428" s="33">
        <v>19.600000000000001</v>
      </c>
      <c r="M428" s="33">
        <v>18.600000000000001</v>
      </c>
      <c r="N428" s="33">
        <v>976</v>
      </c>
      <c r="O428" s="33">
        <v>1192</v>
      </c>
      <c r="Q428" s="47">
        <v>2</v>
      </c>
      <c r="R428" s="47" t="s">
        <v>1867</v>
      </c>
      <c r="S428" s="47"/>
      <c r="T428" s="47" t="s">
        <v>1913</v>
      </c>
      <c r="U428" s="47" t="s">
        <v>1384</v>
      </c>
      <c r="V428" s="47" t="s">
        <v>1723</v>
      </c>
      <c r="W428" s="47" t="s">
        <v>1384</v>
      </c>
      <c r="X428" s="47" t="s">
        <v>1384</v>
      </c>
      <c r="Y428" s="33">
        <f t="shared" si="58"/>
        <v>1.665</v>
      </c>
      <c r="Z428" s="327"/>
      <c r="AA428" s="327"/>
      <c r="AB428" s="33" t="s">
        <v>176</v>
      </c>
      <c r="AF428" s="33" t="s">
        <v>1326</v>
      </c>
      <c r="AG428" s="33" t="s">
        <v>1525</v>
      </c>
      <c r="AH428" s="138" t="s">
        <v>578</v>
      </c>
      <c r="AI428" s="33" t="s">
        <v>798</v>
      </c>
      <c r="AJ428" s="141" t="s">
        <v>133</v>
      </c>
      <c r="AK428" s="33" t="s">
        <v>379</v>
      </c>
      <c r="AL428" s="33" t="s">
        <v>379</v>
      </c>
      <c r="AM428" s="33" t="s">
        <v>178</v>
      </c>
      <c r="AN428" s="33" t="s">
        <v>232</v>
      </c>
      <c r="AO428" s="33" t="s">
        <v>378</v>
      </c>
      <c r="AP428" s="33" t="s">
        <v>503</v>
      </c>
      <c r="AQ428" s="33" t="s">
        <v>339</v>
      </c>
      <c r="AR428" s="33" t="s">
        <v>339</v>
      </c>
      <c r="AS428" s="33" t="s">
        <v>178</v>
      </c>
      <c r="AT428" s="33" t="s">
        <v>120</v>
      </c>
      <c r="AU428" s="33">
        <v>4</v>
      </c>
      <c r="AW428" s="33" t="s">
        <v>142</v>
      </c>
      <c r="AY428" s="33">
        <f>5/2*1000</f>
        <v>2500</v>
      </c>
      <c r="AZ428" s="33">
        <f>AY428/121*2</f>
        <v>41.32231404958678</v>
      </c>
      <c r="BA428" s="54"/>
      <c r="BH428" s="33">
        <f t="shared" si="59"/>
        <v>1300</v>
      </c>
      <c r="BI428" s="33">
        <f>1.3*1000</f>
        <v>1300</v>
      </c>
      <c r="BM428" s="402"/>
      <c r="BN428" s="402"/>
      <c r="BR428" s="402">
        <f t="shared" si="60"/>
        <v>0.45999999999999996</v>
      </c>
      <c r="BS428" s="402">
        <v>0.59</v>
      </c>
      <c r="BV428" s="33" t="s">
        <v>619</v>
      </c>
      <c r="BW428" s="33">
        <v>0.2</v>
      </c>
      <c r="BX428" s="33">
        <v>0.4</v>
      </c>
      <c r="CA428" s="33" t="s">
        <v>235</v>
      </c>
      <c r="EY428" s="33">
        <v>12.8</v>
      </c>
      <c r="EZ428" s="33">
        <v>13.1</v>
      </c>
      <c r="FC428" s="167">
        <v>37875</v>
      </c>
      <c r="GM428" s="12"/>
      <c r="GQ428" s="12"/>
      <c r="IO428" s="33" t="s">
        <v>713</v>
      </c>
    </row>
    <row r="429" spans="1:249" s="33" customFormat="1" x14ac:dyDescent="0.25">
      <c r="A429" s="33">
        <v>24</v>
      </c>
      <c r="B429" s="33" t="s">
        <v>375</v>
      </c>
      <c r="C429" s="33" t="s">
        <v>376</v>
      </c>
      <c r="D429" s="33">
        <v>2013</v>
      </c>
      <c r="E429" s="33">
        <v>2003</v>
      </c>
      <c r="F429" s="33" t="s">
        <v>268</v>
      </c>
      <c r="G429" s="33" t="s">
        <v>377</v>
      </c>
      <c r="H429" s="32" t="s">
        <v>2831</v>
      </c>
      <c r="I429" s="33">
        <v>31.48</v>
      </c>
      <c r="J429" s="33">
        <v>-83.53</v>
      </c>
      <c r="K429" s="33">
        <v>108.4</v>
      </c>
      <c r="L429" s="33">
        <v>19.600000000000001</v>
      </c>
      <c r="M429" s="33">
        <v>18.600000000000001</v>
      </c>
      <c r="N429" s="33">
        <v>976</v>
      </c>
      <c r="O429" s="33">
        <v>1192</v>
      </c>
      <c r="Q429" s="47">
        <v>2</v>
      </c>
      <c r="R429" s="47" t="s">
        <v>1867</v>
      </c>
      <c r="S429" s="47"/>
      <c r="T429" s="47" t="s">
        <v>1913</v>
      </c>
      <c r="U429" s="47" t="s">
        <v>1384</v>
      </c>
      <c r="V429" s="47" t="s">
        <v>1723</v>
      </c>
      <c r="W429" s="47" t="s">
        <v>1384</v>
      </c>
      <c r="X429" s="47" t="s">
        <v>1384</v>
      </c>
      <c r="Y429" s="33">
        <f t="shared" si="58"/>
        <v>1.665</v>
      </c>
      <c r="Z429" s="327"/>
      <c r="AA429" s="327"/>
      <c r="AB429" s="33" t="s">
        <v>176</v>
      </c>
      <c r="AF429" s="33" t="s">
        <v>1326</v>
      </c>
      <c r="AG429" s="33" t="s">
        <v>1554</v>
      </c>
      <c r="AH429" s="138" t="s">
        <v>1587</v>
      </c>
      <c r="AI429" s="33" t="s">
        <v>798</v>
      </c>
      <c r="AJ429" s="141" t="s">
        <v>133</v>
      </c>
      <c r="AK429" s="33" t="s">
        <v>379</v>
      </c>
      <c r="AL429" s="33" t="s">
        <v>379</v>
      </c>
      <c r="AM429" s="33" t="s">
        <v>178</v>
      </c>
      <c r="AN429" s="33" t="s">
        <v>232</v>
      </c>
      <c r="AO429" s="33" t="s">
        <v>378</v>
      </c>
      <c r="AP429" s="33" t="s">
        <v>503</v>
      </c>
      <c r="AQ429" s="33" t="s">
        <v>381</v>
      </c>
      <c r="AR429" s="33" t="s">
        <v>381</v>
      </c>
      <c r="AS429" s="33" t="s">
        <v>178</v>
      </c>
      <c r="AT429" s="33" t="s">
        <v>120</v>
      </c>
      <c r="AU429" s="33">
        <v>4</v>
      </c>
      <c r="AW429" s="33" t="s">
        <v>142</v>
      </c>
      <c r="AY429" s="33">
        <f>(4.2+6.9)/2*1000</f>
        <v>5550.0000000000009</v>
      </c>
      <c r="AZ429" s="33">
        <f>AY429/(116+137)*2</f>
        <v>43.873517786561273</v>
      </c>
      <c r="BA429" s="54"/>
      <c r="BH429" s="33">
        <f>3.4*1000</f>
        <v>3400</v>
      </c>
      <c r="BI429" s="33">
        <f>3.1*1000</f>
        <v>3100</v>
      </c>
      <c r="BM429" s="402">
        <v>1.65</v>
      </c>
      <c r="BN429" s="402">
        <v>1.63</v>
      </c>
      <c r="BR429" s="402">
        <v>0.5</v>
      </c>
      <c r="BS429" s="402">
        <v>0.73</v>
      </c>
      <c r="BV429" s="33" t="s">
        <v>619</v>
      </c>
      <c r="BW429" s="33">
        <v>0.3</v>
      </c>
      <c r="BX429" s="33">
        <v>0.5</v>
      </c>
      <c r="CA429" s="33" t="s">
        <v>235</v>
      </c>
      <c r="DZ429" s="33">
        <f>(28.5+37.6)/2</f>
        <v>33.049999999999997</v>
      </c>
      <c r="EA429" s="33">
        <f>(27.2+36.5)/2</f>
        <v>31.85</v>
      </c>
      <c r="EY429" s="33">
        <v>12.9</v>
      </c>
      <c r="EZ429" s="33">
        <v>13.8</v>
      </c>
      <c r="FC429" s="167">
        <v>37957</v>
      </c>
      <c r="GM429" s="12"/>
      <c r="GQ429" s="12"/>
      <c r="IO429" s="33" t="s">
        <v>713</v>
      </c>
    </row>
    <row r="430" spans="1:249" s="33" customFormat="1" x14ac:dyDescent="0.25">
      <c r="A430" s="33">
        <v>24</v>
      </c>
      <c r="B430" s="33" t="s">
        <v>375</v>
      </c>
      <c r="C430" s="33" t="s">
        <v>376</v>
      </c>
      <c r="D430" s="33">
        <v>2013</v>
      </c>
      <c r="E430" s="33">
        <v>2003</v>
      </c>
      <c r="F430" s="33" t="s">
        <v>268</v>
      </c>
      <c r="G430" s="33" t="s">
        <v>377</v>
      </c>
      <c r="H430" s="32" t="s">
        <v>2831</v>
      </c>
      <c r="I430" s="33">
        <v>31.48</v>
      </c>
      <c r="J430" s="33">
        <v>-83.53</v>
      </c>
      <c r="K430" s="33">
        <v>108.4</v>
      </c>
      <c r="L430" s="33">
        <v>19.600000000000001</v>
      </c>
      <c r="M430" s="33">
        <v>18.600000000000001</v>
      </c>
      <c r="N430" s="33">
        <v>976</v>
      </c>
      <c r="O430" s="33">
        <v>1192</v>
      </c>
      <c r="Q430" s="47">
        <v>2</v>
      </c>
      <c r="R430" s="47" t="s">
        <v>1867</v>
      </c>
      <c r="S430" s="47"/>
      <c r="T430" s="47" t="s">
        <v>1913</v>
      </c>
      <c r="U430" s="47" t="s">
        <v>1384</v>
      </c>
      <c r="V430" s="47" t="s">
        <v>1723</v>
      </c>
      <c r="W430" s="47" t="s">
        <v>1384</v>
      </c>
      <c r="X430" s="47" t="s">
        <v>1384</v>
      </c>
      <c r="Y430" s="33">
        <f t="shared" si="58"/>
        <v>1.665</v>
      </c>
      <c r="Z430" s="327"/>
      <c r="AA430" s="327"/>
      <c r="AB430" s="33" t="s">
        <v>176</v>
      </c>
      <c r="AF430" s="33" t="s">
        <v>1326</v>
      </c>
      <c r="AG430" s="33" t="s">
        <v>1534</v>
      </c>
      <c r="AH430" s="138" t="s">
        <v>578</v>
      </c>
      <c r="AI430" s="33" t="s">
        <v>798</v>
      </c>
      <c r="AJ430" s="141" t="s">
        <v>133</v>
      </c>
      <c r="AK430" s="33" t="s">
        <v>379</v>
      </c>
      <c r="AL430" s="33" t="s">
        <v>379</v>
      </c>
      <c r="AM430" s="33" t="s">
        <v>178</v>
      </c>
      <c r="AN430" s="33" t="s">
        <v>232</v>
      </c>
      <c r="AO430" s="33" t="s">
        <v>378</v>
      </c>
      <c r="AP430" s="33" t="s">
        <v>503</v>
      </c>
      <c r="AQ430" s="33" t="s">
        <v>381</v>
      </c>
      <c r="AR430" s="33" t="s">
        <v>381</v>
      </c>
      <c r="AS430" s="33" t="s">
        <v>178</v>
      </c>
      <c r="AT430" s="33" t="s">
        <v>120</v>
      </c>
      <c r="AU430" s="33">
        <v>4</v>
      </c>
      <c r="AW430" s="33" t="s">
        <v>142</v>
      </c>
      <c r="AY430" s="33">
        <f>9.8/2*1000</f>
        <v>4900</v>
      </c>
      <c r="AZ430" s="33">
        <f>AY430/193*2</f>
        <v>50.777202072538863</v>
      </c>
      <c r="BA430" s="54"/>
      <c r="BH430" s="33">
        <f t="shared" ref="BH430:BH431" si="61">3.4*1000</f>
        <v>3400</v>
      </c>
      <c r="BI430" s="33">
        <f>3.8*1000</f>
        <v>3800</v>
      </c>
      <c r="BM430" s="402"/>
      <c r="BN430" s="402"/>
      <c r="BR430" s="402">
        <v>0.5</v>
      </c>
      <c r="BS430" s="402">
        <v>0.74</v>
      </c>
      <c r="BV430" s="33" t="s">
        <v>619</v>
      </c>
      <c r="BW430" s="33">
        <v>0.3</v>
      </c>
      <c r="BX430" s="33">
        <v>0.5</v>
      </c>
      <c r="CA430" s="33" t="s">
        <v>235</v>
      </c>
      <c r="EY430" s="33">
        <v>13.2</v>
      </c>
      <c r="EZ430" s="33">
        <v>13.4</v>
      </c>
      <c r="FC430" s="167">
        <v>38113</v>
      </c>
      <c r="GM430" s="12"/>
      <c r="GQ430" s="12"/>
      <c r="IO430" s="33" t="s">
        <v>713</v>
      </c>
    </row>
    <row r="431" spans="1:249" s="33" customFormat="1" x14ac:dyDescent="0.25">
      <c r="A431" s="33">
        <v>24</v>
      </c>
      <c r="B431" s="33" t="s">
        <v>375</v>
      </c>
      <c r="C431" s="33" t="s">
        <v>376</v>
      </c>
      <c r="D431" s="33">
        <v>2013</v>
      </c>
      <c r="E431" s="33">
        <v>2003</v>
      </c>
      <c r="F431" s="33" t="s">
        <v>268</v>
      </c>
      <c r="G431" s="33" t="s">
        <v>377</v>
      </c>
      <c r="H431" s="32" t="s">
        <v>2831</v>
      </c>
      <c r="I431" s="33">
        <v>31.48</v>
      </c>
      <c r="J431" s="33">
        <v>-83.53</v>
      </c>
      <c r="K431" s="33">
        <v>108.4</v>
      </c>
      <c r="L431" s="33">
        <v>19.600000000000001</v>
      </c>
      <c r="M431" s="33">
        <v>18.600000000000001</v>
      </c>
      <c r="N431" s="33">
        <v>976</v>
      </c>
      <c r="O431" s="33">
        <v>1192</v>
      </c>
      <c r="Q431" s="47">
        <v>2</v>
      </c>
      <c r="R431" s="47" t="s">
        <v>1867</v>
      </c>
      <c r="S431" s="47"/>
      <c r="T431" s="47" t="s">
        <v>1913</v>
      </c>
      <c r="U431" s="47" t="s">
        <v>1384</v>
      </c>
      <c r="V431" s="47" t="s">
        <v>1723</v>
      </c>
      <c r="W431" s="47" t="s">
        <v>1384</v>
      </c>
      <c r="X431" s="47" t="s">
        <v>1384</v>
      </c>
      <c r="Y431" s="33">
        <f t="shared" si="58"/>
        <v>1.665</v>
      </c>
      <c r="Z431" s="327"/>
      <c r="AA431" s="327"/>
      <c r="AB431" s="33" t="s">
        <v>176</v>
      </c>
      <c r="AF431" s="33" t="s">
        <v>1326</v>
      </c>
      <c r="AG431" s="33" t="s">
        <v>1525</v>
      </c>
      <c r="AH431" s="138" t="s">
        <v>578</v>
      </c>
      <c r="AI431" s="33" t="s">
        <v>798</v>
      </c>
      <c r="AJ431" s="141" t="s">
        <v>133</v>
      </c>
      <c r="AK431" s="33" t="s">
        <v>379</v>
      </c>
      <c r="AL431" s="33" t="s">
        <v>379</v>
      </c>
      <c r="AM431" s="33" t="s">
        <v>178</v>
      </c>
      <c r="AN431" s="33" t="s">
        <v>232</v>
      </c>
      <c r="AO431" s="33" t="s">
        <v>378</v>
      </c>
      <c r="AP431" s="33" t="s">
        <v>503</v>
      </c>
      <c r="AQ431" s="33" t="s">
        <v>381</v>
      </c>
      <c r="AR431" s="33" t="s">
        <v>381</v>
      </c>
      <c r="AS431" s="33" t="s">
        <v>178</v>
      </c>
      <c r="AT431" s="33" t="s">
        <v>120</v>
      </c>
      <c r="AU431" s="33">
        <v>4</v>
      </c>
      <c r="AW431" s="33" t="s">
        <v>142</v>
      </c>
      <c r="AY431" s="33">
        <f>3.3/2*1000</f>
        <v>1650</v>
      </c>
      <c r="AZ431" s="33">
        <f>AY431/83*2</f>
        <v>39.75903614457831</v>
      </c>
      <c r="BA431" s="54"/>
      <c r="BH431" s="33">
        <f t="shared" si="61"/>
        <v>3400</v>
      </c>
      <c r="BI431" s="33">
        <f>2.5*1000</f>
        <v>2500</v>
      </c>
      <c r="BM431" s="402"/>
      <c r="BN431" s="402"/>
      <c r="BR431" s="402">
        <v>0.5</v>
      </c>
      <c r="BS431" s="402">
        <v>0.54</v>
      </c>
      <c r="BV431" s="33" t="s">
        <v>619</v>
      </c>
      <c r="BW431" s="33">
        <v>0.3</v>
      </c>
      <c r="BX431" s="33">
        <v>0.3</v>
      </c>
      <c r="CA431" s="33" t="s">
        <v>235</v>
      </c>
      <c r="EY431" s="33">
        <v>14.2</v>
      </c>
      <c r="EZ431" s="33">
        <v>15</v>
      </c>
      <c r="FC431" s="167">
        <v>38232</v>
      </c>
      <c r="GM431" s="12"/>
      <c r="GQ431" s="12"/>
      <c r="IO431" s="33" t="s">
        <v>713</v>
      </c>
    </row>
    <row r="432" spans="1:249" s="33" customFormat="1" x14ac:dyDescent="0.25">
      <c r="A432" s="33">
        <v>24</v>
      </c>
      <c r="B432" s="33" t="s">
        <v>375</v>
      </c>
      <c r="C432" s="33" t="s">
        <v>376</v>
      </c>
      <c r="D432" s="33">
        <v>2013</v>
      </c>
      <c r="E432" s="33">
        <v>2003</v>
      </c>
      <c r="F432" s="33" t="s">
        <v>268</v>
      </c>
      <c r="G432" s="33" t="s">
        <v>377</v>
      </c>
      <c r="H432" s="32" t="s">
        <v>2831</v>
      </c>
      <c r="I432" s="33">
        <v>31.48</v>
      </c>
      <c r="J432" s="33">
        <v>-83.53</v>
      </c>
      <c r="K432" s="33">
        <v>108.4</v>
      </c>
      <c r="L432" s="33">
        <v>19.600000000000001</v>
      </c>
      <c r="M432" s="33">
        <v>18.600000000000001</v>
      </c>
      <c r="N432" s="33">
        <v>976</v>
      </c>
      <c r="O432" s="33">
        <v>1192</v>
      </c>
      <c r="Q432" s="47">
        <v>2</v>
      </c>
      <c r="R432" s="47" t="s">
        <v>1867</v>
      </c>
      <c r="S432" s="47"/>
      <c r="T432" s="47" t="s">
        <v>1913</v>
      </c>
      <c r="U432" s="47" t="s">
        <v>1384</v>
      </c>
      <c r="V432" s="47" t="s">
        <v>1723</v>
      </c>
      <c r="W432" s="47" t="s">
        <v>1384</v>
      </c>
      <c r="X432" s="47" t="s">
        <v>1384</v>
      </c>
      <c r="Y432" s="33">
        <f t="shared" si="58"/>
        <v>1.665</v>
      </c>
      <c r="Z432" s="327"/>
      <c r="AA432" s="327"/>
      <c r="AB432" s="33" t="s">
        <v>176</v>
      </c>
      <c r="AF432" s="33" t="s">
        <v>1326</v>
      </c>
      <c r="AG432" s="33" t="s">
        <v>1554</v>
      </c>
      <c r="AH432" s="138" t="s">
        <v>1587</v>
      </c>
      <c r="AI432" s="33" t="s">
        <v>798</v>
      </c>
      <c r="AJ432" s="141" t="s">
        <v>133</v>
      </c>
      <c r="AK432" s="33" t="s">
        <v>379</v>
      </c>
      <c r="AL432" s="33" t="s">
        <v>379</v>
      </c>
      <c r="AM432" s="33" t="s">
        <v>178</v>
      </c>
      <c r="AN432" s="33" t="s">
        <v>232</v>
      </c>
      <c r="AO432" s="33" t="s">
        <v>378</v>
      </c>
      <c r="AP432" s="33" t="s">
        <v>503</v>
      </c>
      <c r="AQ432" s="33" t="s">
        <v>380</v>
      </c>
      <c r="AR432" s="33" t="s">
        <v>380</v>
      </c>
      <c r="AS432" s="33" t="s">
        <v>178</v>
      </c>
      <c r="AT432" s="33" t="s">
        <v>120</v>
      </c>
      <c r="AU432" s="33">
        <v>4</v>
      </c>
      <c r="AW432" s="33" t="s">
        <v>142</v>
      </c>
      <c r="AY432" s="33">
        <f>(4.9+7.6)/2*1000</f>
        <v>6250</v>
      </c>
      <c r="AZ432" s="33">
        <f>AY432/(116+171)*2</f>
        <v>43.554006968641112</v>
      </c>
      <c r="BA432" s="54"/>
      <c r="BH432" s="33">
        <f>3.9*1000</f>
        <v>3900</v>
      </c>
      <c r="BI432" s="33">
        <f>4.6*1000</f>
        <v>4600</v>
      </c>
      <c r="BM432" s="402">
        <v>1.73</v>
      </c>
      <c r="BN432" s="402">
        <v>1.71</v>
      </c>
      <c r="BR432" s="402">
        <v>0.56000000000000005</v>
      </c>
      <c r="BS432" s="402">
        <v>0.7</v>
      </c>
      <c r="BV432" s="33" t="s">
        <v>619</v>
      </c>
      <c r="BW432" s="33">
        <v>0.3</v>
      </c>
      <c r="BX432" s="33">
        <v>1.5</v>
      </c>
      <c r="CA432" s="33" t="s">
        <v>235</v>
      </c>
      <c r="DZ432" s="33">
        <f>(27+22.8+18)/3</f>
        <v>22.599999999999998</v>
      </c>
      <c r="EA432" s="33">
        <f>(33.1+24.1+19.4)/3</f>
        <v>25.533333333333331</v>
      </c>
      <c r="EY432" s="33">
        <v>18.899999999999999</v>
      </c>
      <c r="EZ432" s="33">
        <v>19.2</v>
      </c>
      <c r="FC432" s="167">
        <v>38505</v>
      </c>
      <c r="GM432" s="12"/>
      <c r="GQ432" s="12"/>
      <c r="IO432" s="33" t="s">
        <v>713</v>
      </c>
    </row>
    <row r="433" spans="1:250" s="33" customFormat="1" x14ac:dyDescent="0.25">
      <c r="A433" s="33">
        <v>24</v>
      </c>
      <c r="B433" s="33" t="s">
        <v>375</v>
      </c>
      <c r="C433" s="33" t="s">
        <v>376</v>
      </c>
      <c r="D433" s="33">
        <v>2013</v>
      </c>
      <c r="E433" s="33">
        <v>2003</v>
      </c>
      <c r="F433" s="33" t="s">
        <v>268</v>
      </c>
      <c r="G433" s="33" t="s">
        <v>377</v>
      </c>
      <c r="H433" s="32" t="s">
        <v>2831</v>
      </c>
      <c r="I433" s="33">
        <v>31.48</v>
      </c>
      <c r="J433" s="33">
        <v>-83.53</v>
      </c>
      <c r="K433" s="33">
        <v>108.4</v>
      </c>
      <c r="L433" s="33">
        <v>19.600000000000001</v>
      </c>
      <c r="M433" s="33">
        <v>18.600000000000001</v>
      </c>
      <c r="N433" s="33">
        <v>976</v>
      </c>
      <c r="O433" s="33">
        <v>1192</v>
      </c>
      <c r="Q433" s="47">
        <v>2</v>
      </c>
      <c r="R433" s="47" t="s">
        <v>1867</v>
      </c>
      <c r="S433" s="47"/>
      <c r="T433" s="47" t="s">
        <v>1913</v>
      </c>
      <c r="U433" s="47" t="s">
        <v>1384</v>
      </c>
      <c r="V433" s="47" t="s">
        <v>1723</v>
      </c>
      <c r="W433" s="47" t="s">
        <v>1384</v>
      </c>
      <c r="X433" s="47" t="s">
        <v>1384</v>
      </c>
      <c r="Y433" s="33">
        <f t="shared" si="58"/>
        <v>1.665</v>
      </c>
      <c r="Z433" s="327"/>
      <c r="AA433" s="327"/>
      <c r="AB433" s="33" t="s">
        <v>176</v>
      </c>
      <c r="AF433" s="33" t="s">
        <v>1326</v>
      </c>
      <c r="AG433" s="33" t="s">
        <v>1534</v>
      </c>
      <c r="AH433" s="138" t="s">
        <v>578</v>
      </c>
      <c r="AI433" s="33" t="s">
        <v>798</v>
      </c>
      <c r="AJ433" s="141" t="s">
        <v>133</v>
      </c>
      <c r="AK433" s="33" t="s">
        <v>379</v>
      </c>
      <c r="AL433" s="33" t="s">
        <v>379</v>
      </c>
      <c r="AM433" s="33" t="s">
        <v>178</v>
      </c>
      <c r="AN433" s="33" t="s">
        <v>232</v>
      </c>
      <c r="AO433" s="33" t="s">
        <v>378</v>
      </c>
      <c r="AP433" s="33" t="s">
        <v>503</v>
      </c>
      <c r="AQ433" s="33" t="s">
        <v>380</v>
      </c>
      <c r="AR433" s="33" t="s">
        <v>380</v>
      </c>
      <c r="AS433" s="33" t="s">
        <v>178</v>
      </c>
      <c r="AT433" s="33" t="s">
        <v>120</v>
      </c>
      <c r="AU433" s="33">
        <v>4</v>
      </c>
      <c r="AW433" s="33" t="s">
        <v>142</v>
      </c>
      <c r="AY433" s="33">
        <f>9.3/2*1000</f>
        <v>4650</v>
      </c>
      <c r="AZ433" s="33">
        <f>AY433/173*2</f>
        <v>53.75722543352601</v>
      </c>
      <c r="BA433" s="54"/>
      <c r="BH433" s="33">
        <f t="shared" ref="BH433:BH434" si="62">3.9*1000</f>
        <v>3900</v>
      </c>
      <c r="BI433" s="33">
        <f>5.3*1000</f>
        <v>5300</v>
      </c>
      <c r="BM433" s="402"/>
      <c r="BN433" s="402"/>
      <c r="BR433" s="402">
        <v>0.56000000000000005</v>
      </c>
      <c r="BS433" s="402">
        <v>0.73</v>
      </c>
      <c r="BV433" s="33" t="s">
        <v>619</v>
      </c>
      <c r="BW433" s="33">
        <v>0.3</v>
      </c>
      <c r="BX433" s="33">
        <v>0.5</v>
      </c>
      <c r="CA433" s="33" t="s">
        <v>235</v>
      </c>
      <c r="GM433" s="12"/>
      <c r="GQ433" s="12"/>
      <c r="IO433" s="33" t="s">
        <v>713</v>
      </c>
    </row>
    <row r="434" spans="1:250" s="33" customFormat="1" x14ac:dyDescent="0.25">
      <c r="A434" s="33">
        <v>24</v>
      </c>
      <c r="B434" s="33" t="s">
        <v>375</v>
      </c>
      <c r="C434" s="33" t="s">
        <v>376</v>
      </c>
      <c r="D434" s="33">
        <v>2013</v>
      </c>
      <c r="E434" s="33">
        <v>2003</v>
      </c>
      <c r="F434" s="33" t="s">
        <v>268</v>
      </c>
      <c r="G434" s="33" t="s">
        <v>377</v>
      </c>
      <c r="H434" s="32" t="s">
        <v>2831</v>
      </c>
      <c r="I434" s="33">
        <v>31.48</v>
      </c>
      <c r="J434" s="33">
        <v>-83.53</v>
      </c>
      <c r="K434" s="33">
        <v>108.4</v>
      </c>
      <c r="L434" s="33">
        <v>19.600000000000001</v>
      </c>
      <c r="M434" s="33">
        <v>18.600000000000001</v>
      </c>
      <c r="N434" s="33">
        <v>976</v>
      </c>
      <c r="O434" s="33">
        <v>1192</v>
      </c>
      <c r="Q434" s="47">
        <v>2</v>
      </c>
      <c r="R434" s="47" t="s">
        <v>1867</v>
      </c>
      <c r="S434" s="47"/>
      <c r="T434" s="47" t="s">
        <v>1913</v>
      </c>
      <c r="U434" s="47" t="s">
        <v>1384</v>
      </c>
      <c r="V434" s="47" t="s">
        <v>1723</v>
      </c>
      <c r="W434" s="47" t="s">
        <v>1384</v>
      </c>
      <c r="X434" s="47" t="s">
        <v>1384</v>
      </c>
      <c r="Y434" s="33">
        <f t="shared" si="58"/>
        <v>1.665</v>
      </c>
      <c r="Z434" s="327"/>
      <c r="AA434" s="327"/>
      <c r="AB434" s="33" t="s">
        <v>176</v>
      </c>
      <c r="AF434" s="33" t="s">
        <v>1326</v>
      </c>
      <c r="AG434" s="33" t="s">
        <v>1525</v>
      </c>
      <c r="AH434" s="138" t="s">
        <v>578</v>
      </c>
      <c r="AI434" s="33" t="s">
        <v>798</v>
      </c>
      <c r="AJ434" s="141" t="s">
        <v>133</v>
      </c>
      <c r="AK434" s="33" t="s">
        <v>379</v>
      </c>
      <c r="AL434" s="33" t="s">
        <v>379</v>
      </c>
      <c r="AM434" s="33" t="s">
        <v>178</v>
      </c>
      <c r="AN434" s="33" t="s">
        <v>232</v>
      </c>
      <c r="AO434" s="33" t="s">
        <v>378</v>
      </c>
      <c r="AP434" s="33" t="s">
        <v>503</v>
      </c>
      <c r="AQ434" s="33" t="s">
        <v>380</v>
      </c>
      <c r="AR434" s="33" t="s">
        <v>380</v>
      </c>
      <c r="AS434" s="33" t="s">
        <v>178</v>
      </c>
      <c r="AT434" s="33" t="s">
        <v>120</v>
      </c>
      <c r="AU434" s="33">
        <v>4</v>
      </c>
      <c r="AW434" s="33" t="s">
        <v>142</v>
      </c>
      <c r="AY434" s="33">
        <f>3.5/2*1000</f>
        <v>1750</v>
      </c>
      <c r="AZ434" s="33">
        <f>AY434/90*2</f>
        <v>38.888888888888886</v>
      </c>
      <c r="BA434" s="54"/>
      <c r="BH434" s="33">
        <f t="shared" si="62"/>
        <v>3900</v>
      </c>
      <c r="BI434" s="33">
        <f>3.5*1000</f>
        <v>3500</v>
      </c>
      <c r="BM434" s="402"/>
      <c r="BN434" s="402"/>
      <c r="BR434" s="402">
        <v>0.56000000000000005</v>
      </c>
      <c r="BS434" s="402">
        <v>0.52</v>
      </c>
      <c r="BV434" s="33" t="s">
        <v>619</v>
      </c>
      <c r="BW434" s="33">
        <v>0.3</v>
      </c>
      <c r="BX434" s="33">
        <v>0.3</v>
      </c>
      <c r="CA434" s="33" t="s">
        <v>235</v>
      </c>
      <c r="GM434" s="12"/>
      <c r="GQ434" s="12"/>
      <c r="IO434" s="33" t="s">
        <v>713</v>
      </c>
    </row>
    <row r="435" spans="1:250" s="35" customFormat="1" x14ac:dyDescent="0.25">
      <c r="A435" s="35">
        <v>25</v>
      </c>
      <c r="B435" s="35" t="s">
        <v>383</v>
      </c>
      <c r="C435" s="35" t="s">
        <v>384</v>
      </c>
      <c r="D435" s="35">
        <v>2009</v>
      </c>
      <c r="E435" s="35">
        <v>2004</v>
      </c>
      <c r="F435" s="35" t="s">
        <v>297</v>
      </c>
      <c r="G435" s="35" t="s">
        <v>387</v>
      </c>
      <c r="H435" s="32" t="s">
        <v>2831</v>
      </c>
      <c r="I435" s="35">
        <f>(44+53/60+44+22/60+42+44/60+42+52/60)/4</f>
        <v>43.712499999999999</v>
      </c>
      <c r="J435" s="35">
        <f>(-73-28/60-73-26/60-76-39/60-70-3/60)/4</f>
        <v>-73.400000000000006</v>
      </c>
      <c r="K435" s="35">
        <v>301</v>
      </c>
      <c r="Q435" s="49">
        <v>2</v>
      </c>
      <c r="R435" s="49" t="s">
        <v>1867</v>
      </c>
      <c r="S435" s="49"/>
      <c r="T435" s="49" t="s">
        <v>1914</v>
      </c>
      <c r="U435" s="49" t="s">
        <v>1386</v>
      </c>
      <c r="V435" s="49" t="s">
        <v>1724</v>
      </c>
      <c r="W435" s="49" t="s">
        <v>1386</v>
      </c>
      <c r="X435" s="49" t="s">
        <v>1386</v>
      </c>
      <c r="Z435" s="329">
        <f>(212+195+408+470)/(212+195+408+470+726+491+484+445+62+314+108+85)*100</f>
        <v>32.125</v>
      </c>
      <c r="AA435" s="329">
        <f>(726+491+484+445)/(212+195+408+470+726+491+484+445+62+314+108+85)*100</f>
        <v>53.65</v>
      </c>
      <c r="AB435" s="35" t="s">
        <v>451</v>
      </c>
      <c r="AF435" s="35" t="s">
        <v>1327</v>
      </c>
      <c r="AG435" s="35" t="s">
        <v>132</v>
      </c>
      <c r="AH435" s="138" t="s">
        <v>132</v>
      </c>
      <c r="AI435" s="35" t="s">
        <v>636</v>
      </c>
      <c r="AJ435" s="140" t="s">
        <v>1617</v>
      </c>
      <c r="AK435" s="35" t="s">
        <v>385</v>
      </c>
      <c r="AL435" s="35" t="s">
        <v>385</v>
      </c>
      <c r="AM435" s="35" t="s">
        <v>178</v>
      </c>
      <c r="AN435" s="35" t="s">
        <v>388</v>
      </c>
      <c r="AO435" s="35" t="s">
        <v>388</v>
      </c>
      <c r="AP435" s="35" t="s">
        <v>178</v>
      </c>
      <c r="AT435" s="35" t="s">
        <v>161</v>
      </c>
      <c r="AU435" s="35">
        <v>4</v>
      </c>
      <c r="AW435" s="35" t="s">
        <v>142</v>
      </c>
      <c r="BA435" s="53"/>
      <c r="BM435" s="405"/>
      <c r="BN435" s="405"/>
      <c r="BR435" s="405">
        <f>21/1000*100</f>
        <v>2.1</v>
      </c>
      <c r="BS435" s="405">
        <v>2</v>
      </c>
      <c r="BV435" s="35" t="s">
        <v>1676</v>
      </c>
      <c r="CB435" s="35">
        <v>10.9</v>
      </c>
      <c r="CC435" s="35">
        <v>11.5</v>
      </c>
      <c r="CG435" s="35">
        <v>58</v>
      </c>
      <c r="CH435" s="35">
        <v>57</v>
      </c>
      <c r="CL435" s="35">
        <v>7.24</v>
      </c>
      <c r="CM435" s="35">
        <v>7.22</v>
      </c>
      <c r="CQ435" s="35">
        <v>99999</v>
      </c>
      <c r="CR435" s="35">
        <v>99999</v>
      </c>
      <c r="CU435" s="35" t="s">
        <v>1161</v>
      </c>
      <c r="DF435" s="35">
        <f>16.5*10</f>
        <v>165</v>
      </c>
      <c r="DG435" s="35">
        <v>160</v>
      </c>
      <c r="FD435" s="35">
        <v>0.11700000000000001</v>
      </c>
      <c r="FE435" s="35">
        <v>0.11799999999999999</v>
      </c>
      <c r="FH435" s="35" t="s">
        <v>389</v>
      </c>
      <c r="FN435" s="12">
        <v>5</v>
      </c>
      <c r="FO435" s="35">
        <v>5</v>
      </c>
      <c r="FR435" s="35" t="s">
        <v>1714</v>
      </c>
      <c r="GR435" s="35">
        <v>501</v>
      </c>
      <c r="GS435" s="35">
        <v>510</v>
      </c>
      <c r="GV435" s="35" t="s">
        <v>390</v>
      </c>
      <c r="GW435" s="35">
        <v>3.41</v>
      </c>
      <c r="GX435" s="35">
        <v>3.76</v>
      </c>
      <c r="HA435" s="35" t="s">
        <v>622</v>
      </c>
      <c r="IK435" s="35">
        <v>99999</v>
      </c>
      <c r="IO435" s="35" t="s">
        <v>391</v>
      </c>
      <c r="IP435" s="35" t="s">
        <v>722</v>
      </c>
    </row>
    <row r="436" spans="1:250" s="35" customFormat="1" x14ac:dyDescent="0.25">
      <c r="A436" s="35">
        <v>25</v>
      </c>
      <c r="B436" s="35" t="s">
        <v>383</v>
      </c>
      <c r="C436" s="35" t="s">
        <v>384</v>
      </c>
      <c r="D436" s="35">
        <v>2009</v>
      </c>
      <c r="E436" s="35">
        <v>2004</v>
      </c>
      <c r="F436" s="35" t="s">
        <v>297</v>
      </c>
      <c r="G436" s="35" t="s">
        <v>387</v>
      </c>
      <c r="H436" s="32" t="s">
        <v>2831</v>
      </c>
      <c r="I436" s="35">
        <f>(44+53/60+44+22/60+42+44/60+42+52/60)/4</f>
        <v>43.712499999999999</v>
      </c>
      <c r="J436" s="35">
        <f>(-73-28/60-73-26/60-76-39/60-70-3/60)/4</f>
        <v>-73.400000000000006</v>
      </c>
      <c r="K436" s="35">
        <v>301</v>
      </c>
      <c r="Q436" s="49">
        <v>2</v>
      </c>
      <c r="R436" s="49" t="s">
        <v>1867</v>
      </c>
      <c r="S436" s="49"/>
      <c r="T436" s="49" t="s">
        <v>1914</v>
      </c>
      <c r="U436" s="49" t="s">
        <v>1386</v>
      </c>
      <c r="V436" s="49" t="s">
        <v>1724</v>
      </c>
      <c r="W436" s="49" t="s">
        <v>1386</v>
      </c>
      <c r="X436" s="49" t="s">
        <v>1386</v>
      </c>
      <c r="Z436" s="329">
        <f>(212+195+408+470)/(212+195+408+470+726+491+484+445+62+314+108+85)*100</f>
        <v>32.125</v>
      </c>
      <c r="AA436" s="329">
        <f>(726+491+484+445)/(212+195+408+470+726+491+484+445+62+314+108+85)*100</f>
        <v>53.65</v>
      </c>
      <c r="AB436" s="35" t="s">
        <v>451</v>
      </c>
      <c r="AF436" s="35" t="s">
        <v>1327</v>
      </c>
      <c r="AG436" s="35" t="s">
        <v>132</v>
      </c>
      <c r="AH436" s="138" t="s">
        <v>132</v>
      </c>
      <c r="AI436" s="35" t="s">
        <v>636</v>
      </c>
      <c r="AJ436" s="140" t="s">
        <v>1617</v>
      </c>
      <c r="AK436" s="35" t="s">
        <v>385</v>
      </c>
      <c r="AL436" s="35" t="s">
        <v>385</v>
      </c>
      <c r="AM436" s="35" t="s">
        <v>178</v>
      </c>
      <c r="AN436" s="35" t="s">
        <v>388</v>
      </c>
      <c r="AO436" s="35" t="s">
        <v>388</v>
      </c>
      <c r="AP436" s="35" t="s">
        <v>178</v>
      </c>
      <c r="AT436" s="35" t="s">
        <v>161</v>
      </c>
      <c r="AU436" s="35">
        <v>4</v>
      </c>
      <c r="AW436" s="35" t="s">
        <v>142</v>
      </c>
      <c r="BA436" s="53"/>
      <c r="BM436" s="405"/>
      <c r="BN436" s="405"/>
      <c r="BR436" s="405">
        <v>2.1</v>
      </c>
      <c r="BS436" s="405">
        <v>2</v>
      </c>
      <c r="BV436" s="35" t="s">
        <v>1676</v>
      </c>
      <c r="CB436" s="35">
        <v>10.9</v>
      </c>
      <c r="CC436" s="35">
        <v>10.199999999999999</v>
      </c>
      <c r="CG436" s="35">
        <v>58</v>
      </c>
      <c r="CH436" s="35">
        <v>60</v>
      </c>
      <c r="CL436" s="35">
        <v>7.24</v>
      </c>
      <c r="CM436" s="35">
        <v>7.19</v>
      </c>
      <c r="CQ436" s="35">
        <v>99999</v>
      </c>
      <c r="CR436" s="35">
        <v>99999</v>
      </c>
      <c r="CU436" s="35" t="s">
        <v>1161</v>
      </c>
      <c r="DF436" s="35">
        <f>16.5*10</f>
        <v>165</v>
      </c>
      <c r="DG436" s="35">
        <v>177</v>
      </c>
      <c r="FD436" s="35">
        <v>0.11700000000000001</v>
      </c>
      <c r="FE436" s="35">
        <v>0.12</v>
      </c>
      <c r="FH436" s="35" t="s">
        <v>389</v>
      </c>
      <c r="FN436" s="12">
        <v>5</v>
      </c>
      <c r="FO436" s="35">
        <v>5.0999999999999996</v>
      </c>
      <c r="FR436" s="35" t="s">
        <v>1714</v>
      </c>
      <c r="GR436" s="35">
        <v>501</v>
      </c>
      <c r="GS436" s="35">
        <v>492</v>
      </c>
      <c r="GV436" s="35" t="s">
        <v>390</v>
      </c>
      <c r="GW436" s="35">
        <v>3.41</v>
      </c>
      <c r="GX436" s="35">
        <v>6.27</v>
      </c>
      <c r="HA436" s="35" t="s">
        <v>622</v>
      </c>
      <c r="IK436" s="35">
        <v>99999</v>
      </c>
      <c r="IO436" s="35" t="s">
        <v>391</v>
      </c>
      <c r="IP436" s="35" t="s">
        <v>722</v>
      </c>
    </row>
    <row r="437" spans="1:250" s="35" customFormat="1" x14ac:dyDescent="0.25">
      <c r="A437" s="35">
        <v>25</v>
      </c>
      <c r="B437" s="35" t="s">
        <v>383</v>
      </c>
      <c r="C437" s="35" t="s">
        <v>384</v>
      </c>
      <c r="D437" s="35">
        <v>2009</v>
      </c>
      <c r="E437" s="35">
        <v>2004</v>
      </c>
      <c r="F437" s="35" t="s">
        <v>297</v>
      </c>
      <c r="G437" s="35" t="s">
        <v>387</v>
      </c>
      <c r="H437" s="32" t="s">
        <v>2831</v>
      </c>
      <c r="I437" s="35">
        <f>(44+53/60+44+22/60+42+44/60+42+52/60)/4</f>
        <v>43.712499999999999</v>
      </c>
      <c r="J437" s="35">
        <f>(-73-28/60-73-26/60-76-39/60-70-3/60)/4</f>
        <v>-73.400000000000006</v>
      </c>
      <c r="K437" s="35">
        <v>301</v>
      </c>
      <c r="Q437" s="49">
        <v>2</v>
      </c>
      <c r="R437" s="49" t="s">
        <v>1867</v>
      </c>
      <c r="S437" s="49"/>
      <c r="T437" s="49" t="s">
        <v>1914</v>
      </c>
      <c r="U437" s="49" t="s">
        <v>1386</v>
      </c>
      <c r="V437" s="49" t="s">
        <v>1724</v>
      </c>
      <c r="W437" s="49" t="s">
        <v>1386</v>
      </c>
      <c r="X437" s="49" t="s">
        <v>1386</v>
      </c>
      <c r="Z437" s="329">
        <f>(212+195+408+470)/(212+195+408+470+726+491+484+445+62+314+108+85)*100</f>
        <v>32.125</v>
      </c>
      <c r="AA437" s="329">
        <f>(726+491+484+445)/(212+195+408+470+726+491+484+445+62+314+108+85)*100</f>
        <v>53.65</v>
      </c>
      <c r="AB437" s="35" t="s">
        <v>451</v>
      </c>
      <c r="AF437" s="35" t="s">
        <v>1327</v>
      </c>
      <c r="AG437" s="35" t="s">
        <v>132</v>
      </c>
      <c r="AH437" s="138" t="s">
        <v>132</v>
      </c>
      <c r="AI437" s="35" t="s">
        <v>636</v>
      </c>
      <c r="AJ437" s="140" t="s">
        <v>1617</v>
      </c>
      <c r="AK437" s="35" t="s">
        <v>386</v>
      </c>
      <c r="AL437" s="35" t="s">
        <v>386</v>
      </c>
      <c r="AM437" s="35" t="s">
        <v>178</v>
      </c>
      <c r="AN437" s="35" t="s">
        <v>388</v>
      </c>
      <c r="AO437" s="35" t="s">
        <v>388</v>
      </c>
      <c r="AP437" s="35" t="s">
        <v>178</v>
      </c>
      <c r="AT437" s="35" t="s">
        <v>161</v>
      </c>
      <c r="AU437" s="35">
        <v>4</v>
      </c>
      <c r="AW437" s="35" t="s">
        <v>142</v>
      </c>
      <c r="BA437" s="53"/>
      <c r="BM437" s="405"/>
      <c r="BN437" s="405"/>
      <c r="BR437" s="405">
        <v>2.2999999999999998</v>
      </c>
      <c r="BS437" s="405">
        <v>2.1</v>
      </c>
      <c r="BV437" s="35" t="s">
        <v>1676</v>
      </c>
      <c r="CB437" s="35">
        <v>11</v>
      </c>
      <c r="CC437" s="35">
        <v>10.9</v>
      </c>
      <c r="CG437" s="35">
        <v>62</v>
      </c>
      <c r="CH437" s="35">
        <v>65</v>
      </c>
      <c r="CL437" s="35">
        <v>7.19</v>
      </c>
      <c r="CM437" s="35">
        <v>7.24</v>
      </c>
      <c r="CQ437" s="35">
        <v>99999</v>
      </c>
      <c r="CR437" s="35">
        <v>99999</v>
      </c>
      <c r="CU437" s="35" t="s">
        <v>1161</v>
      </c>
      <c r="DF437" s="35">
        <f>21.8*10</f>
        <v>218</v>
      </c>
      <c r="DG437" s="35">
        <v>224</v>
      </c>
      <c r="FD437" s="35">
        <v>0.121</v>
      </c>
      <c r="FE437" s="35">
        <v>0.124</v>
      </c>
      <c r="FH437" s="35" t="s">
        <v>389</v>
      </c>
      <c r="FN437" s="12">
        <v>5</v>
      </c>
      <c r="FO437" s="35">
        <v>4.7</v>
      </c>
      <c r="FR437" s="35" t="s">
        <v>1714</v>
      </c>
      <c r="GR437" s="35">
        <v>549</v>
      </c>
      <c r="GS437" s="35">
        <v>525</v>
      </c>
      <c r="GV437" s="35" t="s">
        <v>390</v>
      </c>
      <c r="GW437" s="35">
        <v>6.94</v>
      </c>
      <c r="GX437" s="35">
        <v>5.91</v>
      </c>
      <c r="HA437" s="35" t="s">
        <v>622</v>
      </c>
      <c r="IK437" s="35">
        <v>99999</v>
      </c>
      <c r="IO437" s="35" t="s">
        <v>391</v>
      </c>
      <c r="IP437" s="35" t="s">
        <v>722</v>
      </c>
    </row>
    <row r="438" spans="1:250" s="35" customFormat="1" x14ac:dyDescent="0.25">
      <c r="A438" s="35">
        <v>25</v>
      </c>
      <c r="B438" s="35" t="s">
        <v>383</v>
      </c>
      <c r="C438" s="35" t="s">
        <v>384</v>
      </c>
      <c r="D438" s="35">
        <v>2009</v>
      </c>
      <c r="E438" s="35">
        <v>2004</v>
      </c>
      <c r="F438" s="35" t="s">
        <v>297</v>
      </c>
      <c r="G438" s="35" t="s">
        <v>387</v>
      </c>
      <c r="H438" s="32" t="s">
        <v>2831</v>
      </c>
      <c r="I438" s="35">
        <f>(44+53/60+44+22/60+42+44/60+42+52/60)/4</f>
        <v>43.712499999999999</v>
      </c>
      <c r="J438" s="35">
        <f>(-73-28/60-73-26/60-76-39/60-70-3/60)/4</f>
        <v>-73.400000000000006</v>
      </c>
      <c r="K438" s="35">
        <v>301</v>
      </c>
      <c r="Q438" s="49">
        <v>2</v>
      </c>
      <c r="R438" s="49" t="s">
        <v>1867</v>
      </c>
      <c r="S438" s="49"/>
      <c r="T438" s="49" t="s">
        <v>1914</v>
      </c>
      <c r="U438" s="49" t="s">
        <v>1386</v>
      </c>
      <c r="V438" s="49" t="s">
        <v>1724</v>
      </c>
      <c r="W438" s="49" t="s">
        <v>1386</v>
      </c>
      <c r="X438" s="49" t="s">
        <v>1386</v>
      </c>
      <c r="Z438" s="329">
        <f>(212+195+408+470)/(212+195+408+470+726+491+484+445+62+314+108+85)*100</f>
        <v>32.125</v>
      </c>
      <c r="AA438" s="329">
        <f>(726+491+484+445)/(212+195+408+470+726+491+484+445+62+314+108+85)*100</f>
        <v>53.65</v>
      </c>
      <c r="AB438" s="35" t="s">
        <v>451</v>
      </c>
      <c r="AF438" s="35" t="s">
        <v>1327</v>
      </c>
      <c r="AG438" s="35" t="s">
        <v>132</v>
      </c>
      <c r="AH438" s="138" t="s">
        <v>132</v>
      </c>
      <c r="AI438" s="35" t="s">
        <v>636</v>
      </c>
      <c r="AJ438" s="140" t="s">
        <v>1617</v>
      </c>
      <c r="AK438" s="35" t="s">
        <v>386</v>
      </c>
      <c r="AL438" s="35" t="s">
        <v>386</v>
      </c>
      <c r="AM438" s="35" t="s">
        <v>178</v>
      </c>
      <c r="AN438" s="35" t="s">
        <v>388</v>
      </c>
      <c r="AO438" s="35" t="s">
        <v>388</v>
      </c>
      <c r="AP438" s="35" t="s">
        <v>178</v>
      </c>
      <c r="AT438" s="35" t="s">
        <v>161</v>
      </c>
      <c r="AU438" s="35">
        <v>4</v>
      </c>
      <c r="AW438" s="35" t="s">
        <v>142</v>
      </c>
      <c r="BA438" s="53"/>
      <c r="BM438" s="405"/>
      <c r="BN438" s="405"/>
      <c r="BR438" s="405">
        <v>2.2999999999999998</v>
      </c>
      <c r="BS438" s="405">
        <v>2.1</v>
      </c>
      <c r="BV438" s="35" t="s">
        <v>1676</v>
      </c>
      <c r="CB438" s="35">
        <v>11</v>
      </c>
      <c r="CC438" s="35">
        <v>11.6</v>
      </c>
      <c r="CG438" s="35">
        <v>62</v>
      </c>
      <c r="CH438" s="35">
        <v>63</v>
      </c>
      <c r="CL438" s="35">
        <v>7.19</v>
      </c>
      <c r="CM438" s="35">
        <v>7.29</v>
      </c>
      <c r="CQ438" s="35">
        <v>99999</v>
      </c>
      <c r="CR438" s="35">
        <v>99999</v>
      </c>
      <c r="CU438" s="35" t="s">
        <v>1161</v>
      </c>
      <c r="DF438" s="35">
        <f>21.8*10</f>
        <v>218</v>
      </c>
      <c r="DG438" s="35">
        <v>214</v>
      </c>
      <c r="FD438" s="35">
        <v>0.121</v>
      </c>
      <c r="FE438" s="35">
        <v>0.12</v>
      </c>
      <c r="FH438" s="35" t="s">
        <v>389</v>
      </c>
      <c r="FN438" s="12">
        <v>5</v>
      </c>
      <c r="FO438" s="35">
        <v>5</v>
      </c>
      <c r="FR438" s="35" t="s">
        <v>1714</v>
      </c>
      <c r="GR438" s="35">
        <v>549</v>
      </c>
      <c r="GS438" s="35">
        <v>527</v>
      </c>
      <c r="GV438" s="35" t="s">
        <v>390</v>
      </c>
      <c r="GW438" s="35">
        <v>6.94</v>
      </c>
      <c r="GX438" s="35">
        <v>6.42</v>
      </c>
      <c r="HA438" s="35" t="s">
        <v>622</v>
      </c>
      <c r="IK438" s="35">
        <v>99999</v>
      </c>
      <c r="IO438" s="35" t="s">
        <v>391</v>
      </c>
      <c r="IP438" s="35" t="s">
        <v>722</v>
      </c>
    </row>
    <row r="439" spans="1:250" s="33" customFormat="1" x14ac:dyDescent="0.25">
      <c r="A439" s="33">
        <v>26</v>
      </c>
      <c r="B439" s="33" t="s">
        <v>392</v>
      </c>
      <c r="C439" s="33" t="s">
        <v>393</v>
      </c>
      <c r="D439" s="33">
        <v>2015</v>
      </c>
      <c r="E439" s="33">
        <v>2012</v>
      </c>
      <c r="F439" s="33" t="s">
        <v>297</v>
      </c>
      <c r="G439" s="33" t="s">
        <v>394</v>
      </c>
      <c r="H439" s="32" t="s">
        <v>2831</v>
      </c>
      <c r="I439" s="33">
        <f>35.39</f>
        <v>35.39</v>
      </c>
      <c r="J439" s="33">
        <f>-78.03</f>
        <v>-78.03</v>
      </c>
      <c r="K439" s="33">
        <v>24.3</v>
      </c>
      <c r="Q439" s="47">
        <v>1</v>
      </c>
      <c r="R439" s="47">
        <v>1</v>
      </c>
      <c r="S439" s="47"/>
      <c r="T439" s="47" t="s">
        <v>399</v>
      </c>
      <c r="U439" s="47" t="s">
        <v>1386</v>
      </c>
      <c r="V439" s="47" t="s">
        <v>1724</v>
      </c>
      <c r="W439" s="47" t="s">
        <v>1386</v>
      </c>
      <c r="X439" s="47" t="s">
        <v>1386</v>
      </c>
      <c r="Z439" s="327"/>
      <c r="AA439" s="327"/>
      <c r="AB439" s="33" t="s">
        <v>176</v>
      </c>
      <c r="AF439" s="33" t="s">
        <v>1328</v>
      </c>
      <c r="AG439" s="33" t="s">
        <v>397</v>
      </c>
      <c r="AH439" s="138" t="s">
        <v>578</v>
      </c>
      <c r="AI439" s="33" t="s">
        <v>133</v>
      </c>
      <c r="AJ439" s="141" t="s">
        <v>133</v>
      </c>
      <c r="AN439" s="33" t="s">
        <v>396</v>
      </c>
      <c r="AO439" s="33" t="s">
        <v>396</v>
      </c>
      <c r="AP439" s="33" t="s">
        <v>178</v>
      </c>
      <c r="AQ439" s="33">
        <v>0</v>
      </c>
      <c r="AR439" s="33">
        <v>0</v>
      </c>
      <c r="AS439" s="33" t="s">
        <v>178</v>
      </c>
      <c r="AT439" s="33" t="s">
        <v>161</v>
      </c>
      <c r="AU439" s="33">
        <v>4</v>
      </c>
      <c r="AW439" s="33" t="s">
        <v>336</v>
      </c>
      <c r="AY439" s="33">
        <f>(6.5+1.7)*1000</f>
        <v>8200</v>
      </c>
      <c r="AZ439" s="33">
        <f>AY439/(205+53)</f>
        <v>31.782945736434108</v>
      </c>
      <c r="BA439" s="54" t="s">
        <v>408</v>
      </c>
      <c r="BM439" s="402"/>
      <c r="BN439" s="402"/>
      <c r="BR439" s="402"/>
      <c r="BS439" s="402"/>
      <c r="BW439" s="33">
        <v>10.685</v>
      </c>
      <c r="BX439" s="33">
        <v>29.363800000000001</v>
      </c>
      <c r="CA439" s="33" t="s">
        <v>407</v>
      </c>
      <c r="GM439" s="12"/>
      <c r="GQ439" s="12"/>
      <c r="IO439" s="33" t="s">
        <v>410</v>
      </c>
      <c r="IP439" s="33" t="s">
        <v>715</v>
      </c>
    </row>
    <row r="440" spans="1:250" s="33" customFormat="1" x14ac:dyDescent="0.25">
      <c r="A440" s="33">
        <v>26</v>
      </c>
      <c r="B440" s="33" t="s">
        <v>392</v>
      </c>
      <c r="C440" s="33" t="s">
        <v>393</v>
      </c>
      <c r="D440" s="33">
        <v>2015</v>
      </c>
      <c r="E440" s="33">
        <v>2012</v>
      </c>
      <c r="F440" s="33" t="s">
        <v>297</v>
      </c>
      <c r="G440" s="33" t="s">
        <v>394</v>
      </c>
      <c r="H440" s="32" t="s">
        <v>2831</v>
      </c>
      <c r="I440" s="33">
        <f>35.39</f>
        <v>35.39</v>
      </c>
      <c r="J440" s="33">
        <f>-78.03</f>
        <v>-78.03</v>
      </c>
      <c r="K440" s="33">
        <v>24.3</v>
      </c>
      <c r="Q440" s="47">
        <v>1</v>
      </c>
      <c r="R440" s="47">
        <v>1</v>
      </c>
      <c r="S440" s="47"/>
      <c r="T440" s="47" t="s">
        <v>399</v>
      </c>
      <c r="U440" s="47" t="s">
        <v>1386</v>
      </c>
      <c r="V440" s="47" t="s">
        <v>1724</v>
      </c>
      <c r="W440" s="47" t="s">
        <v>1386</v>
      </c>
      <c r="X440" s="47" t="s">
        <v>1386</v>
      </c>
      <c r="Z440" s="327"/>
      <c r="AA440" s="327"/>
      <c r="AB440" s="33" t="s">
        <v>176</v>
      </c>
      <c r="AF440" s="33" t="s">
        <v>1328</v>
      </c>
      <c r="AG440" s="33" t="s">
        <v>398</v>
      </c>
      <c r="AH440" s="138" t="s">
        <v>578</v>
      </c>
      <c r="AI440" s="33" t="s">
        <v>133</v>
      </c>
      <c r="AJ440" s="141" t="s">
        <v>133</v>
      </c>
      <c r="AN440" s="33" t="s">
        <v>396</v>
      </c>
      <c r="AO440" s="33" t="s">
        <v>396</v>
      </c>
      <c r="AP440" s="33" t="s">
        <v>178</v>
      </c>
      <c r="AQ440" s="33">
        <v>0</v>
      </c>
      <c r="AR440" s="33">
        <v>0</v>
      </c>
      <c r="AS440" s="33" t="s">
        <v>178</v>
      </c>
      <c r="AT440" s="33" t="s">
        <v>161</v>
      </c>
      <c r="AU440" s="33">
        <v>4</v>
      </c>
      <c r="AW440" s="33" t="s">
        <v>336</v>
      </c>
      <c r="AY440" s="33">
        <f>(9.6+2.8)*1000</f>
        <v>12399.999999999998</v>
      </c>
      <c r="AZ440" s="33">
        <f>AY440/(256+66)</f>
        <v>38.509316770186331</v>
      </c>
      <c r="BA440" s="54" t="s">
        <v>408</v>
      </c>
      <c r="BM440" s="402"/>
      <c r="BN440" s="402"/>
      <c r="BR440" s="402"/>
      <c r="BS440" s="402"/>
      <c r="BW440" s="33">
        <v>10.685</v>
      </c>
      <c r="BX440" s="33">
        <v>14.356</v>
      </c>
      <c r="CA440" s="33" t="s">
        <v>407</v>
      </c>
      <c r="GM440" s="12"/>
      <c r="GQ440" s="12"/>
      <c r="IO440" s="33" t="s">
        <v>410</v>
      </c>
      <c r="IP440" s="33" t="s">
        <v>715</v>
      </c>
    </row>
    <row r="441" spans="1:250" s="33" customFormat="1" x14ac:dyDescent="0.25">
      <c r="A441" s="33">
        <v>26</v>
      </c>
      <c r="B441" s="33" t="s">
        <v>392</v>
      </c>
      <c r="C441" s="33" t="s">
        <v>393</v>
      </c>
      <c r="D441" s="33">
        <v>2015</v>
      </c>
      <c r="E441" s="33">
        <v>2012</v>
      </c>
      <c r="F441" s="33" t="s">
        <v>297</v>
      </c>
      <c r="G441" s="33" t="s">
        <v>394</v>
      </c>
      <c r="H441" s="32" t="s">
        <v>2831</v>
      </c>
      <c r="I441" s="33">
        <f t="shared" ref="I441:I480" si="63">35.39</f>
        <v>35.39</v>
      </c>
      <c r="J441" s="33">
        <f t="shared" ref="J441:J480" si="64">-78.03</f>
        <v>-78.03</v>
      </c>
      <c r="K441" s="33">
        <v>24.3</v>
      </c>
      <c r="Q441" s="47">
        <v>1</v>
      </c>
      <c r="R441" s="47">
        <v>1</v>
      </c>
      <c r="S441" s="47"/>
      <c r="T441" s="47" t="s">
        <v>399</v>
      </c>
      <c r="U441" s="47" t="s">
        <v>1386</v>
      </c>
      <c r="V441" s="47" t="s">
        <v>1724</v>
      </c>
      <c r="W441" s="47" t="s">
        <v>1386</v>
      </c>
      <c r="X441" s="47" t="s">
        <v>1386</v>
      </c>
      <c r="Z441" s="327"/>
      <c r="AA441" s="327"/>
      <c r="AB441" s="33" t="s">
        <v>176</v>
      </c>
      <c r="AF441" s="33" t="s">
        <v>1328</v>
      </c>
      <c r="AG441" s="33" t="s">
        <v>244</v>
      </c>
      <c r="AH441" s="138" t="s">
        <v>578</v>
      </c>
      <c r="AI441" s="33" t="s">
        <v>133</v>
      </c>
      <c r="AJ441" s="141" t="s">
        <v>133</v>
      </c>
      <c r="AN441" s="33" t="s">
        <v>396</v>
      </c>
      <c r="AO441" s="33" t="s">
        <v>396</v>
      </c>
      <c r="AP441" s="33" t="s">
        <v>178</v>
      </c>
      <c r="AQ441" s="33">
        <v>0</v>
      </c>
      <c r="AR441" s="33">
        <v>0</v>
      </c>
      <c r="AS441" s="33" t="s">
        <v>178</v>
      </c>
      <c r="AT441" s="33" t="s">
        <v>161</v>
      </c>
      <c r="AU441" s="33">
        <v>4</v>
      </c>
      <c r="AW441" s="33" t="s">
        <v>336</v>
      </c>
      <c r="AY441" s="33">
        <f>(8.7+2.5)*1000</f>
        <v>11200</v>
      </c>
      <c r="AZ441" s="33">
        <f>AY441/(288+71)</f>
        <v>31.197771587743734</v>
      </c>
      <c r="BA441" s="54" t="s">
        <v>408</v>
      </c>
      <c r="BM441" s="402"/>
      <c r="BN441" s="402"/>
      <c r="BR441" s="402"/>
      <c r="BS441" s="402"/>
      <c r="BW441" s="33">
        <v>10.685</v>
      </c>
      <c r="BX441" s="33">
        <v>29.85</v>
      </c>
      <c r="CA441" s="33" t="s">
        <v>407</v>
      </c>
      <c r="GM441" s="12"/>
      <c r="GQ441" s="12"/>
      <c r="IO441" s="33" t="s">
        <v>410</v>
      </c>
      <c r="IP441" s="33" t="s">
        <v>715</v>
      </c>
    </row>
    <row r="442" spans="1:250" s="33" customFormat="1" x14ac:dyDescent="0.25">
      <c r="A442" s="33">
        <v>26</v>
      </c>
      <c r="B442" s="33" t="s">
        <v>392</v>
      </c>
      <c r="C442" s="33" t="s">
        <v>393</v>
      </c>
      <c r="D442" s="33">
        <v>2015</v>
      </c>
      <c r="E442" s="33">
        <v>2012</v>
      </c>
      <c r="F442" s="33" t="s">
        <v>297</v>
      </c>
      <c r="G442" s="33" t="s">
        <v>394</v>
      </c>
      <c r="H442" s="32" t="s">
        <v>2831</v>
      </c>
      <c r="I442" s="33">
        <f t="shared" si="63"/>
        <v>35.39</v>
      </c>
      <c r="J442" s="33">
        <f t="shared" si="64"/>
        <v>-78.03</v>
      </c>
      <c r="K442" s="33">
        <v>24.3</v>
      </c>
      <c r="Q442" s="47">
        <v>1</v>
      </c>
      <c r="R442" s="47">
        <v>1</v>
      </c>
      <c r="S442" s="47"/>
      <c r="T442" s="47" t="s">
        <v>400</v>
      </c>
      <c r="U442" s="47" t="s">
        <v>1386</v>
      </c>
      <c r="V442" s="47" t="s">
        <v>1724</v>
      </c>
      <c r="W442" s="47" t="s">
        <v>1386</v>
      </c>
      <c r="X442" s="47" t="s">
        <v>1386</v>
      </c>
      <c r="Z442" s="327"/>
      <c r="AA442" s="327"/>
      <c r="AB442" s="33" t="s">
        <v>176</v>
      </c>
      <c r="AF442" s="33" t="s">
        <v>1328</v>
      </c>
      <c r="AG442" s="33" t="s">
        <v>397</v>
      </c>
      <c r="AH442" s="138" t="s">
        <v>578</v>
      </c>
      <c r="AI442" s="33" t="s">
        <v>133</v>
      </c>
      <c r="AJ442" s="141" t="s">
        <v>133</v>
      </c>
      <c r="AN442" s="33" t="s">
        <v>396</v>
      </c>
      <c r="AO442" s="33" t="s">
        <v>396</v>
      </c>
      <c r="AP442" s="33" t="s">
        <v>178</v>
      </c>
      <c r="AQ442" s="33">
        <v>0</v>
      </c>
      <c r="AR442" s="33">
        <v>0</v>
      </c>
      <c r="AS442" s="33" t="s">
        <v>178</v>
      </c>
      <c r="AT442" s="33" t="s">
        <v>161</v>
      </c>
      <c r="AU442" s="33">
        <v>4</v>
      </c>
      <c r="AW442" s="33" t="s">
        <v>336</v>
      </c>
      <c r="AY442" s="33">
        <f>(6.5+1.7)*1000</f>
        <v>8200</v>
      </c>
      <c r="AZ442" s="33">
        <f>AY442/(205+53)</f>
        <v>31.782945736434108</v>
      </c>
      <c r="BA442" s="54" t="s">
        <v>408</v>
      </c>
      <c r="BM442" s="402"/>
      <c r="BN442" s="402"/>
      <c r="BR442" s="402"/>
      <c r="BS442" s="402"/>
      <c r="BW442" s="33">
        <v>14.273999999999999</v>
      </c>
      <c r="BX442" s="33">
        <v>27</v>
      </c>
      <c r="CA442" s="33" t="s">
        <v>407</v>
      </c>
      <c r="GM442" s="12"/>
      <c r="GQ442" s="12"/>
      <c r="IO442" s="33" t="s">
        <v>410</v>
      </c>
      <c r="IP442" s="33" t="s">
        <v>715</v>
      </c>
    </row>
    <row r="443" spans="1:250" s="33" customFormat="1" x14ac:dyDescent="0.25">
      <c r="A443" s="33">
        <v>26</v>
      </c>
      <c r="B443" s="33" t="s">
        <v>392</v>
      </c>
      <c r="C443" s="33" t="s">
        <v>393</v>
      </c>
      <c r="D443" s="33">
        <v>2015</v>
      </c>
      <c r="E443" s="33">
        <v>2012</v>
      </c>
      <c r="F443" s="33" t="s">
        <v>297</v>
      </c>
      <c r="G443" s="33" t="s">
        <v>394</v>
      </c>
      <c r="H443" s="32" t="s">
        <v>2831</v>
      </c>
      <c r="I443" s="33">
        <f t="shared" si="63"/>
        <v>35.39</v>
      </c>
      <c r="J443" s="33">
        <f t="shared" si="64"/>
        <v>-78.03</v>
      </c>
      <c r="K443" s="33">
        <v>24.3</v>
      </c>
      <c r="Q443" s="47">
        <v>1</v>
      </c>
      <c r="R443" s="47">
        <v>1</v>
      </c>
      <c r="S443" s="47"/>
      <c r="T443" s="47" t="s">
        <v>400</v>
      </c>
      <c r="U443" s="47" t="s">
        <v>1386</v>
      </c>
      <c r="V443" s="47" t="s">
        <v>1724</v>
      </c>
      <c r="W443" s="47" t="s">
        <v>1386</v>
      </c>
      <c r="X443" s="47" t="s">
        <v>1386</v>
      </c>
      <c r="Z443" s="327"/>
      <c r="AA443" s="327"/>
      <c r="AB443" s="33" t="s">
        <v>176</v>
      </c>
      <c r="AF443" s="33" t="s">
        <v>1328</v>
      </c>
      <c r="AG443" s="33" t="s">
        <v>398</v>
      </c>
      <c r="AH443" s="138" t="s">
        <v>578</v>
      </c>
      <c r="AI443" s="33" t="s">
        <v>133</v>
      </c>
      <c r="AJ443" s="141" t="s">
        <v>133</v>
      </c>
      <c r="AN443" s="33" t="s">
        <v>396</v>
      </c>
      <c r="AO443" s="33" t="s">
        <v>396</v>
      </c>
      <c r="AP443" s="33" t="s">
        <v>178</v>
      </c>
      <c r="AQ443" s="33">
        <v>0</v>
      </c>
      <c r="AR443" s="33">
        <v>0</v>
      </c>
      <c r="AS443" s="33" t="s">
        <v>178</v>
      </c>
      <c r="AT443" s="33" t="s">
        <v>161</v>
      </c>
      <c r="AU443" s="33">
        <v>4</v>
      </c>
      <c r="AW443" s="33" t="s">
        <v>336</v>
      </c>
      <c r="AY443" s="33">
        <f>(9.6+2.8)*1000</f>
        <v>12399.999999999998</v>
      </c>
      <c r="AZ443" s="33">
        <f>AY443/(256+66)</f>
        <v>38.509316770186331</v>
      </c>
      <c r="BA443" s="54" t="s">
        <v>408</v>
      </c>
      <c r="BM443" s="402"/>
      <c r="BN443" s="402"/>
      <c r="BR443" s="402"/>
      <c r="BS443" s="402"/>
      <c r="BW443" s="33">
        <v>14.273999999999999</v>
      </c>
      <c r="BX443" s="33">
        <v>25.285</v>
      </c>
      <c r="CA443" s="33" t="s">
        <v>407</v>
      </c>
      <c r="GM443" s="12"/>
      <c r="GQ443" s="12"/>
      <c r="IO443" s="33" t="s">
        <v>410</v>
      </c>
      <c r="IP443" s="33" t="s">
        <v>715</v>
      </c>
    </row>
    <row r="444" spans="1:250" s="33" customFormat="1" x14ac:dyDescent="0.25">
      <c r="A444" s="33">
        <v>26</v>
      </c>
      <c r="B444" s="33" t="s">
        <v>392</v>
      </c>
      <c r="C444" s="33" t="s">
        <v>393</v>
      </c>
      <c r="D444" s="33">
        <v>2015</v>
      </c>
      <c r="E444" s="33">
        <v>2012</v>
      </c>
      <c r="F444" s="33" t="s">
        <v>297</v>
      </c>
      <c r="G444" s="33" t="s">
        <v>394</v>
      </c>
      <c r="H444" s="32" t="s">
        <v>2831</v>
      </c>
      <c r="I444" s="33">
        <f t="shared" si="63"/>
        <v>35.39</v>
      </c>
      <c r="J444" s="33">
        <f t="shared" si="64"/>
        <v>-78.03</v>
      </c>
      <c r="K444" s="33">
        <v>24.3</v>
      </c>
      <c r="Q444" s="47">
        <v>1</v>
      </c>
      <c r="R444" s="47">
        <v>1</v>
      </c>
      <c r="S444" s="47"/>
      <c r="T444" s="47" t="s">
        <v>400</v>
      </c>
      <c r="U444" s="47" t="s">
        <v>1386</v>
      </c>
      <c r="V444" s="47" t="s">
        <v>1724</v>
      </c>
      <c r="W444" s="47" t="s">
        <v>1386</v>
      </c>
      <c r="X444" s="47" t="s">
        <v>1386</v>
      </c>
      <c r="Z444" s="327"/>
      <c r="AA444" s="327"/>
      <c r="AB444" s="33" t="s">
        <v>176</v>
      </c>
      <c r="AF444" s="33" t="s">
        <v>1328</v>
      </c>
      <c r="AG444" s="33" t="s">
        <v>244</v>
      </c>
      <c r="AH444" s="138" t="s">
        <v>578</v>
      </c>
      <c r="AI444" s="33" t="s">
        <v>133</v>
      </c>
      <c r="AJ444" s="141" t="s">
        <v>133</v>
      </c>
      <c r="AN444" s="33" t="s">
        <v>396</v>
      </c>
      <c r="AO444" s="33" t="s">
        <v>396</v>
      </c>
      <c r="AP444" s="33" t="s">
        <v>178</v>
      </c>
      <c r="AQ444" s="33">
        <v>0</v>
      </c>
      <c r="AR444" s="33">
        <v>0</v>
      </c>
      <c r="AS444" s="33" t="s">
        <v>178</v>
      </c>
      <c r="AT444" s="33" t="s">
        <v>161</v>
      </c>
      <c r="AU444" s="33">
        <v>4</v>
      </c>
      <c r="AW444" s="33" t="s">
        <v>336</v>
      </c>
      <c r="AY444" s="33">
        <f>(8.7+2.5)*1000</f>
        <v>11200</v>
      </c>
      <c r="AZ444" s="33">
        <f>AY444/(288+71)</f>
        <v>31.197771587743734</v>
      </c>
      <c r="BA444" s="54" t="s">
        <v>408</v>
      </c>
      <c r="BM444" s="402"/>
      <c r="BN444" s="402"/>
      <c r="BR444" s="402"/>
      <c r="BS444" s="402"/>
      <c r="BW444" s="33">
        <v>14.273999999999999</v>
      </c>
      <c r="BX444" s="33">
        <v>41.191000000000003</v>
      </c>
      <c r="CA444" s="33" t="s">
        <v>407</v>
      </c>
      <c r="GM444" s="12"/>
      <c r="GQ444" s="12"/>
      <c r="IO444" s="33" t="s">
        <v>410</v>
      </c>
      <c r="IP444" s="33" t="s">
        <v>715</v>
      </c>
    </row>
    <row r="445" spans="1:250" s="33" customFormat="1" x14ac:dyDescent="0.25">
      <c r="A445" s="33">
        <v>26</v>
      </c>
      <c r="B445" s="33" t="s">
        <v>392</v>
      </c>
      <c r="C445" s="33" t="s">
        <v>393</v>
      </c>
      <c r="D445" s="33">
        <v>2015</v>
      </c>
      <c r="E445" s="33">
        <v>2012</v>
      </c>
      <c r="F445" s="33" t="s">
        <v>297</v>
      </c>
      <c r="G445" s="33" t="s">
        <v>394</v>
      </c>
      <c r="H445" s="32" t="s">
        <v>2831</v>
      </c>
      <c r="I445" s="33">
        <f t="shared" si="63"/>
        <v>35.39</v>
      </c>
      <c r="J445" s="33">
        <f t="shared" si="64"/>
        <v>-78.03</v>
      </c>
      <c r="K445" s="33">
        <v>24.3</v>
      </c>
      <c r="Q445" s="47">
        <v>1</v>
      </c>
      <c r="R445" s="47">
        <v>1</v>
      </c>
      <c r="S445" s="47"/>
      <c r="T445" s="47" t="s">
        <v>401</v>
      </c>
      <c r="U445" s="47" t="s">
        <v>1386</v>
      </c>
      <c r="V445" s="47" t="s">
        <v>1724</v>
      </c>
      <c r="W445" s="47" t="s">
        <v>1386</v>
      </c>
      <c r="X445" s="47" t="s">
        <v>1386</v>
      </c>
      <c r="Z445" s="327"/>
      <c r="AA445" s="327"/>
      <c r="AB445" s="33" t="s">
        <v>176</v>
      </c>
      <c r="AF445" s="33" t="s">
        <v>1328</v>
      </c>
      <c r="AG445" s="33" t="s">
        <v>397</v>
      </c>
      <c r="AH445" s="138" t="s">
        <v>578</v>
      </c>
      <c r="AI445" s="33" t="s">
        <v>133</v>
      </c>
      <c r="AJ445" s="141" t="s">
        <v>133</v>
      </c>
      <c r="AN445" s="33" t="s">
        <v>396</v>
      </c>
      <c r="AO445" s="33" t="s">
        <v>396</v>
      </c>
      <c r="AP445" s="33" t="s">
        <v>178</v>
      </c>
      <c r="AQ445" s="33">
        <v>0</v>
      </c>
      <c r="AR445" s="33">
        <v>0</v>
      </c>
      <c r="AS445" s="33" t="s">
        <v>178</v>
      </c>
      <c r="AT445" s="33" t="s">
        <v>161</v>
      </c>
      <c r="AU445" s="33">
        <v>4</v>
      </c>
      <c r="AW445" s="33" t="s">
        <v>336</v>
      </c>
      <c r="AY445" s="33">
        <f>(6.5+1.7)*1000</f>
        <v>8200</v>
      </c>
      <c r="AZ445" s="33">
        <f t="shared" ref="AZ445" si="65">AY445/(205+53)</f>
        <v>31.782945736434108</v>
      </c>
      <c r="BA445" s="54" t="s">
        <v>408</v>
      </c>
      <c r="BM445" s="402"/>
      <c r="BN445" s="402"/>
      <c r="BR445" s="402"/>
      <c r="BS445" s="402"/>
      <c r="BW445" s="33">
        <v>11.582000000000001</v>
      </c>
      <c r="BX445" s="33">
        <v>36.215000000000003</v>
      </c>
      <c r="CA445" s="33" t="s">
        <v>407</v>
      </c>
      <c r="GM445" s="12"/>
      <c r="GQ445" s="12"/>
      <c r="IO445" s="33" t="s">
        <v>410</v>
      </c>
      <c r="IP445" s="33" t="s">
        <v>715</v>
      </c>
    </row>
    <row r="446" spans="1:250" s="33" customFormat="1" x14ac:dyDescent="0.25">
      <c r="A446" s="33">
        <v>26</v>
      </c>
      <c r="B446" s="33" t="s">
        <v>392</v>
      </c>
      <c r="C446" s="33" t="s">
        <v>393</v>
      </c>
      <c r="D446" s="33">
        <v>2015</v>
      </c>
      <c r="E446" s="33">
        <v>2012</v>
      </c>
      <c r="F446" s="33" t="s">
        <v>297</v>
      </c>
      <c r="G446" s="33" t="s">
        <v>394</v>
      </c>
      <c r="H446" s="32" t="s">
        <v>2831</v>
      </c>
      <c r="I446" s="33">
        <f t="shared" si="63"/>
        <v>35.39</v>
      </c>
      <c r="J446" s="33">
        <f t="shared" si="64"/>
        <v>-78.03</v>
      </c>
      <c r="K446" s="33">
        <v>24.3</v>
      </c>
      <c r="Q446" s="47">
        <v>1</v>
      </c>
      <c r="R446" s="47">
        <v>1</v>
      </c>
      <c r="S446" s="47"/>
      <c r="T446" s="47" t="s">
        <v>401</v>
      </c>
      <c r="U446" s="47" t="s">
        <v>1386</v>
      </c>
      <c r="V446" s="47" t="s">
        <v>1724</v>
      </c>
      <c r="W446" s="47" t="s">
        <v>1386</v>
      </c>
      <c r="X446" s="47" t="s">
        <v>1386</v>
      </c>
      <c r="Z446" s="327"/>
      <c r="AA446" s="327"/>
      <c r="AB446" s="33" t="s">
        <v>176</v>
      </c>
      <c r="AF446" s="33" t="s">
        <v>1328</v>
      </c>
      <c r="AG446" s="33" t="s">
        <v>398</v>
      </c>
      <c r="AH446" s="138" t="s">
        <v>578</v>
      </c>
      <c r="AI446" s="33" t="s">
        <v>133</v>
      </c>
      <c r="AJ446" s="141" t="s">
        <v>133</v>
      </c>
      <c r="AN446" s="33" t="s">
        <v>396</v>
      </c>
      <c r="AO446" s="33" t="s">
        <v>396</v>
      </c>
      <c r="AP446" s="33" t="s">
        <v>178</v>
      </c>
      <c r="AQ446" s="33">
        <v>0</v>
      </c>
      <c r="AR446" s="33">
        <v>0</v>
      </c>
      <c r="AS446" s="33" t="s">
        <v>178</v>
      </c>
      <c r="AT446" s="33" t="s">
        <v>161</v>
      </c>
      <c r="AU446" s="33">
        <v>4</v>
      </c>
      <c r="AW446" s="33" t="s">
        <v>336</v>
      </c>
      <c r="AY446" s="33">
        <f>(9.6+2.8)*1000</f>
        <v>12399.999999999998</v>
      </c>
      <c r="AZ446" s="33">
        <f t="shared" ref="AZ446" si="66">AY446/(256+66)</f>
        <v>38.509316770186331</v>
      </c>
      <c r="BA446" s="54" t="s">
        <v>408</v>
      </c>
      <c r="BM446" s="402"/>
      <c r="BN446" s="402"/>
      <c r="BR446" s="402"/>
      <c r="BS446" s="402"/>
      <c r="BW446" s="33">
        <v>11.582000000000001</v>
      </c>
      <c r="BX446" s="33">
        <v>23.082999999999998</v>
      </c>
      <c r="CA446" s="33" t="s">
        <v>407</v>
      </c>
      <c r="GM446" s="12"/>
      <c r="GQ446" s="12"/>
      <c r="IO446" s="33" t="s">
        <v>410</v>
      </c>
      <c r="IP446" s="33" t="s">
        <v>715</v>
      </c>
    </row>
    <row r="447" spans="1:250" s="33" customFormat="1" x14ac:dyDescent="0.25">
      <c r="A447" s="33">
        <v>26</v>
      </c>
      <c r="B447" s="33" t="s">
        <v>392</v>
      </c>
      <c r="C447" s="33" t="s">
        <v>393</v>
      </c>
      <c r="D447" s="33">
        <v>2015</v>
      </c>
      <c r="E447" s="33">
        <v>2012</v>
      </c>
      <c r="F447" s="33" t="s">
        <v>297</v>
      </c>
      <c r="G447" s="33" t="s">
        <v>394</v>
      </c>
      <c r="H447" s="32" t="s">
        <v>2831</v>
      </c>
      <c r="I447" s="33">
        <f t="shared" si="63"/>
        <v>35.39</v>
      </c>
      <c r="J447" s="33">
        <f t="shared" si="64"/>
        <v>-78.03</v>
      </c>
      <c r="K447" s="33">
        <v>24.3</v>
      </c>
      <c r="Q447" s="47">
        <v>1</v>
      </c>
      <c r="R447" s="47">
        <v>1</v>
      </c>
      <c r="S447" s="47"/>
      <c r="T447" s="47" t="s">
        <v>401</v>
      </c>
      <c r="U447" s="47" t="s">
        <v>1386</v>
      </c>
      <c r="V447" s="47" t="s">
        <v>1724</v>
      </c>
      <c r="W447" s="47" t="s">
        <v>1386</v>
      </c>
      <c r="X447" s="47" t="s">
        <v>1386</v>
      </c>
      <c r="Z447" s="327"/>
      <c r="AA447" s="327"/>
      <c r="AB447" s="33" t="s">
        <v>176</v>
      </c>
      <c r="AF447" s="33" t="s">
        <v>1328</v>
      </c>
      <c r="AG447" s="33" t="s">
        <v>244</v>
      </c>
      <c r="AH447" s="138" t="s">
        <v>578</v>
      </c>
      <c r="AI447" s="33" t="s">
        <v>133</v>
      </c>
      <c r="AJ447" s="141" t="s">
        <v>133</v>
      </c>
      <c r="AN447" s="33" t="s">
        <v>396</v>
      </c>
      <c r="AO447" s="33" t="s">
        <v>396</v>
      </c>
      <c r="AP447" s="33" t="s">
        <v>178</v>
      </c>
      <c r="AQ447" s="33">
        <v>0</v>
      </c>
      <c r="AR447" s="33">
        <v>0</v>
      </c>
      <c r="AS447" s="33" t="s">
        <v>178</v>
      </c>
      <c r="AT447" s="33" t="s">
        <v>161</v>
      </c>
      <c r="AU447" s="33">
        <v>4</v>
      </c>
      <c r="AW447" s="33" t="s">
        <v>336</v>
      </c>
      <c r="AY447" s="33">
        <f>(8.7+2.5)*1000</f>
        <v>11200</v>
      </c>
      <c r="AZ447" s="33">
        <f t="shared" ref="AZ447" si="67">AY447/(288+71)</f>
        <v>31.197771587743734</v>
      </c>
      <c r="BA447" s="54" t="s">
        <v>408</v>
      </c>
      <c r="BM447" s="402"/>
      <c r="BN447" s="402"/>
      <c r="BR447" s="402"/>
      <c r="BS447" s="402"/>
      <c r="BW447" s="33">
        <v>11.582000000000001</v>
      </c>
      <c r="BX447" s="33">
        <v>42.25</v>
      </c>
      <c r="CA447" s="33" t="s">
        <v>407</v>
      </c>
      <c r="GM447" s="12"/>
      <c r="GQ447" s="12"/>
      <c r="IO447" s="33" t="s">
        <v>410</v>
      </c>
      <c r="IP447" s="33" t="s">
        <v>715</v>
      </c>
    </row>
    <row r="448" spans="1:250" s="33" customFormat="1" x14ac:dyDescent="0.25">
      <c r="A448" s="33">
        <v>26</v>
      </c>
      <c r="B448" s="33" t="s">
        <v>392</v>
      </c>
      <c r="C448" s="33" t="s">
        <v>393</v>
      </c>
      <c r="D448" s="33">
        <v>2015</v>
      </c>
      <c r="E448" s="33">
        <v>2012</v>
      </c>
      <c r="F448" s="33" t="s">
        <v>297</v>
      </c>
      <c r="G448" s="33" t="s">
        <v>394</v>
      </c>
      <c r="H448" s="32" t="s">
        <v>2831</v>
      </c>
      <c r="I448" s="33">
        <f t="shared" si="63"/>
        <v>35.39</v>
      </c>
      <c r="J448" s="33">
        <f t="shared" si="64"/>
        <v>-78.03</v>
      </c>
      <c r="K448" s="33">
        <v>24.3</v>
      </c>
      <c r="Q448" s="47">
        <v>1</v>
      </c>
      <c r="R448" s="47">
        <v>1</v>
      </c>
      <c r="S448" s="47"/>
      <c r="T448" s="47" t="s">
        <v>402</v>
      </c>
      <c r="U448" s="47" t="s">
        <v>1386</v>
      </c>
      <c r="V448" s="47" t="s">
        <v>1724</v>
      </c>
      <c r="W448" s="47" t="s">
        <v>1386</v>
      </c>
      <c r="X448" s="47" t="s">
        <v>1386</v>
      </c>
      <c r="Z448" s="327"/>
      <c r="AA448" s="327"/>
      <c r="AB448" s="33" t="s">
        <v>176</v>
      </c>
      <c r="AF448" s="33" t="s">
        <v>1328</v>
      </c>
      <c r="AG448" s="33" t="s">
        <v>397</v>
      </c>
      <c r="AH448" s="138" t="s">
        <v>578</v>
      </c>
      <c r="AI448" s="33" t="s">
        <v>133</v>
      </c>
      <c r="AJ448" s="141" t="s">
        <v>133</v>
      </c>
      <c r="AN448" s="33" t="s">
        <v>396</v>
      </c>
      <c r="AO448" s="33" t="s">
        <v>396</v>
      </c>
      <c r="AP448" s="33" t="s">
        <v>178</v>
      </c>
      <c r="AQ448" s="33">
        <v>0</v>
      </c>
      <c r="AR448" s="33">
        <v>0</v>
      </c>
      <c r="AS448" s="33" t="s">
        <v>178</v>
      </c>
      <c r="AT448" s="33" t="s">
        <v>161</v>
      </c>
      <c r="AU448" s="33">
        <v>4</v>
      </c>
      <c r="AW448" s="33" t="s">
        <v>336</v>
      </c>
      <c r="AY448" s="33">
        <f>(6.5+1.7)*1000</f>
        <v>8200</v>
      </c>
      <c r="AZ448" s="33">
        <f t="shared" ref="AZ448" si="68">AY448/(205+53)</f>
        <v>31.782945736434108</v>
      </c>
      <c r="BA448" s="54" t="s">
        <v>408</v>
      </c>
      <c r="BM448" s="402"/>
      <c r="BN448" s="402"/>
      <c r="BR448" s="402"/>
      <c r="BS448" s="402"/>
      <c r="BW448" s="33">
        <v>12.153</v>
      </c>
      <c r="BX448" s="33">
        <v>21.289000000000001</v>
      </c>
      <c r="CA448" s="33" t="s">
        <v>407</v>
      </c>
      <c r="GM448" s="12"/>
      <c r="GQ448" s="12"/>
      <c r="IO448" s="33" t="s">
        <v>410</v>
      </c>
      <c r="IP448" s="33" t="s">
        <v>715</v>
      </c>
    </row>
    <row r="449" spans="1:250" s="33" customFormat="1" x14ac:dyDescent="0.25">
      <c r="A449" s="33">
        <v>26</v>
      </c>
      <c r="B449" s="33" t="s">
        <v>392</v>
      </c>
      <c r="C449" s="33" t="s">
        <v>393</v>
      </c>
      <c r="D449" s="33">
        <v>2015</v>
      </c>
      <c r="E449" s="33">
        <v>2012</v>
      </c>
      <c r="F449" s="33" t="s">
        <v>297</v>
      </c>
      <c r="G449" s="33" t="s">
        <v>394</v>
      </c>
      <c r="H449" s="32" t="s">
        <v>2831</v>
      </c>
      <c r="I449" s="33">
        <f t="shared" si="63"/>
        <v>35.39</v>
      </c>
      <c r="J449" s="33">
        <f t="shared" si="64"/>
        <v>-78.03</v>
      </c>
      <c r="K449" s="33">
        <v>24.3</v>
      </c>
      <c r="Q449" s="47">
        <v>1</v>
      </c>
      <c r="R449" s="47">
        <v>1</v>
      </c>
      <c r="S449" s="47"/>
      <c r="T449" s="47" t="s">
        <v>402</v>
      </c>
      <c r="U449" s="47" t="s">
        <v>1386</v>
      </c>
      <c r="V449" s="47" t="s">
        <v>1724</v>
      </c>
      <c r="W449" s="47" t="s">
        <v>1386</v>
      </c>
      <c r="X449" s="47" t="s">
        <v>1386</v>
      </c>
      <c r="Z449" s="327"/>
      <c r="AA449" s="327"/>
      <c r="AB449" s="33" t="s">
        <v>176</v>
      </c>
      <c r="AF449" s="33" t="s">
        <v>1328</v>
      </c>
      <c r="AG449" s="33" t="s">
        <v>398</v>
      </c>
      <c r="AH449" s="138" t="s">
        <v>578</v>
      </c>
      <c r="AI449" s="33" t="s">
        <v>133</v>
      </c>
      <c r="AJ449" s="141" t="s">
        <v>133</v>
      </c>
      <c r="AN449" s="33" t="s">
        <v>396</v>
      </c>
      <c r="AO449" s="33" t="s">
        <v>396</v>
      </c>
      <c r="AP449" s="33" t="s">
        <v>178</v>
      </c>
      <c r="AQ449" s="33">
        <v>0</v>
      </c>
      <c r="AR449" s="33">
        <v>0</v>
      </c>
      <c r="AS449" s="33" t="s">
        <v>178</v>
      </c>
      <c r="AT449" s="33" t="s">
        <v>161</v>
      </c>
      <c r="AU449" s="33">
        <v>4</v>
      </c>
      <c r="AW449" s="33" t="s">
        <v>336</v>
      </c>
      <c r="AY449" s="33">
        <f>(9.6+2.8)*1000</f>
        <v>12399.999999999998</v>
      </c>
      <c r="AZ449" s="33">
        <f t="shared" ref="AZ449" si="69">AY449/(256+66)</f>
        <v>38.509316770186331</v>
      </c>
      <c r="BA449" s="54" t="s">
        <v>408</v>
      </c>
      <c r="BM449" s="402"/>
      <c r="BN449" s="402"/>
      <c r="BR449" s="402"/>
      <c r="BS449" s="402"/>
      <c r="BW449" s="33">
        <v>12.153</v>
      </c>
      <c r="BX449" s="33">
        <v>26.346</v>
      </c>
      <c r="CA449" s="33" t="s">
        <v>407</v>
      </c>
      <c r="GM449" s="12"/>
      <c r="GQ449" s="12"/>
      <c r="IO449" s="33" t="s">
        <v>410</v>
      </c>
      <c r="IP449" s="33" t="s">
        <v>715</v>
      </c>
    </row>
    <row r="450" spans="1:250" s="33" customFormat="1" x14ac:dyDescent="0.25">
      <c r="A450" s="33">
        <v>26</v>
      </c>
      <c r="B450" s="33" t="s">
        <v>392</v>
      </c>
      <c r="C450" s="33" t="s">
        <v>393</v>
      </c>
      <c r="D450" s="33">
        <v>2015</v>
      </c>
      <c r="E450" s="33">
        <v>2012</v>
      </c>
      <c r="F450" s="33" t="s">
        <v>297</v>
      </c>
      <c r="G450" s="33" t="s">
        <v>394</v>
      </c>
      <c r="H450" s="32" t="s">
        <v>2831</v>
      </c>
      <c r="I450" s="33">
        <f t="shared" si="63"/>
        <v>35.39</v>
      </c>
      <c r="J450" s="33">
        <f t="shared" si="64"/>
        <v>-78.03</v>
      </c>
      <c r="K450" s="33">
        <v>24.3</v>
      </c>
      <c r="Q450" s="47">
        <v>1</v>
      </c>
      <c r="R450" s="47">
        <v>1</v>
      </c>
      <c r="S450" s="47"/>
      <c r="T450" s="47" t="s">
        <v>402</v>
      </c>
      <c r="U450" s="47" t="s">
        <v>1386</v>
      </c>
      <c r="V450" s="47" t="s">
        <v>1724</v>
      </c>
      <c r="W450" s="47" t="s">
        <v>1386</v>
      </c>
      <c r="X450" s="47" t="s">
        <v>1386</v>
      </c>
      <c r="Z450" s="327"/>
      <c r="AA450" s="327"/>
      <c r="AB450" s="33" t="s">
        <v>176</v>
      </c>
      <c r="AF450" s="33" t="s">
        <v>1328</v>
      </c>
      <c r="AG450" s="33" t="s">
        <v>244</v>
      </c>
      <c r="AH450" s="138" t="s">
        <v>578</v>
      </c>
      <c r="AI450" s="33" t="s">
        <v>133</v>
      </c>
      <c r="AJ450" s="141" t="s">
        <v>133</v>
      </c>
      <c r="AN450" s="33" t="s">
        <v>396</v>
      </c>
      <c r="AO450" s="33" t="s">
        <v>396</v>
      </c>
      <c r="AP450" s="33" t="s">
        <v>178</v>
      </c>
      <c r="AQ450" s="33">
        <v>0</v>
      </c>
      <c r="AR450" s="33">
        <v>0</v>
      </c>
      <c r="AS450" s="33" t="s">
        <v>178</v>
      </c>
      <c r="AT450" s="33" t="s">
        <v>161</v>
      </c>
      <c r="AU450" s="33">
        <v>4</v>
      </c>
      <c r="AW450" s="33" t="s">
        <v>336</v>
      </c>
      <c r="AY450" s="33">
        <f>(8.7+2.5)*1000</f>
        <v>11200</v>
      </c>
      <c r="AZ450" s="33">
        <f t="shared" ref="AZ450" si="70">AY450/(288+71)</f>
        <v>31.197771587743734</v>
      </c>
      <c r="BA450" s="54" t="s">
        <v>408</v>
      </c>
      <c r="BM450" s="402"/>
      <c r="BN450" s="402"/>
      <c r="BR450" s="402"/>
      <c r="BS450" s="402"/>
      <c r="BW450" s="33">
        <v>12.153</v>
      </c>
      <c r="BX450" s="33">
        <v>31.65</v>
      </c>
      <c r="CA450" s="33" t="s">
        <v>407</v>
      </c>
      <c r="GM450" s="12"/>
      <c r="GQ450" s="12"/>
      <c r="IO450" s="33" t="s">
        <v>410</v>
      </c>
      <c r="IP450" s="33" t="s">
        <v>715</v>
      </c>
    </row>
    <row r="451" spans="1:250" s="33" customFormat="1" x14ac:dyDescent="0.25">
      <c r="A451" s="33">
        <v>26</v>
      </c>
      <c r="B451" s="33" t="s">
        <v>392</v>
      </c>
      <c r="C451" s="33" t="s">
        <v>393</v>
      </c>
      <c r="D451" s="33">
        <v>2015</v>
      </c>
      <c r="E451" s="33">
        <v>2012</v>
      </c>
      <c r="F451" s="33" t="s">
        <v>297</v>
      </c>
      <c r="G451" s="33" t="s">
        <v>394</v>
      </c>
      <c r="H451" s="32" t="s">
        <v>2831</v>
      </c>
      <c r="I451" s="33">
        <f t="shared" si="63"/>
        <v>35.39</v>
      </c>
      <c r="J451" s="33">
        <f t="shared" si="64"/>
        <v>-78.03</v>
      </c>
      <c r="K451" s="33">
        <v>24.3</v>
      </c>
      <c r="Q451" s="47">
        <v>1</v>
      </c>
      <c r="R451" s="47">
        <v>1</v>
      </c>
      <c r="S451" s="47"/>
      <c r="T451" s="47" t="s">
        <v>403</v>
      </c>
      <c r="U451" s="47" t="s">
        <v>1386</v>
      </c>
      <c r="V451" s="47" t="s">
        <v>1724</v>
      </c>
      <c r="W451" s="47" t="s">
        <v>1386</v>
      </c>
      <c r="X451" s="47" t="s">
        <v>1386</v>
      </c>
      <c r="Z451" s="327"/>
      <c r="AA451" s="327"/>
      <c r="AB451" s="33" t="s">
        <v>176</v>
      </c>
      <c r="AF451" s="33" t="s">
        <v>1328</v>
      </c>
      <c r="AG451" s="33" t="s">
        <v>397</v>
      </c>
      <c r="AH451" s="138" t="s">
        <v>578</v>
      </c>
      <c r="AI451" s="33" t="s">
        <v>133</v>
      </c>
      <c r="AJ451" s="141" t="s">
        <v>133</v>
      </c>
      <c r="AN451" s="33" t="s">
        <v>396</v>
      </c>
      <c r="AO451" s="33" t="s">
        <v>396</v>
      </c>
      <c r="AP451" s="33" t="s">
        <v>178</v>
      </c>
      <c r="AQ451" s="33">
        <v>0</v>
      </c>
      <c r="AR451" s="33">
        <v>0</v>
      </c>
      <c r="AS451" s="33" t="s">
        <v>178</v>
      </c>
      <c r="AT451" s="33" t="s">
        <v>161</v>
      </c>
      <c r="AU451" s="33">
        <v>4</v>
      </c>
      <c r="AW451" s="33" t="s">
        <v>336</v>
      </c>
      <c r="AY451" s="33">
        <f>(6.5+1.7)*1000</f>
        <v>8200</v>
      </c>
      <c r="AZ451" s="33">
        <f t="shared" ref="AZ451" si="71">AY451/(205+53)</f>
        <v>31.782945736434108</v>
      </c>
      <c r="BA451" s="54" t="s">
        <v>408</v>
      </c>
      <c r="BM451" s="402"/>
      <c r="BN451" s="402"/>
      <c r="BR451" s="402"/>
      <c r="BS451" s="402"/>
      <c r="BW451" s="33">
        <v>12.643000000000001</v>
      </c>
      <c r="BX451" s="33">
        <v>15.497999999999999</v>
      </c>
      <c r="CA451" s="33" t="s">
        <v>407</v>
      </c>
      <c r="GM451" s="12"/>
      <c r="GQ451" s="12"/>
      <c r="IO451" s="33" t="s">
        <v>410</v>
      </c>
      <c r="IP451" s="33" t="s">
        <v>715</v>
      </c>
    </row>
    <row r="452" spans="1:250" s="33" customFormat="1" x14ac:dyDescent="0.25">
      <c r="A452" s="33">
        <v>26</v>
      </c>
      <c r="B452" s="33" t="s">
        <v>392</v>
      </c>
      <c r="C452" s="33" t="s">
        <v>393</v>
      </c>
      <c r="D452" s="33">
        <v>2015</v>
      </c>
      <c r="E452" s="33">
        <v>2012</v>
      </c>
      <c r="F452" s="33" t="s">
        <v>297</v>
      </c>
      <c r="G452" s="33" t="s">
        <v>394</v>
      </c>
      <c r="H452" s="32" t="s">
        <v>2831</v>
      </c>
      <c r="I452" s="33">
        <f t="shared" si="63"/>
        <v>35.39</v>
      </c>
      <c r="J452" s="33">
        <f t="shared" si="64"/>
        <v>-78.03</v>
      </c>
      <c r="K452" s="33">
        <v>24.3</v>
      </c>
      <c r="Q452" s="47">
        <v>1</v>
      </c>
      <c r="R452" s="47">
        <v>1</v>
      </c>
      <c r="S452" s="47"/>
      <c r="T452" s="47" t="s">
        <v>403</v>
      </c>
      <c r="U452" s="47" t="s">
        <v>1386</v>
      </c>
      <c r="V452" s="47" t="s">
        <v>1724</v>
      </c>
      <c r="W452" s="47" t="s">
        <v>1386</v>
      </c>
      <c r="X452" s="47" t="s">
        <v>1386</v>
      </c>
      <c r="Z452" s="327"/>
      <c r="AA452" s="327"/>
      <c r="AB452" s="33" t="s">
        <v>176</v>
      </c>
      <c r="AF452" s="33" t="s">
        <v>1328</v>
      </c>
      <c r="AG452" s="33" t="s">
        <v>398</v>
      </c>
      <c r="AH452" s="138" t="s">
        <v>578</v>
      </c>
      <c r="AI452" s="33" t="s">
        <v>133</v>
      </c>
      <c r="AJ452" s="141" t="s">
        <v>133</v>
      </c>
      <c r="AN452" s="33" t="s">
        <v>396</v>
      </c>
      <c r="AO452" s="33" t="s">
        <v>396</v>
      </c>
      <c r="AP452" s="33" t="s">
        <v>178</v>
      </c>
      <c r="AQ452" s="33">
        <v>0</v>
      </c>
      <c r="AR452" s="33">
        <v>0</v>
      </c>
      <c r="AS452" s="33" t="s">
        <v>178</v>
      </c>
      <c r="AT452" s="33" t="s">
        <v>161</v>
      </c>
      <c r="AU452" s="33">
        <v>4</v>
      </c>
      <c r="AW452" s="33" t="s">
        <v>336</v>
      </c>
      <c r="AY452" s="33">
        <f>(9.6+2.8)*1000</f>
        <v>12399.999999999998</v>
      </c>
      <c r="AZ452" s="33">
        <f t="shared" ref="AZ452" si="72">AY452/(256+66)</f>
        <v>38.509316770186331</v>
      </c>
      <c r="BA452" s="54" t="s">
        <v>408</v>
      </c>
      <c r="BM452" s="402"/>
      <c r="BN452" s="402"/>
      <c r="BR452" s="402"/>
      <c r="BS452" s="402"/>
      <c r="BW452" s="33">
        <v>12.643000000000001</v>
      </c>
      <c r="BX452" s="33">
        <v>26.75</v>
      </c>
      <c r="CA452" s="33" t="s">
        <v>407</v>
      </c>
      <c r="GM452" s="12"/>
      <c r="GQ452" s="12"/>
      <c r="IO452" s="33" t="s">
        <v>410</v>
      </c>
      <c r="IP452" s="33" t="s">
        <v>715</v>
      </c>
    </row>
    <row r="453" spans="1:250" s="33" customFormat="1" x14ac:dyDescent="0.25">
      <c r="A453" s="33">
        <v>26</v>
      </c>
      <c r="B453" s="33" t="s">
        <v>392</v>
      </c>
      <c r="C453" s="33" t="s">
        <v>393</v>
      </c>
      <c r="D453" s="33">
        <v>2015</v>
      </c>
      <c r="E453" s="33">
        <v>2012</v>
      </c>
      <c r="F453" s="33" t="s">
        <v>297</v>
      </c>
      <c r="G453" s="33" t="s">
        <v>394</v>
      </c>
      <c r="H453" s="32" t="s">
        <v>2831</v>
      </c>
      <c r="I453" s="33">
        <f t="shared" si="63"/>
        <v>35.39</v>
      </c>
      <c r="J453" s="33">
        <f t="shared" si="64"/>
        <v>-78.03</v>
      </c>
      <c r="K453" s="33">
        <v>24.3</v>
      </c>
      <c r="Q453" s="47">
        <v>1</v>
      </c>
      <c r="R453" s="47">
        <v>1</v>
      </c>
      <c r="S453" s="47"/>
      <c r="T453" s="47" t="s">
        <v>403</v>
      </c>
      <c r="U453" s="47" t="s">
        <v>1386</v>
      </c>
      <c r="V453" s="47" t="s">
        <v>1724</v>
      </c>
      <c r="W453" s="47" t="s">
        <v>1386</v>
      </c>
      <c r="X453" s="47" t="s">
        <v>1386</v>
      </c>
      <c r="Z453" s="327"/>
      <c r="AA453" s="327"/>
      <c r="AB453" s="33" t="s">
        <v>176</v>
      </c>
      <c r="AF453" s="33" t="s">
        <v>1328</v>
      </c>
      <c r="AG453" s="33" t="s">
        <v>244</v>
      </c>
      <c r="AH453" s="138" t="s">
        <v>578</v>
      </c>
      <c r="AI453" s="33" t="s">
        <v>133</v>
      </c>
      <c r="AJ453" s="141" t="s">
        <v>133</v>
      </c>
      <c r="AN453" s="33" t="s">
        <v>396</v>
      </c>
      <c r="AO453" s="33" t="s">
        <v>396</v>
      </c>
      <c r="AP453" s="33" t="s">
        <v>178</v>
      </c>
      <c r="AQ453" s="33">
        <v>0</v>
      </c>
      <c r="AR453" s="33">
        <v>0</v>
      </c>
      <c r="AS453" s="33" t="s">
        <v>178</v>
      </c>
      <c r="AT453" s="33" t="s">
        <v>161</v>
      </c>
      <c r="AU453" s="33">
        <v>4</v>
      </c>
      <c r="AW453" s="33" t="s">
        <v>336</v>
      </c>
      <c r="AY453" s="33">
        <f>(8.7+2.5)*1000</f>
        <v>11200</v>
      </c>
      <c r="AZ453" s="33">
        <f t="shared" ref="AZ453" si="73">AY453/(288+71)</f>
        <v>31.197771587743734</v>
      </c>
      <c r="BA453" s="54" t="s">
        <v>408</v>
      </c>
      <c r="BM453" s="402"/>
      <c r="BN453" s="402"/>
      <c r="BR453" s="402"/>
      <c r="BS453" s="402"/>
      <c r="BW453" s="33">
        <v>12.643000000000001</v>
      </c>
      <c r="BX453" s="33">
        <v>42.66</v>
      </c>
      <c r="CA453" s="33" t="s">
        <v>407</v>
      </c>
      <c r="GM453" s="12"/>
      <c r="GQ453" s="12"/>
      <c r="IO453" s="33" t="s">
        <v>410</v>
      </c>
      <c r="IP453" s="33" t="s">
        <v>715</v>
      </c>
    </row>
    <row r="454" spans="1:250" s="33" customFormat="1" x14ac:dyDescent="0.25">
      <c r="A454" s="33">
        <v>26</v>
      </c>
      <c r="B454" s="33" t="s">
        <v>392</v>
      </c>
      <c r="C454" s="33" t="s">
        <v>393</v>
      </c>
      <c r="D454" s="33">
        <v>2015</v>
      </c>
      <c r="E454" s="33">
        <v>2012</v>
      </c>
      <c r="F454" s="33" t="s">
        <v>297</v>
      </c>
      <c r="G454" s="33" t="s">
        <v>394</v>
      </c>
      <c r="H454" s="32" t="s">
        <v>2831</v>
      </c>
      <c r="I454" s="33">
        <f t="shared" si="63"/>
        <v>35.39</v>
      </c>
      <c r="J454" s="33">
        <f t="shared" si="64"/>
        <v>-78.03</v>
      </c>
      <c r="K454" s="33">
        <v>24.3</v>
      </c>
      <c r="Q454" s="47">
        <v>1</v>
      </c>
      <c r="R454" s="47">
        <v>1</v>
      </c>
      <c r="S454" s="47"/>
      <c r="T454" s="47" t="s">
        <v>404</v>
      </c>
      <c r="U454" s="47" t="s">
        <v>1386</v>
      </c>
      <c r="V454" s="47" t="s">
        <v>1724</v>
      </c>
      <c r="W454" s="47" t="s">
        <v>1386</v>
      </c>
      <c r="X454" s="47" t="s">
        <v>1386</v>
      </c>
      <c r="Z454" s="327"/>
      <c r="AA454" s="327"/>
      <c r="AB454" s="33" t="s">
        <v>176</v>
      </c>
      <c r="AF454" s="33" t="s">
        <v>1328</v>
      </c>
      <c r="AG454" s="33" t="s">
        <v>397</v>
      </c>
      <c r="AH454" s="138" t="s">
        <v>578</v>
      </c>
      <c r="AI454" s="33" t="s">
        <v>133</v>
      </c>
      <c r="AJ454" s="141" t="s">
        <v>133</v>
      </c>
      <c r="AN454" s="33" t="s">
        <v>396</v>
      </c>
      <c r="AO454" s="33" t="s">
        <v>396</v>
      </c>
      <c r="AP454" s="33" t="s">
        <v>178</v>
      </c>
      <c r="AQ454" s="33">
        <v>0</v>
      </c>
      <c r="AR454" s="33">
        <v>0</v>
      </c>
      <c r="AS454" s="33" t="s">
        <v>178</v>
      </c>
      <c r="AT454" s="33" t="s">
        <v>161</v>
      </c>
      <c r="AU454" s="33">
        <v>4</v>
      </c>
      <c r="AW454" s="33" t="s">
        <v>336</v>
      </c>
      <c r="AY454" s="33">
        <f>(6.5+1.7)*1000</f>
        <v>8200</v>
      </c>
      <c r="AZ454" s="33">
        <f t="shared" ref="AZ454" si="74">AY454/(205+53)</f>
        <v>31.782945736434108</v>
      </c>
      <c r="BA454" s="54" t="s">
        <v>408</v>
      </c>
      <c r="BM454" s="402"/>
      <c r="BN454" s="402"/>
      <c r="BR454" s="402"/>
      <c r="BS454" s="402"/>
      <c r="BW454" s="33">
        <v>4.3230000000000004</v>
      </c>
      <c r="BX454" s="33">
        <v>10.93</v>
      </c>
      <c r="CA454" s="33" t="s">
        <v>407</v>
      </c>
      <c r="GM454" s="12"/>
      <c r="GQ454" s="12"/>
      <c r="IO454" s="33" t="s">
        <v>410</v>
      </c>
      <c r="IP454" s="33" t="s">
        <v>715</v>
      </c>
    </row>
    <row r="455" spans="1:250" s="33" customFormat="1" x14ac:dyDescent="0.25">
      <c r="A455" s="33">
        <v>26</v>
      </c>
      <c r="B455" s="33" t="s">
        <v>392</v>
      </c>
      <c r="C455" s="33" t="s">
        <v>393</v>
      </c>
      <c r="D455" s="33">
        <v>2015</v>
      </c>
      <c r="E455" s="33">
        <v>2012</v>
      </c>
      <c r="F455" s="33" t="s">
        <v>297</v>
      </c>
      <c r="G455" s="33" t="s">
        <v>394</v>
      </c>
      <c r="H455" s="32" t="s">
        <v>2831</v>
      </c>
      <c r="I455" s="33">
        <f t="shared" si="63"/>
        <v>35.39</v>
      </c>
      <c r="J455" s="33">
        <f t="shared" si="64"/>
        <v>-78.03</v>
      </c>
      <c r="K455" s="33">
        <v>24.3</v>
      </c>
      <c r="Q455" s="47">
        <v>1</v>
      </c>
      <c r="R455" s="47">
        <v>1</v>
      </c>
      <c r="S455" s="47"/>
      <c r="T455" s="47" t="s">
        <v>404</v>
      </c>
      <c r="U455" s="47" t="s">
        <v>1386</v>
      </c>
      <c r="V455" s="47" t="s">
        <v>1724</v>
      </c>
      <c r="W455" s="47" t="s">
        <v>1386</v>
      </c>
      <c r="X455" s="47" t="s">
        <v>1386</v>
      </c>
      <c r="Z455" s="327"/>
      <c r="AA455" s="327"/>
      <c r="AB455" s="33" t="s">
        <v>176</v>
      </c>
      <c r="AF455" s="33" t="s">
        <v>1328</v>
      </c>
      <c r="AG455" s="33" t="s">
        <v>398</v>
      </c>
      <c r="AH455" s="138" t="s">
        <v>578</v>
      </c>
      <c r="AI455" s="33" t="s">
        <v>133</v>
      </c>
      <c r="AJ455" s="141" t="s">
        <v>133</v>
      </c>
      <c r="AN455" s="33" t="s">
        <v>396</v>
      </c>
      <c r="AO455" s="33" t="s">
        <v>396</v>
      </c>
      <c r="AP455" s="33" t="s">
        <v>178</v>
      </c>
      <c r="AQ455" s="33">
        <v>0</v>
      </c>
      <c r="AR455" s="33">
        <v>0</v>
      </c>
      <c r="AS455" s="33" t="s">
        <v>178</v>
      </c>
      <c r="AT455" s="33" t="s">
        <v>161</v>
      </c>
      <c r="AU455" s="33">
        <v>4</v>
      </c>
      <c r="AW455" s="33" t="s">
        <v>336</v>
      </c>
      <c r="AY455" s="33">
        <f>(9.6+2.8)*1000</f>
        <v>12399.999999999998</v>
      </c>
      <c r="AZ455" s="33">
        <f t="shared" ref="AZ455" si="75">AY455/(256+66)</f>
        <v>38.509316770186331</v>
      </c>
      <c r="BA455" s="54" t="s">
        <v>408</v>
      </c>
      <c r="BM455" s="402"/>
      <c r="BN455" s="402"/>
      <c r="BR455" s="402"/>
      <c r="BS455" s="402"/>
      <c r="BW455" s="33">
        <v>4.3230000000000004</v>
      </c>
      <c r="BX455" s="33">
        <v>6.1180000000000003</v>
      </c>
      <c r="CA455" s="33" t="s">
        <v>407</v>
      </c>
      <c r="GM455" s="12"/>
      <c r="GQ455" s="12"/>
      <c r="IO455" s="33" t="s">
        <v>410</v>
      </c>
      <c r="IP455" s="33" t="s">
        <v>715</v>
      </c>
    </row>
    <row r="456" spans="1:250" s="33" customFormat="1" x14ac:dyDescent="0.25">
      <c r="A456" s="33">
        <v>26</v>
      </c>
      <c r="B456" s="33" t="s">
        <v>392</v>
      </c>
      <c r="C456" s="33" t="s">
        <v>393</v>
      </c>
      <c r="D456" s="33">
        <v>2015</v>
      </c>
      <c r="E456" s="33">
        <v>2012</v>
      </c>
      <c r="F456" s="33" t="s">
        <v>297</v>
      </c>
      <c r="G456" s="33" t="s">
        <v>394</v>
      </c>
      <c r="H456" s="32" t="s">
        <v>2831</v>
      </c>
      <c r="I456" s="33">
        <f t="shared" si="63"/>
        <v>35.39</v>
      </c>
      <c r="J456" s="33">
        <f t="shared" si="64"/>
        <v>-78.03</v>
      </c>
      <c r="K456" s="33">
        <v>24.3</v>
      </c>
      <c r="Q456" s="47">
        <v>1</v>
      </c>
      <c r="R456" s="47">
        <v>1</v>
      </c>
      <c r="S456" s="47"/>
      <c r="T456" s="47" t="s">
        <v>404</v>
      </c>
      <c r="U456" s="47" t="s">
        <v>1386</v>
      </c>
      <c r="V456" s="47" t="s">
        <v>1724</v>
      </c>
      <c r="W456" s="47" t="s">
        <v>1386</v>
      </c>
      <c r="X456" s="47" t="s">
        <v>1386</v>
      </c>
      <c r="Z456" s="327"/>
      <c r="AA456" s="327"/>
      <c r="AB456" s="33" t="s">
        <v>176</v>
      </c>
      <c r="AF456" s="33" t="s">
        <v>1328</v>
      </c>
      <c r="AG456" s="33" t="s">
        <v>244</v>
      </c>
      <c r="AH456" s="138" t="s">
        <v>578</v>
      </c>
      <c r="AI456" s="33" t="s">
        <v>133</v>
      </c>
      <c r="AJ456" s="141" t="s">
        <v>133</v>
      </c>
      <c r="AN456" s="33" t="s">
        <v>396</v>
      </c>
      <c r="AO456" s="33" t="s">
        <v>396</v>
      </c>
      <c r="AP456" s="33" t="s">
        <v>178</v>
      </c>
      <c r="AQ456" s="33">
        <v>0</v>
      </c>
      <c r="AR456" s="33">
        <v>0</v>
      </c>
      <c r="AS456" s="33" t="s">
        <v>178</v>
      </c>
      <c r="AT456" s="33" t="s">
        <v>161</v>
      </c>
      <c r="AU456" s="33">
        <v>4</v>
      </c>
      <c r="AW456" s="33" t="s">
        <v>336</v>
      </c>
      <c r="AY456" s="33">
        <f>(8.7+2.5)*1000</f>
        <v>11200</v>
      </c>
      <c r="AZ456" s="33">
        <f t="shared" ref="AZ456" si="76">AY456/(288+71)</f>
        <v>31.197771587743734</v>
      </c>
      <c r="BA456" s="54" t="s">
        <v>408</v>
      </c>
      <c r="BM456" s="402"/>
      <c r="BN456" s="402"/>
      <c r="BR456" s="402"/>
      <c r="BS456" s="402"/>
      <c r="BW456" s="33">
        <v>4.3230000000000004</v>
      </c>
      <c r="BX456" s="33">
        <v>10.93</v>
      </c>
      <c r="CA456" s="33" t="s">
        <v>407</v>
      </c>
      <c r="GM456" s="12"/>
      <c r="GQ456" s="12"/>
      <c r="IO456" s="33" t="s">
        <v>410</v>
      </c>
      <c r="IP456" s="33" t="s">
        <v>715</v>
      </c>
    </row>
    <row r="457" spans="1:250" s="33" customFormat="1" x14ac:dyDescent="0.25">
      <c r="A457" s="33">
        <v>26</v>
      </c>
      <c r="B457" s="33" t="s">
        <v>392</v>
      </c>
      <c r="C457" s="33" t="s">
        <v>393</v>
      </c>
      <c r="D457" s="33">
        <v>2015</v>
      </c>
      <c r="E457" s="33">
        <v>2012</v>
      </c>
      <c r="F457" s="33" t="s">
        <v>297</v>
      </c>
      <c r="G457" s="33" t="s">
        <v>394</v>
      </c>
      <c r="H457" s="32" t="s">
        <v>2831</v>
      </c>
      <c r="I457" s="33">
        <f t="shared" si="63"/>
        <v>35.39</v>
      </c>
      <c r="J457" s="33">
        <f t="shared" si="64"/>
        <v>-78.03</v>
      </c>
      <c r="K457" s="33">
        <v>24.3</v>
      </c>
      <c r="Q457" s="47">
        <v>1</v>
      </c>
      <c r="R457" s="47">
        <v>1</v>
      </c>
      <c r="S457" s="47"/>
      <c r="T457" s="47" t="s">
        <v>405</v>
      </c>
      <c r="U457" s="47" t="s">
        <v>1386</v>
      </c>
      <c r="V457" s="47" t="s">
        <v>1724</v>
      </c>
      <c r="W457" s="47" t="s">
        <v>1386</v>
      </c>
      <c r="X457" s="47" t="s">
        <v>1386</v>
      </c>
      <c r="Z457" s="327"/>
      <c r="AA457" s="327"/>
      <c r="AB457" s="33" t="s">
        <v>176</v>
      </c>
      <c r="AF457" s="33" t="s">
        <v>1328</v>
      </c>
      <c r="AG457" s="33" t="s">
        <v>397</v>
      </c>
      <c r="AH457" s="138" t="s">
        <v>578</v>
      </c>
      <c r="AI457" s="33" t="s">
        <v>133</v>
      </c>
      <c r="AJ457" s="141" t="s">
        <v>133</v>
      </c>
      <c r="AN457" s="33" t="s">
        <v>396</v>
      </c>
      <c r="AO457" s="33" t="s">
        <v>396</v>
      </c>
      <c r="AP457" s="33" t="s">
        <v>178</v>
      </c>
      <c r="AQ457" s="33">
        <v>0</v>
      </c>
      <c r="AR457" s="33">
        <v>0</v>
      </c>
      <c r="AS457" s="33" t="s">
        <v>178</v>
      </c>
      <c r="AT457" s="33" t="s">
        <v>161</v>
      </c>
      <c r="AU457" s="33">
        <v>4</v>
      </c>
      <c r="AW457" s="33" t="s">
        <v>336</v>
      </c>
      <c r="AY457" s="33">
        <f>(6.5+1.7)*1000</f>
        <v>8200</v>
      </c>
      <c r="AZ457" s="33">
        <f t="shared" ref="AZ457" si="77">AY457/(205+53)</f>
        <v>31.782945736434108</v>
      </c>
      <c r="BA457" s="54" t="s">
        <v>408</v>
      </c>
      <c r="BM457" s="402"/>
      <c r="BN457" s="402"/>
      <c r="BR457" s="402"/>
      <c r="BS457" s="402"/>
      <c r="BW457" s="33">
        <v>2.0390000000000001</v>
      </c>
      <c r="BX457" s="33">
        <v>4.649</v>
      </c>
      <c r="CA457" s="33" t="s">
        <v>407</v>
      </c>
      <c r="GM457" s="12"/>
      <c r="GQ457" s="12"/>
      <c r="IO457" s="33" t="s">
        <v>410</v>
      </c>
      <c r="IP457" s="33" t="s">
        <v>715</v>
      </c>
    </row>
    <row r="458" spans="1:250" s="33" customFormat="1" x14ac:dyDescent="0.25">
      <c r="A458" s="33">
        <v>26</v>
      </c>
      <c r="B458" s="33" t="s">
        <v>392</v>
      </c>
      <c r="C458" s="33" t="s">
        <v>393</v>
      </c>
      <c r="D458" s="33">
        <v>2015</v>
      </c>
      <c r="E458" s="33">
        <v>2012</v>
      </c>
      <c r="F458" s="33" t="s">
        <v>297</v>
      </c>
      <c r="G458" s="33" t="s">
        <v>394</v>
      </c>
      <c r="H458" s="32" t="s">
        <v>2831</v>
      </c>
      <c r="I458" s="33">
        <f t="shared" si="63"/>
        <v>35.39</v>
      </c>
      <c r="J458" s="33">
        <f t="shared" si="64"/>
        <v>-78.03</v>
      </c>
      <c r="K458" s="33">
        <v>24.3</v>
      </c>
      <c r="Q458" s="47">
        <v>1</v>
      </c>
      <c r="R458" s="47">
        <v>1</v>
      </c>
      <c r="S458" s="47"/>
      <c r="T458" s="47" t="s">
        <v>405</v>
      </c>
      <c r="U458" s="47" t="s">
        <v>1386</v>
      </c>
      <c r="V458" s="47" t="s">
        <v>1724</v>
      </c>
      <c r="W458" s="47" t="s">
        <v>1386</v>
      </c>
      <c r="X458" s="47" t="s">
        <v>1386</v>
      </c>
      <c r="Z458" s="327"/>
      <c r="AA458" s="327"/>
      <c r="AB458" s="33" t="s">
        <v>176</v>
      </c>
      <c r="AF458" s="33" t="s">
        <v>1328</v>
      </c>
      <c r="AG458" s="33" t="s">
        <v>398</v>
      </c>
      <c r="AH458" s="138" t="s">
        <v>578</v>
      </c>
      <c r="AI458" s="33" t="s">
        <v>133</v>
      </c>
      <c r="AJ458" s="141" t="s">
        <v>133</v>
      </c>
      <c r="AN458" s="33" t="s">
        <v>396</v>
      </c>
      <c r="AO458" s="33" t="s">
        <v>396</v>
      </c>
      <c r="AP458" s="33" t="s">
        <v>178</v>
      </c>
      <c r="AQ458" s="33">
        <v>0</v>
      </c>
      <c r="AR458" s="33">
        <v>0</v>
      </c>
      <c r="AS458" s="33" t="s">
        <v>178</v>
      </c>
      <c r="AT458" s="33" t="s">
        <v>161</v>
      </c>
      <c r="AU458" s="33">
        <v>4</v>
      </c>
      <c r="AW458" s="33" t="s">
        <v>336</v>
      </c>
      <c r="AY458" s="33">
        <f>(9.6+2.8)*1000</f>
        <v>12399.999999999998</v>
      </c>
      <c r="AZ458" s="33">
        <f t="shared" ref="AZ458" si="78">AY458/(256+66)</f>
        <v>38.509316770186331</v>
      </c>
      <c r="BA458" s="54" t="s">
        <v>408</v>
      </c>
      <c r="BM458" s="402"/>
      <c r="BN458" s="402"/>
      <c r="BR458" s="402"/>
      <c r="BS458" s="402"/>
      <c r="BW458" s="33">
        <v>2.0390000000000001</v>
      </c>
      <c r="BX458" s="33">
        <v>5.6280000000000001</v>
      </c>
      <c r="CA458" s="33" t="s">
        <v>407</v>
      </c>
      <c r="GM458" s="12"/>
      <c r="GQ458" s="12"/>
      <c r="IO458" s="33" t="s">
        <v>410</v>
      </c>
      <c r="IP458" s="33" t="s">
        <v>715</v>
      </c>
    </row>
    <row r="459" spans="1:250" s="33" customFormat="1" x14ac:dyDescent="0.25">
      <c r="A459" s="33">
        <v>26</v>
      </c>
      <c r="B459" s="33" t="s">
        <v>392</v>
      </c>
      <c r="C459" s="33" t="s">
        <v>393</v>
      </c>
      <c r="D459" s="33">
        <v>2015</v>
      </c>
      <c r="E459" s="33">
        <v>2012</v>
      </c>
      <c r="F459" s="33" t="s">
        <v>297</v>
      </c>
      <c r="G459" s="33" t="s">
        <v>394</v>
      </c>
      <c r="H459" s="32" t="s">
        <v>2831</v>
      </c>
      <c r="I459" s="33">
        <f t="shared" si="63"/>
        <v>35.39</v>
      </c>
      <c r="J459" s="33">
        <f t="shared" si="64"/>
        <v>-78.03</v>
      </c>
      <c r="K459" s="33">
        <v>24.3</v>
      </c>
      <c r="Q459" s="47">
        <v>1</v>
      </c>
      <c r="R459" s="47">
        <v>1</v>
      </c>
      <c r="S459" s="47"/>
      <c r="T459" s="47" t="s">
        <v>405</v>
      </c>
      <c r="U459" s="47" t="s">
        <v>1386</v>
      </c>
      <c r="V459" s="47" t="s">
        <v>1724</v>
      </c>
      <c r="W459" s="47" t="s">
        <v>1386</v>
      </c>
      <c r="X459" s="47" t="s">
        <v>1386</v>
      </c>
      <c r="Z459" s="327"/>
      <c r="AA459" s="327"/>
      <c r="AB459" s="33" t="s">
        <v>176</v>
      </c>
      <c r="AF459" s="33" t="s">
        <v>1328</v>
      </c>
      <c r="AG459" s="33" t="s">
        <v>244</v>
      </c>
      <c r="AH459" s="138" t="s">
        <v>578</v>
      </c>
      <c r="AI459" s="33" t="s">
        <v>133</v>
      </c>
      <c r="AJ459" s="141" t="s">
        <v>133</v>
      </c>
      <c r="AN459" s="33" t="s">
        <v>396</v>
      </c>
      <c r="AO459" s="33" t="s">
        <v>396</v>
      </c>
      <c r="AP459" s="33" t="s">
        <v>178</v>
      </c>
      <c r="AQ459" s="33">
        <v>0</v>
      </c>
      <c r="AR459" s="33">
        <v>0</v>
      </c>
      <c r="AS459" s="33" t="s">
        <v>178</v>
      </c>
      <c r="AT459" s="33" t="s">
        <v>161</v>
      </c>
      <c r="AU459" s="33">
        <v>4</v>
      </c>
      <c r="AW459" s="33" t="s">
        <v>336</v>
      </c>
      <c r="AY459" s="33">
        <f>(8.7+2.5)*1000</f>
        <v>11200</v>
      </c>
      <c r="AZ459" s="33">
        <f t="shared" ref="AZ459" si="79">AY459/(288+71)</f>
        <v>31.197771587743734</v>
      </c>
      <c r="BA459" s="54" t="s">
        <v>408</v>
      </c>
      <c r="BM459" s="402"/>
      <c r="BN459" s="402"/>
      <c r="BR459" s="402"/>
      <c r="BS459" s="402"/>
      <c r="BW459" s="33">
        <v>2.0390000000000001</v>
      </c>
      <c r="BX459" s="33">
        <v>11.175000000000001</v>
      </c>
      <c r="CA459" s="33" t="s">
        <v>407</v>
      </c>
      <c r="GM459" s="12"/>
      <c r="GQ459" s="12"/>
      <c r="IO459" s="33" t="s">
        <v>410</v>
      </c>
      <c r="IP459" s="33" t="s">
        <v>715</v>
      </c>
    </row>
    <row r="460" spans="1:250" s="33" customFormat="1" x14ac:dyDescent="0.25">
      <c r="A460" s="33">
        <v>26</v>
      </c>
      <c r="B460" s="33" t="s">
        <v>392</v>
      </c>
      <c r="C460" s="33" t="s">
        <v>393</v>
      </c>
      <c r="D460" s="33">
        <v>2015</v>
      </c>
      <c r="E460" s="33">
        <v>2012</v>
      </c>
      <c r="F460" s="33" t="s">
        <v>297</v>
      </c>
      <c r="G460" s="33" t="s">
        <v>394</v>
      </c>
      <c r="H460" s="32" t="s">
        <v>2831</v>
      </c>
      <c r="I460" s="33">
        <f t="shared" si="63"/>
        <v>35.39</v>
      </c>
      <c r="J460" s="33">
        <f t="shared" si="64"/>
        <v>-78.03</v>
      </c>
      <c r="K460" s="33">
        <v>24.3</v>
      </c>
      <c r="Q460" s="47">
        <v>1</v>
      </c>
      <c r="R460" s="47">
        <v>1</v>
      </c>
      <c r="S460" s="47"/>
      <c r="T460" s="47" t="s">
        <v>399</v>
      </c>
      <c r="U460" s="47" t="s">
        <v>1386</v>
      </c>
      <c r="V460" s="47" t="s">
        <v>1724</v>
      </c>
      <c r="W460" s="47" t="s">
        <v>1386</v>
      </c>
      <c r="X460" s="47" t="s">
        <v>1386</v>
      </c>
      <c r="Z460" s="327"/>
      <c r="AA460" s="327"/>
      <c r="AB460" s="33" t="s">
        <v>176</v>
      </c>
      <c r="AF460" s="33" t="s">
        <v>1328</v>
      </c>
      <c r="AG460" s="33" t="s">
        <v>397</v>
      </c>
      <c r="AH460" s="138" t="s">
        <v>578</v>
      </c>
      <c r="AI460" s="33" t="s">
        <v>133</v>
      </c>
      <c r="AJ460" s="141" t="s">
        <v>133</v>
      </c>
      <c r="AN460" s="33" t="s">
        <v>406</v>
      </c>
      <c r="AO460" s="33" t="s">
        <v>406</v>
      </c>
      <c r="AP460" s="33" t="s">
        <v>178</v>
      </c>
      <c r="AQ460" s="33">
        <v>0</v>
      </c>
      <c r="AR460" s="33">
        <v>0</v>
      </c>
      <c r="AS460" s="33" t="s">
        <v>178</v>
      </c>
      <c r="AT460" s="33" t="s">
        <v>161</v>
      </c>
      <c r="AU460" s="33">
        <v>4</v>
      </c>
      <c r="AW460" s="33" t="s">
        <v>336</v>
      </c>
      <c r="AY460" s="33">
        <f>(6.5+1.7)*1000</f>
        <v>8200</v>
      </c>
      <c r="AZ460" s="33">
        <f t="shared" ref="AZ460" si="80">AY460/(205+53)</f>
        <v>31.782945736434108</v>
      </c>
      <c r="BA460" s="54" t="s">
        <v>409</v>
      </c>
      <c r="BM460" s="402"/>
      <c r="BN460" s="402"/>
      <c r="BR460" s="402"/>
      <c r="BS460" s="402"/>
      <c r="BW460" s="33">
        <v>9.5429999999999993</v>
      </c>
      <c r="BX460" s="33">
        <v>12.48</v>
      </c>
      <c r="CA460" s="33" t="s">
        <v>407</v>
      </c>
      <c r="GM460" s="12"/>
      <c r="GQ460" s="12"/>
      <c r="IO460" s="33" t="s">
        <v>410</v>
      </c>
      <c r="IP460" s="33" t="s">
        <v>715</v>
      </c>
    </row>
    <row r="461" spans="1:250" s="33" customFormat="1" x14ac:dyDescent="0.25">
      <c r="A461" s="33">
        <v>26</v>
      </c>
      <c r="B461" s="33" t="s">
        <v>392</v>
      </c>
      <c r="C461" s="33" t="s">
        <v>393</v>
      </c>
      <c r="D461" s="33">
        <v>2015</v>
      </c>
      <c r="E461" s="33">
        <v>2012</v>
      </c>
      <c r="F461" s="33" t="s">
        <v>297</v>
      </c>
      <c r="G461" s="33" t="s">
        <v>394</v>
      </c>
      <c r="H461" s="32" t="s">
        <v>2831</v>
      </c>
      <c r="I461" s="33">
        <f t="shared" si="63"/>
        <v>35.39</v>
      </c>
      <c r="J461" s="33">
        <f t="shared" si="64"/>
        <v>-78.03</v>
      </c>
      <c r="K461" s="33">
        <v>24.3</v>
      </c>
      <c r="Q461" s="47">
        <v>1</v>
      </c>
      <c r="R461" s="47">
        <v>1</v>
      </c>
      <c r="S461" s="47"/>
      <c r="T461" s="47" t="s">
        <v>399</v>
      </c>
      <c r="U461" s="47" t="s">
        <v>1386</v>
      </c>
      <c r="V461" s="47" t="s">
        <v>1724</v>
      </c>
      <c r="W461" s="47" t="s">
        <v>1386</v>
      </c>
      <c r="X461" s="47" t="s">
        <v>1386</v>
      </c>
      <c r="Z461" s="327"/>
      <c r="AA461" s="327"/>
      <c r="AB461" s="33" t="s">
        <v>176</v>
      </c>
      <c r="AF461" s="33" t="s">
        <v>1328</v>
      </c>
      <c r="AG461" s="33" t="s">
        <v>398</v>
      </c>
      <c r="AH461" s="138" t="s">
        <v>578</v>
      </c>
      <c r="AI461" s="33" t="s">
        <v>133</v>
      </c>
      <c r="AJ461" s="141" t="s">
        <v>133</v>
      </c>
      <c r="AN461" s="33" t="s">
        <v>406</v>
      </c>
      <c r="AO461" s="33" t="s">
        <v>406</v>
      </c>
      <c r="AP461" s="33" t="s">
        <v>178</v>
      </c>
      <c r="AQ461" s="33">
        <v>0</v>
      </c>
      <c r="AR461" s="33">
        <v>0</v>
      </c>
      <c r="AS461" s="33" t="s">
        <v>178</v>
      </c>
      <c r="AT461" s="33" t="s">
        <v>161</v>
      </c>
      <c r="AU461" s="33">
        <v>4</v>
      </c>
      <c r="AW461" s="33" t="s">
        <v>336</v>
      </c>
      <c r="AY461" s="33">
        <f>(9.6+2.8)*1000</f>
        <v>12399.999999999998</v>
      </c>
      <c r="AZ461" s="33">
        <f t="shared" ref="AZ461" si="81">AY461/(256+66)</f>
        <v>38.509316770186331</v>
      </c>
      <c r="BA461" s="54" t="s">
        <v>409</v>
      </c>
      <c r="BM461" s="402"/>
      <c r="BN461" s="402"/>
      <c r="BR461" s="402"/>
      <c r="BS461" s="402"/>
      <c r="BW461" s="33">
        <v>9.5429999999999993</v>
      </c>
      <c r="BX461" s="33">
        <v>11.42</v>
      </c>
      <c r="CA461" s="33" t="s">
        <v>407</v>
      </c>
      <c r="GM461" s="12"/>
      <c r="GQ461" s="12"/>
      <c r="IO461" s="33" t="s">
        <v>410</v>
      </c>
      <c r="IP461" s="33" t="s">
        <v>715</v>
      </c>
    </row>
    <row r="462" spans="1:250" s="33" customFormat="1" x14ac:dyDescent="0.25">
      <c r="A462" s="33">
        <v>26</v>
      </c>
      <c r="B462" s="33" t="s">
        <v>392</v>
      </c>
      <c r="C462" s="33" t="s">
        <v>393</v>
      </c>
      <c r="D462" s="33">
        <v>2015</v>
      </c>
      <c r="E462" s="33">
        <v>2012</v>
      </c>
      <c r="F462" s="33" t="s">
        <v>297</v>
      </c>
      <c r="G462" s="33" t="s">
        <v>394</v>
      </c>
      <c r="H462" s="32" t="s">
        <v>2831</v>
      </c>
      <c r="I462" s="33">
        <f t="shared" si="63"/>
        <v>35.39</v>
      </c>
      <c r="J462" s="33">
        <f t="shared" si="64"/>
        <v>-78.03</v>
      </c>
      <c r="K462" s="33">
        <v>24.3</v>
      </c>
      <c r="Q462" s="47">
        <v>1</v>
      </c>
      <c r="R462" s="47">
        <v>1</v>
      </c>
      <c r="S462" s="47"/>
      <c r="T462" s="47" t="s">
        <v>399</v>
      </c>
      <c r="U462" s="47" t="s">
        <v>1386</v>
      </c>
      <c r="V462" s="47" t="s">
        <v>1724</v>
      </c>
      <c r="W462" s="47" t="s">
        <v>1386</v>
      </c>
      <c r="X462" s="47" t="s">
        <v>1386</v>
      </c>
      <c r="Z462" s="327"/>
      <c r="AA462" s="327"/>
      <c r="AB462" s="33" t="s">
        <v>176</v>
      </c>
      <c r="AF462" s="33" t="s">
        <v>1328</v>
      </c>
      <c r="AG462" s="33" t="s">
        <v>244</v>
      </c>
      <c r="AH462" s="138" t="s">
        <v>578</v>
      </c>
      <c r="AI462" s="33" t="s">
        <v>133</v>
      </c>
      <c r="AJ462" s="141" t="s">
        <v>133</v>
      </c>
      <c r="AN462" s="33" t="s">
        <v>406</v>
      </c>
      <c r="AO462" s="33" t="s">
        <v>406</v>
      </c>
      <c r="AP462" s="33" t="s">
        <v>178</v>
      </c>
      <c r="AQ462" s="33">
        <v>0</v>
      </c>
      <c r="AR462" s="33">
        <v>0</v>
      </c>
      <c r="AS462" s="33" t="s">
        <v>178</v>
      </c>
      <c r="AT462" s="33" t="s">
        <v>161</v>
      </c>
      <c r="AU462" s="33">
        <v>4</v>
      </c>
      <c r="AW462" s="33" t="s">
        <v>336</v>
      </c>
      <c r="AY462" s="33">
        <f>(8.7+2.5)*1000</f>
        <v>11200</v>
      </c>
      <c r="AZ462" s="33">
        <f t="shared" ref="AZ462" si="82">AY462/(288+71)</f>
        <v>31.197771587743734</v>
      </c>
      <c r="BA462" s="54" t="s">
        <v>409</v>
      </c>
      <c r="BM462" s="402"/>
      <c r="BN462" s="402"/>
      <c r="BR462" s="402"/>
      <c r="BS462" s="402"/>
      <c r="BW462" s="33">
        <v>9.5429999999999993</v>
      </c>
      <c r="BX462" s="33">
        <v>19.899999999999999</v>
      </c>
      <c r="CA462" s="33" t="s">
        <v>407</v>
      </c>
      <c r="GM462" s="12"/>
      <c r="GQ462" s="12"/>
      <c r="IO462" s="33" t="s">
        <v>410</v>
      </c>
      <c r="IP462" s="33" t="s">
        <v>715</v>
      </c>
    </row>
    <row r="463" spans="1:250" s="33" customFormat="1" x14ac:dyDescent="0.25">
      <c r="A463" s="33">
        <v>26</v>
      </c>
      <c r="B463" s="33" t="s">
        <v>392</v>
      </c>
      <c r="C463" s="33" t="s">
        <v>393</v>
      </c>
      <c r="D463" s="33">
        <v>2015</v>
      </c>
      <c r="E463" s="33">
        <v>2012</v>
      </c>
      <c r="F463" s="33" t="s">
        <v>297</v>
      </c>
      <c r="G463" s="33" t="s">
        <v>394</v>
      </c>
      <c r="H463" s="32" t="s">
        <v>2831</v>
      </c>
      <c r="I463" s="33">
        <f t="shared" si="63"/>
        <v>35.39</v>
      </c>
      <c r="J463" s="33">
        <f t="shared" si="64"/>
        <v>-78.03</v>
      </c>
      <c r="K463" s="33">
        <v>24.3</v>
      </c>
      <c r="Q463" s="47">
        <v>1</v>
      </c>
      <c r="R463" s="47">
        <v>1</v>
      </c>
      <c r="S463" s="47"/>
      <c r="T463" s="47" t="s">
        <v>400</v>
      </c>
      <c r="U463" s="47" t="s">
        <v>1386</v>
      </c>
      <c r="V463" s="47" t="s">
        <v>1724</v>
      </c>
      <c r="W463" s="47" t="s">
        <v>1386</v>
      </c>
      <c r="X463" s="47" t="s">
        <v>1386</v>
      </c>
      <c r="Z463" s="327"/>
      <c r="AA463" s="327"/>
      <c r="AB463" s="33" t="s">
        <v>176</v>
      </c>
      <c r="AF463" s="33" t="s">
        <v>1328</v>
      </c>
      <c r="AG463" s="33" t="s">
        <v>397</v>
      </c>
      <c r="AH463" s="138" t="s">
        <v>578</v>
      </c>
      <c r="AI463" s="33" t="s">
        <v>133</v>
      </c>
      <c r="AJ463" s="141" t="s">
        <v>133</v>
      </c>
      <c r="AN463" s="33" t="s">
        <v>406</v>
      </c>
      <c r="AO463" s="33" t="s">
        <v>406</v>
      </c>
      <c r="AP463" s="33" t="s">
        <v>178</v>
      </c>
      <c r="AQ463" s="33">
        <v>0</v>
      </c>
      <c r="AR463" s="33">
        <v>0</v>
      </c>
      <c r="AS463" s="33" t="s">
        <v>178</v>
      </c>
      <c r="AT463" s="33" t="s">
        <v>161</v>
      </c>
      <c r="AU463" s="33">
        <v>4</v>
      </c>
      <c r="AW463" s="33" t="s">
        <v>336</v>
      </c>
      <c r="AY463" s="33">
        <f>(6.5+1.7)*1000</f>
        <v>8200</v>
      </c>
      <c r="AZ463" s="33">
        <f t="shared" ref="AZ463" si="83">AY463/(205+53)</f>
        <v>31.782945736434108</v>
      </c>
      <c r="BA463" s="54" t="s">
        <v>409</v>
      </c>
      <c r="BM463" s="402"/>
      <c r="BN463" s="402"/>
      <c r="BR463" s="402"/>
      <c r="BS463" s="402"/>
      <c r="BW463" s="33">
        <v>7.9119999999999999</v>
      </c>
      <c r="BX463" s="33">
        <v>13.458</v>
      </c>
      <c r="CA463" s="33" t="s">
        <v>407</v>
      </c>
      <c r="GM463" s="12"/>
      <c r="GQ463" s="12"/>
      <c r="IO463" s="33" t="s">
        <v>410</v>
      </c>
      <c r="IP463" s="33" t="s">
        <v>715</v>
      </c>
    </row>
    <row r="464" spans="1:250" s="33" customFormat="1" x14ac:dyDescent="0.25">
      <c r="A464" s="33">
        <v>26</v>
      </c>
      <c r="B464" s="33" t="s">
        <v>392</v>
      </c>
      <c r="C464" s="33" t="s">
        <v>393</v>
      </c>
      <c r="D464" s="33">
        <v>2015</v>
      </c>
      <c r="E464" s="33">
        <v>2012</v>
      </c>
      <c r="F464" s="33" t="s">
        <v>297</v>
      </c>
      <c r="G464" s="33" t="s">
        <v>394</v>
      </c>
      <c r="H464" s="32" t="s">
        <v>2831</v>
      </c>
      <c r="I464" s="33">
        <f t="shared" si="63"/>
        <v>35.39</v>
      </c>
      <c r="J464" s="33">
        <f t="shared" si="64"/>
        <v>-78.03</v>
      </c>
      <c r="K464" s="33">
        <v>24.3</v>
      </c>
      <c r="Q464" s="47">
        <v>1</v>
      </c>
      <c r="R464" s="47">
        <v>1</v>
      </c>
      <c r="S464" s="47"/>
      <c r="T464" s="47" t="s">
        <v>400</v>
      </c>
      <c r="U464" s="47" t="s">
        <v>1386</v>
      </c>
      <c r="V464" s="47" t="s">
        <v>1724</v>
      </c>
      <c r="W464" s="47" t="s">
        <v>1386</v>
      </c>
      <c r="X464" s="47" t="s">
        <v>1386</v>
      </c>
      <c r="Z464" s="327"/>
      <c r="AA464" s="327"/>
      <c r="AB464" s="33" t="s">
        <v>176</v>
      </c>
      <c r="AF464" s="33" t="s">
        <v>1328</v>
      </c>
      <c r="AG464" s="33" t="s">
        <v>398</v>
      </c>
      <c r="AH464" s="138" t="s">
        <v>578</v>
      </c>
      <c r="AI464" s="33" t="s">
        <v>133</v>
      </c>
      <c r="AJ464" s="141" t="s">
        <v>133</v>
      </c>
      <c r="AN464" s="33" t="s">
        <v>406</v>
      </c>
      <c r="AO464" s="33" t="s">
        <v>406</v>
      </c>
      <c r="AP464" s="33" t="s">
        <v>178</v>
      </c>
      <c r="AQ464" s="33">
        <v>0</v>
      </c>
      <c r="AR464" s="33">
        <v>0</v>
      </c>
      <c r="AS464" s="33" t="s">
        <v>178</v>
      </c>
      <c r="AT464" s="33" t="s">
        <v>161</v>
      </c>
      <c r="AU464" s="33">
        <v>4</v>
      </c>
      <c r="AW464" s="33" t="s">
        <v>336</v>
      </c>
      <c r="AY464" s="33">
        <f>(9.6+2.8)*1000</f>
        <v>12399.999999999998</v>
      </c>
      <c r="AZ464" s="33">
        <f t="shared" ref="AZ464" si="84">AY464/(256+66)</f>
        <v>38.509316770186331</v>
      </c>
      <c r="BA464" s="54" t="s">
        <v>409</v>
      </c>
      <c r="BM464" s="402"/>
      <c r="BN464" s="402"/>
      <c r="BR464" s="402"/>
      <c r="BS464" s="402"/>
      <c r="BW464" s="33">
        <v>7.9119999999999999</v>
      </c>
      <c r="BX464" s="33">
        <v>11.09</v>
      </c>
      <c r="CA464" s="33" t="s">
        <v>407</v>
      </c>
      <c r="GM464" s="12"/>
      <c r="GQ464" s="12"/>
      <c r="IO464" s="33" t="s">
        <v>410</v>
      </c>
      <c r="IP464" s="33" t="s">
        <v>715</v>
      </c>
    </row>
    <row r="465" spans="1:250" s="33" customFormat="1" x14ac:dyDescent="0.25">
      <c r="A465" s="33">
        <v>26</v>
      </c>
      <c r="B465" s="33" t="s">
        <v>392</v>
      </c>
      <c r="C465" s="33" t="s">
        <v>393</v>
      </c>
      <c r="D465" s="33">
        <v>2015</v>
      </c>
      <c r="E465" s="33">
        <v>2012</v>
      </c>
      <c r="F465" s="33" t="s">
        <v>297</v>
      </c>
      <c r="G465" s="33" t="s">
        <v>394</v>
      </c>
      <c r="H465" s="32" t="s">
        <v>2831</v>
      </c>
      <c r="I465" s="33">
        <f t="shared" si="63"/>
        <v>35.39</v>
      </c>
      <c r="J465" s="33">
        <f t="shared" si="64"/>
        <v>-78.03</v>
      </c>
      <c r="K465" s="33">
        <v>24.3</v>
      </c>
      <c r="Q465" s="47">
        <v>1</v>
      </c>
      <c r="R465" s="47">
        <v>1</v>
      </c>
      <c r="S465" s="47"/>
      <c r="T465" s="47" t="s">
        <v>400</v>
      </c>
      <c r="U465" s="47" t="s">
        <v>1386</v>
      </c>
      <c r="V465" s="47" t="s">
        <v>1724</v>
      </c>
      <c r="W465" s="47" t="s">
        <v>1386</v>
      </c>
      <c r="X465" s="47" t="s">
        <v>1386</v>
      </c>
      <c r="Z465" s="327"/>
      <c r="AA465" s="327"/>
      <c r="AB465" s="33" t="s">
        <v>176</v>
      </c>
      <c r="AF465" s="33" t="s">
        <v>1328</v>
      </c>
      <c r="AG465" s="33" t="s">
        <v>244</v>
      </c>
      <c r="AH465" s="138" t="s">
        <v>578</v>
      </c>
      <c r="AI465" s="33" t="s">
        <v>133</v>
      </c>
      <c r="AJ465" s="141" t="s">
        <v>133</v>
      </c>
      <c r="AN465" s="33" t="s">
        <v>406</v>
      </c>
      <c r="AO465" s="33" t="s">
        <v>406</v>
      </c>
      <c r="AP465" s="33" t="s">
        <v>178</v>
      </c>
      <c r="AQ465" s="33">
        <v>0</v>
      </c>
      <c r="AR465" s="33">
        <v>0</v>
      </c>
      <c r="AS465" s="33" t="s">
        <v>178</v>
      </c>
      <c r="AT465" s="33" t="s">
        <v>161</v>
      </c>
      <c r="AU465" s="33">
        <v>4</v>
      </c>
      <c r="AW465" s="33" t="s">
        <v>336</v>
      </c>
      <c r="AY465" s="33">
        <f>(8.7+2.5)*1000</f>
        <v>11200</v>
      </c>
      <c r="AZ465" s="33">
        <f t="shared" ref="AZ465" si="85">AY465/(288+71)</f>
        <v>31.197771587743734</v>
      </c>
      <c r="BA465" s="54" t="s">
        <v>409</v>
      </c>
      <c r="BM465" s="402"/>
      <c r="BN465" s="402"/>
      <c r="BR465" s="402"/>
      <c r="BS465" s="402"/>
      <c r="BW465" s="33">
        <v>7.9119999999999999</v>
      </c>
      <c r="BX465" s="33">
        <v>17.7</v>
      </c>
      <c r="CA465" s="33" t="s">
        <v>407</v>
      </c>
      <c r="GM465" s="12"/>
      <c r="GQ465" s="12"/>
      <c r="IO465" s="33" t="s">
        <v>410</v>
      </c>
      <c r="IP465" s="33" t="s">
        <v>715</v>
      </c>
    </row>
    <row r="466" spans="1:250" s="33" customFormat="1" x14ac:dyDescent="0.25">
      <c r="A466" s="33">
        <v>26</v>
      </c>
      <c r="B466" s="33" t="s">
        <v>392</v>
      </c>
      <c r="C466" s="33" t="s">
        <v>393</v>
      </c>
      <c r="D466" s="33">
        <v>2015</v>
      </c>
      <c r="E466" s="33">
        <v>2012</v>
      </c>
      <c r="F466" s="33" t="s">
        <v>297</v>
      </c>
      <c r="G466" s="33" t="s">
        <v>394</v>
      </c>
      <c r="H466" s="32" t="s">
        <v>2831</v>
      </c>
      <c r="I466" s="33">
        <f t="shared" si="63"/>
        <v>35.39</v>
      </c>
      <c r="J466" s="33">
        <f t="shared" si="64"/>
        <v>-78.03</v>
      </c>
      <c r="K466" s="33">
        <v>24.3</v>
      </c>
      <c r="Q466" s="47">
        <v>1</v>
      </c>
      <c r="R466" s="47">
        <v>1</v>
      </c>
      <c r="S466" s="47"/>
      <c r="T466" s="47" t="s">
        <v>401</v>
      </c>
      <c r="U466" s="47" t="s">
        <v>1386</v>
      </c>
      <c r="V466" s="47" t="s">
        <v>1724</v>
      </c>
      <c r="W466" s="47" t="s">
        <v>1386</v>
      </c>
      <c r="X466" s="47" t="s">
        <v>1386</v>
      </c>
      <c r="Z466" s="327"/>
      <c r="AA466" s="327"/>
      <c r="AB466" s="33" t="s">
        <v>176</v>
      </c>
      <c r="AF466" s="33" t="s">
        <v>1328</v>
      </c>
      <c r="AG466" s="33" t="s">
        <v>397</v>
      </c>
      <c r="AH466" s="138" t="s">
        <v>578</v>
      </c>
      <c r="AI466" s="33" t="s">
        <v>133</v>
      </c>
      <c r="AJ466" s="141" t="s">
        <v>133</v>
      </c>
      <c r="AN466" s="33" t="s">
        <v>406</v>
      </c>
      <c r="AO466" s="33" t="s">
        <v>406</v>
      </c>
      <c r="AP466" s="33" t="s">
        <v>178</v>
      </c>
      <c r="AQ466" s="33">
        <v>0</v>
      </c>
      <c r="AR466" s="33">
        <v>0</v>
      </c>
      <c r="AS466" s="33" t="s">
        <v>178</v>
      </c>
      <c r="AT466" s="33" t="s">
        <v>161</v>
      </c>
      <c r="AU466" s="33">
        <v>4</v>
      </c>
      <c r="AW466" s="33" t="s">
        <v>336</v>
      </c>
      <c r="AY466" s="33">
        <f>(6.5+1.7)*1000</f>
        <v>8200</v>
      </c>
      <c r="AZ466" s="33">
        <f t="shared" ref="AZ466" si="86">AY466/(205+53)</f>
        <v>31.782945736434108</v>
      </c>
      <c r="BA466" s="54" t="s">
        <v>409</v>
      </c>
      <c r="BM466" s="402"/>
      <c r="BN466" s="402"/>
      <c r="BR466" s="402"/>
      <c r="BS466" s="402"/>
      <c r="BW466" s="33">
        <v>7.4219999999999997</v>
      </c>
      <c r="BX466" s="33">
        <v>16.312999999999999</v>
      </c>
      <c r="CA466" s="33" t="s">
        <v>407</v>
      </c>
      <c r="GM466" s="12"/>
      <c r="GQ466" s="12"/>
      <c r="IO466" s="33" t="s">
        <v>410</v>
      </c>
      <c r="IP466" s="33" t="s">
        <v>715</v>
      </c>
    </row>
    <row r="467" spans="1:250" s="33" customFormat="1" x14ac:dyDescent="0.25">
      <c r="A467" s="33">
        <v>26</v>
      </c>
      <c r="B467" s="33" t="s">
        <v>392</v>
      </c>
      <c r="C467" s="33" t="s">
        <v>393</v>
      </c>
      <c r="D467" s="33">
        <v>2015</v>
      </c>
      <c r="E467" s="33">
        <v>2012</v>
      </c>
      <c r="F467" s="33" t="s">
        <v>297</v>
      </c>
      <c r="G467" s="33" t="s">
        <v>394</v>
      </c>
      <c r="H467" s="32" t="s">
        <v>2831</v>
      </c>
      <c r="I467" s="33">
        <f t="shared" si="63"/>
        <v>35.39</v>
      </c>
      <c r="J467" s="33">
        <f t="shared" si="64"/>
        <v>-78.03</v>
      </c>
      <c r="K467" s="33">
        <v>24.3</v>
      </c>
      <c r="Q467" s="47">
        <v>1</v>
      </c>
      <c r="R467" s="47">
        <v>1</v>
      </c>
      <c r="S467" s="47"/>
      <c r="T467" s="47" t="s">
        <v>401</v>
      </c>
      <c r="U467" s="47" t="s">
        <v>1386</v>
      </c>
      <c r="V467" s="47" t="s">
        <v>1724</v>
      </c>
      <c r="W467" s="47" t="s">
        <v>1386</v>
      </c>
      <c r="X467" s="47" t="s">
        <v>1386</v>
      </c>
      <c r="Z467" s="327"/>
      <c r="AA467" s="327"/>
      <c r="AB467" s="33" t="s">
        <v>176</v>
      </c>
      <c r="AF467" s="33" t="s">
        <v>1328</v>
      </c>
      <c r="AG467" s="33" t="s">
        <v>398</v>
      </c>
      <c r="AH467" s="138" t="s">
        <v>578</v>
      </c>
      <c r="AI467" s="33" t="s">
        <v>133</v>
      </c>
      <c r="AJ467" s="141" t="s">
        <v>133</v>
      </c>
      <c r="AN467" s="33" t="s">
        <v>406</v>
      </c>
      <c r="AO467" s="33" t="s">
        <v>406</v>
      </c>
      <c r="AP467" s="33" t="s">
        <v>178</v>
      </c>
      <c r="AQ467" s="33">
        <v>0</v>
      </c>
      <c r="AR467" s="33">
        <v>0</v>
      </c>
      <c r="AS467" s="33" t="s">
        <v>178</v>
      </c>
      <c r="AT467" s="33" t="s">
        <v>161</v>
      </c>
      <c r="AU467" s="33">
        <v>4</v>
      </c>
      <c r="AW467" s="33" t="s">
        <v>336</v>
      </c>
      <c r="AY467" s="33">
        <f>(9.6+2.8)*1000</f>
        <v>12399.999999999998</v>
      </c>
      <c r="AZ467" s="33">
        <f t="shared" ref="AZ467" si="87">AY467/(256+66)</f>
        <v>38.509316770186331</v>
      </c>
      <c r="BA467" s="54" t="s">
        <v>409</v>
      </c>
      <c r="BM467" s="402"/>
      <c r="BN467" s="402"/>
      <c r="BR467" s="402"/>
      <c r="BS467" s="402"/>
      <c r="BW467" s="33">
        <v>7.4219999999999997</v>
      </c>
      <c r="BX467" s="33">
        <v>14.927</v>
      </c>
      <c r="CA467" s="33" t="s">
        <v>407</v>
      </c>
      <c r="GM467" s="12"/>
      <c r="GQ467" s="12"/>
      <c r="IO467" s="33" t="s">
        <v>410</v>
      </c>
      <c r="IP467" s="33" t="s">
        <v>715</v>
      </c>
    </row>
    <row r="468" spans="1:250" s="33" customFormat="1" x14ac:dyDescent="0.25">
      <c r="A468" s="33">
        <v>26</v>
      </c>
      <c r="B468" s="33" t="s">
        <v>392</v>
      </c>
      <c r="C468" s="33" t="s">
        <v>393</v>
      </c>
      <c r="D468" s="33">
        <v>2015</v>
      </c>
      <c r="E468" s="33">
        <v>2012</v>
      </c>
      <c r="F468" s="33" t="s">
        <v>297</v>
      </c>
      <c r="G468" s="33" t="s">
        <v>394</v>
      </c>
      <c r="H468" s="32" t="s">
        <v>2831</v>
      </c>
      <c r="I468" s="33">
        <f t="shared" si="63"/>
        <v>35.39</v>
      </c>
      <c r="J468" s="33">
        <f t="shared" si="64"/>
        <v>-78.03</v>
      </c>
      <c r="K468" s="33">
        <v>24.3</v>
      </c>
      <c r="Q468" s="47">
        <v>1</v>
      </c>
      <c r="R468" s="47">
        <v>1</v>
      </c>
      <c r="S468" s="47"/>
      <c r="T468" s="47" t="s">
        <v>401</v>
      </c>
      <c r="U468" s="47" t="s">
        <v>1386</v>
      </c>
      <c r="V468" s="47" t="s">
        <v>1724</v>
      </c>
      <c r="W468" s="47" t="s">
        <v>1386</v>
      </c>
      <c r="X468" s="47" t="s">
        <v>1386</v>
      </c>
      <c r="Z468" s="327"/>
      <c r="AA468" s="327"/>
      <c r="AB468" s="33" t="s">
        <v>176</v>
      </c>
      <c r="AF468" s="33" t="s">
        <v>1328</v>
      </c>
      <c r="AG468" s="33" t="s">
        <v>244</v>
      </c>
      <c r="AH468" s="138" t="s">
        <v>578</v>
      </c>
      <c r="AI468" s="33" t="s">
        <v>133</v>
      </c>
      <c r="AJ468" s="141" t="s">
        <v>133</v>
      </c>
      <c r="AN468" s="33" t="s">
        <v>406</v>
      </c>
      <c r="AO468" s="33" t="s">
        <v>406</v>
      </c>
      <c r="AP468" s="33" t="s">
        <v>178</v>
      </c>
      <c r="AQ468" s="33">
        <v>0</v>
      </c>
      <c r="AR468" s="33">
        <v>0</v>
      </c>
      <c r="AS468" s="33" t="s">
        <v>178</v>
      </c>
      <c r="AT468" s="33" t="s">
        <v>161</v>
      </c>
      <c r="AU468" s="33">
        <v>4</v>
      </c>
      <c r="AW468" s="33" t="s">
        <v>336</v>
      </c>
      <c r="AY468" s="33">
        <f>(8.7+2.5)*1000</f>
        <v>11200</v>
      </c>
      <c r="AZ468" s="33">
        <f t="shared" ref="AZ468" si="88">AY468/(288+71)</f>
        <v>31.197771587743734</v>
      </c>
      <c r="BA468" s="54" t="s">
        <v>409</v>
      </c>
      <c r="BM468" s="402"/>
      <c r="BN468" s="402"/>
      <c r="BR468" s="402"/>
      <c r="BS468" s="402"/>
      <c r="BW468" s="33">
        <v>7.4219999999999997</v>
      </c>
      <c r="BX468" s="33">
        <v>23.33</v>
      </c>
      <c r="CA468" s="33" t="s">
        <v>407</v>
      </c>
      <c r="GM468" s="12"/>
      <c r="GQ468" s="12"/>
      <c r="IO468" s="33" t="s">
        <v>410</v>
      </c>
      <c r="IP468" s="33" t="s">
        <v>715</v>
      </c>
    </row>
    <row r="469" spans="1:250" s="33" customFormat="1" x14ac:dyDescent="0.25">
      <c r="A469" s="33">
        <v>26</v>
      </c>
      <c r="B469" s="33" t="s">
        <v>392</v>
      </c>
      <c r="C469" s="33" t="s">
        <v>393</v>
      </c>
      <c r="D469" s="33">
        <v>2015</v>
      </c>
      <c r="E469" s="33">
        <v>2012</v>
      </c>
      <c r="F469" s="33" t="s">
        <v>297</v>
      </c>
      <c r="G469" s="33" t="s">
        <v>394</v>
      </c>
      <c r="H469" s="32" t="s">
        <v>2831</v>
      </c>
      <c r="I469" s="33">
        <f t="shared" si="63"/>
        <v>35.39</v>
      </c>
      <c r="J469" s="33">
        <f t="shared" si="64"/>
        <v>-78.03</v>
      </c>
      <c r="K469" s="33">
        <v>24.3</v>
      </c>
      <c r="Q469" s="47">
        <v>1</v>
      </c>
      <c r="R469" s="47">
        <v>1</v>
      </c>
      <c r="S469" s="47"/>
      <c r="T469" s="47" t="s">
        <v>402</v>
      </c>
      <c r="U469" s="47" t="s">
        <v>1386</v>
      </c>
      <c r="V469" s="47" t="s">
        <v>1724</v>
      </c>
      <c r="W469" s="47" t="s">
        <v>1386</v>
      </c>
      <c r="X469" s="47" t="s">
        <v>1386</v>
      </c>
      <c r="Z469" s="327"/>
      <c r="AA469" s="327"/>
      <c r="AB469" s="33" t="s">
        <v>176</v>
      </c>
      <c r="AF469" s="33" t="s">
        <v>1328</v>
      </c>
      <c r="AG469" s="33" t="s">
        <v>397</v>
      </c>
      <c r="AH469" s="138" t="s">
        <v>578</v>
      </c>
      <c r="AI469" s="33" t="s">
        <v>133</v>
      </c>
      <c r="AJ469" s="141" t="s">
        <v>133</v>
      </c>
      <c r="AN469" s="33" t="s">
        <v>406</v>
      </c>
      <c r="AO469" s="33" t="s">
        <v>406</v>
      </c>
      <c r="AP469" s="33" t="s">
        <v>178</v>
      </c>
      <c r="AQ469" s="33">
        <v>0</v>
      </c>
      <c r="AR469" s="33">
        <v>0</v>
      </c>
      <c r="AS469" s="33" t="s">
        <v>178</v>
      </c>
      <c r="AT469" s="33" t="s">
        <v>161</v>
      </c>
      <c r="AU469" s="33">
        <v>4</v>
      </c>
      <c r="AW469" s="33" t="s">
        <v>336</v>
      </c>
      <c r="AY469" s="33">
        <f>(6.5+1.7)*1000</f>
        <v>8200</v>
      </c>
      <c r="AZ469" s="33">
        <f t="shared" ref="AZ469" si="89">AY469/(205+53)</f>
        <v>31.782945736434108</v>
      </c>
      <c r="BA469" s="54" t="s">
        <v>409</v>
      </c>
      <c r="BM469" s="402"/>
      <c r="BN469" s="402"/>
      <c r="BR469" s="402"/>
      <c r="BS469" s="402"/>
      <c r="BW469" s="33">
        <v>5.5469999999999997</v>
      </c>
      <c r="BX469" s="33">
        <v>6.77</v>
      </c>
      <c r="CA469" s="33" t="s">
        <v>407</v>
      </c>
      <c r="GM469" s="12"/>
      <c r="GQ469" s="12"/>
      <c r="IO469" s="33" t="s">
        <v>410</v>
      </c>
      <c r="IP469" s="33" t="s">
        <v>715</v>
      </c>
    </row>
    <row r="470" spans="1:250" s="33" customFormat="1" x14ac:dyDescent="0.25">
      <c r="A470" s="33">
        <v>26</v>
      </c>
      <c r="B470" s="33" t="s">
        <v>392</v>
      </c>
      <c r="C470" s="33" t="s">
        <v>393</v>
      </c>
      <c r="D470" s="33">
        <v>2015</v>
      </c>
      <c r="E470" s="33">
        <v>2012</v>
      </c>
      <c r="F470" s="33" t="s">
        <v>297</v>
      </c>
      <c r="G470" s="33" t="s">
        <v>394</v>
      </c>
      <c r="H470" s="32" t="s">
        <v>2831</v>
      </c>
      <c r="I470" s="33">
        <f t="shared" si="63"/>
        <v>35.39</v>
      </c>
      <c r="J470" s="33">
        <f t="shared" si="64"/>
        <v>-78.03</v>
      </c>
      <c r="K470" s="33">
        <v>24.3</v>
      </c>
      <c r="Q470" s="47">
        <v>1</v>
      </c>
      <c r="R470" s="47">
        <v>1</v>
      </c>
      <c r="S470" s="47"/>
      <c r="T470" s="47" t="s">
        <v>402</v>
      </c>
      <c r="U470" s="47" t="s">
        <v>1386</v>
      </c>
      <c r="V470" s="47" t="s">
        <v>1724</v>
      </c>
      <c r="W470" s="47" t="s">
        <v>1386</v>
      </c>
      <c r="X470" s="47" t="s">
        <v>1386</v>
      </c>
      <c r="Z470" s="327"/>
      <c r="AA470" s="327"/>
      <c r="AB470" s="33" t="s">
        <v>176</v>
      </c>
      <c r="AF470" s="33" t="s">
        <v>1328</v>
      </c>
      <c r="AG470" s="33" t="s">
        <v>398</v>
      </c>
      <c r="AH470" s="138" t="s">
        <v>578</v>
      </c>
      <c r="AI470" s="33" t="s">
        <v>133</v>
      </c>
      <c r="AJ470" s="141" t="s">
        <v>133</v>
      </c>
      <c r="AN470" s="33" t="s">
        <v>406</v>
      </c>
      <c r="AO470" s="33" t="s">
        <v>406</v>
      </c>
      <c r="AP470" s="33" t="s">
        <v>178</v>
      </c>
      <c r="AQ470" s="33">
        <v>0</v>
      </c>
      <c r="AR470" s="33">
        <v>0</v>
      </c>
      <c r="AS470" s="33" t="s">
        <v>178</v>
      </c>
      <c r="AT470" s="33" t="s">
        <v>161</v>
      </c>
      <c r="AU470" s="33">
        <v>4</v>
      </c>
      <c r="AW470" s="33" t="s">
        <v>336</v>
      </c>
      <c r="AY470" s="33">
        <f>(9.6+2.8)*1000</f>
        <v>12399.999999999998</v>
      </c>
      <c r="AZ470" s="33">
        <f t="shared" ref="AZ470" si="90">AY470/(256+66)</f>
        <v>38.509316770186331</v>
      </c>
      <c r="BA470" s="54" t="s">
        <v>409</v>
      </c>
      <c r="BM470" s="402"/>
      <c r="BN470" s="402"/>
      <c r="BR470" s="402"/>
      <c r="BS470" s="402"/>
      <c r="BW470" s="33">
        <v>5.5469999999999997</v>
      </c>
      <c r="BX470" s="33">
        <v>6.77</v>
      </c>
      <c r="CA470" s="33" t="s">
        <v>407</v>
      </c>
      <c r="GM470" s="12"/>
      <c r="GQ470" s="12"/>
      <c r="IO470" s="33" t="s">
        <v>410</v>
      </c>
      <c r="IP470" s="33" t="s">
        <v>715</v>
      </c>
    </row>
    <row r="471" spans="1:250" s="33" customFormat="1" x14ac:dyDescent="0.25">
      <c r="A471" s="33">
        <v>26</v>
      </c>
      <c r="B471" s="33" t="s">
        <v>392</v>
      </c>
      <c r="C471" s="33" t="s">
        <v>393</v>
      </c>
      <c r="D471" s="33">
        <v>2015</v>
      </c>
      <c r="E471" s="33">
        <v>2012</v>
      </c>
      <c r="F471" s="33" t="s">
        <v>297</v>
      </c>
      <c r="G471" s="33" t="s">
        <v>394</v>
      </c>
      <c r="H471" s="32" t="s">
        <v>2831</v>
      </c>
      <c r="I471" s="33">
        <f t="shared" si="63"/>
        <v>35.39</v>
      </c>
      <c r="J471" s="33">
        <f t="shared" si="64"/>
        <v>-78.03</v>
      </c>
      <c r="K471" s="33">
        <v>24.3</v>
      </c>
      <c r="Q471" s="47">
        <v>1</v>
      </c>
      <c r="R471" s="47">
        <v>1</v>
      </c>
      <c r="S471" s="47"/>
      <c r="T471" s="47" t="s">
        <v>402</v>
      </c>
      <c r="U471" s="47" t="s">
        <v>1386</v>
      </c>
      <c r="V471" s="47" t="s">
        <v>1724</v>
      </c>
      <c r="W471" s="47" t="s">
        <v>1386</v>
      </c>
      <c r="X471" s="47" t="s">
        <v>1386</v>
      </c>
      <c r="Z471" s="327"/>
      <c r="AA471" s="327"/>
      <c r="AB471" s="33" t="s">
        <v>176</v>
      </c>
      <c r="AF471" s="33" t="s">
        <v>1328</v>
      </c>
      <c r="AG471" s="33" t="s">
        <v>244</v>
      </c>
      <c r="AH471" s="138" t="s">
        <v>578</v>
      </c>
      <c r="AI471" s="33" t="s">
        <v>133</v>
      </c>
      <c r="AJ471" s="141" t="s">
        <v>133</v>
      </c>
      <c r="AN471" s="33" t="s">
        <v>406</v>
      </c>
      <c r="AO471" s="33" t="s">
        <v>406</v>
      </c>
      <c r="AP471" s="33" t="s">
        <v>178</v>
      </c>
      <c r="AQ471" s="33">
        <v>0</v>
      </c>
      <c r="AR471" s="33">
        <v>0</v>
      </c>
      <c r="AS471" s="33" t="s">
        <v>178</v>
      </c>
      <c r="AT471" s="33" t="s">
        <v>161</v>
      </c>
      <c r="AU471" s="33">
        <v>4</v>
      </c>
      <c r="AW471" s="33" t="s">
        <v>336</v>
      </c>
      <c r="AY471" s="33">
        <f>(8.7+2.5)*1000</f>
        <v>11200</v>
      </c>
      <c r="AZ471" s="33">
        <f t="shared" ref="AZ471" si="91">AY471/(288+71)</f>
        <v>31.197771587743734</v>
      </c>
      <c r="BA471" s="54" t="s">
        <v>409</v>
      </c>
      <c r="BM471" s="402"/>
      <c r="BN471" s="402"/>
      <c r="BR471" s="402"/>
      <c r="BS471" s="402"/>
      <c r="BW471" s="33">
        <v>5.5469999999999997</v>
      </c>
      <c r="BX471" s="33">
        <v>6.77</v>
      </c>
      <c r="CA471" s="33" t="s">
        <v>407</v>
      </c>
      <c r="GM471" s="12"/>
      <c r="GQ471" s="12"/>
      <c r="IO471" s="33" t="s">
        <v>410</v>
      </c>
      <c r="IP471" s="33" t="s">
        <v>715</v>
      </c>
    </row>
    <row r="472" spans="1:250" s="33" customFormat="1" x14ac:dyDescent="0.25">
      <c r="A472" s="33">
        <v>26</v>
      </c>
      <c r="B472" s="33" t="s">
        <v>392</v>
      </c>
      <c r="C472" s="33" t="s">
        <v>393</v>
      </c>
      <c r="D472" s="33">
        <v>2015</v>
      </c>
      <c r="E472" s="33">
        <v>2012</v>
      </c>
      <c r="F472" s="33" t="s">
        <v>297</v>
      </c>
      <c r="G472" s="33" t="s">
        <v>394</v>
      </c>
      <c r="H472" s="32" t="s">
        <v>2831</v>
      </c>
      <c r="I472" s="33">
        <f t="shared" si="63"/>
        <v>35.39</v>
      </c>
      <c r="J472" s="33">
        <f t="shared" si="64"/>
        <v>-78.03</v>
      </c>
      <c r="K472" s="33">
        <v>24.3</v>
      </c>
      <c r="Q472" s="47">
        <v>1</v>
      </c>
      <c r="R472" s="47">
        <v>1</v>
      </c>
      <c r="S472" s="47"/>
      <c r="T472" s="47" t="s">
        <v>403</v>
      </c>
      <c r="U472" s="47" t="s">
        <v>1386</v>
      </c>
      <c r="V472" s="47" t="s">
        <v>1724</v>
      </c>
      <c r="W472" s="47" t="s">
        <v>1386</v>
      </c>
      <c r="X472" s="47" t="s">
        <v>1386</v>
      </c>
      <c r="Z472" s="327"/>
      <c r="AA472" s="327"/>
      <c r="AB472" s="33" t="s">
        <v>176</v>
      </c>
      <c r="AF472" s="33" t="s">
        <v>1328</v>
      </c>
      <c r="AG472" s="33" t="s">
        <v>397</v>
      </c>
      <c r="AH472" s="138" t="s">
        <v>578</v>
      </c>
      <c r="AI472" s="33" t="s">
        <v>133</v>
      </c>
      <c r="AJ472" s="141" t="s">
        <v>133</v>
      </c>
      <c r="AN472" s="33" t="s">
        <v>406</v>
      </c>
      <c r="AO472" s="33" t="s">
        <v>406</v>
      </c>
      <c r="AP472" s="33" t="s">
        <v>178</v>
      </c>
      <c r="AQ472" s="33">
        <v>0</v>
      </c>
      <c r="AR472" s="33">
        <v>0</v>
      </c>
      <c r="AS472" s="33" t="s">
        <v>178</v>
      </c>
      <c r="AT472" s="33" t="s">
        <v>161</v>
      </c>
      <c r="AU472" s="33">
        <v>4</v>
      </c>
      <c r="AW472" s="33" t="s">
        <v>336</v>
      </c>
      <c r="AY472" s="33">
        <f>(6.5+1.7)*1000</f>
        <v>8200</v>
      </c>
      <c r="AZ472" s="33">
        <f t="shared" ref="AZ472" si="92">AY472/(205+53)</f>
        <v>31.782945736434108</v>
      </c>
      <c r="BA472" s="54" t="s">
        <v>409</v>
      </c>
      <c r="BM472" s="402"/>
      <c r="BN472" s="402"/>
      <c r="BR472" s="402"/>
      <c r="BS472" s="402"/>
      <c r="BW472" s="33">
        <v>7.7489999999999997</v>
      </c>
      <c r="BX472" s="33">
        <v>5.71</v>
      </c>
      <c r="CA472" s="33" t="s">
        <v>407</v>
      </c>
      <c r="GM472" s="12"/>
      <c r="GQ472" s="12"/>
      <c r="IO472" s="33" t="s">
        <v>410</v>
      </c>
      <c r="IP472" s="33" t="s">
        <v>715</v>
      </c>
    </row>
    <row r="473" spans="1:250" s="33" customFormat="1" x14ac:dyDescent="0.25">
      <c r="A473" s="33">
        <v>26</v>
      </c>
      <c r="B473" s="33" t="s">
        <v>392</v>
      </c>
      <c r="C473" s="33" t="s">
        <v>393</v>
      </c>
      <c r="D473" s="33">
        <v>2015</v>
      </c>
      <c r="E473" s="33">
        <v>2012</v>
      </c>
      <c r="F473" s="33" t="s">
        <v>297</v>
      </c>
      <c r="G473" s="33" t="s">
        <v>394</v>
      </c>
      <c r="H473" s="32" t="s">
        <v>2831</v>
      </c>
      <c r="I473" s="33">
        <f t="shared" si="63"/>
        <v>35.39</v>
      </c>
      <c r="J473" s="33">
        <f t="shared" si="64"/>
        <v>-78.03</v>
      </c>
      <c r="K473" s="33">
        <v>24.3</v>
      </c>
      <c r="Q473" s="47">
        <v>1</v>
      </c>
      <c r="R473" s="47">
        <v>1</v>
      </c>
      <c r="S473" s="47"/>
      <c r="T473" s="47" t="s">
        <v>403</v>
      </c>
      <c r="U473" s="47" t="s">
        <v>1386</v>
      </c>
      <c r="V473" s="47" t="s">
        <v>1724</v>
      </c>
      <c r="W473" s="47" t="s">
        <v>1386</v>
      </c>
      <c r="X473" s="47" t="s">
        <v>1386</v>
      </c>
      <c r="Z473" s="327"/>
      <c r="AA473" s="327"/>
      <c r="AB473" s="33" t="s">
        <v>176</v>
      </c>
      <c r="AF473" s="33" t="s">
        <v>1328</v>
      </c>
      <c r="AG473" s="33" t="s">
        <v>398</v>
      </c>
      <c r="AH473" s="138" t="s">
        <v>578</v>
      </c>
      <c r="AI473" s="33" t="s">
        <v>133</v>
      </c>
      <c r="AJ473" s="141" t="s">
        <v>133</v>
      </c>
      <c r="AN473" s="33" t="s">
        <v>406</v>
      </c>
      <c r="AO473" s="33" t="s">
        <v>406</v>
      </c>
      <c r="AP473" s="33" t="s">
        <v>178</v>
      </c>
      <c r="AQ473" s="33">
        <v>0</v>
      </c>
      <c r="AR473" s="33">
        <v>0</v>
      </c>
      <c r="AS473" s="33" t="s">
        <v>178</v>
      </c>
      <c r="AT473" s="33" t="s">
        <v>161</v>
      </c>
      <c r="AU473" s="33">
        <v>4</v>
      </c>
      <c r="AW473" s="33" t="s">
        <v>336</v>
      </c>
      <c r="AY473" s="33">
        <f>(9.6+2.8)*1000</f>
        <v>12399.999999999998</v>
      </c>
      <c r="AZ473" s="33">
        <f t="shared" ref="AZ473" si="93">AY473/(256+66)</f>
        <v>38.509316770186331</v>
      </c>
      <c r="BA473" s="54" t="s">
        <v>409</v>
      </c>
      <c r="BM473" s="402"/>
      <c r="BN473" s="402"/>
      <c r="BR473" s="402"/>
      <c r="BS473" s="402"/>
      <c r="BW473" s="33">
        <v>7.7489999999999997</v>
      </c>
      <c r="BX473" s="33">
        <v>4.4000000000000004</v>
      </c>
      <c r="CA473" s="33" t="s">
        <v>407</v>
      </c>
      <c r="GM473" s="12"/>
      <c r="GQ473" s="12"/>
      <c r="IO473" s="33" t="s">
        <v>410</v>
      </c>
      <c r="IP473" s="33" t="s">
        <v>715</v>
      </c>
    </row>
    <row r="474" spans="1:250" s="33" customFormat="1" x14ac:dyDescent="0.25">
      <c r="A474" s="33">
        <v>26</v>
      </c>
      <c r="B474" s="33" t="s">
        <v>392</v>
      </c>
      <c r="C474" s="33" t="s">
        <v>393</v>
      </c>
      <c r="D474" s="33">
        <v>2015</v>
      </c>
      <c r="E474" s="33">
        <v>2012</v>
      </c>
      <c r="F474" s="33" t="s">
        <v>297</v>
      </c>
      <c r="G474" s="33" t="s">
        <v>394</v>
      </c>
      <c r="H474" s="32" t="s">
        <v>2831</v>
      </c>
      <c r="I474" s="33">
        <f t="shared" si="63"/>
        <v>35.39</v>
      </c>
      <c r="J474" s="33">
        <f t="shared" si="64"/>
        <v>-78.03</v>
      </c>
      <c r="K474" s="33">
        <v>24.3</v>
      </c>
      <c r="Q474" s="47">
        <v>1</v>
      </c>
      <c r="R474" s="47">
        <v>1</v>
      </c>
      <c r="S474" s="47"/>
      <c r="T474" s="47" t="s">
        <v>403</v>
      </c>
      <c r="U474" s="47" t="s">
        <v>1386</v>
      </c>
      <c r="V474" s="47" t="s">
        <v>1724</v>
      </c>
      <c r="W474" s="47" t="s">
        <v>1386</v>
      </c>
      <c r="X474" s="47" t="s">
        <v>1386</v>
      </c>
      <c r="Z474" s="327"/>
      <c r="AA474" s="327"/>
      <c r="AB474" s="33" t="s">
        <v>176</v>
      </c>
      <c r="AF474" s="33" t="s">
        <v>1328</v>
      </c>
      <c r="AG474" s="33" t="s">
        <v>244</v>
      </c>
      <c r="AH474" s="138" t="s">
        <v>578</v>
      </c>
      <c r="AI474" s="33" t="s">
        <v>133</v>
      </c>
      <c r="AJ474" s="141" t="s">
        <v>133</v>
      </c>
      <c r="AN474" s="33" t="s">
        <v>406</v>
      </c>
      <c r="AO474" s="33" t="s">
        <v>406</v>
      </c>
      <c r="AP474" s="33" t="s">
        <v>178</v>
      </c>
      <c r="AQ474" s="33">
        <v>0</v>
      </c>
      <c r="AR474" s="33">
        <v>0</v>
      </c>
      <c r="AS474" s="33" t="s">
        <v>178</v>
      </c>
      <c r="AT474" s="33" t="s">
        <v>161</v>
      </c>
      <c r="AU474" s="33">
        <v>4</v>
      </c>
      <c r="AW474" s="33" t="s">
        <v>336</v>
      </c>
      <c r="AY474" s="33">
        <f>(8.7+2.5)*1000</f>
        <v>11200</v>
      </c>
      <c r="AZ474" s="33">
        <f t="shared" ref="AZ474" si="94">AY474/(288+71)</f>
        <v>31.197771587743734</v>
      </c>
      <c r="BA474" s="54" t="s">
        <v>409</v>
      </c>
      <c r="BM474" s="402"/>
      <c r="BN474" s="402"/>
      <c r="BR474" s="402"/>
      <c r="BS474" s="402"/>
      <c r="BW474" s="33">
        <v>7.7489999999999997</v>
      </c>
      <c r="BX474" s="33">
        <v>5.7</v>
      </c>
      <c r="CA474" s="33" t="s">
        <v>407</v>
      </c>
      <c r="GM474" s="12"/>
      <c r="GQ474" s="12"/>
      <c r="IO474" s="33" t="s">
        <v>410</v>
      </c>
      <c r="IP474" s="33" t="s">
        <v>715</v>
      </c>
    </row>
    <row r="475" spans="1:250" s="33" customFormat="1" x14ac:dyDescent="0.25">
      <c r="A475" s="33">
        <v>26</v>
      </c>
      <c r="B475" s="33" t="s">
        <v>392</v>
      </c>
      <c r="C475" s="33" t="s">
        <v>393</v>
      </c>
      <c r="D475" s="33">
        <v>2015</v>
      </c>
      <c r="E475" s="33">
        <v>2012</v>
      </c>
      <c r="F475" s="33" t="s">
        <v>297</v>
      </c>
      <c r="G475" s="33" t="s">
        <v>394</v>
      </c>
      <c r="H475" s="32" t="s">
        <v>2831</v>
      </c>
      <c r="I475" s="33">
        <f t="shared" si="63"/>
        <v>35.39</v>
      </c>
      <c r="J475" s="33">
        <f t="shared" si="64"/>
        <v>-78.03</v>
      </c>
      <c r="K475" s="33">
        <v>24.3</v>
      </c>
      <c r="Q475" s="47">
        <v>1</v>
      </c>
      <c r="R475" s="47">
        <v>1</v>
      </c>
      <c r="S475" s="47"/>
      <c r="T475" s="47" t="s">
        <v>404</v>
      </c>
      <c r="U475" s="47" t="s">
        <v>1386</v>
      </c>
      <c r="V475" s="47" t="s">
        <v>1724</v>
      </c>
      <c r="W475" s="47" t="s">
        <v>1386</v>
      </c>
      <c r="X475" s="47" t="s">
        <v>1386</v>
      </c>
      <c r="Z475" s="327"/>
      <c r="AA475" s="327"/>
      <c r="AB475" s="33" t="s">
        <v>176</v>
      </c>
      <c r="AF475" s="33" t="s">
        <v>1328</v>
      </c>
      <c r="AG475" s="33" t="s">
        <v>397</v>
      </c>
      <c r="AH475" s="138" t="s">
        <v>578</v>
      </c>
      <c r="AI475" s="33" t="s">
        <v>133</v>
      </c>
      <c r="AJ475" s="141" t="s">
        <v>133</v>
      </c>
      <c r="AN475" s="33" t="s">
        <v>406</v>
      </c>
      <c r="AO475" s="33" t="s">
        <v>406</v>
      </c>
      <c r="AP475" s="33" t="s">
        <v>178</v>
      </c>
      <c r="AQ475" s="33">
        <v>0</v>
      </c>
      <c r="AR475" s="33">
        <v>0</v>
      </c>
      <c r="AS475" s="33" t="s">
        <v>178</v>
      </c>
      <c r="AT475" s="33" t="s">
        <v>161</v>
      </c>
      <c r="AU475" s="33">
        <v>4</v>
      </c>
      <c r="AW475" s="33" t="s">
        <v>336</v>
      </c>
      <c r="AY475" s="33">
        <f>(6.5+1.7)*1000</f>
        <v>8200</v>
      </c>
      <c r="AZ475" s="33">
        <f t="shared" ref="AZ475" si="95">AY475/(205+53)</f>
        <v>31.782945736434108</v>
      </c>
      <c r="BA475" s="54" t="s">
        <v>409</v>
      </c>
      <c r="BM475" s="402"/>
      <c r="BN475" s="402"/>
      <c r="BR475" s="402"/>
      <c r="BS475" s="402"/>
      <c r="BW475" s="33">
        <v>4.3230000000000004</v>
      </c>
      <c r="BX475" s="33">
        <v>3.18</v>
      </c>
      <c r="CA475" s="33" t="s">
        <v>407</v>
      </c>
      <c r="GM475" s="12"/>
      <c r="GQ475" s="12"/>
      <c r="IO475" s="33" t="s">
        <v>410</v>
      </c>
      <c r="IP475" s="33" t="s">
        <v>715</v>
      </c>
    </row>
    <row r="476" spans="1:250" s="33" customFormat="1" x14ac:dyDescent="0.25">
      <c r="A476" s="33">
        <v>26</v>
      </c>
      <c r="B476" s="33" t="s">
        <v>392</v>
      </c>
      <c r="C476" s="33" t="s">
        <v>393</v>
      </c>
      <c r="D476" s="33">
        <v>2015</v>
      </c>
      <c r="E476" s="33">
        <v>2012</v>
      </c>
      <c r="F476" s="33" t="s">
        <v>297</v>
      </c>
      <c r="G476" s="33" t="s">
        <v>394</v>
      </c>
      <c r="H476" s="32" t="s">
        <v>2831</v>
      </c>
      <c r="I476" s="33">
        <f t="shared" si="63"/>
        <v>35.39</v>
      </c>
      <c r="J476" s="33">
        <f t="shared" si="64"/>
        <v>-78.03</v>
      </c>
      <c r="K476" s="33">
        <v>24.3</v>
      </c>
      <c r="Q476" s="47">
        <v>1</v>
      </c>
      <c r="R476" s="47">
        <v>1</v>
      </c>
      <c r="S476" s="47"/>
      <c r="T476" s="47" t="s">
        <v>404</v>
      </c>
      <c r="U476" s="47" t="s">
        <v>1386</v>
      </c>
      <c r="V476" s="47" t="s">
        <v>1724</v>
      </c>
      <c r="W476" s="47" t="s">
        <v>1386</v>
      </c>
      <c r="X476" s="47" t="s">
        <v>1386</v>
      </c>
      <c r="Z476" s="327"/>
      <c r="AA476" s="327"/>
      <c r="AB476" s="33" t="s">
        <v>176</v>
      </c>
      <c r="AF476" s="33" t="s">
        <v>1328</v>
      </c>
      <c r="AG476" s="33" t="s">
        <v>398</v>
      </c>
      <c r="AH476" s="138" t="s">
        <v>578</v>
      </c>
      <c r="AI476" s="33" t="s">
        <v>133</v>
      </c>
      <c r="AJ476" s="141" t="s">
        <v>133</v>
      </c>
      <c r="AN476" s="33" t="s">
        <v>406</v>
      </c>
      <c r="AO476" s="33" t="s">
        <v>406</v>
      </c>
      <c r="AP476" s="33" t="s">
        <v>178</v>
      </c>
      <c r="AQ476" s="33">
        <v>0</v>
      </c>
      <c r="AR476" s="33">
        <v>0</v>
      </c>
      <c r="AS476" s="33" t="s">
        <v>178</v>
      </c>
      <c r="AT476" s="33" t="s">
        <v>161</v>
      </c>
      <c r="AU476" s="33">
        <v>4</v>
      </c>
      <c r="AW476" s="33" t="s">
        <v>336</v>
      </c>
      <c r="AY476" s="33">
        <f>(9.6+2.8)*1000</f>
        <v>12399.999999999998</v>
      </c>
      <c r="AZ476" s="33">
        <f t="shared" ref="AZ476" si="96">AY476/(256+66)</f>
        <v>38.509316770186331</v>
      </c>
      <c r="BA476" s="54" t="s">
        <v>409</v>
      </c>
      <c r="BM476" s="402"/>
      <c r="BN476" s="402"/>
      <c r="BR476" s="402"/>
      <c r="BS476" s="402"/>
      <c r="BW476" s="33">
        <v>4.3230000000000004</v>
      </c>
      <c r="BX476" s="33">
        <v>4.2</v>
      </c>
      <c r="CA476" s="33" t="s">
        <v>407</v>
      </c>
      <c r="GM476" s="12"/>
      <c r="GQ476" s="12"/>
      <c r="IO476" s="33" t="s">
        <v>410</v>
      </c>
      <c r="IP476" s="33" t="s">
        <v>715</v>
      </c>
    </row>
    <row r="477" spans="1:250" s="33" customFormat="1" x14ac:dyDescent="0.25">
      <c r="A477" s="33">
        <v>26</v>
      </c>
      <c r="B477" s="33" t="s">
        <v>392</v>
      </c>
      <c r="C477" s="33" t="s">
        <v>393</v>
      </c>
      <c r="D477" s="33">
        <v>2015</v>
      </c>
      <c r="E477" s="33">
        <v>2012</v>
      </c>
      <c r="F477" s="33" t="s">
        <v>297</v>
      </c>
      <c r="G477" s="33" t="s">
        <v>394</v>
      </c>
      <c r="H477" s="32" t="s">
        <v>2831</v>
      </c>
      <c r="I477" s="33">
        <f t="shared" si="63"/>
        <v>35.39</v>
      </c>
      <c r="J477" s="33">
        <f t="shared" si="64"/>
        <v>-78.03</v>
      </c>
      <c r="K477" s="33">
        <v>24.3</v>
      </c>
      <c r="Q477" s="47">
        <v>1</v>
      </c>
      <c r="R477" s="47">
        <v>1</v>
      </c>
      <c r="S477" s="47"/>
      <c r="T477" s="47" t="s">
        <v>404</v>
      </c>
      <c r="U477" s="47" t="s">
        <v>1386</v>
      </c>
      <c r="V477" s="47" t="s">
        <v>1724</v>
      </c>
      <c r="W477" s="47" t="s">
        <v>1386</v>
      </c>
      <c r="X477" s="47" t="s">
        <v>1386</v>
      </c>
      <c r="Z477" s="327"/>
      <c r="AA477" s="327"/>
      <c r="AB477" s="33" t="s">
        <v>176</v>
      </c>
      <c r="AF477" s="33" t="s">
        <v>1328</v>
      </c>
      <c r="AG477" s="33" t="s">
        <v>244</v>
      </c>
      <c r="AH477" s="138" t="s">
        <v>578</v>
      </c>
      <c r="AI477" s="33" t="s">
        <v>133</v>
      </c>
      <c r="AJ477" s="141" t="s">
        <v>133</v>
      </c>
      <c r="AN477" s="33" t="s">
        <v>406</v>
      </c>
      <c r="AO477" s="33" t="s">
        <v>406</v>
      </c>
      <c r="AP477" s="33" t="s">
        <v>178</v>
      </c>
      <c r="AQ477" s="33">
        <v>0</v>
      </c>
      <c r="AR477" s="33">
        <v>0</v>
      </c>
      <c r="AS477" s="33" t="s">
        <v>178</v>
      </c>
      <c r="AT477" s="33" t="s">
        <v>161</v>
      </c>
      <c r="AU477" s="33">
        <v>4</v>
      </c>
      <c r="AW477" s="33" t="s">
        <v>336</v>
      </c>
      <c r="AY477" s="33">
        <f>(8.7+2.5)*1000</f>
        <v>11200</v>
      </c>
      <c r="AZ477" s="33">
        <f t="shared" ref="AZ477" si="97">AY477/(288+71)</f>
        <v>31.197771587743734</v>
      </c>
      <c r="BA477" s="54" t="s">
        <v>409</v>
      </c>
      <c r="BM477" s="402"/>
      <c r="BN477" s="402"/>
      <c r="BR477" s="402"/>
      <c r="BS477" s="402"/>
      <c r="BW477" s="33">
        <v>4.3230000000000004</v>
      </c>
      <c r="BX477" s="33">
        <v>3.18</v>
      </c>
      <c r="CA477" s="33" t="s">
        <v>407</v>
      </c>
      <c r="GM477" s="12"/>
      <c r="GQ477" s="12"/>
      <c r="IO477" s="33" t="s">
        <v>410</v>
      </c>
      <c r="IP477" s="33" t="s">
        <v>715</v>
      </c>
    </row>
    <row r="478" spans="1:250" s="33" customFormat="1" x14ac:dyDescent="0.25">
      <c r="A478" s="33">
        <v>26</v>
      </c>
      <c r="B478" s="33" t="s">
        <v>392</v>
      </c>
      <c r="C478" s="33" t="s">
        <v>393</v>
      </c>
      <c r="D478" s="33">
        <v>2015</v>
      </c>
      <c r="E478" s="33">
        <v>2012</v>
      </c>
      <c r="F478" s="33" t="s">
        <v>297</v>
      </c>
      <c r="G478" s="33" t="s">
        <v>394</v>
      </c>
      <c r="H478" s="32" t="s">
        <v>2831</v>
      </c>
      <c r="I478" s="33">
        <f t="shared" si="63"/>
        <v>35.39</v>
      </c>
      <c r="J478" s="33">
        <f t="shared" si="64"/>
        <v>-78.03</v>
      </c>
      <c r="K478" s="33">
        <v>24.3</v>
      </c>
      <c r="Q478" s="47">
        <v>1</v>
      </c>
      <c r="R478" s="47">
        <v>1</v>
      </c>
      <c r="S478" s="47"/>
      <c r="T478" s="47" t="s">
        <v>405</v>
      </c>
      <c r="U478" s="47" t="s">
        <v>1386</v>
      </c>
      <c r="V478" s="47" t="s">
        <v>1724</v>
      </c>
      <c r="W478" s="47" t="s">
        <v>1386</v>
      </c>
      <c r="X478" s="47" t="s">
        <v>1386</v>
      </c>
      <c r="Z478" s="327"/>
      <c r="AA478" s="327"/>
      <c r="AB478" s="33" t="s">
        <v>176</v>
      </c>
      <c r="AF478" s="33" t="s">
        <v>1328</v>
      </c>
      <c r="AG478" s="33" t="s">
        <v>397</v>
      </c>
      <c r="AH478" s="138" t="s">
        <v>578</v>
      </c>
      <c r="AI478" s="33" t="s">
        <v>133</v>
      </c>
      <c r="AJ478" s="141" t="s">
        <v>133</v>
      </c>
      <c r="AN478" s="33" t="s">
        <v>406</v>
      </c>
      <c r="AO478" s="33" t="s">
        <v>406</v>
      </c>
      <c r="AP478" s="33" t="s">
        <v>178</v>
      </c>
      <c r="AQ478" s="33">
        <v>0</v>
      </c>
      <c r="AR478" s="33">
        <v>0</v>
      </c>
      <c r="AS478" s="33" t="s">
        <v>178</v>
      </c>
      <c r="AT478" s="33" t="s">
        <v>161</v>
      </c>
      <c r="AU478" s="33">
        <v>4</v>
      </c>
      <c r="AW478" s="33" t="s">
        <v>336</v>
      </c>
      <c r="AY478" s="33">
        <f>(6.5+1.7)*1000</f>
        <v>8200</v>
      </c>
      <c r="AZ478" s="33">
        <f t="shared" ref="AZ478" si="98">AY478/(205+53)</f>
        <v>31.782945736434108</v>
      </c>
      <c r="BA478" s="54" t="s">
        <v>409</v>
      </c>
      <c r="BM478" s="402"/>
      <c r="BN478" s="402"/>
      <c r="BR478" s="402"/>
      <c r="BS478" s="402"/>
      <c r="BW478" s="33">
        <v>4.16</v>
      </c>
      <c r="BX478" s="33">
        <v>3.1</v>
      </c>
      <c r="CA478" s="33" t="s">
        <v>407</v>
      </c>
      <c r="GM478" s="12"/>
      <c r="GQ478" s="12"/>
      <c r="IO478" s="33" t="s">
        <v>410</v>
      </c>
      <c r="IP478" s="33" t="s">
        <v>715</v>
      </c>
    </row>
    <row r="479" spans="1:250" s="33" customFormat="1" x14ac:dyDescent="0.25">
      <c r="A479" s="33">
        <v>26</v>
      </c>
      <c r="B479" s="33" t="s">
        <v>392</v>
      </c>
      <c r="C479" s="33" t="s">
        <v>393</v>
      </c>
      <c r="D479" s="33">
        <v>2015</v>
      </c>
      <c r="E479" s="33">
        <v>2012</v>
      </c>
      <c r="F479" s="33" t="s">
        <v>297</v>
      </c>
      <c r="G479" s="33" t="s">
        <v>394</v>
      </c>
      <c r="H479" s="32" t="s">
        <v>2831</v>
      </c>
      <c r="I479" s="33">
        <f t="shared" si="63"/>
        <v>35.39</v>
      </c>
      <c r="J479" s="33">
        <f t="shared" si="64"/>
        <v>-78.03</v>
      </c>
      <c r="K479" s="33">
        <v>24.3</v>
      </c>
      <c r="Q479" s="47">
        <v>1</v>
      </c>
      <c r="R479" s="47">
        <v>1</v>
      </c>
      <c r="S479" s="47"/>
      <c r="T479" s="47" t="s">
        <v>405</v>
      </c>
      <c r="U479" s="47" t="s">
        <v>1386</v>
      </c>
      <c r="V479" s="47" t="s">
        <v>1724</v>
      </c>
      <c r="W479" s="47" t="s">
        <v>1386</v>
      </c>
      <c r="X479" s="47" t="s">
        <v>1386</v>
      </c>
      <c r="Z479" s="327"/>
      <c r="AA479" s="327"/>
      <c r="AB479" s="33" t="s">
        <v>176</v>
      </c>
      <c r="AF479" s="33" t="s">
        <v>1328</v>
      </c>
      <c r="AG479" s="33" t="s">
        <v>398</v>
      </c>
      <c r="AH479" s="138" t="s">
        <v>578</v>
      </c>
      <c r="AI479" s="33" t="s">
        <v>133</v>
      </c>
      <c r="AJ479" s="141" t="s">
        <v>133</v>
      </c>
      <c r="AN479" s="33" t="s">
        <v>406</v>
      </c>
      <c r="AO479" s="33" t="s">
        <v>406</v>
      </c>
      <c r="AP479" s="33" t="s">
        <v>178</v>
      </c>
      <c r="AQ479" s="33">
        <v>0</v>
      </c>
      <c r="AR479" s="33">
        <v>0</v>
      </c>
      <c r="AS479" s="33" t="s">
        <v>178</v>
      </c>
      <c r="AT479" s="33" t="s">
        <v>161</v>
      </c>
      <c r="AU479" s="33">
        <v>4</v>
      </c>
      <c r="AW479" s="33" t="s">
        <v>336</v>
      </c>
      <c r="AY479" s="33">
        <f>(9.6+2.8)*1000</f>
        <v>12399.999999999998</v>
      </c>
      <c r="AZ479" s="33">
        <f t="shared" ref="AZ479" si="99">AY479/(256+66)</f>
        <v>38.509316770186331</v>
      </c>
      <c r="BA479" s="54" t="s">
        <v>409</v>
      </c>
      <c r="BM479" s="402"/>
      <c r="BN479" s="402"/>
      <c r="BR479" s="402"/>
      <c r="BS479" s="402"/>
      <c r="BW479" s="33">
        <v>4.16</v>
      </c>
      <c r="BX479" s="33">
        <v>5.3</v>
      </c>
      <c r="CA479" s="33" t="s">
        <v>407</v>
      </c>
      <c r="GM479" s="12"/>
      <c r="GQ479" s="12"/>
      <c r="IO479" s="33" t="s">
        <v>410</v>
      </c>
      <c r="IP479" s="33" t="s">
        <v>715</v>
      </c>
    </row>
    <row r="480" spans="1:250" s="33" customFormat="1" x14ac:dyDescent="0.25">
      <c r="A480" s="33">
        <v>26</v>
      </c>
      <c r="B480" s="33" t="s">
        <v>392</v>
      </c>
      <c r="C480" s="33" t="s">
        <v>393</v>
      </c>
      <c r="D480" s="33">
        <v>2015</v>
      </c>
      <c r="E480" s="33">
        <v>2012</v>
      </c>
      <c r="F480" s="33" t="s">
        <v>297</v>
      </c>
      <c r="G480" s="33" t="s">
        <v>394</v>
      </c>
      <c r="H480" s="32" t="s">
        <v>2831</v>
      </c>
      <c r="I480" s="33">
        <f t="shared" si="63"/>
        <v>35.39</v>
      </c>
      <c r="J480" s="33">
        <f t="shared" si="64"/>
        <v>-78.03</v>
      </c>
      <c r="K480" s="33">
        <v>24.3</v>
      </c>
      <c r="Q480" s="47">
        <v>1</v>
      </c>
      <c r="R480" s="47">
        <v>1</v>
      </c>
      <c r="S480" s="47"/>
      <c r="T480" s="47" t="s">
        <v>405</v>
      </c>
      <c r="U480" s="47" t="s">
        <v>1386</v>
      </c>
      <c r="V480" s="47" t="s">
        <v>1724</v>
      </c>
      <c r="W480" s="47" t="s">
        <v>1386</v>
      </c>
      <c r="X480" s="47" t="s">
        <v>1386</v>
      </c>
      <c r="Z480" s="327"/>
      <c r="AA480" s="327"/>
      <c r="AB480" s="33" t="s">
        <v>176</v>
      </c>
      <c r="AF480" s="33" t="s">
        <v>1328</v>
      </c>
      <c r="AG480" s="33" t="s">
        <v>244</v>
      </c>
      <c r="AH480" s="138" t="s">
        <v>578</v>
      </c>
      <c r="AI480" s="33" t="s">
        <v>133</v>
      </c>
      <c r="AJ480" s="141" t="s">
        <v>133</v>
      </c>
      <c r="AN480" s="33" t="s">
        <v>406</v>
      </c>
      <c r="AO480" s="33" t="s">
        <v>406</v>
      </c>
      <c r="AP480" s="33" t="s">
        <v>178</v>
      </c>
      <c r="AQ480" s="33">
        <v>0</v>
      </c>
      <c r="AR480" s="33">
        <v>0</v>
      </c>
      <c r="AS480" s="33" t="s">
        <v>178</v>
      </c>
      <c r="AT480" s="33" t="s">
        <v>161</v>
      </c>
      <c r="AU480" s="33">
        <v>4</v>
      </c>
      <c r="AW480" s="33" t="s">
        <v>336</v>
      </c>
      <c r="AY480" s="33">
        <f>(8.7+2.5)*1000</f>
        <v>11200</v>
      </c>
      <c r="AZ480" s="33">
        <f t="shared" ref="AZ480" si="100">AY480/(288+71)</f>
        <v>31.197771587743734</v>
      </c>
      <c r="BA480" s="54" t="s">
        <v>409</v>
      </c>
      <c r="BM480" s="402"/>
      <c r="BN480" s="402"/>
      <c r="BR480" s="402"/>
      <c r="BS480" s="402"/>
      <c r="BW480" s="33">
        <v>4.16</v>
      </c>
      <c r="BX480" s="33">
        <v>6.3</v>
      </c>
      <c r="CA480" s="33" t="s">
        <v>407</v>
      </c>
      <c r="GM480" s="12"/>
      <c r="GQ480" s="12"/>
      <c r="IO480" s="33" t="s">
        <v>410</v>
      </c>
      <c r="IP480" s="33" t="s">
        <v>715</v>
      </c>
    </row>
    <row r="481" spans="1:250" s="21" customFormat="1" x14ac:dyDescent="0.25">
      <c r="A481" s="21">
        <v>26</v>
      </c>
      <c r="B481" s="21" t="s">
        <v>392</v>
      </c>
      <c r="C481" s="21" t="s">
        <v>393</v>
      </c>
      <c r="D481" s="21">
        <v>2015</v>
      </c>
      <c r="E481" s="21">
        <v>2012</v>
      </c>
      <c r="F481" s="21" t="s">
        <v>297</v>
      </c>
      <c r="G481" s="21" t="s">
        <v>395</v>
      </c>
      <c r="H481" s="32" t="s">
        <v>2831</v>
      </c>
      <c r="I481" s="21">
        <f>35.22</f>
        <v>35.22</v>
      </c>
      <c r="J481" s="21">
        <f>-77.65</f>
        <v>-77.650000000000006</v>
      </c>
      <c r="K481" s="21">
        <v>22.4</v>
      </c>
      <c r="Q481" s="43">
        <v>1</v>
      </c>
      <c r="R481" s="43">
        <v>1</v>
      </c>
      <c r="S481" s="43"/>
      <c r="T481" s="43" t="s">
        <v>399</v>
      </c>
      <c r="U481" s="43" t="s">
        <v>1386</v>
      </c>
      <c r="V481" s="43" t="s">
        <v>1724</v>
      </c>
      <c r="W481" s="43" t="s">
        <v>1386</v>
      </c>
      <c r="X481" s="43" t="s">
        <v>1386</v>
      </c>
      <c r="Z481" s="322"/>
      <c r="AA481" s="322"/>
      <c r="AB481" s="21" t="s">
        <v>140</v>
      </c>
      <c r="AF481" s="21" t="s">
        <v>1328</v>
      </c>
      <c r="AG481" s="21" t="s">
        <v>397</v>
      </c>
      <c r="AH481" s="138" t="s">
        <v>578</v>
      </c>
      <c r="AI481" s="21" t="s">
        <v>133</v>
      </c>
      <c r="AJ481" s="141" t="s">
        <v>133</v>
      </c>
      <c r="AN481" s="21" t="s">
        <v>396</v>
      </c>
      <c r="AO481" s="21" t="s">
        <v>396</v>
      </c>
      <c r="AP481" s="21" t="s">
        <v>178</v>
      </c>
      <c r="AQ481" s="21">
        <v>0</v>
      </c>
      <c r="AR481" s="21">
        <v>0</v>
      </c>
      <c r="AS481" s="21" t="s">
        <v>178</v>
      </c>
      <c r="AT481" s="21" t="s">
        <v>161</v>
      </c>
      <c r="AU481" s="21">
        <v>4</v>
      </c>
      <c r="AW481" s="21" t="s">
        <v>336</v>
      </c>
      <c r="AY481" s="21">
        <f>(6.1+1.6)*1000</f>
        <v>7699.9999999999991</v>
      </c>
      <c r="AZ481" s="21">
        <f>AY481/(170+36)</f>
        <v>37.378640776699022</v>
      </c>
      <c r="BA481" s="54" t="s">
        <v>408</v>
      </c>
      <c r="BM481" s="396"/>
      <c r="BN481" s="396"/>
      <c r="BR481" s="396"/>
      <c r="BS481" s="396"/>
      <c r="BW481" s="21">
        <v>3.83</v>
      </c>
      <c r="BX481" s="21">
        <v>10.109</v>
      </c>
      <c r="CA481" s="21" t="s">
        <v>407</v>
      </c>
      <c r="GM481" s="12"/>
      <c r="GQ481" s="12"/>
      <c r="IO481" s="21" t="s">
        <v>410</v>
      </c>
      <c r="IP481" s="21" t="s">
        <v>715</v>
      </c>
    </row>
    <row r="482" spans="1:250" s="21" customFormat="1" x14ac:dyDescent="0.25">
      <c r="A482" s="21">
        <v>26</v>
      </c>
      <c r="B482" s="21" t="s">
        <v>392</v>
      </c>
      <c r="C482" s="21" t="s">
        <v>393</v>
      </c>
      <c r="D482" s="21">
        <v>2015</v>
      </c>
      <c r="E482" s="21">
        <v>2012</v>
      </c>
      <c r="F482" s="21" t="s">
        <v>297</v>
      </c>
      <c r="G482" s="21" t="s">
        <v>395</v>
      </c>
      <c r="H482" s="32" t="s">
        <v>2831</v>
      </c>
      <c r="I482" s="21">
        <f>35.22</f>
        <v>35.22</v>
      </c>
      <c r="J482" s="21">
        <f>-77.65</f>
        <v>-77.650000000000006</v>
      </c>
      <c r="K482" s="21">
        <v>22.4</v>
      </c>
      <c r="Q482" s="43">
        <v>1</v>
      </c>
      <c r="R482" s="43">
        <v>1</v>
      </c>
      <c r="S482" s="43"/>
      <c r="T482" s="43" t="s">
        <v>399</v>
      </c>
      <c r="U482" s="43" t="s">
        <v>1386</v>
      </c>
      <c r="V482" s="43" t="s">
        <v>1724</v>
      </c>
      <c r="W482" s="43" t="s">
        <v>1386</v>
      </c>
      <c r="X482" s="43" t="s">
        <v>1386</v>
      </c>
      <c r="Z482" s="322"/>
      <c r="AA482" s="322"/>
      <c r="AB482" s="21" t="s">
        <v>140</v>
      </c>
      <c r="AF482" s="21" t="s">
        <v>1328</v>
      </c>
      <c r="AG482" s="21" t="s">
        <v>398</v>
      </c>
      <c r="AH482" s="138" t="s">
        <v>578</v>
      </c>
      <c r="AI482" s="21" t="s">
        <v>133</v>
      </c>
      <c r="AJ482" s="141" t="s">
        <v>133</v>
      </c>
      <c r="AN482" s="21" t="s">
        <v>396</v>
      </c>
      <c r="AO482" s="21" t="s">
        <v>396</v>
      </c>
      <c r="AP482" s="21" t="s">
        <v>178</v>
      </c>
      <c r="AQ482" s="21">
        <v>0</v>
      </c>
      <c r="AR482" s="21">
        <v>0</v>
      </c>
      <c r="AS482" s="21" t="s">
        <v>178</v>
      </c>
      <c r="AT482" s="21" t="s">
        <v>161</v>
      </c>
      <c r="AU482" s="21">
        <v>4</v>
      </c>
      <c r="AW482" s="21" t="s">
        <v>336</v>
      </c>
      <c r="AY482" s="21">
        <f>(6.4+1.9)*1000</f>
        <v>8300</v>
      </c>
      <c r="AZ482" s="21">
        <f>AY482/(110+27)</f>
        <v>60.583941605839414</v>
      </c>
      <c r="BA482" s="54" t="s">
        <v>408</v>
      </c>
      <c r="BM482" s="396"/>
      <c r="BN482" s="396"/>
      <c r="BR482" s="396"/>
      <c r="BS482" s="396"/>
      <c r="BW482" s="21">
        <v>3.83</v>
      </c>
      <c r="BX482" s="21">
        <v>6.032</v>
      </c>
      <c r="CA482" s="21" t="s">
        <v>407</v>
      </c>
      <c r="GM482" s="12"/>
      <c r="GQ482" s="12"/>
      <c r="IO482" s="21" t="s">
        <v>410</v>
      </c>
      <c r="IP482" s="21" t="s">
        <v>715</v>
      </c>
    </row>
    <row r="483" spans="1:250" s="21" customFormat="1" x14ac:dyDescent="0.25">
      <c r="A483" s="21">
        <v>26</v>
      </c>
      <c r="B483" s="21" t="s">
        <v>392</v>
      </c>
      <c r="C483" s="21" t="s">
        <v>393</v>
      </c>
      <c r="D483" s="21">
        <v>2015</v>
      </c>
      <c r="E483" s="21">
        <v>2012</v>
      </c>
      <c r="F483" s="21" t="s">
        <v>297</v>
      </c>
      <c r="G483" s="21" t="s">
        <v>395</v>
      </c>
      <c r="H483" s="32" t="s">
        <v>2831</v>
      </c>
      <c r="I483" s="21">
        <f t="shared" ref="I483:I522" si="101">35.22</f>
        <v>35.22</v>
      </c>
      <c r="J483" s="21">
        <f t="shared" ref="J483:J522" si="102">-77.65</f>
        <v>-77.650000000000006</v>
      </c>
      <c r="K483" s="21">
        <v>22.4</v>
      </c>
      <c r="Q483" s="43">
        <v>1</v>
      </c>
      <c r="R483" s="43">
        <v>1</v>
      </c>
      <c r="S483" s="43"/>
      <c r="T483" s="43" t="s">
        <v>399</v>
      </c>
      <c r="U483" s="43" t="s">
        <v>1386</v>
      </c>
      <c r="V483" s="43" t="s">
        <v>1724</v>
      </c>
      <c r="W483" s="43" t="s">
        <v>1386</v>
      </c>
      <c r="X483" s="43" t="s">
        <v>1386</v>
      </c>
      <c r="Z483" s="322"/>
      <c r="AA483" s="322"/>
      <c r="AB483" s="21" t="s">
        <v>140</v>
      </c>
      <c r="AF483" s="21" t="s">
        <v>1328</v>
      </c>
      <c r="AG483" s="21" t="s">
        <v>244</v>
      </c>
      <c r="AH483" s="138" t="s">
        <v>578</v>
      </c>
      <c r="AI483" s="21" t="s">
        <v>133</v>
      </c>
      <c r="AJ483" s="141" t="s">
        <v>133</v>
      </c>
      <c r="AN483" s="21" t="s">
        <v>396</v>
      </c>
      <c r="AO483" s="21" t="s">
        <v>396</v>
      </c>
      <c r="AP483" s="21" t="s">
        <v>178</v>
      </c>
      <c r="AQ483" s="21">
        <v>0</v>
      </c>
      <c r="AR483" s="21">
        <v>0</v>
      </c>
      <c r="AS483" s="21" t="s">
        <v>178</v>
      </c>
      <c r="AT483" s="21" t="s">
        <v>161</v>
      </c>
      <c r="AU483" s="21">
        <v>4</v>
      </c>
      <c r="AW483" s="21" t="s">
        <v>336</v>
      </c>
      <c r="AY483" s="21">
        <f>(6.5+1.8)*1000</f>
        <v>8300</v>
      </c>
      <c r="AZ483" s="21">
        <f>AY483/(175+47)</f>
        <v>37.387387387387385</v>
      </c>
      <c r="BA483" s="54" t="s">
        <v>408</v>
      </c>
      <c r="BM483" s="396"/>
      <c r="BN483" s="396"/>
      <c r="BR483" s="396"/>
      <c r="BS483" s="396"/>
      <c r="BW483" s="21">
        <v>3.83</v>
      </c>
      <c r="BX483" s="21">
        <v>8.2330000000000005</v>
      </c>
      <c r="CA483" s="21" t="s">
        <v>407</v>
      </c>
      <c r="GM483" s="12"/>
      <c r="GQ483" s="12"/>
      <c r="IO483" s="21" t="s">
        <v>410</v>
      </c>
      <c r="IP483" s="21" t="s">
        <v>715</v>
      </c>
    </row>
    <row r="484" spans="1:250" s="21" customFormat="1" x14ac:dyDescent="0.25">
      <c r="A484" s="21">
        <v>26</v>
      </c>
      <c r="B484" s="21" t="s">
        <v>392</v>
      </c>
      <c r="C484" s="21" t="s">
        <v>393</v>
      </c>
      <c r="D484" s="21">
        <v>2015</v>
      </c>
      <c r="E484" s="21">
        <v>2012</v>
      </c>
      <c r="F484" s="21" t="s">
        <v>297</v>
      </c>
      <c r="G484" s="21" t="s">
        <v>395</v>
      </c>
      <c r="H484" s="32" t="s">
        <v>2831</v>
      </c>
      <c r="I484" s="21">
        <f t="shared" si="101"/>
        <v>35.22</v>
      </c>
      <c r="J484" s="21">
        <f t="shared" si="102"/>
        <v>-77.650000000000006</v>
      </c>
      <c r="K484" s="21">
        <v>22.4</v>
      </c>
      <c r="Q484" s="43">
        <v>1</v>
      </c>
      <c r="R484" s="43">
        <v>1</v>
      </c>
      <c r="S484" s="43"/>
      <c r="T484" s="43" t="s">
        <v>400</v>
      </c>
      <c r="U484" s="43" t="s">
        <v>1386</v>
      </c>
      <c r="V484" s="43" t="s">
        <v>1724</v>
      </c>
      <c r="W484" s="43" t="s">
        <v>1386</v>
      </c>
      <c r="X484" s="43" t="s">
        <v>1386</v>
      </c>
      <c r="Z484" s="322"/>
      <c r="AA484" s="322"/>
      <c r="AB484" s="21" t="s">
        <v>140</v>
      </c>
      <c r="AF484" s="21" t="s">
        <v>1328</v>
      </c>
      <c r="AG484" s="21" t="s">
        <v>397</v>
      </c>
      <c r="AH484" s="138" t="s">
        <v>578</v>
      </c>
      <c r="AI484" s="21" t="s">
        <v>133</v>
      </c>
      <c r="AJ484" s="141" t="s">
        <v>133</v>
      </c>
      <c r="AN484" s="21" t="s">
        <v>396</v>
      </c>
      <c r="AO484" s="21" t="s">
        <v>396</v>
      </c>
      <c r="AP484" s="21" t="s">
        <v>178</v>
      </c>
      <c r="AQ484" s="21">
        <v>0</v>
      </c>
      <c r="AR484" s="21">
        <v>0</v>
      </c>
      <c r="AS484" s="21" t="s">
        <v>178</v>
      </c>
      <c r="AT484" s="21" t="s">
        <v>161</v>
      </c>
      <c r="AU484" s="21">
        <v>4</v>
      </c>
      <c r="AW484" s="21" t="s">
        <v>336</v>
      </c>
      <c r="AY484" s="21">
        <f t="shared" ref="AY484" si="103">(6.1+1.6)*1000</f>
        <v>7699.9999999999991</v>
      </c>
      <c r="AZ484" s="21">
        <f t="shared" ref="AZ484" si="104">AY484/(170+36)</f>
        <v>37.378640776699022</v>
      </c>
      <c r="BA484" s="54" t="s">
        <v>408</v>
      </c>
      <c r="BM484" s="396"/>
      <c r="BN484" s="396"/>
      <c r="BR484" s="396"/>
      <c r="BS484" s="396"/>
      <c r="BW484" s="21">
        <v>2.1880000000000002</v>
      </c>
      <c r="BX484" s="21">
        <v>3.74</v>
      </c>
      <c r="CA484" s="21" t="s">
        <v>407</v>
      </c>
      <c r="GM484" s="12"/>
      <c r="GQ484" s="12"/>
      <c r="IO484" s="21" t="s">
        <v>410</v>
      </c>
      <c r="IP484" s="21" t="s">
        <v>715</v>
      </c>
    </row>
    <row r="485" spans="1:250" s="21" customFormat="1" x14ac:dyDescent="0.25">
      <c r="A485" s="21">
        <v>26</v>
      </c>
      <c r="B485" s="21" t="s">
        <v>392</v>
      </c>
      <c r="C485" s="21" t="s">
        <v>393</v>
      </c>
      <c r="D485" s="21">
        <v>2015</v>
      </c>
      <c r="E485" s="21">
        <v>2012</v>
      </c>
      <c r="F485" s="21" t="s">
        <v>297</v>
      </c>
      <c r="G485" s="21" t="s">
        <v>395</v>
      </c>
      <c r="H485" s="32" t="s">
        <v>2831</v>
      </c>
      <c r="I485" s="21">
        <f t="shared" si="101"/>
        <v>35.22</v>
      </c>
      <c r="J485" s="21">
        <f t="shared" si="102"/>
        <v>-77.650000000000006</v>
      </c>
      <c r="K485" s="21">
        <v>22.4</v>
      </c>
      <c r="Q485" s="43">
        <v>1</v>
      </c>
      <c r="R485" s="43">
        <v>1</v>
      </c>
      <c r="S485" s="43"/>
      <c r="T485" s="43" t="s">
        <v>400</v>
      </c>
      <c r="U485" s="43" t="s">
        <v>1386</v>
      </c>
      <c r="V485" s="43" t="s">
        <v>1724</v>
      </c>
      <c r="W485" s="43" t="s">
        <v>1386</v>
      </c>
      <c r="X485" s="43" t="s">
        <v>1386</v>
      </c>
      <c r="Z485" s="322"/>
      <c r="AA485" s="322"/>
      <c r="AB485" s="21" t="s">
        <v>140</v>
      </c>
      <c r="AF485" s="21" t="s">
        <v>1328</v>
      </c>
      <c r="AG485" s="21" t="s">
        <v>398</v>
      </c>
      <c r="AH485" s="138" t="s">
        <v>578</v>
      </c>
      <c r="AI485" s="21" t="s">
        <v>133</v>
      </c>
      <c r="AJ485" s="141" t="s">
        <v>133</v>
      </c>
      <c r="AN485" s="21" t="s">
        <v>396</v>
      </c>
      <c r="AO485" s="21" t="s">
        <v>396</v>
      </c>
      <c r="AP485" s="21" t="s">
        <v>178</v>
      </c>
      <c r="AQ485" s="21">
        <v>0</v>
      </c>
      <c r="AR485" s="21">
        <v>0</v>
      </c>
      <c r="AS485" s="21" t="s">
        <v>178</v>
      </c>
      <c r="AT485" s="21" t="s">
        <v>161</v>
      </c>
      <c r="AU485" s="21">
        <v>4</v>
      </c>
      <c r="AW485" s="21" t="s">
        <v>336</v>
      </c>
      <c r="AY485" s="21">
        <f t="shared" ref="AY485" si="105">(6.4+1.9)*1000</f>
        <v>8300</v>
      </c>
      <c r="AZ485" s="21">
        <f t="shared" ref="AZ485" si="106">AY485/(110+27)</f>
        <v>60.583941605839414</v>
      </c>
      <c r="BA485" s="54" t="s">
        <v>408</v>
      </c>
      <c r="BM485" s="396"/>
      <c r="BN485" s="396"/>
      <c r="BR485" s="396"/>
      <c r="BS485" s="396"/>
      <c r="BW485" s="21">
        <v>2.1880000000000002</v>
      </c>
      <c r="BX485" s="21">
        <v>3.74</v>
      </c>
      <c r="CA485" s="21" t="s">
        <v>407</v>
      </c>
      <c r="GM485" s="12"/>
      <c r="GQ485" s="12"/>
      <c r="IO485" s="21" t="s">
        <v>410</v>
      </c>
      <c r="IP485" s="21" t="s">
        <v>715</v>
      </c>
    </row>
    <row r="486" spans="1:250" s="21" customFormat="1" x14ac:dyDescent="0.25">
      <c r="A486" s="21">
        <v>26</v>
      </c>
      <c r="B486" s="21" t="s">
        <v>392</v>
      </c>
      <c r="C486" s="21" t="s">
        <v>393</v>
      </c>
      <c r="D486" s="21">
        <v>2015</v>
      </c>
      <c r="E486" s="21">
        <v>2012</v>
      </c>
      <c r="F486" s="21" t="s">
        <v>297</v>
      </c>
      <c r="G486" s="21" t="s">
        <v>395</v>
      </c>
      <c r="H486" s="32" t="s">
        <v>2831</v>
      </c>
      <c r="I486" s="21">
        <f t="shared" si="101"/>
        <v>35.22</v>
      </c>
      <c r="J486" s="21">
        <f t="shared" si="102"/>
        <v>-77.650000000000006</v>
      </c>
      <c r="K486" s="21">
        <v>22.4</v>
      </c>
      <c r="Q486" s="43">
        <v>1</v>
      </c>
      <c r="R486" s="43">
        <v>1</v>
      </c>
      <c r="S486" s="43"/>
      <c r="T486" s="43" t="s">
        <v>400</v>
      </c>
      <c r="U486" s="43" t="s">
        <v>1386</v>
      </c>
      <c r="V486" s="43" t="s">
        <v>1724</v>
      </c>
      <c r="W486" s="43" t="s">
        <v>1386</v>
      </c>
      <c r="X486" s="43" t="s">
        <v>1386</v>
      </c>
      <c r="Z486" s="322"/>
      <c r="AA486" s="322"/>
      <c r="AB486" s="21" t="s">
        <v>140</v>
      </c>
      <c r="AF486" s="21" t="s">
        <v>1328</v>
      </c>
      <c r="AG486" s="21" t="s">
        <v>244</v>
      </c>
      <c r="AH486" s="138" t="s">
        <v>578</v>
      </c>
      <c r="AI486" s="21" t="s">
        <v>133</v>
      </c>
      <c r="AJ486" s="141" t="s">
        <v>133</v>
      </c>
      <c r="AN486" s="21" t="s">
        <v>396</v>
      </c>
      <c r="AO486" s="21" t="s">
        <v>396</v>
      </c>
      <c r="AP486" s="21" t="s">
        <v>178</v>
      </c>
      <c r="AQ486" s="21">
        <v>0</v>
      </c>
      <c r="AR486" s="21">
        <v>0</v>
      </c>
      <c r="AS486" s="21" t="s">
        <v>178</v>
      </c>
      <c r="AT486" s="21" t="s">
        <v>161</v>
      </c>
      <c r="AU486" s="21">
        <v>4</v>
      </c>
      <c r="AW486" s="21" t="s">
        <v>336</v>
      </c>
      <c r="AY486" s="21">
        <f t="shared" ref="AY486" si="107">(6.5+1.8)*1000</f>
        <v>8300</v>
      </c>
      <c r="AZ486" s="21">
        <f t="shared" ref="AZ486" si="108">AY486/(175+47)</f>
        <v>37.387387387387385</v>
      </c>
      <c r="BA486" s="54" t="s">
        <v>408</v>
      </c>
      <c r="BM486" s="396"/>
      <c r="BN486" s="396"/>
      <c r="BR486" s="396"/>
      <c r="BS486" s="396"/>
      <c r="BW486" s="21">
        <v>2.1880000000000002</v>
      </c>
      <c r="BX486" s="21">
        <v>3.74</v>
      </c>
      <c r="CA486" s="21" t="s">
        <v>407</v>
      </c>
      <c r="GM486" s="12"/>
      <c r="GQ486" s="12"/>
      <c r="IO486" s="21" t="s">
        <v>410</v>
      </c>
      <c r="IP486" s="21" t="s">
        <v>715</v>
      </c>
    </row>
    <row r="487" spans="1:250" s="21" customFormat="1" x14ac:dyDescent="0.25">
      <c r="A487" s="21">
        <v>26</v>
      </c>
      <c r="B487" s="21" t="s">
        <v>392</v>
      </c>
      <c r="C487" s="21" t="s">
        <v>393</v>
      </c>
      <c r="D487" s="21">
        <v>2015</v>
      </c>
      <c r="E487" s="21">
        <v>2012</v>
      </c>
      <c r="F487" s="21" t="s">
        <v>297</v>
      </c>
      <c r="G487" s="21" t="s">
        <v>395</v>
      </c>
      <c r="H487" s="32" t="s">
        <v>2831</v>
      </c>
      <c r="I487" s="21">
        <f t="shared" si="101"/>
        <v>35.22</v>
      </c>
      <c r="J487" s="21">
        <f t="shared" si="102"/>
        <v>-77.650000000000006</v>
      </c>
      <c r="K487" s="21">
        <v>22.4</v>
      </c>
      <c r="Q487" s="43">
        <v>1</v>
      </c>
      <c r="R487" s="43">
        <v>1</v>
      </c>
      <c r="S487" s="43"/>
      <c r="T487" s="43" t="s">
        <v>401</v>
      </c>
      <c r="U487" s="43" t="s">
        <v>1386</v>
      </c>
      <c r="V487" s="43" t="s">
        <v>1724</v>
      </c>
      <c r="W487" s="43" t="s">
        <v>1386</v>
      </c>
      <c r="X487" s="43" t="s">
        <v>1386</v>
      </c>
      <c r="Z487" s="322"/>
      <c r="AA487" s="322"/>
      <c r="AB487" s="21" t="s">
        <v>140</v>
      </c>
      <c r="AF487" s="21" t="s">
        <v>1328</v>
      </c>
      <c r="AG487" s="21" t="s">
        <v>397</v>
      </c>
      <c r="AH487" s="138" t="s">
        <v>578</v>
      </c>
      <c r="AI487" s="21" t="s">
        <v>133</v>
      </c>
      <c r="AJ487" s="141" t="s">
        <v>133</v>
      </c>
      <c r="AN487" s="21" t="s">
        <v>396</v>
      </c>
      <c r="AO487" s="21" t="s">
        <v>396</v>
      </c>
      <c r="AP487" s="21" t="s">
        <v>178</v>
      </c>
      <c r="AQ487" s="21">
        <v>0</v>
      </c>
      <c r="AR487" s="21">
        <v>0</v>
      </c>
      <c r="AS487" s="21" t="s">
        <v>178</v>
      </c>
      <c r="AT487" s="21" t="s">
        <v>161</v>
      </c>
      <c r="AU487" s="21">
        <v>4</v>
      </c>
      <c r="AW487" s="21" t="s">
        <v>336</v>
      </c>
      <c r="AY487" s="21">
        <f t="shared" ref="AY487" si="109">(6.1+1.6)*1000</f>
        <v>7699.9999999999991</v>
      </c>
      <c r="AZ487" s="21">
        <f t="shared" ref="AZ487" si="110">AY487/(170+36)</f>
        <v>37.378640776699022</v>
      </c>
      <c r="BA487" s="54" t="s">
        <v>408</v>
      </c>
      <c r="BM487" s="396"/>
      <c r="BN487" s="396"/>
      <c r="BR487" s="396"/>
      <c r="BS487" s="396"/>
      <c r="BW487" s="21">
        <v>3.157</v>
      </c>
      <c r="BX487" s="21">
        <v>3.17</v>
      </c>
      <c r="CA487" s="21" t="s">
        <v>407</v>
      </c>
      <c r="GM487" s="12"/>
      <c r="GQ487" s="12"/>
      <c r="IO487" s="21" t="s">
        <v>410</v>
      </c>
      <c r="IP487" s="21" t="s">
        <v>715</v>
      </c>
    </row>
    <row r="488" spans="1:250" s="21" customFormat="1" x14ac:dyDescent="0.25">
      <c r="A488" s="21">
        <v>26</v>
      </c>
      <c r="B488" s="21" t="s">
        <v>392</v>
      </c>
      <c r="C488" s="21" t="s">
        <v>393</v>
      </c>
      <c r="D488" s="21">
        <v>2015</v>
      </c>
      <c r="E488" s="21">
        <v>2012</v>
      </c>
      <c r="F488" s="21" t="s">
        <v>297</v>
      </c>
      <c r="G488" s="21" t="s">
        <v>395</v>
      </c>
      <c r="H488" s="32" t="s">
        <v>2831</v>
      </c>
      <c r="I488" s="21">
        <f t="shared" si="101"/>
        <v>35.22</v>
      </c>
      <c r="J488" s="21">
        <f t="shared" si="102"/>
        <v>-77.650000000000006</v>
      </c>
      <c r="K488" s="21">
        <v>22.4</v>
      </c>
      <c r="Q488" s="43">
        <v>1</v>
      </c>
      <c r="R488" s="43">
        <v>1</v>
      </c>
      <c r="S488" s="43"/>
      <c r="T488" s="43" t="s">
        <v>401</v>
      </c>
      <c r="U488" s="43" t="s">
        <v>1386</v>
      </c>
      <c r="V488" s="43" t="s">
        <v>1724</v>
      </c>
      <c r="W488" s="43" t="s">
        <v>1386</v>
      </c>
      <c r="X488" s="43" t="s">
        <v>1386</v>
      </c>
      <c r="Z488" s="322"/>
      <c r="AA488" s="322"/>
      <c r="AB488" s="21" t="s">
        <v>140</v>
      </c>
      <c r="AF488" s="21" t="s">
        <v>1328</v>
      </c>
      <c r="AG488" s="21" t="s">
        <v>398</v>
      </c>
      <c r="AH488" s="138" t="s">
        <v>578</v>
      </c>
      <c r="AI488" s="21" t="s">
        <v>133</v>
      </c>
      <c r="AJ488" s="141" t="s">
        <v>133</v>
      </c>
      <c r="AN488" s="21" t="s">
        <v>396</v>
      </c>
      <c r="AO488" s="21" t="s">
        <v>396</v>
      </c>
      <c r="AP488" s="21" t="s">
        <v>178</v>
      </c>
      <c r="AQ488" s="21">
        <v>0</v>
      </c>
      <c r="AR488" s="21">
        <v>0</v>
      </c>
      <c r="AS488" s="21" t="s">
        <v>178</v>
      </c>
      <c r="AT488" s="21" t="s">
        <v>161</v>
      </c>
      <c r="AU488" s="21">
        <v>4</v>
      </c>
      <c r="AW488" s="21" t="s">
        <v>336</v>
      </c>
      <c r="AY488" s="21">
        <f t="shared" ref="AY488" si="111">(6.4+1.9)*1000</f>
        <v>8300</v>
      </c>
      <c r="AZ488" s="21">
        <f t="shared" ref="AZ488" si="112">AY488/(110+27)</f>
        <v>60.583941605839414</v>
      </c>
      <c r="BA488" s="54" t="s">
        <v>408</v>
      </c>
      <c r="BM488" s="396"/>
      <c r="BN488" s="396"/>
      <c r="BR488" s="396"/>
      <c r="BS488" s="396"/>
      <c r="BW488" s="21">
        <v>3.157</v>
      </c>
      <c r="BX488" s="21">
        <v>4.87</v>
      </c>
      <c r="CA488" s="21" t="s">
        <v>407</v>
      </c>
      <c r="GM488" s="12"/>
      <c r="GQ488" s="12"/>
      <c r="IO488" s="21" t="s">
        <v>410</v>
      </c>
      <c r="IP488" s="21" t="s">
        <v>715</v>
      </c>
    </row>
    <row r="489" spans="1:250" s="21" customFormat="1" x14ac:dyDescent="0.25">
      <c r="A489" s="21">
        <v>26</v>
      </c>
      <c r="B489" s="21" t="s">
        <v>392</v>
      </c>
      <c r="C489" s="21" t="s">
        <v>393</v>
      </c>
      <c r="D489" s="21">
        <v>2015</v>
      </c>
      <c r="E489" s="21">
        <v>2012</v>
      </c>
      <c r="F489" s="21" t="s">
        <v>297</v>
      </c>
      <c r="G489" s="21" t="s">
        <v>395</v>
      </c>
      <c r="H489" s="32" t="s">
        <v>2831</v>
      </c>
      <c r="I489" s="21">
        <f t="shared" si="101"/>
        <v>35.22</v>
      </c>
      <c r="J489" s="21">
        <f t="shared" si="102"/>
        <v>-77.650000000000006</v>
      </c>
      <c r="K489" s="21">
        <v>22.4</v>
      </c>
      <c r="Q489" s="43">
        <v>1</v>
      </c>
      <c r="R489" s="43">
        <v>1</v>
      </c>
      <c r="S489" s="43"/>
      <c r="T489" s="43" t="s">
        <v>401</v>
      </c>
      <c r="U489" s="43" t="s">
        <v>1386</v>
      </c>
      <c r="V489" s="43" t="s">
        <v>1724</v>
      </c>
      <c r="W489" s="43" t="s">
        <v>1386</v>
      </c>
      <c r="X489" s="43" t="s">
        <v>1386</v>
      </c>
      <c r="Z489" s="322"/>
      <c r="AA489" s="322"/>
      <c r="AB489" s="21" t="s">
        <v>140</v>
      </c>
      <c r="AF489" s="21" t="s">
        <v>1328</v>
      </c>
      <c r="AG489" s="21" t="s">
        <v>244</v>
      </c>
      <c r="AH489" s="138" t="s">
        <v>578</v>
      </c>
      <c r="AI489" s="21" t="s">
        <v>133</v>
      </c>
      <c r="AJ489" s="141" t="s">
        <v>133</v>
      </c>
      <c r="AN489" s="21" t="s">
        <v>396</v>
      </c>
      <c r="AO489" s="21" t="s">
        <v>396</v>
      </c>
      <c r="AP489" s="21" t="s">
        <v>178</v>
      </c>
      <c r="AQ489" s="21">
        <v>0</v>
      </c>
      <c r="AR489" s="21">
        <v>0</v>
      </c>
      <c r="AS489" s="21" t="s">
        <v>178</v>
      </c>
      <c r="AT489" s="21" t="s">
        <v>161</v>
      </c>
      <c r="AU489" s="21">
        <v>4</v>
      </c>
      <c r="AW489" s="21" t="s">
        <v>336</v>
      </c>
      <c r="AY489" s="21">
        <f t="shared" ref="AY489" si="113">(6.5+1.8)*1000</f>
        <v>8300</v>
      </c>
      <c r="AZ489" s="21">
        <f t="shared" ref="AZ489" si="114">AY489/(175+47)</f>
        <v>37.387387387387385</v>
      </c>
      <c r="BA489" s="54" t="s">
        <v>408</v>
      </c>
      <c r="BM489" s="396"/>
      <c r="BN489" s="396"/>
      <c r="BR489" s="396"/>
      <c r="BS489" s="396"/>
      <c r="BW489" s="21">
        <v>3.157</v>
      </c>
      <c r="BX489" s="21">
        <v>3.17</v>
      </c>
      <c r="CA489" s="21" t="s">
        <v>407</v>
      </c>
      <c r="GM489" s="12"/>
      <c r="GQ489" s="12"/>
      <c r="IO489" s="21" t="s">
        <v>410</v>
      </c>
      <c r="IP489" s="21" t="s">
        <v>715</v>
      </c>
    </row>
    <row r="490" spans="1:250" s="21" customFormat="1" x14ac:dyDescent="0.25">
      <c r="A490" s="21">
        <v>26</v>
      </c>
      <c r="B490" s="21" t="s">
        <v>392</v>
      </c>
      <c r="C490" s="21" t="s">
        <v>393</v>
      </c>
      <c r="D490" s="21">
        <v>2015</v>
      </c>
      <c r="E490" s="21">
        <v>2012</v>
      </c>
      <c r="F490" s="21" t="s">
        <v>297</v>
      </c>
      <c r="G490" s="21" t="s">
        <v>395</v>
      </c>
      <c r="H490" s="32" t="s">
        <v>2831</v>
      </c>
      <c r="I490" s="21">
        <f t="shared" si="101"/>
        <v>35.22</v>
      </c>
      <c r="J490" s="21">
        <f t="shared" si="102"/>
        <v>-77.650000000000006</v>
      </c>
      <c r="K490" s="21">
        <v>22.4</v>
      </c>
      <c r="Q490" s="43">
        <v>1</v>
      </c>
      <c r="R490" s="43">
        <v>1</v>
      </c>
      <c r="S490" s="43"/>
      <c r="T490" s="43" t="s">
        <v>402</v>
      </c>
      <c r="U490" s="43" t="s">
        <v>1386</v>
      </c>
      <c r="V490" s="43" t="s">
        <v>1724</v>
      </c>
      <c r="W490" s="43" t="s">
        <v>1386</v>
      </c>
      <c r="X490" s="43" t="s">
        <v>1386</v>
      </c>
      <c r="Z490" s="322"/>
      <c r="AA490" s="322"/>
      <c r="AB490" s="21" t="s">
        <v>140</v>
      </c>
      <c r="AF490" s="21" t="s">
        <v>1328</v>
      </c>
      <c r="AG490" s="21" t="s">
        <v>397</v>
      </c>
      <c r="AH490" s="138" t="s">
        <v>578</v>
      </c>
      <c r="AI490" s="21" t="s">
        <v>133</v>
      </c>
      <c r="AJ490" s="141" t="s">
        <v>133</v>
      </c>
      <c r="AN490" s="21" t="s">
        <v>396</v>
      </c>
      <c r="AO490" s="21" t="s">
        <v>396</v>
      </c>
      <c r="AP490" s="21" t="s">
        <v>178</v>
      </c>
      <c r="AQ490" s="21">
        <v>0</v>
      </c>
      <c r="AR490" s="21">
        <v>0</v>
      </c>
      <c r="AS490" s="21" t="s">
        <v>178</v>
      </c>
      <c r="AT490" s="21" t="s">
        <v>161</v>
      </c>
      <c r="AU490" s="21">
        <v>4</v>
      </c>
      <c r="AW490" s="21" t="s">
        <v>336</v>
      </c>
      <c r="AY490" s="21">
        <f t="shared" ref="AY490" si="115">(6.1+1.6)*1000</f>
        <v>7699.9999999999991</v>
      </c>
      <c r="AZ490" s="21">
        <f t="shared" ref="AZ490" si="116">AY490/(170+36)</f>
        <v>37.378640776699022</v>
      </c>
      <c r="BA490" s="54" t="s">
        <v>408</v>
      </c>
      <c r="BM490" s="396"/>
      <c r="BN490" s="396"/>
      <c r="BR490" s="396"/>
      <c r="BS490" s="396"/>
      <c r="BW490" s="21">
        <v>4.9400000000000004</v>
      </c>
      <c r="BX490" s="21">
        <v>3.5649999999999999</v>
      </c>
      <c r="CA490" s="21" t="s">
        <v>407</v>
      </c>
      <c r="GM490" s="12"/>
      <c r="GQ490" s="12"/>
      <c r="IO490" s="21" t="s">
        <v>410</v>
      </c>
      <c r="IP490" s="21" t="s">
        <v>715</v>
      </c>
    </row>
    <row r="491" spans="1:250" s="21" customFormat="1" x14ac:dyDescent="0.25">
      <c r="A491" s="21">
        <v>26</v>
      </c>
      <c r="B491" s="21" t="s">
        <v>392</v>
      </c>
      <c r="C491" s="21" t="s">
        <v>393</v>
      </c>
      <c r="D491" s="21">
        <v>2015</v>
      </c>
      <c r="E491" s="21">
        <v>2012</v>
      </c>
      <c r="F491" s="21" t="s">
        <v>297</v>
      </c>
      <c r="G491" s="21" t="s">
        <v>395</v>
      </c>
      <c r="H491" s="32" t="s">
        <v>2831</v>
      </c>
      <c r="I491" s="21">
        <f t="shared" si="101"/>
        <v>35.22</v>
      </c>
      <c r="J491" s="21">
        <f t="shared" si="102"/>
        <v>-77.650000000000006</v>
      </c>
      <c r="K491" s="21">
        <v>22.4</v>
      </c>
      <c r="Q491" s="43">
        <v>1</v>
      </c>
      <c r="R491" s="43">
        <v>1</v>
      </c>
      <c r="S491" s="43"/>
      <c r="T491" s="43" t="s">
        <v>402</v>
      </c>
      <c r="U491" s="43" t="s">
        <v>1386</v>
      </c>
      <c r="V491" s="43" t="s">
        <v>1724</v>
      </c>
      <c r="W491" s="43" t="s">
        <v>1386</v>
      </c>
      <c r="X491" s="43" t="s">
        <v>1386</v>
      </c>
      <c r="Z491" s="322"/>
      <c r="AA491" s="322"/>
      <c r="AB491" s="21" t="s">
        <v>140</v>
      </c>
      <c r="AF491" s="21" t="s">
        <v>1328</v>
      </c>
      <c r="AG491" s="21" t="s">
        <v>398</v>
      </c>
      <c r="AH491" s="138" t="s">
        <v>578</v>
      </c>
      <c r="AI491" s="21" t="s">
        <v>133</v>
      </c>
      <c r="AJ491" s="141" t="s">
        <v>133</v>
      </c>
      <c r="AN491" s="21" t="s">
        <v>396</v>
      </c>
      <c r="AO491" s="21" t="s">
        <v>396</v>
      </c>
      <c r="AP491" s="21" t="s">
        <v>178</v>
      </c>
      <c r="AQ491" s="21">
        <v>0</v>
      </c>
      <c r="AR491" s="21">
        <v>0</v>
      </c>
      <c r="AS491" s="21" t="s">
        <v>178</v>
      </c>
      <c r="AT491" s="21" t="s">
        <v>161</v>
      </c>
      <c r="AU491" s="21">
        <v>4</v>
      </c>
      <c r="AW491" s="21" t="s">
        <v>336</v>
      </c>
      <c r="AY491" s="21">
        <f t="shared" ref="AY491" si="117">(6.4+1.9)*1000</f>
        <v>8300</v>
      </c>
      <c r="AZ491" s="21">
        <f t="shared" ref="AZ491" si="118">AY491/(110+27)</f>
        <v>60.583941605839414</v>
      </c>
      <c r="BA491" s="54" t="s">
        <v>408</v>
      </c>
      <c r="BM491" s="396"/>
      <c r="BN491" s="396"/>
      <c r="BR491" s="396"/>
      <c r="BS491" s="396"/>
      <c r="BW491" s="21">
        <v>4.9400000000000004</v>
      </c>
      <c r="BX491" s="21">
        <v>3.5649999999999999</v>
      </c>
      <c r="CA491" s="21" t="s">
        <v>407</v>
      </c>
      <c r="GM491" s="12"/>
      <c r="GQ491" s="12"/>
      <c r="IO491" s="21" t="s">
        <v>410</v>
      </c>
      <c r="IP491" s="21" t="s">
        <v>715</v>
      </c>
    </row>
    <row r="492" spans="1:250" s="21" customFormat="1" x14ac:dyDescent="0.25">
      <c r="A492" s="21">
        <v>26</v>
      </c>
      <c r="B492" s="21" t="s">
        <v>392</v>
      </c>
      <c r="C492" s="21" t="s">
        <v>393</v>
      </c>
      <c r="D492" s="21">
        <v>2015</v>
      </c>
      <c r="E492" s="21">
        <v>2012</v>
      </c>
      <c r="F492" s="21" t="s">
        <v>297</v>
      </c>
      <c r="G492" s="21" t="s">
        <v>395</v>
      </c>
      <c r="H492" s="32" t="s">
        <v>2831</v>
      </c>
      <c r="I492" s="21">
        <f t="shared" si="101"/>
        <v>35.22</v>
      </c>
      <c r="J492" s="21">
        <f t="shared" si="102"/>
        <v>-77.650000000000006</v>
      </c>
      <c r="K492" s="21">
        <v>22.4</v>
      </c>
      <c r="Q492" s="43">
        <v>1</v>
      </c>
      <c r="R492" s="43">
        <v>1</v>
      </c>
      <c r="S492" s="43"/>
      <c r="T492" s="43" t="s">
        <v>402</v>
      </c>
      <c r="U492" s="43" t="s">
        <v>1386</v>
      </c>
      <c r="V492" s="43" t="s">
        <v>1724</v>
      </c>
      <c r="W492" s="43" t="s">
        <v>1386</v>
      </c>
      <c r="X492" s="43" t="s">
        <v>1386</v>
      </c>
      <c r="Z492" s="322"/>
      <c r="AA492" s="322"/>
      <c r="AB492" s="21" t="s">
        <v>140</v>
      </c>
      <c r="AF492" s="21" t="s">
        <v>1328</v>
      </c>
      <c r="AG492" s="21" t="s">
        <v>244</v>
      </c>
      <c r="AH492" s="138" t="s">
        <v>578</v>
      </c>
      <c r="AI492" s="21" t="s">
        <v>133</v>
      </c>
      <c r="AJ492" s="141" t="s">
        <v>133</v>
      </c>
      <c r="AN492" s="21" t="s">
        <v>396</v>
      </c>
      <c r="AO492" s="21" t="s">
        <v>396</v>
      </c>
      <c r="AP492" s="21" t="s">
        <v>178</v>
      </c>
      <c r="AQ492" s="21">
        <v>0</v>
      </c>
      <c r="AR492" s="21">
        <v>0</v>
      </c>
      <c r="AS492" s="21" t="s">
        <v>178</v>
      </c>
      <c r="AT492" s="21" t="s">
        <v>161</v>
      </c>
      <c r="AU492" s="21">
        <v>4</v>
      </c>
      <c r="AW492" s="21" t="s">
        <v>336</v>
      </c>
      <c r="AY492" s="21">
        <f t="shared" ref="AY492" si="119">(6.5+1.8)*1000</f>
        <v>8300</v>
      </c>
      <c r="AZ492" s="21">
        <f t="shared" ref="AZ492" si="120">AY492/(175+47)</f>
        <v>37.387387387387385</v>
      </c>
      <c r="BA492" s="54" t="s">
        <v>408</v>
      </c>
      <c r="BM492" s="396"/>
      <c r="BN492" s="396"/>
      <c r="BR492" s="396"/>
      <c r="BS492" s="396"/>
      <c r="BW492" s="21">
        <v>4.9400000000000004</v>
      </c>
      <c r="BX492" s="21">
        <v>3.5649999999999999</v>
      </c>
      <c r="CA492" s="21" t="s">
        <v>407</v>
      </c>
      <c r="GM492" s="12"/>
      <c r="GQ492" s="12"/>
      <c r="IO492" s="21" t="s">
        <v>410</v>
      </c>
      <c r="IP492" s="21" t="s">
        <v>715</v>
      </c>
    </row>
    <row r="493" spans="1:250" s="21" customFormat="1" x14ac:dyDescent="0.25">
      <c r="A493" s="21">
        <v>26</v>
      </c>
      <c r="B493" s="21" t="s">
        <v>392</v>
      </c>
      <c r="C493" s="21" t="s">
        <v>393</v>
      </c>
      <c r="D493" s="21">
        <v>2015</v>
      </c>
      <c r="E493" s="21">
        <v>2012</v>
      </c>
      <c r="F493" s="21" t="s">
        <v>297</v>
      </c>
      <c r="G493" s="21" t="s">
        <v>395</v>
      </c>
      <c r="H493" s="32" t="s">
        <v>2831</v>
      </c>
      <c r="I493" s="21">
        <f t="shared" si="101"/>
        <v>35.22</v>
      </c>
      <c r="J493" s="21">
        <f t="shared" si="102"/>
        <v>-77.650000000000006</v>
      </c>
      <c r="K493" s="21">
        <v>22.4</v>
      </c>
      <c r="Q493" s="43">
        <v>1</v>
      </c>
      <c r="R493" s="43">
        <v>1</v>
      </c>
      <c r="S493" s="43"/>
      <c r="T493" s="43" t="s">
        <v>403</v>
      </c>
      <c r="U493" s="43" t="s">
        <v>1386</v>
      </c>
      <c r="V493" s="43" t="s">
        <v>1724</v>
      </c>
      <c r="W493" s="43" t="s">
        <v>1386</v>
      </c>
      <c r="X493" s="43" t="s">
        <v>1386</v>
      </c>
      <c r="Z493" s="322"/>
      <c r="AA493" s="322"/>
      <c r="AB493" s="21" t="s">
        <v>140</v>
      </c>
      <c r="AF493" s="21" t="s">
        <v>1328</v>
      </c>
      <c r="AG493" s="21" t="s">
        <v>397</v>
      </c>
      <c r="AH493" s="138" t="s">
        <v>578</v>
      </c>
      <c r="AI493" s="21" t="s">
        <v>133</v>
      </c>
      <c r="AJ493" s="141" t="s">
        <v>133</v>
      </c>
      <c r="AN493" s="21" t="s">
        <v>396</v>
      </c>
      <c r="AO493" s="21" t="s">
        <v>396</v>
      </c>
      <c r="AP493" s="21" t="s">
        <v>178</v>
      </c>
      <c r="AQ493" s="21">
        <v>0</v>
      </c>
      <c r="AR493" s="21">
        <v>0</v>
      </c>
      <c r="AS493" s="21" t="s">
        <v>178</v>
      </c>
      <c r="AT493" s="21" t="s">
        <v>161</v>
      </c>
      <c r="AU493" s="21">
        <v>4</v>
      </c>
      <c r="AW493" s="21" t="s">
        <v>336</v>
      </c>
      <c r="AY493" s="21">
        <f t="shared" ref="AY493" si="121">(6.1+1.6)*1000</f>
        <v>7699.9999999999991</v>
      </c>
      <c r="AZ493" s="21">
        <f t="shared" ref="AZ493" si="122">AY493/(170+36)</f>
        <v>37.378640776699022</v>
      </c>
      <c r="BA493" s="54" t="s">
        <v>408</v>
      </c>
      <c r="BM493" s="396"/>
      <c r="BN493" s="396"/>
      <c r="BR493" s="396"/>
      <c r="BS493" s="396"/>
      <c r="BW493" s="21">
        <v>5.42</v>
      </c>
      <c r="BX493" s="21">
        <v>5.4</v>
      </c>
      <c r="CA493" s="21" t="s">
        <v>407</v>
      </c>
      <c r="GM493" s="12"/>
      <c r="GQ493" s="12"/>
      <c r="IO493" s="21" t="s">
        <v>410</v>
      </c>
      <c r="IP493" s="21" t="s">
        <v>715</v>
      </c>
    </row>
    <row r="494" spans="1:250" s="21" customFormat="1" x14ac:dyDescent="0.25">
      <c r="A494" s="21">
        <v>26</v>
      </c>
      <c r="B494" s="21" t="s">
        <v>392</v>
      </c>
      <c r="C494" s="21" t="s">
        <v>393</v>
      </c>
      <c r="D494" s="21">
        <v>2015</v>
      </c>
      <c r="E494" s="21">
        <v>2012</v>
      </c>
      <c r="F494" s="21" t="s">
        <v>297</v>
      </c>
      <c r="G494" s="21" t="s">
        <v>395</v>
      </c>
      <c r="H494" s="32" t="s">
        <v>2831</v>
      </c>
      <c r="I494" s="21">
        <f t="shared" si="101"/>
        <v>35.22</v>
      </c>
      <c r="J494" s="21">
        <f t="shared" si="102"/>
        <v>-77.650000000000006</v>
      </c>
      <c r="K494" s="21">
        <v>22.4</v>
      </c>
      <c r="Q494" s="43">
        <v>1</v>
      </c>
      <c r="R494" s="43">
        <v>1</v>
      </c>
      <c r="S494" s="43"/>
      <c r="T494" s="43" t="s">
        <v>403</v>
      </c>
      <c r="U494" s="43" t="s">
        <v>1386</v>
      </c>
      <c r="V494" s="43" t="s">
        <v>1724</v>
      </c>
      <c r="W494" s="43" t="s">
        <v>1386</v>
      </c>
      <c r="X494" s="43" t="s">
        <v>1386</v>
      </c>
      <c r="Z494" s="322"/>
      <c r="AA494" s="322"/>
      <c r="AB494" s="21" t="s">
        <v>140</v>
      </c>
      <c r="AF494" s="21" t="s">
        <v>1328</v>
      </c>
      <c r="AG494" s="21" t="s">
        <v>398</v>
      </c>
      <c r="AH494" s="138" t="s">
        <v>578</v>
      </c>
      <c r="AI494" s="21" t="s">
        <v>133</v>
      </c>
      <c r="AJ494" s="141" t="s">
        <v>133</v>
      </c>
      <c r="AN494" s="21" t="s">
        <v>396</v>
      </c>
      <c r="AO494" s="21" t="s">
        <v>396</v>
      </c>
      <c r="AP494" s="21" t="s">
        <v>178</v>
      </c>
      <c r="AQ494" s="21">
        <v>0</v>
      </c>
      <c r="AR494" s="21">
        <v>0</v>
      </c>
      <c r="AS494" s="21" t="s">
        <v>178</v>
      </c>
      <c r="AT494" s="21" t="s">
        <v>161</v>
      </c>
      <c r="AU494" s="21">
        <v>4</v>
      </c>
      <c r="AW494" s="21" t="s">
        <v>336</v>
      </c>
      <c r="AY494" s="21">
        <f t="shared" ref="AY494" si="123">(6.4+1.9)*1000</f>
        <v>8300</v>
      </c>
      <c r="AZ494" s="21">
        <f t="shared" ref="AZ494" si="124">AY494/(110+27)</f>
        <v>60.583941605839414</v>
      </c>
      <c r="BA494" s="54" t="s">
        <v>408</v>
      </c>
      <c r="BM494" s="396"/>
      <c r="BN494" s="396"/>
      <c r="BR494" s="396"/>
      <c r="BS494" s="396"/>
      <c r="BW494" s="21">
        <v>5.42</v>
      </c>
      <c r="BX494" s="21">
        <v>5.4</v>
      </c>
      <c r="CA494" s="21" t="s">
        <v>407</v>
      </c>
      <c r="GM494" s="12"/>
      <c r="GQ494" s="12"/>
      <c r="IO494" s="21" t="s">
        <v>410</v>
      </c>
      <c r="IP494" s="21" t="s">
        <v>715</v>
      </c>
    </row>
    <row r="495" spans="1:250" s="21" customFormat="1" x14ac:dyDescent="0.25">
      <c r="A495" s="21">
        <v>26</v>
      </c>
      <c r="B495" s="21" t="s">
        <v>392</v>
      </c>
      <c r="C495" s="21" t="s">
        <v>393</v>
      </c>
      <c r="D495" s="21">
        <v>2015</v>
      </c>
      <c r="E495" s="21">
        <v>2012</v>
      </c>
      <c r="F495" s="21" t="s">
        <v>297</v>
      </c>
      <c r="G495" s="21" t="s">
        <v>395</v>
      </c>
      <c r="H495" s="32" t="s">
        <v>2831</v>
      </c>
      <c r="I495" s="21">
        <f t="shared" si="101"/>
        <v>35.22</v>
      </c>
      <c r="J495" s="21">
        <f t="shared" si="102"/>
        <v>-77.650000000000006</v>
      </c>
      <c r="K495" s="21">
        <v>22.4</v>
      </c>
      <c r="Q495" s="43">
        <v>1</v>
      </c>
      <c r="R495" s="43">
        <v>1</v>
      </c>
      <c r="S495" s="43"/>
      <c r="T495" s="43" t="s">
        <v>403</v>
      </c>
      <c r="U495" s="43" t="s">
        <v>1386</v>
      </c>
      <c r="V495" s="43" t="s">
        <v>1724</v>
      </c>
      <c r="W495" s="43" t="s">
        <v>1386</v>
      </c>
      <c r="X495" s="43" t="s">
        <v>1386</v>
      </c>
      <c r="Z495" s="322"/>
      <c r="AA495" s="322"/>
      <c r="AB495" s="21" t="s">
        <v>140</v>
      </c>
      <c r="AF495" s="21" t="s">
        <v>1328</v>
      </c>
      <c r="AG495" s="21" t="s">
        <v>244</v>
      </c>
      <c r="AH495" s="138" t="s">
        <v>578</v>
      </c>
      <c r="AI495" s="21" t="s">
        <v>133</v>
      </c>
      <c r="AJ495" s="141" t="s">
        <v>133</v>
      </c>
      <c r="AN495" s="21" t="s">
        <v>396</v>
      </c>
      <c r="AO495" s="21" t="s">
        <v>396</v>
      </c>
      <c r="AP495" s="21" t="s">
        <v>178</v>
      </c>
      <c r="AQ495" s="21">
        <v>0</v>
      </c>
      <c r="AR495" s="21">
        <v>0</v>
      </c>
      <c r="AS495" s="21" t="s">
        <v>178</v>
      </c>
      <c r="AT495" s="21" t="s">
        <v>161</v>
      </c>
      <c r="AU495" s="21">
        <v>4</v>
      </c>
      <c r="AW495" s="21" t="s">
        <v>336</v>
      </c>
      <c r="AY495" s="21">
        <f t="shared" ref="AY495" si="125">(6.5+1.8)*1000</f>
        <v>8300</v>
      </c>
      <c r="AZ495" s="21">
        <f t="shared" ref="AZ495" si="126">AY495/(175+47)</f>
        <v>37.387387387387385</v>
      </c>
      <c r="BA495" s="54" t="s">
        <v>408</v>
      </c>
      <c r="BM495" s="396"/>
      <c r="BN495" s="396"/>
      <c r="BR495" s="396"/>
      <c r="BS495" s="396"/>
      <c r="BW495" s="21">
        <v>5.42</v>
      </c>
      <c r="BX495" s="21">
        <v>5.4</v>
      </c>
      <c r="CA495" s="21" t="s">
        <v>407</v>
      </c>
      <c r="GM495" s="12"/>
      <c r="GQ495" s="12"/>
      <c r="IO495" s="21" t="s">
        <v>410</v>
      </c>
      <c r="IP495" s="21" t="s">
        <v>715</v>
      </c>
    </row>
    <row r="496" spans="1:250" s="21" customFormat="1" x14ac:dyDescent="0.25">
      <c r="A496" s="21">
        <v>26</v>
      </c>
      <c r="B496" s="21" t="s">
        <v>392</v>
      </c>
      <c r="C496" s="21" t="s">
        <v>393</v>
      </c>
      <c r="D496" s="21">
        <v>2015</v>
      </c>
      <c r="E496" s="21">
        <v>2012</v>
      </c>
      <c r="F496" s="21" t="s">
        <v>297</v>
      </c>
      <c r="G496" s="21" t="s">
        <v>395</v>
      </c>
      <c r="H496" s="32" t="s">
        <v>2831</v>
      </c>
      <c r="I496" s="21">
        <f t="shared" si="101"/>
        <v>35.22</v>
      </c>
      <c r="J496" s="21">
        <f t="shared" si="102"/>
        <v>-77.650000000000006</v>
      </c>
      <c r="K496" s="21">
        <v>22.4</v>
      </c>
      <c r="Q496" s="43">
        <v>1</v>
      </c>
      <c r="R496" s="43">
        <v>1</v>
      </c>
      <c r="S496" s="43"/>
      <c r="T496" s="43" t="s">
        <v>404</v>
      </c>
      <c r="U496" s="43" t="s">
        <v>1386</v>
      </c>
      <c r="V496" s="43" t="s">
        <v>1724</v>
      </c>
      <c r="W496" s="43" t="s">
        <v>1386</v>
      </c>
      <c r="X496" s="43" t="s">
        <v>1386</v>
      </c>
      <c r="Z496" s="322"/>
      <c r="AA496" s="322"/>
      <c r="AB496" s="21" t="s">
        <v>140</v>
      </c>
      <c r="AF496" s="21" t="s">
        <v>1328</v>
      </c>
      <c r="AG496" s="21" t="s">
        <v>397</v>
      </c>
      <c r="AH496" s="138" t="s">
        <v>578</v>
      </c>
      <c r="AI496" s="21" t="s">
        <v>133</v>
      </c>
      <c r="AJ496" s="141" t="s">
        <v>133</v>
      </c>
      <c r="AN496" s="21" t="s">
        <v>396</v>
      </c>
      <c r="AO496" s="21" t="s">
        <v>396</v>
      </c>
      <c r="AP496" s="21" t="s">
        <v>178</v>
      </c>
      <c r="AQ496" s="21">
        <v>0</v>
      </c>
      <c r="AR496" s="21">
        <v>0</v>
      </c>
      <c r="AS496" s="21" t="s">
        <v>178</v>
      </c>
      <c r="AT496" s="21" t="s">
        <v>161</v>
      </c>
      <c r="AU496" s="21">
        <v>4</v>
      </c>
      <c r="AW496" s="21" t="s">
        <v>336</v>
      </c>
      <c r="AY496" s="21">
        <f t="shared" ref="AY496" si="127">(6.1+1.6)*1000</f>
        <v>7699.9999999999991</v>
      </c>
      <c r="AZ496" s="21">
        <f t="shared" ref="AZ496" si="128">AY496/(170+36)</f>
        <v>37.378640776699022</v>
      </c>
      <c r="BA496" s="54" t="s">
        <v>408</v>
      </c>
      <c r="BM496" s="396"/>
      <c r="BN496" s="396"/>
      <c r="BR496" s="396"/>
      <c r="BS496" s="396"/>
      <c r="BW496" s="21">
        <v>1.9770000000000001</v>
      </c>
      <c r="BX496" s="21">
        <v>3.69</v>
      </c>
      <c r="CA496" s="21" t="s">
        <v>407</v>
      </c>
      <c r="GM496" s="12"/>
      <c r="GQ496" s="12"/>
      <c r="IO496" s="21" t="s">
        <v>410</v>
      </c>
      <c r="IP496" s="21" t="s">
        <v>715</v>
      </c>
    </row>
    <row r="497" spans="1:250" s="21" customFormat="1" x14ac:dyDescent="0.25">
      <c r="A497" s="21">
        <v>26</v>
      </c>
      <c r="B497" s="21" t="s">
        <v>392</v>
      </c>
      <c r="C497" s="21" t="s">
        <v>393</v>
      </c>
      <c r="D497" s="21">
        <v>2015</v>
      </c>
      <c r="E497" s="21">
        <v>2012</v>
      </c>
      <c r="F497" s="21" t="s">
        <v>297</v>
      </c>
      <c r="G497" s="21" t="s">
        <v>395</v>
      </c>
      <c r="H497" s="32" t="s">
        <v>2831</v>
      </c>
      <c r="I497" s="21">
        <f t="shared" si="101"/>
        <v>35.22</v>
      </c>
      <c r="J497" s="21">
        <f t="shared" si="102"/>
        <v>-77.650000000000006</v>
      </c>
      <c r="K497" s="21">
        <v>22.4</v>
      </c>
      <c r="Q497" s="43">
        <v>1</v>
      </c>
      <c r="R497" s="43">
        <v>1</v>
      </c>
      <c r="S497" s="43"/>
      <c r="T497" s="43" t="s">
        <v>404</v>
      </c>
      <c r="U497" s="43" t="s">
        <v>1386</v>
      </c>
      <c r="V497" s="43" t="s">
        <v>1724</v>
      </c>
      <c r="W497" s="43" t="s">
        <v>1386</v>
      </c>
      <c r="X497" s="43" t="s">
        <v>1386</v>
      </c>
      <c r="Z497" s="322"/>
      <c r="AA497" s="322"/>
      <c r="AB497" s="21" t="s">
        <v>140</v>
      </c>
      <c r="AF497" s="21" t="s">
        <v>1328</v>
      </c>
      <c r="AG497" s="21" t="s">
        <v>398</v>
      </c>
      <c r="AH497" s="138" t="s">
        <v>578</v>
      </c>
      <c r="AI497" s="21" t="s">
        <v>133</v>
      </c>
      <c r="AJ497" s="141" t="s">
        <v>133</v>
      </c>
      <c r="AN497" s="21" t="s">
        <v>396</v>
      </c>
      <c r="AO497" s="21" t="s">
        <v>396</v>
      </c>
      <c r="AP497" s="21" t="s">
        <v>178</v>
      </c>
      <c r="AQ497" s="21">
        <v>0</v>
      </c>
      <c r="AR497" s="21">
        <v>0</v>
      </c>
      <c r="AS497" s="21" t="s">
        <v>178</v>
      </c>
      <c r="AT497" s="21" t="s">
        <v>161</v>
      </c>
      <c r="AU497" s="21">
        <v>4</v>
      </c>
      <c r="AW497" s="21" t="s">
        <v>336</v>
      </c>
      <c r="AY497" s="21">
        <f t="shared" ref="AY497" si="129">(6.4+1.9)*1000</f>
        <v>8300</v>
      </c>
      <c r="AZ497" s="21">
        <f t="shared" ref="AZ497" si="130">AY497/(110+27)</f>
        <v>60.583941605839414</v>
      </c>
      <c r="BA497" s="54" t="s">
        <v>408</v>
      </c>
      <c r="BM497" s="396"/>
      <c r="BN497" s="396"/>
      <c r="BR497" s="396"/>
      <c r="BS497" s="396"/>
      <c r="BW497" s="21">
        <v>1.9770000000000001</v>
      </c>
      <c r="BX497" s="21">
        <v>3.69</v>
      </c>
      <c r="CA497" s="21" t="s">
        <v>407</v>
      </c>
      <c r="GM497" s="12"/>
      <c r="GQ497" s="12"/>
      <c r="IO497" s="21" t="s">
        <v>410</v>
      </c>
      <c r="IP497" s="21" t="s">
        <v>715</v>
      </c>
    </row>
    <row r="498" spans="1:250" s="21" customFormat="1" x14ac:dyDescent="0.25">
      <c r="A498" s="21">
        <v>26</v>
      </c>
      <c r="B498" s="21" t="s">
        <v>392</v>
      </c>
      <c r="C498" s="21" t="s">
        <v>393</v>
      </c>
      <c r="D498" s="21">
        <v>2015</v>
      </c>
      <c r="E498" s="21">
        <v>2012</v>
      </c>
      <c r="F498" s="21" t="s">
        <v>297</v>
      </c>
      <c r="G498" s="21" t="s">
        <v>395</v>
      </c>
      <c r="H498" s="32" t="s">
        <v>2831</v>
      </c>
      <c r="I498" s="21">
        <f t="shared" si="101"/>
        <v>35.22</v>
      </c>
      <c r="J498" s="21">
        <f t="shared" si="102"/>
        <v>-77.650000000000006</v>
      </c>
      <c r="K498" s="21">
        <v>22.4</v>
      </c>
      <c r="Q498" s="43">
        <v>1</v>
      </c>
      <c r="R498" s="43">
        <v>1</v>
      </c>
      <c r="S498" s="43"/>
      <c r="T498" s="43" t="s">
        <v>404</v>
      </c>
      <c r="U498" s="43" t="s">
        <v>1386</v>
      </c>
      <c r="V498" s="43" t="s">
        <v>1724</v>
      </c>
      <c r="W498" s="43" t="s">
        <v>1386</v>
      </c>
      <c r="X498" s="43" t="s">
        <v>1386</v>
      </c>
      <c r="Z498" s="322"/>
      <c r="AA498" s="322"/>
      <c r="AB498" s="21" t="s">
        <v>140</v>
      </c>
      <c r="AF498" s="21" t="s">
        <v>1328</v>
      </c>
      <c r="AG498" s="21" t="s">
        <v>244</v>
      </c>
      <c r="AH498" s="138" t="s">
        <v>578</v>
      </c>
      <c r="AI498" s="21" t="s">
        <v>133</v>
      </c>
      <c r="AJ498" s="141" t="s">
        <v>133</v>
      </c>
      <c r="AN498" s="21" t="s">
        <v>396</v>
      </c>
      <c r="AO498" s="21" t="s">
        <v>396</v>
      </c>
      <c r="AP498" s="21" t="s">
        <v>178</v>
      </c>
      <c r="AQ498" s="21">
        <v>0</v>
      </c>
      <c r="AR498" s="21">
        <v>0</v>
      </c>
      <c r="AS498" s="21" t="s">
        <v>178</v>
      </c>
      <c r="AT498" s="21" t="s">
        <v>161</v>
      </c>
      <c r="AU498" s="21">
        <v>4</v>
      </c>
      <c r="AW498" s="21" t="s">
        <v>336</v>
      </c>
      <c r="AY498" s="21">
        <f t="shared" ref="AY498" si="131">(6.5+1.8)*1000</f>
        <v>8300</v>
      </c>
      <c r="AZ498" s="21">
        <f t="shared" ref="AZ498" si="132">AY498/(175+47)</f>
        <v>37.387387387387385</v>
      </c>
      <c r="BA498" s="54" t="s">
        <v>408</v>
      </c>
      <c r="BM498" s="396"/>
      <c r="BN498" s="396"/>
      <c r="BR498" s="396"/>
      <c r="BS498" s="396"/>
      <c r="BW498" s="21">
        <v>1.9770000000000001</v>
      </c>
      <c r="BX498" s="21">
        <v>3.69</v>
      </c>
      <c r="CA498" s="21" t="s">
        <v>407</v>
      </c>
      <c r="GM498" s="12"/>
      <c r="GQ498" s="12"/>
      <c r="IO498" s="21" t="s">
        <v>410</v>
      </c>
      <c r="IP498" s="21" t="s">
        <v>715</v>
      </c>
    </row>
    <row r="499" spans="1:250" s="21" customFormat="1" x14ac:dyDescent="0.25">
      <c r="A499" s="21">
        <v>26</v>
      </c>
      <c r="B499" s="21" t="s">
        <v>392</v>
      </c>
      <c r="C499" s="21" t="s">
        <v>393</v>
      </c>
      <c r="D499" s="21">
        <v>2015</v>
      </c>
      <c r="E499" s="21">
        <v>2012</v>
      </c>
      <c r="F499" s="21" t="s">
        <v>297</v>
      </c>
      <c r="G499" s="21" t="s">
        <v>395</v>
      </c>
      <c r="H499" s="32" t="s">
        <v>2831</v>
      </c>
      <c r="I499" s="21">
        <f t="shared" si="101"/>
        <v>35.22</v>
      </c>
      <c r="J499" s="21">
        <f t="shared" si="102"/>
        <v>-77.650000000000006</v>
      </c>
      <c r="K499" s="21">
        <v>22.4</v>
      </c>
      <c r="Q499" s="43">
        <v>1</v>
      </c>
      <c r="R499" s="43">
        <v>1</v>
      </c>
      <c r="S499" s="43"/>
      <c r="T499" s="43" t="s">
        <v>405</v>
      </c>
      <c r="U499" s="43" t="s">
        <v>1386</v>
      </c>
      <c r="V499" s="43" t="s">
        <v>1724</v>
      </c>
      <c r="W499" s="43" t="s">
        <v>1386</v>
      </c>
      <c r="X499" s="43" t="s">
        <v>1386</v>
      </c>
      <c r="Z499" s="322"/>
      <c r="AA499" s="322"/>
      <c r="AB499" s="21" t="s">
        <v>140</v>
      </c>
      <c r="AF499" s="21" t="s">
        <v>1328</v>
      </c>
      <c r="AG499" s="21" t="s">
        <v>397</v>
      </c>
      <c r="AH499" s="138" t="s">
        <v>578</v>
      </c>
      <c r="AI499" s="21" t="s">
        <v>133</v>
      </c>
      <c r="AJ499" s="141" t="s">
        <v>133</v>
      </c>
      <c r="AN499" s="21" t="s">
        <v>396</v>
      </c>
      <c r="AO499" s="21" t="s">
        <v>396</v>
      </c>
      <c r="AP499" s="21" t="s">
        <v>178</v>
      </c>
      <c r="AQ499" s="21">
        <v>0</v>
      </c>
      <c r="AR499" s="21">
        <v>0</v>
      </c>
      <c r="AS499" s="21" t="s">
        <v>178</v>
      </c>
      <c r="AT499" s="21" t="s">
        <v>161</v>
      </c>
      <c r="AU499" s="21">
        <v>4</v>
      </c>
      <c r="AW499" s="21" t="s">
        <v>336</v>
      </c>
      <c r="AY499" s="21">
        <f t="shared" ref="AY499" si="133">(6.1+1.6)*1000</f>
        <v>7699.9999999999991</v>
      </c>
      <c r="AZ499" s="21">
        <f t="shared" ref="AZ499" si="134">AY499/(170+36)</f>
        <v>37.378640776699022</v>
      </c>
      <c r="BA499" s="54" t="s">
        <v>408</v>
      </c>
      <c r="BM499" s="396"/>
      <c r="BN499" s="396"/>
      <c r="BR499" s="396"/>
      <c r="BS499" s="396"/>
      <c r="BW499" s="21">
        <v>4.3230000000000004</v>
      </c>
      <c r="BX499" s="21">
        <v>5.14</v>
      </c>
      <c r="CA499" s="21" t="s">
        <v>407</v>
      </c>
      <c r="GM499" s="12"/>
      <c r="GQ499" s="12"/>
      <c r="IO499" s="21" t="s">
        <v>410</v>
      </c>
      <c r="IP499" s="21" t="s">
        <v>715</v>
      </c>
    </row>
    <row r="500" spans="1:250" s="21" customFormat="1" x14ac:dyDescent="0.25">
      <c r="A500" s="21">
        <v>26</v>
      </c>
      <c r="B500" s="21" t="s">
        <v>392</v>
      </c>
      <c r="C500" s="21" t="s">
        <v>393</v>
      </c>
      <c r="D500" s="21">
        <v>2015</v>
      </c>
      <c r="E500" s="21">
        <v>2012</v>
      </c>
      <c r="F500" s="21" t="s">
        <v>297</v>
      </c>
      <c r="G500" s="21" t="s">
        <v>395</v>
      </c>
      <c r="H500" s="32" t="s">
        <v>2831</v>
      </c>
      <c r="I500" s="21">
        <f t="shared" si="101"/>
        <v>35.22</v>
      </c>
      <c r="J500" s="21">
        <f t="shared" si="102"/>
        <v>-77.650000000000006</v>
      </c>
      <c r="K500" s="21">
        <v>22.4</v>
      </c>
      <c r="Q500" s="43">
        <v>1</v>
      </c>
      <c r="R500" s="43">
        <v>1</v>
      </c>
      <c r="S500" s="43"/>
      <c r="T500" s="43" t="s">
        <v>405</v>
      </c>
      <c r="U500" s="43" t="s">
        <v>1386</v>
      </c>
      <c r="V500" s="43" t="s">
        <v>1724</v>
      </c>
      <c r="W500" s="43" t="s">
        <v>1386</v>
      </c>
      <c r="X500" s="43" t="s">
        <v>1386</v>
      </c>
      <c r="Z500" s="322"/>
      <c r="AA500" s="322"/>
      <c r="AB500" s="21" t="s">
        <v>140</v>
      </c>
      <c r="AF500" s="21" t="s">
        <v>1328</v>
      </c>
      <c r="AG500" s="21" t="s">
        <v>398</v>
      </c>
      <c r="AH500" s="138" t="s">
        <v>578</v>
      </c>
      <c r="AI500" s="21" t="s">
        <v>133</v>
      </c>
      <c r="AJ500" s="141" t="s">
        <v>133</v>
      </c>
      <c r="AN500" s="21" t="s">
        <v>396</v>
      </c>
      <c r="AO500" s="21" t="s">
        <v>396</v>
      </c>
      <c r="AP500" s="21" t="s">
        <v>178</v>
      </c>
      <c r="AQ500" s="21">
        <v>0</v>
      </c>
      <c r="AR500" s="21">
        <v>0</v>
      </c>
      <c r="AS500" s="21" t="s">
        <v>178</v>
      </c>
      <c r="AT500" s="21" t="s">
        <v>161</v>
      </c>
      <c r="AU500" s="21">
        <v>4</v>
      </c>
      <c r="AW500" s="21" t="s">
        <v>336</v>
      </c>
      <c r="AY500" s="21">
        <f t="shared" ref="AY500" si="135">(6.4+1.9)*1000</f>
        <v>8300</v>
      </c>
      <c r="AZ500" s="21">
        <f t="shared" ref="AZ500" si="136">AY500/(110+27)</f>
        <v>60.583941605839414</v>
      </c>
      <c r="BA500" s="54" t="s">
        <v>408</v>
      </c>
      <c r="BM500" s="396"/>
      <c r="BN500" s="396"/>
      <c r="BR500" s="396"/>
      <c r="BS500" s="396"/>
      <c r="BW500" s="21">
        <v>4.3230000000000004</v>
      </c>
      <c r="BX500" s="21">
        <v>4.32</v>
      </c>
      <c r="CA500" s="21" t="s">
        <v>407</v>
      </c>
      <c r="GM500" s="12"/>
      <c r="GQ500" s="12"/>
      <c r="IO500" s="21" t="s">
        <v>410</v>
      </c>
      <c r="IP500" s="21" t="s">
        <v>715</v>
      </c>
    </row>
    <row r="501" spans="1:250" s="21" customFormat="1" x14ac:dyDescent="0.25">
      <c r="A501" s="21">
        <v>26</v>
      </c>
      <c r="B501" s="21" t="s">
        <v>392</v>
      </c>
      <c r="C501" s="21" t="s">
        <v>393</v>
      </c>
      <c r="D501" s="21">
        <v>2015</v>
      </c>
      <c r="E501" s="21">
        <v>2012</v>
      </c>
      <c r="F501" s="21" t="s">
        <v>297</v>
      </c>
      <c r="G501" s="21" t="s">
        <v>395</v>
      </c>
      <c r="H501" s="32" t="s">
        <v>2831</v>
      </c>
      <c r="I501" s="21">
        <f t="shared" si="101"/>
        <v>35.22</v>
      </c>
      <c r="J501" s="21">
        <f t="shared" si="102"/>
        <v>-77.650000000000006</v>
      </c>
      <c r="K501" s="21">
        <v>22.4</v>
      </c>
      <c r="Q501" s="43">
        <v>1</v>
      </c>
      <c r="R501" s="43">
        <v>1</v>
      </c>
      <c r="S501" s="43"/>
      <c r="T501" s="43" t="s">
        <v>405</v>
      </c>
      <c r="U501" s="43" t="s">
        <v>1386</v>
      </c>
      <c r="V501" s="43" t="s">
        <v>1724</v>
      </c>
      <c r="W501" s="43" t="s">
        <v>1386</v>
      </c>
      <c r="X501" s="43" t="s">
        <v>1386</v>
      </c>
      <c r="Z501" s="322"/>
      <c r="AA501" s="322"/>
      <c r="AB501" s="21" t="s">
        <v>140</v>
      </c>
      <c r="AF501" s="21" t="s">
        <v>1328</v>
      </c>
      <c r="AG501" s="21" t="s">
        <v>244</v>
      </c>
      <c r="AH501" s="138" t="s">
        <v>578</v>
      </c>
      <c r="AI501" s="21" t="s">
        <v>133</v>
      </c>
      <c r="AJ501" s="141" t="s">
        <v>133</v>
      </c>
      <c r="AN501" s="21" t="s">
        <v>396</v>
      </c>
      <c r="AO501" s="21" t="s">
        <v>396</v>
      </c>
      <c r="AP501" s="21" t="s">
        <v>178</v>
      </c>
      <c r="AQ501" s="21">
        <v>0</v>
      </c>
      <c r="AR501" s="21">
        <v>0</v>
      </c>
      <c r="AS501" s="21" t="s">
        <v>178</v>
      </c>
      <c r="AT501" s="21" t="s">
        <v>161</v>
      </c>
      <c r="AU501" s="21">
        <v>4</v>
      </c>
      <c r="AW501" s="21" t="s">
        <v>336</v>
      </c>
      <c r="AY501" s="21">
        <f t="shared" ref="AY501" si="137">(6.5+1.8)*1000</f>
        <v>8300</v>
      </c>
      <c r="AZ501" s="21">
        <f t="shared" ref="AZ501" si="138">AY501/(175+47)</f>
        <v>37.387387387387385</v>
      </c>
      <c r="BA501" s="54" t="s">
        <v>408</v>
      </c>
      <c r="BM501" s="396"/>
      <c r="BN501" s="396"/>
      <c r="BR501" s="396"/>
      <c r="BS501" s="396"/>
      <c r="BW501" s="21">
        <v>4.3230000000000004</v>
      </c>
      <c r="BX501" s="21">
        <v>5.14</v>
      </c>
      <c r="CA501" s="21" t="s">
        <v>407</v>
      </c>
      <c r="GM501" s="12"/>
      <c r="GQ501" s="12"/>
      <c r="IO501" s="21" t="s">
        <v>410</v>
      </c>
      <c r="IP501" s="21" t="s">
        <v>715</v>
      </c>
    </row>
    <row r="502" spans="1:250" s="21" customFormat="1" x14ac:dyDescent="0.25">
      <c r="A502" s="21">
        <v>26</v>
      </c>
      <c r="B502" s="21" t="s">
        <v>392</v>
      </c>
      <c r="C502" s="21" t="s">
        <v>393</v>
      </c>
      <c r="D502" s="21">
        <v>2015</v>
      </c>
      <c r="E502" s="21">
        <v>2012</v>
      </c>
      <c r="F502" s="21" t="s">
        <v>297</v>
      </c>
      <c r="G502" s="21" t="s">
        <v>395</v>
      </c>
      <c r="H502" s="32" t="s">
        <v>2831</v>
      </c>
      <c r="I502" s="21">
        <f t="shared" si="101"/>
        <v>35.22</v>
      </c>
      <c r="J502" s="21">
        <f t="shared" si="102"/>
        <v>-77.650000000000006</v>
      </c>
      <c r="K502" s="21">
        <v>22.4</v>
      </c>
      <c r="Q502" s="43">
        <v>1</v>
      </c>
      <c r="R502" s="43">
        <v>1</v>
      </c>
      <c r="S502" s="43"/>
      <c r="T502" s="43" t="s">
        <v>399</v>
      </c>
      <c r="U502" s="43" t="s">
        <v>1386</v>
      </c>
      <c r="V502" s="43" t="s">
        <v>1724</v>
      </c>
      <c r="W502" s="43" t="s">
        <v>1386</v>
      </c>
      <c r="X502" s="43" t="s">
        <v>1386</v>
      </c>
      <c r="Z502" s="322"/>
      <c r="AA502" s="322"/>
      <c r="AB502" s="21" t="s">
        <v>140</v>
      </c>
      <c r="AF502" s="21" t="s">
        <v>1328</v>
      </c>
      <c r="AG502" s="21" t="s">
        <v>397</v>
      </c>
      <c r="AH502" s="138" t="s">
        <v>578</v>
      </c>
      <c r="AI502" s="21" t="s">
        <v>133</v>
      </c>
      <c r="AJ502" s="141" t="s">
        <v>133</v>
      </c>
      <c r="AN502" s="21" t="s">
        <v>406</v>
      </c>
      <c r="AO502" s="21" t="s">
        <v>406</v>
      </c>
      <c r="AP502" s="21" t="s">
        <v>178</v>
      </c>
      <c r="AQ502" s="21">
        <v>0</v>
      </c>
      <c r="AR502" s="21">
        <v>0</v>
      </c>
      <c r="AS502" s="21" t="s">
        <v>178</v>
      </c>
      <c r="AT502" s="21" t="s">
        <v>161</v>
      </c>
      <c r="AU502" s="21">
        <v>4</v>
      </c>
      <c r="AW502" s="21" t="s">
        <v>336</v>
      </c>
      <c r="AY502" s="21">
        <f t="shared" ref="AY502" si="139">(6.1+1.6)*1000</f>
        <v>7699.9999999999991</v>
      </c>
      <c r="AZ502" s="21">
        <f t="shared" ref="AZ502" si="140">AY502/(170+36)</f>
        <v>37.378640776699022</v>
      </c>
      <c r="BA502" s="54" t="s">
        <v>409</v>
      </c>
      <c r="BM502" s="396"/>
      <c r="BN502" s="396"/>
      <c r="BR502" s="396"/>
      <c r="BS502" s="396"/>
      <c r="BW502" s="21">
        <v>4.133</v>
      </c>
      <c r="BX502" s="21">
        <v>6.9059999999999997</v>
      </c>
      <c r="CA502" s="21" t="s">
        <v>407</v>
      </c>
      <c r="GM502" s="12"/>
      <c r="GQ502" s="12"/>
      <c r="IO502" s="21" t="s">
        <v>410</v>
      </c>
      <c r="IP502" s="21" t="s">
        <v>715</v>
      </c>
    </row>
    <row r="503" spans="1:250" s="21" customFormat="1" x14ac:dyDescent="0.25">
      <c r="A503" s="21">
        <v>26</v>
      </c>
      <c r="B503" s="21" t="s">
        <v>392</v>
      </c>
      <c r="C503" s="21" t="s">
        <v>393</v>
      </c>
      <c r="D503" s="21">
        <v>2015</v>
      </c>
      <c r="E503" s="21">
        <v>2012</v>
      </c>
      <c r="F503" s="21" t="s">
        <v>297</v>
      </c>
      <c r="G503" s="21" t="s">
        <v>395</v>
      </c>
      <c r="H503" s="32" t="s">
        <v>2831</v>
      </c>
      <c r="I503" s="21">
        <f t="shared" si="101"/>
        <v>35.22</v>
      </c>
      <c r="J503" s="21">
        <f t="shared" si="102"/>
        <v>-77.650000000000006</v>
      </c>
      <c r="K503" s="21">
        <v>22.4</v>
      </c>
      <c r="Q503" s="43">
        <v>1</v>
      </c>
      <c r="R503" s="43">
        <v>1</v>
      </c>
      <c r="S503" s="43"/>
      <c r="T503" s="43" t="s">
        <v>399</v>
      </c>
      <c r="U503" s="43" t="s">
        <v>1386</v>
      </c>
      <c r="V503" s="43" t="s">
        <v>1724</v>
      </c>
      <c r="W503" s="43" t="s">
        <v>1386</v>
      </c>
      <c r="X503" s="43" t="s">
        <v>1386</v>
      </c>
      <c r="Z503" s="322"/>
      <c r="AA503" s="322"/>
      <c r="AB503" s="21" t="s">
        <v>140</v>
      </c>
      <c r="AF503" s="21" t="s">
        <v>1328</v>
      </c>
      <c r="AG503" s="21" t="s">
        <v>398</v>
      </c>
      <c r="AH503" s="138" t="s">
        <v>578</v>
      </c>
      <c r="AI503" s="21" t="s">
        <v>133</v>
      </c>
      <c r="AJ503" s="141" t="s">
        <v>133</v>
      </c>
      <c r="AN503" s="21" t="s">
        <v>406</v>
      </c>
      <c r="AO503" s="21" t="s">
        <v>406</v>
      </c>
      <c r="AP503" s="21" t="s">
        <v>178</v>
      </c>
      <c r="AQ503" s="21">
        <v>0</v>
      </c>
      <c r="AR503" s="21">
        <v>0</v>
      </c>
      <c r="AS503" s="21" t="s">
        <v>178</v>
      </c>
      <c r="AT503" s="21" t="s">
        <v>161</v>
      </c>
      <c r="AU503" s="21">
        <v>4</v>
      </c>
      <c r="AW503" s="21" t="s">
        <v>336</v>
      </c>
      <c r="AY503" s="21">
        <f t="shared" ref="AY503" si="141">(6.4+1.9)*1000</f>
        <v>8300</v>
      </c>
      <c r="AZ503" s="21">
        <f t="shared" ref="AZ503" si="142">AY503/(110+27)</f>
        <v>60.583941605839414</v>
      </c>
      <c r="BA503" s="54" t="s">
        <v>409</v>
      </c>
      <c r="BM503" s="396"/>
      <c r="BN503" s="396"/>
      <c r="BR503" s="396"/>
      <c r="BS503" s="396"/>
      <c r="BW503" s="21">
        <v>4.133</v>
      </c>
      <c r="BX503" s="21">
        <v>6.9059999999999997</v>
      </c>
      <c r="CA503" s="21" t="s">
        <v>407</v>
      </c>
      <c r="GM503" s="12"/>
      <c r="GQ503" s="12"/>
      <c r="IO503" s="21" t="s">
        <v>410</v>
      </c>
      <c r="IP503" s="21" t="s">
        <v>715</v>
      </c>
    </row>
    <row r="504" spans="1:250" s="21" customFormat="1" x14ac:dyDescent="0.25">
      <c r="A504" s="21">
        <v>26</v>
      </c>
      <c r="B504" s="21" t="s">
        <v>392</v>
      </c>
      <c r="C504" s="21" t="s">
        <v>393</v>
      </c>
      <c r="D504" s="21">
        <v>2015</v>
      </c>
      <c r="E504" s="21">
        <v>2012</v>
      </c>
      <c r="F504" s="21" t="s">
        <v>297</v>
      </c>
      <c r="G504" s="21" t="s">
        <v>395</v>
      </c>
      <c r="H504" s="32" t="s">
        <v>2831</v>
      </c>
      <c r="I504" s="21">
        <f t="shared" si="101"/>
        <v>35.22</v>
      </c>
      <c r="J504" s="21">
        <f t="shared" si="102"/>
        <v>-77.650000000000006</v>
      </c>
      <c r="K504" s="21">
        <v>22.4</v>
      </c>
      <c r="Q504" s="43">
        <v>1</v>
      </c>
      <c r="R504" s="43">
        <v>1</v>
      </c>
      <c r="S504" s="43"/>
      <c r="T504" s="43" t="s">
        <v>399</v>
      </c>
      <c r="U504" s="43" t="s">
        <v>1386</v>
      </c>
      <c r="V504" s="43" t="s">
        <v>1724</v>
      </c>
      <c r="W504" s="43" t="s">
        <v>1386</v>
      </c>
      <c r="X504" s="43" t="s">
        <v>1386</v>
      </c>
      <c r="Z504" s="322"/>
      <c r="AA504" s="322"/>
      <c r="AB504" s="21" t="s">
        <v>140</v>
      </c>
      <c r="AF504" s="21" t="s">
        <v>1328</v>
      </c>
      <c r="AG504" s="21" t="s">
        <v>244</v>
      </c>
      <c r="AH504" s="138" t="s">
        <v>578</v>
      </c>
      <c r="AI504" s="21" t="s">
        <v>133</v>
      </c>
      <c r="AJ504" s="141" t="s">
        <v>133</v>
      </c>
      <c r="AN504" s="21" t="s">
        <v>406</v>
      </c>
      <c r="AO504" s="21" t="s">
        <v>406</v>
      </c>
      <c r="AP504" s="21" t="s">
        <v>178</v>
      </c>
      <c r="AQ504" s="21">
        <v>0</v>
      </c>
      <c r="AR504" s="21">
        <v>0</v>
      </c>
      <c r="AS504" s="21" t="s">
        <v>178</v>
      </c>
      <c r="AT504" s="21" t="s">
        <v>161</v>
      </c>
      <c r="AU504" s="21">
        <v>4</v>
      </c>
      <c r="AW504" s="21" t="s">
        <v>336</v>
      </c>
      <c r="AY504" s="21">
        <f t="shared" ref="AY504" si="143">(6.5+1.8)*1000</f>
        <v>8300</v>
      </c>
      <c r="AZ504" s="21">
        <f t="shared" ref="AZ504" si="144">AY504/(175+47)</f>
        <v>37.387387387387385</v>
      </c>
      <c r="BA504" s="54" t="s">
        <v>409</v>
      </c>
      <c r="BM504" s="396"/>
      <c r="BN504" s="396"/>
      <c r="BR504" s="396"/>
      <c r="BS504" s="396"/>
      <c r="BW504" s="21">
        <v>4.133</v>
      </c>
      <c r="BX504" s="21">
        <v>6.9059999999999997</v>
      </c>
      <c r="CA504" s="21" t="s">
        <v>407</v>
      </c>
      <c r="GM504" s="12"/>
      <c r="GQ504" s="12"/>
      <c r="IO504" s="21" t="s">
        <v>410</v>
      </c>
      <c r="IP504" s="21" t="s">
        <v>715</v>
      </c>
    </row>
    <row r="505" spans="1:250" s="21" customFormat="1" x14ac:dyDescent="0.25">
      <c r="A505" s="21">
        <v>26</v>
      </c>
      <c r="B505" s="21" t="s">
        <v>392</v>
      </c>
      <c r="C505" s="21" t="s">
        <v>393</v>
      </c>
      <c r="D505" s="21">
        <v>2015</v>
      </c>
      <c r="E505" s="21">
        <v>2012</v>
      </c>
      <c r="F505" s="21" t="s">
        <v>297</v>
      </c>
      <c r="G505" s="21" t="s">
        <v>395</v>
      </c>
      <c r="H505" s="32" t="s">
        <v>2831</v>
      </c>
      <c r="I505" s="21">
        <f t="shared" si="101"/>
        <v>35.22</v>
      </c>
      <c r="J505" s="21">
        <f t="shared" si="102"/>
        <v>-77.650000000000006</v>
      </c>
      <c r="K505" s="21">
        <v>22.4</v>
      </c>
      <c r="Q505" s="43">
        <v>1</v>
      </c>
      <c r="R505" s="43">
        <v>1</v>
      </c>
      <c r="S505" s="43"/>
      <c r="T505" s="43" t="s">
        <v>400</v>
      </c>
      <c r="U505" s="43" t="s">
        <v>1386</v>
      </c>
      <c r="V505" s="43" t="s">
        <v>1724</v>
      </c>
      <c r="W505" s="43" t="s">
        <v>1386</v>
      </c>
      <c r="X505" s="43" t="s">
        <v>1386</v>
      </c>
      <c r="Z505" s="322"/>
      <c r="AA505" s="322"/>
      <c r="AB505" s="21" t="s">
        <v>140</v>
      </c>
      <c r="AF505" s="21" t="s">
        <v>1328</v>
      </c>
      <c r="AG505" s="21" t="s">
        <v>397</v>
      </c>
      <c r="AH505" s="138" t="s">
        <v>578</v>
      </c>
      <c r="AI505" s="21" t="s">
        <v>133</v>
      </c>
      <c r="AJ505" s="141" t="s">
        <v>133</v>
      </c>
      <c r="AN505" s="21" t="s">
        <v>406</v>
      </c>
      <c r="AO505" s="21" t="s">
        <v>406</v>
      </c>
      <c r="AP505" s="21" t="s">
        <v>178</v>
      </c>
      <c r="AQ505" s="21">
        <v>0</v>
      </c>
      <c r="AR505" s="21">
        <v>0</v>
      </c>
      <c r="AS505" s="21" t="s">
        <v>178</v>
      </c>
      <c r="AT505" s="21" t="s">
        <v>161</v>
      </c>
      <c r="AU505" s="21">
        <v>4</v>
      </c>
      <c r="AW505" s="21" t="s">
        <v>336</v>
      </c>
      <c r="AY505" s="21">
        <f t="shared" ref="AY505" si="145">(6.1+1.6)*1000</f>
        <v>7699.9999999999991</v>
      </c>
      <c r="AZ505" s="21">
        <f t="shared" ref="AZ505" si="146">AY505/(170+36)</f>
        <v>37.378640776699022</v>
      </c>
      <c r="BA505" s="54" t="s">
        <v>409</v>
      </c>
      <c r="BM505" s="396"/>
      <c r="BN505" s="396"/>
      <c r="BR505" s="396"/>
      <c r="BS505" s="396"/>
      <c r="BW505" s="21">
        <v>2.2469999999999999</v>
      </c>
      <c r="BX505" s="21">
        <v>3.8780000000000001</v>
      </c>
      <c r="CA505" s="21" t="s">
        <v>407</v>
      </c>
      <c r="GM505" s="12"/>
      <c r="GQ505" s="12"/>
      <c r="IO505" s="21" t="s">
        <v>410</v>
      </c>
      <c r="IP505" s="21" t="s">
        <v>715</v>
      </c>
    </row>
    <row r="506" spans="1:250" s="21" customFormat="1" x14ac:dyDescent="0.25">
      <c r="A506" s="21">
        <v>26</v>
      </c>
      <c r="B506" s="21" t="s">
        <v>392</v>
      </c>
      <c r="C506" s="21" t="s">
        <v>393</v>
      </c>
      <c r="D506" s="21">
        <v>2015</v>
      </c>
      <c r="E506" s="21">
        <v>2012</v>
      </c>
      <c r="F506" s="21" t="s">
        <v>297</v>
      </c>
      <c r="G506" s="21" t="s">
        <v>395</v>
      </c>
      <c r="H506" s="32" t="s">
        <v>2831</v>
      </c>
      <c r="I506" s="21">
        <f t="shared" si="101"/>
        <v>35.22</v>
      </c>
      <c r="J506" s="21">
        <f t="shared" si="102"/>
        <v>-77.650000000000006</v>
      </c>
      <c r="K506" s="21">
        <v>22.4</v>
      </c>
      <c r="Q506" s="43">
        <v>1</v>
      </c>
      <c r="R506" s="43">
        <v>1</v>
      </c>
      <c r="S506" s="43"/>
      <c r="T506" s="43" t="s">
        <v>400</v>
      </c>
      <c r="U506" s="43" t="s">
        <v>1386</v>
      </c>
      <c r="V506" s="43" t="s">
        <v>1724</v>
      </c>
      <c r="W506" s="43" t="s">
        <v>1386</v>
      </c>
      <c r="X506" s="43" t="s">
        <v>1386</v>
      </c>
      <c r="Z506" s="322"/>
      <c r="AA506" s="322"/>
      <c r="AB506" s="21" t="s">
        <v>140</v>
      </c>
      <c r="AF506" s="21" t="s">
        <v>1328</v>
      </c>
      <c r="AG506" s="21" t="s">
        <v>398</v>
      </c>
      <c r="AH506" s="138" t="s">
        <v>578</v>
      </c>
      <c r="AI506" s="21" t="s">
        <v>133</v>
      </c>
      <c r="AJ506" s="141" t="s">
        <v>133</v>
      </c>
      <c r="AN506" s="21" t="s">
        <v>406</v>
      </c>
      <c r="AO506" s="21" t="s">
        <v>406</v>
      </c>
      <c r="AP506" s="21" t="s">
        <v>178</v>
      </c>
      <c r="AQ506" s="21">
        <v>0</v>
      </c>
      <c r="AR506" s="21">
        <v>0</v>
      </c>
      <c r="AS506" s="21" t="s">
        <v>178</v>
      </c>
      <c r="AT506" s="21" t="s">
        <v>161</v>
      </c>
      <c r="AU506" s="21">
        <v>4</v>
      </c>
      <c r="AW506" s="21" t="s">
        <v>336</v>
      </c>
      <c r="AY506" s="21">
        <f t="shared" ref="AY506" si="147">(6.4+1.9)*1000</f>
        <v>8300</v>
      </c>
      <c r="AZ506" s="21">
        <f t="shared" ref="AZ506" si="148">AY506/(110+27)</f>
        <v>60.583941605839414</v>
      </c>
      <c r="BA506" s="54" t="s">
        <v>409</v>
      </c>
      <c r="BM506" s="396"/>
      <c r="BN506" s="396"/>
      <c r="BR506" s="396"/>
      <c r="BS506" s="396"/>
      <c r="BW506" s="21">
        <v>2.2469999999999999</v>
      </c>
      <c r="BX506" s="21">
        <v>3.8780000000000001</v>
      </c>
      <c r="CA506" s="21" t="s">
        <v>407</v>
      </c>
      <c r="GM506" s="12"/>
      <c r="GQ506" s="12"/>
      <c r="IO506" s="21" t="s">
        <v>410</v>
      </c>
      <c r="IP506" s="21" t="s">
        <v>715</v>
      </c>
    </row>
    <row r="507" spans="1:250" s="21" customFormat="1" x14ac:dyDescent="0.25">
      <c r="A507" s="21">
        <v>26</v>
      </c>
      <c r="B507" s="21" t="s">
        <v>392</v>
      </c>
      <c r="C507" s="21" t="s">
        <v>393</v>
      </c>
      <c r="D507" s="21">
        <v>2015</v>
      </c>
      <c r="E507" s="21">
        <v>2012</v>
      </c>
      <c r="F507" s="21" t="s">
        <v>297</v>
      </c>
      <c r="G507" s="21" t="s">
        <v>395</v>
      </c>
      <c r="H507" s="32" t="s">
        <v>2831</v>
      </c>
      <c r="I507" s="21">
        <f t="shared" si="101"/>
        <v>35.22</v>
      </c>
      <c r="J507" s="21">
        <f t="shared" si="102"/>
        <v>-77.650000000000006</v>
      </c>
      <c r="K507" s="21">
        <v>22.4</v>
      </c>
      <c r="Q507" s="43">
        <v>1</v>
      </c>
      <c r="R507" s="43">
        <v>1</v>
      </c>
      <c r="S507" s="43"/>
      <c r="T507" s="43" t="s">
        <v>400</v>
      </c>
      <c r="U507" s="43" t="s">
        <v>1386</v>
      </c>
      <c r="V507" s="43" t="s">
        <v>1724</v>
      </c>
      <c r="W507" s="43" t="s">
        <v>1386</v>
      </c>
      <c r="X507" s="43" t="s">
        <v>1386</v>
      </c>
      <c r="Z507" s="322"/>
      <c r="AA507" s="322"/>
      <c r="AB507" s="21" t="s">
        <v>140</v>
      </c>
      <c r="AF507" s="21" t="s">
        <v>1328</v>
      </c>
      <c r="AG507" s="21" t="s">
        <v>244</v>
      </c>
      <c r="AH507" s="138" t="s">
        <v>578</v>
      </c>
      <c r="AI507" s="21" t="s">
        <v>133</v>
      </c>
      <c r="AJ507" s="141" t="s">
        <v>133</v>
      </c>
      <c r="AN507" s="21" t="s">
        <v>406</v>
      </c>
      <c r="AO507" s="21" t="s">
        <v>406</v>
      </c>
      <c r="AP507" s="21" t="s">
        <v>178</v>
      </c>
      <c r="AQ507" s="21">
        <v>0</v>
      </c>
      <c r="AR507" s="21">
        <v>0</v>
      </c>
      <c r="AS507" s="21" t="s">
        <v>178</v>
      </c>
      <c r="AT507" s="21" t="s">
        <v>161</v>
      </c>
      <c r="AU507" s="21">
        <v>4</v>
      </c>
      <c r="AW507" s="21" t="s">
        <v>336</v>
      </c>
      <c r="AY507" s="21">
        <f t="shared" ref="AY507" si="149">(6.5+1.8)*1000</f>
        <v>8300</v>
      </c>
      <c r="AZ507" s="21">
        <f t="shared" ref="AZ507" si="150">AY507/(175+47)</f>
        <v>37.387387387387385</v>
      </c>
      <c r="BA507" s="54" t="s">
        <v>409</v>
      </c>
      <c r="BM507" s="396"/>
      <c r="BN507" s="396"/>
      <c r="BR507" s="396"/>
      <c r="BS507" s="396"/>
      <c r="BW507" s="21">
        <v>2.2469999999999999</v>
      </c>
      <c r="BX507" s="21">
        <v>3.8780000000000001</v>
      </c>
      <c r="CA507" s="21" t="s">
        <v>407</v>
      </c>
      <c r="GM507" s="12"/>
      <c r="GQ507" s="12"/>
      <c r="IO507" s="21" t="s">
        <v>410</v>
      </c>
      <c r="IP507" s="21" t="s">
        <v>715</v>
      </c>
    </row>
    <row r="508" spans="1:250" s="21" customFormat="1" x14ac:dyDescent="0.25">
      <c r="A508" s="21">
        <v>26</v>
      </c>
      <c r="B508" s="21" t="s">
        <v>392</v>
      </c>
      <c r="C508" s="21" t="s">
        <v>393</v>
      </c>
      <c r="D508" s="21">
        <v>2015</v>
      </c>
      <c r="E508" s="21">
        <v>2012</v>
      </c>
      <c r="F508" s="21" t="s">
        <v>297</v>
      </c>
      <c r="G508" s="21" t="s">
        <v>395</v>
      </c>
      <c r="H508" s="32" t="s">
        <v>2831</v>
      </c>
      <c r="I508" s="21">
        <f t="shared" si="101"/>
        <v>35.22</v>
      </c>
      <c r="J508" s="21">
        <f t="shared" si="102"/>
        <v>-77.650000000000006</v>
      </c>
      <c r="K508" s="21">
        <v>22.4</v>
      </c>
      <c r="Q508" s="43">
        <v>1</v>
      </c>
      <c r="R508" s="43">
        <v>1</v>
      </c>
      <c r="S508" s="43"/>
      <c r="T508" s="43" t="s">
        <v>401</v>
      </c>
      <c r="U508" s="43" t="s">
        <v>1386</v>
      </c>
      <c r="V508" s="43" t="s">
        <v>1724</v>
      </c>
      <c r="W508" s="43" t="s">
        <v>1386</v>
      </c>
      <c r="X508" s="43" t="s">
        <v>1386</v>
      </c>
      <c r="Z508" s="322"/>
      <c r="AA508" s="322"/>
      <c r="AB508" s="21" t="s">
        <v>140</v>
      </c>
      <c r="AF508" s="21" t="s">
        <v>1328</v>
      </c>
      <c r="AG508" s="21" t="s">
        <v>397</v>
      </c>
      <c r="AH508" s="138" t="s">
        <v>578</v>
      </c>
      <c r="AI508" s="21" t="s">
        <v>133</v>
      </c>
      <c r="AJ508" s="141" t="s">
        <v>133</v>
      </c>
      <c r="AN508" s="21" t="s">
        <v>406</v>
      </c>
      <c r="AO508" s="21" t="s">
        <v>406</v>
      </c>
      <c r="AP508" s="21" t="s">
        <v>178</v>
      </c>
      <c r="AQ508" s="21">
        <v>0</v>
      </c>
      <c r="AR508" s="21">
        <v>0</v>
      </c>
      <c r="AS508" s="21" t="s">
        <v>178</v>
      </c>
      <c r="AT508" s="21" t="s">
        <v>161</v>
      </c>
      <c r="AU508" s="21">
        <v>4</v>
      </c>
      <c r="AW508" s="21" t="s">
        <v>336</v>
      </c>
      <c r="AY508" s="21">
        <f t="shared" ref="AY508" si="151">(6.1+1.6)*1000</f>
        <v>7699.9999999999991</v>
      </c>
      <c r="AZ508" s="21">
        <f t="shared" ref="AZ508" si="152">AY508/(170+36)</f>
        <v>37.378640776699022</v>
      </c>
      <c r="BA508" s="54" t="s">
        <v>409</v>
      </c>
      <c r="BM508" s="396"/>
      <c r="BN508" s="396"/>
      <c r="BR508" s="396"/>
      <c r="BS508" s="396"/>
      <c r="BW508" s="21">
        <v>2.7269999999999999</v>
      </c>
      <c r="BX508" s="21">
        <v>3.8690000000000002</v>
      </c>
      <c r="CA508" s="21" t="s">
        <v>407</v>
      </c>
      <c r="GM508" s="12"/>
      <c r="GQ508" s="12"/>
      <c r="IO508" s="21" t="s">
        <v>410</v>
      </c>
      <c r="IP508" s="21" t="s">
        <v>715</v>
      </c>
    </row>
    <row r="509" spans="1:250" s="21" customFormat="1" x14ac:dyDescent="0.25">
      <c r="A509" s="21">
        <v>26</v>
      </c>
      <c r="B509" s="21" t="s">
        <v>392</v>
      </c>
      <c r="C509" s="21" t="s">
        <v>393</v>
      </c>
      <c r="D509" s="21">
        <v>2015</v>
      </c>
      <c r="E509" s="21">
        <v>2012</v>
      </c>
      <c r="F509" s="21" t="s">
        <v>297</v>
      </c>
      <c r="G509" s="21" t="s">
        <v>395</v>
      </c>
      <c r="H509" s="32" t="s">
        <v>2831</v>
      </c>
      <c r="I509" s="21">
        <f t="shared" si="101"/>
        <v>35.22</v>
      </c>
      <c r="J509" s="21">
        <f t="shared" si="102"/>
        <v>-77.650000000000006</v>
      </c>
      <c r="K509" s="21">
        <v>22.4</v>
      </c>
      <c r="Q509" s="43">
        <v>1</v>
      </c>
      <c r="R509" s="43">
        <v>1</v>
      </c>
      <c r="S509" s="43"/>
      <c r="T509" s="43" t="s">
        <v>401</v>
      </c>
      <c r="U509" s="43" t="s">
        <v>1386</v>
      </c>
      <c r="V509" s="43" t="s">
        <v>1724</v>
      </c>
      <c r="W509" s="43" t="s">
        <v>1386</v>
      </c>
      <c r="X509" s="43" t="s">
        <v>1386</v>
      </c>
      <c r="Z509" s="322"/>
      <c r="AA509" s="322"/>
      <c r="AB509" s="21" t="s">
        <v>140</v>
      </c>
      <c r="AF509" s="21" t="s">
        <v>1328</v>
      </c>
      <c r="AG509" s="21" t="s">
        <v>398</v>
      </c>
      <c r="AH509" s="138" t="s">
        <v>578</v>
      </c>
      <c r="AI509" s="21" t="s">
        <v>133</v>
      </c>
      <c r="AJ509" s="141" t="s">
        <v>133</v>
      </c>
      <c r="AN509" s="21" t="s">
        <v>406</v>
      </c>
      <c r="AO509" s="21" t="s">
        <v>406</v>
      </c>
      <c r="AP509" s="21" t="s">
        <v>178</v>
      </c>
      <c r="AQ509" s="21">
        <v>0</v>
      </c>
      <c r="AR509" s="21">
        <v>0</v>
      </c>
      <c r="AS509" s="21" t="s">
        <v>178</v>
      </c>
      <c r="AT509" s="21" t="s">
        <v>161</v>
      </c>
      <c r="AU509" s="21">
        <v>4</v>
      </c>
      <c r="AW509" s="21" t="s">
        <v>336</v>
      </c>
      <c r="AY509" s="21">
        <f t="shared" ref="AY509" si="153">(6.4+1.9)*1000</f>
        <v>8300</v>
      </c>
      <c r="AZ509" s="21">
        <f t="shared" ref="AZ509" si="154">AY509/(110+27)</f>
        <v>60.583941605839414</v>
      </c>
      <c r="BA509" s="54" t="s">
        <v>409</v>
      </c>
      <c r="BM509" s="396"/>
      <c r="BN509" s="396"/>
      <c r="BR509" s="396"/>
      <c r="BS509" s="396"/>
      <c r="BW509" s="21">
        <v>2.7269999999999999</v>
      </c>
      <c r="BX509" s="21">
        <v>3.8690000000000002</v>
      </c>
      <c r="CA509" s="21" t="s">
        <v>407</v>
      </c>
      <c r="GM509" s="12"/>
      <c r="GQ509" s="12"/>
      <c r="IO509" s="21" t="s">
        <v>410</v>
      </c>
      <c r="IP509" s="21" t="s">
        <v>715</v>
      </c>
    </row>
    <row r="510" spans="1:250" s="21" customFormat="1" x14ac:dyDescent="0.25">
      <c r="A510" s="21">
        <v>26</v>
      </c>
      <c r="B510" s="21" t="s">
        <v>392</v>
      </c>
      <c r="C510" s="21" t="s">
        <v>393</v>
      </c>
      <c r="D510" s="21">
        <v>2015</v>
      </c>
      <c r="E510" s="21">
        <v>2012</v>
      </c>
      <c r="F510" s="21" t="s">
        <v>297</v>
      </c>
      <c r="G510" s="21" t="s">
        <v>395</v>
      </c>
      <c r="H510" s="32" t="s">
        <v>2831</v>
      </c>
      <c r="I510" s="21">
        <f t="shared" si="101"/>
        <v>35.22</v>
      </c>
      <c r="J510" s="21">
        <f t="shared" si="102"/>
        <v>-77.650000000000006</v>
      </c>
      <c r="K510" s="21">
        <v>22.4</v>
      </c>
      <c r="Q510" s="43">
        <v>1</v>
      </c>
      <c r="R510" s="43">
        <v>1</v>
      </c>
      <c r="S510" s="43"/>
      <c r="T510" s="43" t="s">
        <v>401</v>
      </c>
      <c r="U510" s="43" t="s">
        <v>1386</v>
      </c>
      <c r="V510" s="43" t="s">
        <v>1724</v>
      </c>
      <c r="W510" s="43" t="s">
        <v>1386</v>
      </c>
      <c r="X510" s="43" t="s">
        <v>1386</v>
      </c>
      <c r="Z510" s="322"/>
      <c r="AA510" s="322"/>
      <c r="AB510" s="21" t="s">
        <v>140</v>
      </c>
      <c r="AF510" s="21" t="s">
        <v>1328</v>
      </c>
      <c r="AG510" s="21" t="s">
        <v>244</v>
      </c>
      <c r="AH510" s="138" t="s">
        <v>578</v>
      </c>
      <c r="AI510" s="21" t="s">
        <v>133</v>
      </c>
      <c r="AJ510" s="141" t="s">
        <v>133</v>
      </c>
      <c r="AN510" s="21" t="s">
        <v>406</v>
      </c>
      <c r="AO510" s="21" t="s">
        <v>406</v>
      </c>
      <c r="AP510" s="21" t="s">
        <v>178</v>
      </c>
      <c r="AQ510" s="21">
        <v>0</v>
      </c>
      <c r="AR510" s="21">
        <v>0</v>
      </c>
      <c r="AS510" s="21" t="s">
        <v>178</v>
      </c>
      <c r="AT510" s="21" t="s">
        <v>161</v>
      </c>
      <c r="AU510" s="21">
        <v>4</v>
      </c>
      <c r="AW510" s="21" t="s">
        <v>336</v>
      </c>
      <c r="AY510" s="21">
        <f t="shared" ref="AY510" si="155">(6.5+1.8)*1000</f>
        <v>8300</v>
      </c>
      <c r="AZ510" s="21">
        <f t="shared" ref="AZ510" si="156">AY510/(175+47)</f>
        <v>37.387387387387385</v>
      </c>
      <c r="BA510" s="54" t="s">
        <v>409</v>
      </c>
      <c r="BM510" s="396"/>
      <c r="BN510" s="396"/>
      <c r="BR510" s="396"/>
      <c r="BS510" s="396"/>
      <c r="BW510" s="21">
        <v>2.7269999999999999</v>
      </c>
      <c r="BX510" s="21">
        <v>3.8690000000000002</v>
      </c>
      <c r="CA510" s="21" t="s">
        <v>407</v>
      </c>
      <c r="GM510" s="12"/>
      <c r="GQ510" s="12"/>
      <c r="IO510" s="21" t="s">
        <v>410</v>
      </c>
      <c r="IP510" s="21" t="s">
        <v>715</v>
      </c>
    </row>
    <row r="511" spans="1:250" s="21" customFormat="1" x14ac:dyDescent="0.25">
      <c r="A511" s="21">
        <v>26</v>
      </c>
      <c r="B511" s="21" t="s">
        <v>392</v>
      </c>
      <c r="C511" s="21" t="s">
        <v>393</v>
      </c>
      <c r="D511" s="21">
        <v>2015</v>
      </c>
      <c r="E511" s="21">
        <v>2012</v>
      </c>
      <c r="F511" s="21" t="s">
        <v>297</v>
      </c>
      <c r="G511" s="21" t="s">
        <v>395</v>
      </c>
      <c r="H511" s="32" t="s">
        <v>2831</v>
      </c>
      <c r="I511" s="21">
        <f t="shared" si="101"/>
        <v>35.22</v>
      </c>
      <c r="J511" s="21">
        <f t="shared" si="102"/>
        <v>-77.650000000000006</v>
      </c>
      <c r="K511" s="21">
        <v>22.4</v>
      </c>
      <c r="Q511" s="43">
        <v>1</v>
      </c>
      <c r="R511" s="43">
        <v>1</v>
      </c>
      <c r="S511" s="43"/>
      <c r="T511" s="43" t="s">
        <v>402</v>
      </c>
      <c r="U511" s="43" t="s">
        <v>1386</v>
      </c>
      <c r="V511" s="43" t="s">
        <v>1724</v>
      </c>
      <c r="W511" s="43" t="s">
        <v>1386</v>
      </c>
      <c r="X511" s="43" t="s">
        <v>1386</v>
      </c>
      <c r="Z511" s="322"/>
      <c r="AA511" s="322"/>
      <c r="AB511" s="21" t="s">
        <v>140</v>
      </c>
      <c r="AF511" s="21" t="s">
        <v>1328</v>
      </c>
      <c r="AG511" s="21" t="s">
        <v>397</v>
      </c>
      <c r="AH511" s="138" t="s">
        <v>578</v>
      </c>
      <c r="AI511" s="21" t="s">
        <v>133</v>
      </c>
      <c r="AJ511" s="141" t="s">
        <v>133</v>
      </c>
      <c r="AN511" s="21" t="s">
        <v>406</v>
      </c>
      <c r="AO511" s="21" t="s">
        <v>406</v>
      </c>
      <c r="AP511" s="21" t="s">
        <v>178</v>
      </c>
      <c r="AQ511" s="21">
        <v>0</v>
      </c>
      <c r="AR511" s="21">
        <v>0</v>
      </c>
      <c r="AS511" s="21" t="s">
        <v>178</v>
      </c>
      <c r="AT511" s="21" t="s">
        <v>161</v>
      </c>
      <c r="AU511" s="21">
        <v>4</v>
      </c>
      <c r="AW511" s="21" t="s">
        <v>336</v>
      </c>
      <c r="AY511" s="21">
        <f t="shared" ref="AY511" si="157">(6.1+1.6)*1000</f>
        <v>7699.9999999999991</v>
      </c>
      <c r="AZ511" s="21">
        <f t="shared" ref="AZ511" si="158">AY511/(170+36)</f>
        <v>37.378640776699022</v>
      </c>
      <c r="BA511" s="54" t="s">
        <v>409</v>
      </c>
      <c r="BM511" s="396"/>
      <c r="BN511" s="396"/>
      <c r="BR511" s="396"/>
      <c r="BS511" s="396"/>
      <c r="BW511" s="21">
        <v>4.8380000000000001</v>
      </c>
      <c r="BX511" s="21">
        <v>5.7350000000000003</v>
      </c>
      <c r="CA511" s="21" t="s">
        <v>407</v>
      </c>
      <c r="GM511" s="12"/>
      <c r="GQ511" s="12"/>
      <c r="IO511" s="21" t="s">
        <v>410</v>
      </c>
      <c r="IP511" s="21" t="s">
        <v>715</v>
      </c>
    </row>
    <row r="512" spans="1:250" s="21" customFormat="1" x14ac:dyDescent="0.25">
      <c r="A512" s="21">
        <v>26</v>
      </c>
      <c r="B512" s="21" t="s">
        <v>392</v>
      </c>
      <c r="C512" s="21" t="s">
        <v>393</v>
      </c>
      <c r="D512" s="21">
        <v>2015</v>
      </c>
      <c r="E512" s="21">
        <v>2012</v>
      </c>
      <c r="F512" s="21" t="s">
        <v>297</v>
      </c>
      <c r="G512" s="21" t="s">
        <v>395</v>
      </c>
      <c r="H512" s="32" t="s">
        <v>2831</v>
      </c>
      <c r="I512" s="21">
        <f t="shared" si="101"/>
        <v>35.22</v>
      </c>
      <c r="J512" s="21">
        <f t="shared" si="102"/>
        <v>-77.650000000000006</v>
      </c>
      <c r="K512" s="21">
        <v>22.4</v>
      </c>
      <c r="Q512" s="43">
        <v>1</v>
      </c>
      <c r="R512" s="43">
        <v>1</v>
      </c>
      <c r="S512" s="43"/>
      <c r="T512" s="43" t="s">
        <v>402</v>
      </c>
      <c r="U512" s="43" t="s">
        <v>1386</v>
      </c>
      <c r="V512" s="43" t="s">
        <v>1724</v>
      </c>
      <c r="W512" s="43" t="s">
        <v>1386</v>
      </c>
      <c r="X512" s="43" t="s">
        <v>1386</v>
      </c>
      <c r="Z512" s="322"/>
      <c r="AA512" s="322"/>
      <c r="AB512" s="21" t="s">
        <v>140</v>
      </c>
      <c r="AF512" s="21" t="s">
        <v>1328</v>
      </c>
      <c r="AG512" s="21" t="s">
        <v>398</v>
      </c>
      <c r="AH512" s="138" t="s">
        <v>578</v>
      </c>
      <c r="AI512" s="21" t="s">
        <v>133</v>
      </c>
      <c r="AJ512" s="141" t="s">
        <v>133</v>
      </c>
      <c r="AN512" s="21" t="s">
        <v>406</v>
      </c>
      <c r="AO512" s="21" t="s">
        <v>406</v>
      </c>
      <c r="AP512" s="21" t="s">
        <v>178</v>
      </c>
      <c r="AQ512" s="21">
        <v>0</v>
      </c>
      <c r="AR512" s="21">
        <v>0</v>
      </c>
      <c r="AS512" s="21" t="s">
        <v>178</v>
      </c>
      <c r="AT512" s="21" t="s">
        <v>161</v>
      </c>
      <c r="AU512" s="21">
        <v>4</v>
      </c>
      <c r="AW512" s="21" t="s">
        <v>336</v>
      </c>
      <c r="AY512" s="21">
        <f t="shared" ref="AY512" si="159">(6.4+1.9)*1000</f>
        <v>8300</v>
      </c>
      <c r="AZ512" s="21">
        <f t="shared" ref="AZ512" si="160">AY512/(110+27)</f>
        <v>60.583941605839414</v>
      </c>
      <c r="BA512" s="54" t="s">
        <v>409</v>
      </c>
      <c r="BM512" s="396"/>
      <c r="BN512" s="396"/>
      <c r="BR512" s="396"/>
      <c r="BS512" s="396"/>
      <c r="BW512" s="21">
        <v>4.8380000000000001</v>
      </c>
      <c r="BX512" s="21">
        <v>5.7350000000000003</v>
      </c>
      <c r="CA512" s="21" t="s">
        <v>407</v>
      </c>
      <c r="GM512" s="12"/>
      <c r="GQ512" s="12"/>
      <c r="IO512" s="21" t="s">
        <v>410</v>
      </c>
      <c r="IP512" s="21" t="s">
        <v>715</v>
      </c>
    </row>
    <row r="513" spans="1:250" s="21" customFormat="1" x14ac:dyDescent="0.25">
      <c r="A513" s="21">
        <v>26</v>
      </c>
      <c r="B513" s="21" t="s">
        <v>392</v>
      </c>
      <c r="C513" s="21" t="s">
        <v>393</v>
      </c>
      <c r="D513" s="21">
        <v>2015</v>
      </c>
      <c r="E513" s="21">
        <v>2012</v>
      </c>
      <c r="F513" s="21" t="s">
        <v>297</v>
      </c>
      <c r="G513" s="21" t="s">
        <v>395</v>
      </c>
      <c r="H513" s="32" t="s">
        <v>2831</v>
      </c>
      <c r="I513" s="21">
        <f t="shared" si="101"/>
        <v>35.22</v>
      </c>
      <c r="J513" s="21">
        <f t="shared" si="102"/>
        <v>-77.650000000000006</v>
      </c>
      <c r="K513" s="21">
        <v>22.4</v>
      </c>
      <c r="Q513" s="43">
        <v>1</v>
      </c>
      <c r="R513" s="43">
        <v>1</v>
      </c>
      <c r="S513" s="43"/>
      <c r="T513" s="43" t="s">
        <v>402</v>
      </c>
      <c r="U513" s="43" t="s">
        <v>1386</v>
      </c>
      <c r="V513" s="43" t="s">
        <v>1724</v>
      </c>
      <c r="W513" s="43" t="s">
        <v>1386</v>
      </c>
      <c r="X513" s="43" t="s">
        <v>1386</v>
      </c>
      <c r="Z513" s="322"/>
      <c r="AA513" s="322"/>
      <c r="AB513" s="21" t="s">
        <v>140</v>
      </c>
      <c r="AF513" s="21" t="s">
        <v>1328</v>
      </c>
      <c r="AG513" s="21" t="s">
        <v>244</v>
      </c>
      <c r="AH513" s="138" t="s">
        <v>578</v>
      </c>
      <c r="AI513" s="21" t="s">
        <v>133</v>
      </c>
      <c r="AJ513" s="141" t="s">
        <v>133</v>
      </c>
      <c r="AN513" s="21" t="s">
        <v>406</v>
      </c>
      <c r="AO513" s="21" t="s">
        <v>406</v>
      </c>
      <c r="AP513" s="21" t="s">
        <v>178</v>
      </c>
      <c r="AQ513" s="21">
        <v>0</v>
      </c>
      <c r="AR513" s="21">
        <v>0</v>
      </c>
      <c r="AS513" s="21" t="s">
        <v>178</v>
      </c>
      <c r="AT513" s="21" t="s">
        <v>161</v>
      </c>
      <c r="AU513" s="21">
        <v>4</v>
      </c>
      <c r="AW513" s="21" t="s">
        <v>336</v>
      </c>
      <c r="AY513" s="21">
        <f t="shared" ref="AY513" si="161">(6.5+1.8)*1000</f>
        <v>8300</v>
      </c>
      <c r="AZ513" s="21">
        <f t="shared" ref="AZ513" si="162">AY513/(175+47)</f>
        <v>37.387387387387385</v>
      </c>
      <c r="BA513" s="54" t="s">
        <v>409</v>
      </c>
      <c r="BM513" s="396"/>
      <c r="BN513" s="396"/>
      <c r="BR513" s="396"/>
      <c r="BS513" s="396"/>
      <c r="BW513" s="21">
        <v>4.8380000000000001</v>
      </c>
      <c r="BX513" s="21">
        <v>5.7350000000000003</v>
      </c>
      <c r="CA513" s="21" t="s">
        <v>407</v>
      </c>
      <c r="GM513" s="12"/>
      <c r="GQ513" s="12"/>
      <c r="IO513" s="21" t="s">
        <v>410</v>
      </c>
      <c r="IP513" s="21" t="s">
        <v>715</v>
      </c>
    </row>
    <row r="514" spans="1:250" s="21" customFormat="1" x14ac:dyDescent="0.25">
      <c r="A514" s="21">
        <v>26</v>
      </c>
      <c r="B514" s="21" t="s">
        <v>392</v>
      </c>
      <c r="C514" s="21" t="s">
        <v>393</v>
      </c>
      <c r="D514" s="21">
        <v>2015</v>
      </c>
      <c r="E514" s="21">
        <v>2012</v>
      </c>
      <c r="F514" s="21" t="s">
        <v>297</v>
      </c>
      <c r="G514" s="21" t="s">
        <v>395</v>
      </c>
      <c r="H514" s="32" t="s">
        <v>2831</v>
      </c>
      <c r="I514" s="21">
        <f t="shared" si="101"/>
        <v>35.22</v>
      </c>
      <c r="J514" s="21">
        <f t="shared" si="102"/>
        <v>-77.650000000000006</v>
      </c>
      <c r="K514" s="21">
        <v>22.4</v>
      </c>
      <c r="Q514" s="43">
        <v>1</v>
      </c>
      <c r="R514" s="43">
        <v>1</v>
      </c>
      <c r="S514" s="43"/>
      <c r="T514" s="43" t="s">
        <v>403</v>
      </c>
      <c r="U514" s="43" t="s">
        <v>1386</v>
      </c>
      <c r="V514" s="43" t="s">
        <v>1724</v>
      </c>
      <c r="W514" s="43" t="s">
        <v>1386</v>
      </c>
      <c r="X514" s="43" t="s">
        <v>1386</v>
      </c>
      <c r="Z514" s="322"/>
      <c r="AA514" s="322"/>
      <c r="AB514" s="21" t="s">
        <v>140</v>
      </c>
      <c r="AF514" s="21" t="s">
        <v>1328</v>
      </c>
      <c r="AG514" s="21" t="s">
        <v>397</v>
      </c>
      <c r="AH514" s="138" t="s">
        <v>578</v>
      </c>
      <c r="AI514" s="21" t="s">
        <v>133</v>
      </c>
      <c r="AJ514" s="141" t="s">
        <v>133</v>
      </c>
      <c r="AN514" s="21" t="s">
        <v>406</v>
      </c>
      <c r="AO514" s="21" t="s">
        <v>406</v>
      </c>
      <c r="AP514" s="21" t="s">
        <v>178</v>
      </c>
      <c r="AQ514" s="21">
        <v>0</v>
      </c>
      <c r="AR514" s="21">
        <v>0</v>
      </c>
      <c r="AS514" s="21" t="s">
        <v>178</v>
      </c>
      <c r="AT514" s="21" t="s">
        <v>161</v>
      </c>
      <c r="AU514" s="21">
        <v>4</v>
      </c>
      <c r="AW514" s="21" t="s">
        <v>336</v>
      </c>
      <c r="AY514" s="21">
        <f t="shared" ref="AY514" si="163">(6.1+1.6)*1000</f>
        <v>7699.9999999999991</v>
      </c>
      <c r="AZ514" s="21">
        <f t="shared" ref="AZ514" si="164">AY514/(170+36)</f>
        <v>37.378640776699022</v>
      </c>
      <c r="BA514" s="54" t="s">
        <v>409</v>
      </c>
      <c r="BM514" s="396"/>
      <c r="BN514" s="396"/>
      <c r="BR514" s="396"/>
      <c r="BS514" s="396"/>
      <c r="BW514" s="21">
        <v>5.2370000000000001</v>
      </c>
      <c r="BX514" s="21">
        <v>6.38</v>
      </c>
      <c r="CA514" s="21" t="s">
        <v>407</v>
      </c>
      <c r="GM514" s="12"/>
      <c r="GQ514" s="12"/>
      <c r="IO514" s="21" t="s">
        <v>410</v>
      </c>
      <c r="IP514" s="21" t="s">
        <v>715</v>
      </c>
    </row>
    <row r="515" spans="1:250" s="21" customFormat="1" x14ac:dyDescent="0.25">
      <c r="A515" s="21">
        <v>26</v>
      </c>
      <c r="B515" s="21" t="s">
        <v>392</v>
      </c>
      <c r="C515" s="21" t="s">
        <v>393</v>
      </c>
      <c r="D515" s="21">
        <v>2015</v>
      </c>
      <c r="E515" s="21">
        <v>2012</v>
      </c>
      <c r="F515" s="21" t="s">
        <v>297</v>
      </c>
      <c r="G515" s="21" t="s">
        <v>395</v>
      </c>
      <c r="H515" s="32" t="s">
        <v>2831</v>
      </c>
      <c r="I515" s="21">
        <f t="shared" si="101"/>
        <v>35.22</v>
      </c>
      <c r="J515" s="21">
        <f t="shared" si="102"/>
        <v>-77.650000000000006</v>
      </c>
      <c r="K515" s="21">
        <v>22.4</v>
      </c>
      <c r="Q515" s="43">
        <v>1</v>
      </c>
      <c r="R515" s="43">
        <v>1</v>
      </c>
      <c r="S515" s="43"/>
      <c r="T515" s="43" t="s">
        <v>403</v>
      </c>
      <c r="U515" s="43" t="s">
        <v>1386</v>
      </c>
      <c r="V515" s="43" t="s">
        <v>1724</v>
      </c>
      <c r="W515" s="43" t="s">
        <v>1386</v>
      </c>
      <c r="X515" s="43" t="s">
        <v>1386</v>
      </c>
      <c r="Z515" s="322"/>
      <c r="AA515" s="322"/>
      <c r="AB515" s="21" t="s">
        <v>140</v>
      </c>
      <c r="AF515" s="21" t="s">
        <v>1328</v>
      </c>
      <c r="AG515" s="21" t="s">
        <v>398</v>
      </c>
      <c r="AH515" s="138" t="s">
        <v>578</v>
      </c>
      <c r="AI515" s="21" t="s">
        <v>133</v>
      </c>
      <c r="AJ515" s="141" t="s">
        <v>133</v>
      </c>
      <c r="AN515" s="21" t="s">
        <v>406</v>
      </c>
      <c r="AO515" s="21" t="s">
        <v>406</v>
      </c>
      <c r="AP515" s="21" t="s">
        <v>178</v>
      </c>
      <c r="AQ515" s="21">
        <v>0</v>
      </c>
      <c r="AR515" s="21">
        <v>0</v>
      </c>
      <c r="AS515" s="21" t="s">
        <v>178</v>
      </c>
      <c r="AT515" s="21" t="s">
        <v>161</v>
      </c>
      <c r="AU515" s="21">
        <v>4</v>
      </c>
      <c r="AW515" s="21" t="s">
        <v>336</v>
      </c>
      <c r="AY515" s="21">
        <f t="shared" ref="AY515" si="165">(6.4+1.9)*1000</f>
        <v>8300</v>
      </c>
      <c r="AZ515" s="21">
        <f t="shared" ref="AZ515" si="166">AY515/(110+27)</f>
        <v>60.583941605839414</v>
      </c>
      <c r="BA515" s="54" t="s">
        <v>409</v>
      </c>
      <c r="BM515" s="396"/>
      <c r="BN515" s="396"/>
      <c r="BR515" s="396"/>
      <c r="BS515" s="396"/>
      <c r="BW515" s="21">
        <v>5.2370000000000001</v>
      </c>
      <c r="BX515" s="21">
        <v>6.38</v>
      </c>
      <c r="CA515" s="21" t="s">
        <v>407</v>
      </c>
      <c r="GM515" s="12"/>
      <c r="GQ515" s="12"/>
      <c r="IO515" s="21" t="s">
        <v>410</v>
      </c>
      <c r="IP515" s="21" t="s">
        <v>715</v>
      </c>
    </row>
    <row r="516" spans="1:250" s="21" customFormat="1" x14ac:dyDescent="0.25">
      <c r="A516" s="21">
        <v>26</v>
      </c>
      <c r="B516" s="21" t="s">
        <v>392</v>
      </c>
      <c r="C516" s="21" t="s">
        <v>393</v>
      </c>
      <c r="D516" s="21">
        <v>2015</v>
      </c>
      <c r="E516" s="21">
        <v>2012</v>
      </c>
      <c r="F516" s="21" t="s">
        <v>297</v>
      </c>
      <c r="G516" s="21" t="s">
        <v>395</v>
      </c>
      <c r="H516" s="32" t="s">
        <v>2831</v>
      </c>
      <c r="I516" s="21">
        <f t="shared" si="101"/>
        <v>35.22</v>
      </c>
      <c r="J516" s="21">
        <f t="shared" si="102"/>
        <v>-77.650000000000006</v>
      </c>
      <c r="K516" s="21">
        <v>22.4</v>
      </c>
      <c r="Q516" s="43">
        <v>1</v>
      </c>
      <c r="R516" s="43">
        <v>1</v>
      </c>
      <c r="S516" s="43"/>
      <c r="T516" s="43" t="s">
        <v>403</v>
      </c>
      <c r="U516" s="43" t="s">
        <v>1386</v>
      </c>
      <c r="V516" s="43" t="s">
        <v>1724</v>
      </c>
      <c r="W516" s="43" t="s">
        <v>1386</v>
      </c>
      <c r="X516" s="43" t="s">
        <v>1386</v>
      </c>
      <c r="Z516" s="322"/>
      <c r="AA516" s="322"/>
      <c r="AB516" s="21" t="s">
        <v>140</v>
      </c>
      <c r="AF516" s="21" t="s">
        <v>1328</v>
      </c>
      <c r="AG516" s="21" t="s">
        <v>244</v>
      </c>
      <c r="AH516" s="138" t="s">
        <v>578</v>
      </c>
      <c r="AI516" s="21" t="s">
        <v>133</v>
      </c>
      <c r="AJ516" s="141" t="s">
        <v>133</v>
      </c>
      <c r="AN516" s="21" t="s">
        <v>406</v>
      </c>
      <c r="AO516" s="21" t="s">
        <v>406</v>
      </c>
      <c r="AP516" s="21" t="s">
        <v>178</v>
      </c>
      <c r="AQ516" s="21">
        <v>0</v>
      </c>
      <c r="AR516" s="21">
        <v>0</v>
      </c>
      <c r="AS516" s="21" t="s">
        <v>178</v>
      </c>
      <c r="AT516" s="21" t="s">
        <v>161</v>
      </c>
      <c r="AU516" s="21">
        <v>4</v>
      </c>
      <c r="AW516" s="21" t="s">
        <v>336</v>
      </c>
      <c r="AY516" s="21">
        <f t="shared" ref="AY516" si="167">(6.5+1.8)*1000</f>
        <v>8300</v>
      </c>
      <c r="AZ516" s="21">
        <f t="shared" ref="AZ516" si="168">AY516/(175+47)</f>
        <v>37.387387387387385</v>
      </c>
      <c r="BA516" s="54" t="s">
        <v>409</v>
      </c>
      <c r="BM516" s="396"/>
      <c r="BN516" s="396"/>
      <c r="BR516" s="396"/>
      <c r="BS516" s="396"/>
      <c r="BW516" s="21">
        <v>5.2370000000000001</v>
      </c>
      <c r="BX516" s="21">
        <v>6.38</v>
      </c>
      <c r="CA516" s="21" t="s">
        <v>407</v>
      </c>
      <c r="GM516" s="12"/>
      <c r="GQ516" s="12"/>
      <c r="IO516" s="21" t="s">
        <v>410</v>
      </c>
      <c r="IP516" s="21" t="s">
        <v>715</v>
      </c>
    </row>
    <row r="517" spans="1:250" s="21" customFormat="1" x14ac:dyDescent="0.25">
      <c r="A517" s="21">
        <v>26</v>
      </c>
      <c r="B517" s="21" t="s">
        <v>392</v>
      </c>
      <c r="C517" s="21" t="s">
        <v>393</v>
      </c>
      <c r="D517" s="21">
        <v>2015</v>
      </c>
      <c r="E517" s="21">
        <v>2012</v>
      </c>
      <c r="F517" s="21" t="s">
        <v>297</v>
      </c>
      <c r="G517" s="21" t="s">
        <v>395</v>
      </c>
      <c r="H517" s="32" t="s">
        <v>2831</v>
      </c>
      <c r="I517" s="21">
        <f t="shared" si="101"/>
        <v>35.22</v>
      </c>
      <c r="J517" s="21">
        <f t="shared" si="102"/>
        <v>-77.650000000000006</v>
      </c>
      <c r="K517" s="21">
        <v>22.4</v>
      </c>
      <c r="Q517" s="43">
        <v>1</v>
      </c>
      <c r="R517" s="43">
        <v>1</v>
      </c>
      <c r="S517" s="43"/>
      <c r="T517" s="43" t="s">
        <v>404</v>
      </c>
      <c r="U517" s="43" t="s">
        <v>1386</v>
      </c>
      <c r="V517" s="43" t="s">
        <v>1724</v>
      </c>
      <c r="W517" s="43" t="s">
        <v>1386</v>
      </c>
      <c r="X517" s="43" t="s">
        <v>1386</v>
      </c>
      <c r="Z517" s="322"/>
      <c r="AA517" s="322"/>
      <c r="AB517" s="21" t="s">
        <v>140</v>
      </c>
      <c r="AF517" s="21" t="s">
        <v>1328</v>
      </c>
      <c r="AG517" s="21" t="s">
        <v>397</v>
      </c>
      <c r="AH517" s="138" t="s">
        <v>578</v>
      </c>
      <c r="AI517" s="21" t="s">
        <v>133</v>
      </c>
      <c r="AJ517" s="141" t="s">
        <v>133</v>
      </c>
      <c r="AN517" s="21" t="s">
        <v>406</v>
      </c>
      <c r="AO517" s="21" t="s">
        <v>406</v>
      </c>
      <c r="AP517" s="21" t="s">
        <v>178</v>
      </c>
      <c r="AQ517" s="21">
        <v>0</v>
      </c>
      <c r="AR517" s="21">
        <v>0</v>
      </c>
      <c r="AS517" s="21" t="s">
        <v>178</v>
      </c>
      <c r="AT517" s="21" t="s">
        <v>161</v>
      </c>
      <c r="AU517" s="21">
        <v>4</v>
      </c>
      <c r="AW517" s="21" t="s">
        <v>336</v>
      </c>
      <c r="AY517" s="21">
        <f t="shared" ref="AY517" si="169">(6.1+1.6)*1000</f>
        <v>7699.9999999999991</v>
      </c>
      <c r="AZ517" s="21">
        <f t="shared" ref="AZ517" si="170">AY517/(170+36)</f>
        <v>37.378640776699022</v>
      </c>
      <c r="BA517" s="54" t="s">
        <v>409</v>
      </c>
      <c r="BM517" s="396"/>
      <c r="BN517" s="396"/>
      <c r="BR517" s="396"/>
      <c r="BS517" s="396"/>
      <c r="BW517" s="21">
        <v>3.5859999999999999</v>
      </c>
      <c r="BX517" s="21">
        <v>4.0750000000000002</v>
      </c>
      <c r="CA517" s="21" t="s">
        <v>407</v>
      </c>
      <c r="GM517" s="12"/>
      <c r="GQ517" s="12"/>
      <c r="IO517" s="21" t="s">
        <v>410</v>
      </c>
      <c r="IP517" s="21" t="s">
        <v>715</v>
      </c>
    </row>
    <row r="518" spans="1:250" s="21" customFormat="1" x14ac:dyDescent="0.25">
      <c r="A518" s="21">
        <v>26</v>
      </c>
      <c r="B518" s="21" t="s">
        <v>392</v>
      </c>
      <c r="C518" s="21" t="s">
        <v>393</v>
      </c>
      <c r="D518" s="21">
        <v>2015</v>
      </c>
      <c r="E518" s="21">
        <v>2012</v>
      </c>
      <c r="F518" s="21" t="s">
        <v>297</v>
      </c>
      <c r="G518" s="21" t="s">
        <v>395</v>
      </c>
      <c r="H518" s="32" t="s">
        <v>2831</v>
      </c>
      <c r="I518" s="21">
        <f t="shared" si="101"/>
        <v>35.22</v>
      </c>
      <c r="J518" s="21">
        <f t="shared" si="102"/>
        <v>-77.650000000000006</v>
      </c>
      <c r="K518" s="21">
        <v>22.4</v>
      </c>
      <c r="Q518" s="43">
        <v>1</v>
      </c>
      <c r="R518" s="43">
        <v>1</v>
      </c>
      <c r="S518" s="43"/>
      <c r="T518" s="43" t="s">
        <v>404</v>
      </c>
      <c r="U518" s="43" t="s">
        <v>1386</v>
      </c>
      <c r="V518" s="43" t="s">
        <v>1724</v>
      </c>
      <c r="W518" s="43" t="s">
        <v>1386</v>
      </c>
      <c r="X518" s="43" t="s">
        <v>1386</v>
      </c>
      <c r="Z518" s="322"/>
      <c r="AA518" s="322"/>
      <c r="AB518" s="21" t="s">
        <v>140</v>
      </c>
      <c r="AF518" s="21" t="s">
        <v>1328</v>
      </c>
      <c r="AG518" s="21" t="s">
        <v>398</v>
      </c>
      <c r="AH518" s="138" t="s">
        <v>578</v>
      </c>
      <c r="AI518" s="21" t="s">
        <v>133</v>
      </c>
      <c r="AJ518" s="141" t="s">
        <v>133</v>
      </c>
      <c r="AN518" s="21" t="s">
        <v>406</v>
      </c>
      <c r="AO518" s="21" t="s">
        <v>406</v>
      </c>
      <c r="AP518" s="21" t="s">
        <v>178</v>
      </c>
      <c r="AQ518" s="21">
        <v>0</v>
      </c>
      <c r="AR518" s="21">
        <v>0</v>
      </c>
      <c r="AS518" s="21" t="s">
        <v>178</v>
      </c>
      <c r="AT518" s="21" t="s">
        <v>161</v>
      </c>
      <c r="AU518" s="21">
        <v>4</v>
      </c>
      <c r="AW518" s="21" t="s">
        <v>336</v>
      </c>
      <c r="AY518" s="21">
        <f t="shared" ref="AY518" si="171">(6.4+1.9)*1000</f>
        <v>8300</v>
      </c>
      <c r="AZ518" s="21">
        <f t="shared" ref="AZ518" si="172">AY518/(110+27)</f>
        <v>60.583941605839414</v>
      </c>
      <c r="BA518" s="54" t="s">
        <v>409</v>
      </c>
      <c r="BM518" s="396"/>
      <c r="BN518" s="396"/>
      <c r="BR518" s="396"/>
      <c r="BS518" s="396"/>
      <c r="BW518" s="21">
        <v>3.5859999999999999</v>
      </c>
      <c r="BX518" s="21">
        <v>2.2799999999999998</v>
      </c>
      <c r="CA518" s="21" t="s">
        <v>407</v>
      </c>
      <c r="GM518" s="12"/>
      <c r="GQ518" s="12"/>
      <c r="IO518" s="21" t="s">
        <v>410</v>
      </c>
      <c r="IP518" s="21" t="s">
        <v>715</v>
      </c>
    </row>
    <row r="519" spans="1:250" s="21" customFormat="1" x14ac:dyDescent="0.25">
      <c r="A519" s="21">
        <v>26</v>
      </c>
      <c r="B519" s="21" t="s">
        <v>392</v>
      </c>
      <c r="C519" s="21" t="s">
        <v>393</v>
      </c>
      <c r="D519" s="21">
        <v>2015</v>
      </c>
      <c r="E519" s="21">
        <v>2012</v>
      </c>
      <c r="F519" s="21" t="s">
        <v>297</v>
      </c>
      <c r="G519" s="21" t="s">
        <v>395</v>
      </c>
      <c r="H519" s="32" t="s">
        <v>2831</v>
      </c>
      <c r="I519" s="21">
        <f t="shared" si="101"/>
        <v>35.22</v>
      </c>
      <c r="J519" s="21">
        <f t="shared" si="102"/>
        <v>-77.650000000000006</v>
      </c>
      <c r="K519" s="21">
        <v>22.4</v>
      </c>
      <c r="Q519" s="43">
        <v>1</v>
      </c>
      <c r="R519" s="43">
        <v>1</v>
      </c>
      <c r="S519" s="43"/>
      <c r="T519" s="43" t="s">
        <v>404</v>
      </c>
      <c r="U519" s="43" t="s">
        <v>1386</v>
      </c>
      <c r="V519" s="43" t="s">
        <v>1724</v>
      </c>
      <c r="W519" s="43" t="s">
        <v>1386</v>
      </c>
      <c r="X519" s="43" t="s">
        <v>1386</v>
      </c>
      <c r="Z519" s="322"/>
      <c r="AA519" s="322"/>
      <c r="AB519" s="21" t="s">
        <v>140</v>
      </c>
      <c r="AF519" s="21" t="s">
        <v>1328</v>
      </c>
      <c r="AG519" s="21" t="s">
        <v>244</v>
      </c>
      <c r="AH519" s="138" t="s">
        <v>578</v>
      </c>
      <c r="AI519" s="21" t="s">
        <v>133</v>
      </c>
      <c r="AJ519" s="141" t="s">
        <v>133</v>
      </c>
      <c r="AN519" s="21" t="s">
        <v>406</v>
      </c>
      <c r="AO519" s="21" t="s">
        <v>406</v>
      </c>
      <c r="AP519" s="21" t="s">
        <v>178</v>
      </c>
      <c r="AQ519" s="21">
        <v>0</v>
      </c>
      <c r="AR519" s="21">
        <v>0</v>
      </c>
      <c r="AS519" s="21" t="s">
        <v>178</v>
      </c>
      <c r="AT519" s="21" t="s">
        <v>161</v>
      </c>
      <c r="AU519" s="21">
        <v>4</v>
      </c>
      <c r="AW519" s="21" t="s">
        <v>336</v>
      </c>
      <c r="AY519" s="21">
        <f t="shared" ref="AY519" si="173">(6.5+1.8)*1000</f>
        <v>8300</v>
      </c>
      <c r="AZ519" s="21">
        <f t="shared" ref="AZ519" si="174">AY519/(175+47)</f>
        <v>37.387387387387385</v>
      </c>
      <c r="BA519" s="54" t="s">
        <v>409</v>
      </c>
      <c r="BM519" s="396"/>
      <c r="BN519" s="396"/>
      <c r="BR519" s="396"/>
      <c r="BS519" s="396"/>
      <c r="BW519" s="21">
        <v>3.5859999999999999</v>
      </c>
      <c r="BX519" s="21">
        <v>4.0750000000000002</v>
      </c>
      <c r="CA519" s="21" t="s">
        <v>407</v>
      </c>
      <c r="GM519" s="12"/>
      <c r="GQ519" s="12"/>
      <c r="IO519" s="21" t="s">
        <v>410</v>
      </c>
      <c r="IP519" s="21" t="s">
        <v>715</v>
      </c>
    </row>
    <row r="520" spans="1:250" s="21" customFormat="1" x14ac:dyDescent="0.25">
      <c r="A520" s="21">
        <v>26</v>
      </c>
      <c r="B520" s="21" t="s">
        <v>392</v>
      </c>
      <c r="C520" s="21" t="s">
        <v>393</v>
      </c>
      <c r="D520" s="21">
        <v>2015</v>
      </c>
      <c r="E520" s="21">
        <v>2012</v>
      </c>
      <c r="F520" s="21" t="s">
        <v>297</v>
      </c>
      <c r="G520" s="21" t="s">
        <v>395</v>
      </c>
      <c r="H520" s="32" t="s">
        <v>2831</v>
      </c>
      <c r="I520" s="21">
        <f t="shared" si="101"/>
        <v>35.22</v>
      </c>
      <c r="J520" s="21">
        <f t="shared" si="102"/>
        <v>-77.650000000000006</v>
      </c>
      <c r="K520" s="21">
        <v>22.4</v>
      </c>
      <c r="Q520" s="43">
        <v>1</v>
      </c>
      <c r="R520" s="43">
        <v>1</v>
      </c>
      <c r="S520" s="43"/>
      <c r="T520" s="43" t="s">
        <v>405</v>
      </c>
      <c r="U520" s="43" t="s">
        <v>1386</v>
      </c>
      <c r="V520" s="43" t="s">
        <v>1724</v>
      </c>
      <c r="W520" s="43" t="s">
        <v>1386</v>
      </c>
      <c r="X520" s="43" t="s">
        <v>1386</v>
      </c>
      <c r="Z520" s="322"/>
      <c r="AA520" s="322"/>
      <c r="AB520" s="21" t="s">
        <v>140</v>
      </c>
      <c r="AF520" s="21" t="s">
        <v>1328</v>
      </c>
      <c r="AG520" s="21" t="s">
        <v>397</v>
      </c>
      <c r="AH520" s="138" t="s">
        <v>578</v>
      </c>
      <c r="AI520" s="21" t="s">
        <v>133</v>
      </c>
      <c r="AJ520" s="141" t="s">
        <v>133</v>
      </c>
      <c r="AN520" s="21" t="s">
        <v>406</v>
      </c>
      <c r="AO520" s="21" t="s">
        <v>406</v>
      </c>
      <c r="AP520" s="21" t="s">
        <v>178</v>
      </c>
      <c r="AQ520" s="21">
        <v>0</v>
      </c>
      <c r="AR520" s="21">
        <v>0</v>
      </c>
      <c r="AS520" s="21" t="s">
        <v>178</v>
      </c>
      <c r="AT520" s="21" t="s">
        <v>161</v>
      </c>
      <c r="AU520" s="21">
        <v>4</v>
      </c>
      <c r="AW520" s="21" t="s">
        <v>336</v>
      </c>
      <c r="AY520" s="21">
        <f t="shared" ref="AY520" si="175">(6.1+1.6)*1000</f>
        <v>7699.9999999999991</v>
      </c>
      <c r="AZ520" s="21">
        <f t="shared" ref="AZ520" si="176">AY520/(170+36)</f>
        <v>37.378640776699022</v>
      </c>
      <c r="BA520" s="54" t="s">
        <v>409</v>
      </c>
      <c r="BM520" s="396"/>
      <c r="BN520" s="396"/>
      <c r="BR520" s="396"/>
      <c r="BS520" s="396"/>
      <c r="BW520" s="21">
        <v>6.4219999999999997</v>
      </c>
      <c r="BX520" s="21">
        <v>5.2</v>
      </c>
      <c r="CA520" s="21" t="s">
        <v>407</v>
      </c>
      <c r="GM520" s="12"/>
      <c r="GQ520" s="12"/>
      <c r="IO520" s="21" t="s">
        <v>410</v>
      </c>
      <c r="IP520" s="21" t="s">
        <v>715</v>
      </c>
    </row>
    <row r="521" spans="1:250" s="21" customFormat="1" x14ac:dyDescent="0.25">
      <c r="A521" s="21">
        <v>26</v>
      </c>
      <c r="B521" s="21" t="s">
        <v>392</v>
      </c>
      <c r="C521" s="21" t="s">
        <v>393</v>
      </c>
      <c r="D521" s="21">
        <v>2015</v>
      </c>
      <c r="E521" s="21">
        <v>2012</v>
      </c>
      <c r="F521" s="21" t="s">
        <v>297</v>
      </c>
      <c r="G521" s="21" t="s">
        <v>395</v>
      </c>
      <c r="H521" s="32" t="s">
        <v>2831</v>
      </c>
      <c r="I521" s="21">
        <f t="shared" si="101"/>
        <v>35.22</v>
      </c>
      <c r="J521" s="21">
        <f t="shared" si="102"/>
        <v>-77.650000000000006</v>
      </c>
      <c r="K521" s="21">
        <v>22.4</v>
      </c>
      <c r="Q521" s="43">
        <v>1</v>
      </c>
      <c r="R521" s="43">
        <v>1</v>
      </c>
      <c r="S521" s="43"/>
      <c r="T521" s="43" t="s">
        <v>405</v>
      </c>
      <c r="U521" s="43" t="s">
        <v>1386</v>
      </c>
      <c r="V521" s="43" t="s">
        <v>1724</v>
      </c>
      <c r="W521" s="43" t="s">
        <v>1386</v>
      </c>
      <c r="X521" s="43" t="s">
        <v>1386</v>
      </c>
      <c r="Z521" s="322"/>
      <c r="AA521" s="322"/>
      <c r="AB521" s="21" t="s">
        <v>140</v>
      </c>
      <c r="AF521" s="21" t="s">
        <v>1328</v>
      </c>
      <c r="AG521" s="21" t="s">
        <v>398</v>
      </c>
      <c r="AH521" s="138" t="s">
        <v>578</v>
      </c>
      <c r="AI521" s="21" t="s">
        <v>133</v>
      </c>
      <c r="AJ521" s="141" t="s">
        <v>133</v>
      </c>
      <c r="AN521" s="21" t="s">
        <v>406</v>
      </c>
      <c r="AO521" s="21" t="s">
        <v>406</v>
      </c>
      <c r="AP521" s="21" t="s">
        <v>178</v>
      </c>
      <c r="AQ521" s="21">
        <v>0</v>
      </c>
      <c r="AR521" s="21">
        <v>0</v>
      </c>
      <c r="AS521" s="21" t="s">
        <v>178</v>
      </c>
      <c r="AT521" s="21" t="s">
        <v>161</v>
      </c>
      <c r="AU521" s="21">
        <v>4</v>
      </c>
      <c r="AW521" s="21" t="s">
        <v>336</v>
      </c>
      <c r="AY521" s="21">
        <f t="shared" ref="AY521" si="177">(6.4+1.9)*1000</f>
        <v>8300</v>
      </c>
      <c r="AZ521" s="21">
        <f t="shared" ref="AZ521" si="178">AY521/(110+27)</f>
        <v>60.583941605839414</v>
      </c>
      <c r="BA521" s="54" t="s">
        <v>409</v>
      </c>
      <c r="BM521" s="396"/>
      <c r="BN521" s="396"/>
      <c r="BR521" s="396"/>
      <c r="BS521" s="396"/>
      <c r="BW521" s="21">
        <v>6.4219999999999997</v>
      </c>
      <c r="BX521" s="21">
        <v>4.1399999999999997</v>
      </c>
      <c r="CA521" s="21" t="s">
        <v>407</v>
      </c>
      <c r="GM521" s="12"/>
      <c r="GQ521" s="12"/>
      <c r="IO521" s="21" t="s">
        <v>410</v>
      </c>
      <c r="IP521" s="21" t="s">
        <v>715</v>
      </c>
    </row>
    <row r="522" spans="1:250" s="21" customFormat="1" x14ac:dyDescent="0.25">
      <c r="A522" s="21">
        <v>26</v>
      </c>
      <c r="B522" s="21" t="s">
        <v>392</v>
      </c>
      <c r="C522" s="21" t="s">
        <v>393</v>
      </c>
      <c r="D522" s="21">
        <v>2015</v>
      </c>
      <c r="E522" s="21">
        <v>2012</v>
      </c>
      <c r="F522" s="21" t="s">
        <v>297</v>
      </c>
      <c r="G522" s="21" t="s">
        <v>395</v>
      </c>
      <c r="H522" s="32" t="s">
        <v>2831</v>
      </c>
      <c r="I522" s="21">
        <f t="shared" si="101"/>
        <v>35.22</v>
      </c>
      <c r="J522" s="21">
        <f t="shared" si="102"/>
        <v>-77.650000000000006</v>
      </c>
      <c r="K522" s="21">
        <v>22.4</v>
      </c>
      <c r="Q522" s="43">
        <v>1</v>
      </c>
      <c r="R522" s="43">
        <v>1</v>
      </c>
      <c r="S522" s="43"/>
      <c r="T522" s="43" t="s">
        <v>405</v>
      </c>
      <c r="U522" s="43" t="s">
        <v>1386</v>
      </c>
      <c r="V522" s="43" t="s">
        <v>1724</v>
      </c>
      <c r="W522" s="43" t="s">
        <v>1386</v>
      </c>
      <c r="X522" s="43" t="s">
        <v>1386</v>
      </c>
      <c r="Z522" s="322"/>
      <c r="AA522" s="322"/>
      <c r="AB522" s="21" t="s">
        <v>140</v>
      </c>
      <c r="AF522" s="21" t="s">
        <v>1328</v>
      </c>
      <c r="AG522" s="21" t="s">
        <v>244</v>
      </c>
      <c r="AH522" s="138" t="s">
        <v>578</v>
      </c>
      <c r="AI522" s="21" t="s">
        <v>133</v>
      </c>
      <c r="AJ522" s="141" t="s">
        <v>133</v>
      </c>
      <c r="AN522" s="21" t="s">
        <v>406</v>
      </c>
      <c r="AO522" s="21" t="s">
        <v>406</v>
      </c>
      <c r="AP522" s="21" t="s">
        <v>178</v>
      </c>
      <c r="AQ522" s="21">
        <v>0</v>
      </c>
      <c r="AR522" s="21">
        <v>0</v>
      </c>
      <c r="AS522" s="21" t="s">
        <v>178</v>
      </c>
      <c r="AT522" s="21" t="s">
        <v>161</v>
      </c>
      <c r="AU522" s="21">
        <v>4</v>
      </c>
      <c r="AW522" s="21" t="s">
        <v>336</v>
      </c>
      <c r="AY522" s="21">
        <f t="shared" ref="AY522" si="179">(6.5+1.8)*1000</f>
        <v>8300</v>
      </c>
      <c r="AZ522" s="21">
        <f t="shared" ref="AZ522" si="180">AY522/(175+47)</f>
        <v>37.387387387387385</v>
      </c>
      <c r="BA522" s="54" t="s">
        <v>409</v>
      </c>
      <c r="BM522" s="396"/>
      <c r="BN522" s="396"/>
      <c r="BR522" s="396"/>
      <c r="BS522" s="396"/>
      <c r="BW522" s="21">
        <v>6.4219999999999997</v>
      </c>
      <c r="BX522" s="21">
        <v>6.58</v>
      </c>
      <c r="CA522" s="21" t="s">
        <v>407</v>
      </c>
      <c r="GM522" s="12"/>
      <c r="GQ522" s="12"/>
      <c r="IO522" s="21" t="s">
        <v>410</v>
      </c>
      <c r="IP522" s="21" t="s">
        <v>715</v>
      </c>
    </row>
    <row r="523" spans="1:250" s="35" customFormat="1" x14ac:dyDescent="0.25">
      <c r="A523" s="35">
        <v>27</v>
      </c>
      <c r="B523" s="35" t="s">
        <v>411</v>
      </c>
      <c r="C523" s="35" t="s">
        <v>412</v>
      </c>
      <c r="D523" s="35">
        <v>2017</v>
      </c>
      <c r="E523" s="35">
        <v>2008</v>
      </c>
      <c r="F523" s="35" t="s">
        <v>413</v>
      </c>
      <c r="G523" s="35" t="s">
        <v>414</v>
      </c>
      <c r="H523" s="32" t="s">
        <v>2831</v>
      </c>
      <c r="I523" s="35">
        <f t="shared" ref="I523:I528" si="181">42+52/60</f>
        <v>42.866666666666667</v>
      </c>
      <c r="J523" s="35">
        <f t="shared" ref="J523:J528" si="182">-76-33/60</f>
        <v>-76.55</v>
      </c>
      <c r="K523" s="35">
        <v>255.8</v>
      </c>
      <c r="O523" s="35">
        <v>979</v>
      </c>
      <c r="Q523" s="49">
        <v>5</v>
      </c>
      <c r="R523" s="49" t="s">
        <v>1726</v>
      </c>
      <c r="S523" s="49"/>
      <c r="T523" s="49" t="s">
        <v>1915</v>
      </c>
      <c r="U523" s="49" t="s">
        <v>1395</v>
      </c>
      <c r="V523" s="49" t="s">
        <v>1728</v>
      </c>
      <c r="W523" s="49" t="s">
        <v>1395</v>
      </c>
      <c r="X523" s="49" t="s">
        <v>1395</v>
      </c>
      <c r="Z523" s="329"/>
      <c r="AA523" s="329"/>
      <c r="AB523" s="35" t="s">
        <v>140</v>
      </c>
      <c r="AF523" s="35" t="s">
        <v>1329</v>
      </c>
      <c r="AG523" s="35" t="s">
        <v>636</v>
      </c>
      <c r="AH523" s="138" t="s">
        <v>636</v>
      </c>
      <c r="AI523" s="35" t="s">
        <v>221</v>
      </c>
      <c r="AJ523" s="140" t="s">
        <v>1617</v>
      </c>
      <c r="AK523" s="35" t="s">
        <v>415</v>
      </c>
      <c r="AL523" s="35" t="s">
        <v>415</v>
      </c>
      <c r="AM523" s="35" t="s">
        <v>178</v>
      </c>
      <c r="AQ523" s="35" t="s">
        <v>416</v>
      </c>
      <c r="AR523" s="35" t="s">
        <v>416</v>
      </c>
      <c r="AS523" s="35" t="s">
        <v>178</v>
      </c>
      <c r="AT523" s="35" t="s">
        <v>161</v>
      </c>
      <c r="AU523" s="35">
        <v>4</v>
      </c>
      <c r="AW523" s="35" t="s">
        <v>336</v>
      </c>
      <c r="BA523" s="53"/>
      <c r="BH523" s="35">
        <v>5611</v>
      </c>
      <c r="BI523" s="35">
        <v>5786</v>
      </c>
      <c r="BM523" s="405"/>
      <c r="BN523" s="405"/>
      <c r="BR523" s="405"/>
      <c r="BS523" s="405"/>
      <c r="FI523" s="35">
        <f>14.59*10</f>
        <v>145.9</v>
      </c>
      <c r="FJ523" s="35">
        <v>152</v>
      </c>
      <c r="GM523" s="12"/>
      <c r="GQ523" s="12"/>
    </row>
    <row r="524" spans="1:250" s="35" customFormat="1" x14ac:dyDescent="0.25">
      <c r="A524" s="35">
        <v>27</v>
      </c>
      <c r="B524" s="35" t="s">
        <v>411</v>
      </c>
      <c r="C524" s="35" t="s">
        <v>412</v>
      </c>
      <c r="D524" s="35">
        <v>2017</v>
      </c>
      <c r="E524" s="35">
        <v>2008</v>
      </c>
      <c r="F524" s="35" t="s">
        <v>413</v>
      </c>
      <c r="G524" s="35" t="s">
        <v>414</v>
      </c>
      <c r="H524" s="32" t="s">
        <v>2831</v>
      </c>
      <c r="I524" s="35">
        <f t="shared" si="181"/>
        <v>42.866666666666667</v>
      </c>
      <c r="J524" s="35">
        <f t="shared" si="182"/>
        <v>-76.55</v>
      </c>
      <c r="K524" s="35">
        <v>255.8</v>
      </c>
      <c r="O524" s="35">
        <v>979</v>
      </c>
      <c r="Q524" s="49">
        <v>5</v>
      </c>
      <c r="R524" s="49" t="s">
        <v>1726</v>
      </c>
      <c r="S524" s="49"/>
      <c r="T524" s="49" t="s">
        <v>1915</v>
      </c>
      <c r="U524" s="49" t="s">
        <v>1395</v>
      </c>
      <c r="V524" s="49" t="s">
        <v>1728</v>
      </c>
      <c r="W524" s="49" t="s">
        <v>1395</v>
      </c>
      <c r="X524" s="49" t="s">
        <v>1395</v>
      </c>
      <c r="Z524" s="329"/>
      <c r="AA524" s="329"/>
      <c r="AB524" s="35" t="s">
        <v>140</v>
      </c>
      <c r="AF524" s="35" t="s">
        <v>1329</v>
      </c>
      <c r="AG524" s="35" t="s">
        <v>636</v>
      </c>
      <c r="AH524" s="138" t="s">
        <v>636</v>
      </c>
      <c r="AI524" s="35" t="s">
        <v>221</v>
      </c>
      <c r="AJ524" s="140" t="s">
        <v>1617</v>
      </c>
      <c r="AK524" s="35" t="s">
        <v>415</v>
      </c>
      <c r="AL524" s="35" t="s">
        <v>415</v>
      </c>
      <c r="AM524" s="35" t="s">
        <v>178</v>
      </c>
      <c r="AQ524" s="35" t="s">
        <v>416</v>
      </c>
      <c r="AR524" s="35" t="s">
        <v>416</v>
      </c>
      <c r="AS524" s="35" t="s">
        <v>178</v>
      </c>
      <c r="AT524" s="35" t="s">
        <v>161</v>
      </c>
      <c r="AU524" s="35">
        <v>4</v>
      </c>
      <c r="AW524" s="35" t="s">
        <v>336</v>
      </c>
      <c r="BA524" s="53"/>
      <c r="BH524" s="35">
        <v>5611</v>
      </c>
      <c r="BI524" s="35">
        <v>6302</v>
      </c>
      <c r="BM524" s="405"/>
      <c r="BN524" s="405"/>
      <c r="BR524" s="405"/>
      <c r="BS524" s="405"/>
      <c r="FI524" s="35">
        <f t="shared" ref="FI524:FI525" si="183">14.59*10</f>
        <v>145.9</v>
      </c>
      <c r="FJ524" s="35">
        <v>47.9</v>
      </c>
      <c r="GM524" s="12"/>
      <c r="GQ524" s="12"/>
    </row>
    <row r="525" spans="1:250" s="35" customFormat="1" x14ac:dyDescent="0.25">
      <c r="A525" s="35">
        <v>27</v>
      </c>
      <c r="B525" s="35" t="s">
        <v>411</v>
      </c>
      <c r="C525" s="35" t="s">
        <v>412</v>
      </c>
      <c r="D525" s="35">
        <v>2017</v>
      </c>
      <c r="E525" s="35">
        <v>2008</v>
      </c>
      <c r="F525" s="35" t="s">
        <v>413</v>
      </c>
      <c r="G525" s="35" t="s">
        <v>414</v>
      </c>
      <c r="H525" s="32" t="s">
        <v>2831</v>
      </c>
      <c r="I525" s="35">
        <f t="shared" si="181"/>
        <v>42.866666666666667</v>
      </c>
      <c r="J525" s="35">
        <f t="shared" si="182"/>
        <v>-76.55</v>
      </c>
      <c r="K525" s="35">
        <v>255.8</v>
      </c>
      <c r="O525" s="35">
        <v>979</v>
      </c>
      <c r="Q525" s="49">
        <v>5</v>
      </c>
      <c r="R525" s="49" t="s">
        <v>1726</v>
      </c>
      <c r="S525" s="49"/>
      <c r="T525" s="49" t="s">
        <v>1915</v>
      </c>
      <c r="U525" s="49" t="s">
        <v>1395</v>
      </c>
      <c r="V525" s="49" t="s">
        <v>1728</v>
      </c>
      <c r="W525" s="49" t="s">
        <v>1395</v>
      </c>
      <c r="X525" s="49" t="s">
        <v>1395</v>
      </c>
      <c r="Z525" s="329"/>
      <c r="AA525" s="329"/>
      <c r="AB525" s="35" t="s">
        <v>140</v>
      </c>
      <c r="AF525" s="35" t="s">
        <v>1329</v>
      </c>
      <c r="AG525" s="35" t="s">
        <v>636</v>
      </c>
      <c r="AH525" s="138" t="s">
        <v>636</v>
      </c>
      <c r="AI525" s="35" t="s">
        <v>221</v>
      </c>
      <c r="AJ525" s="140" t="s">
        <v>1617</v>
      </c>
      <c r="AK525" s="35" t="s">
        <v>415</v>
      </c>
      <c r="AL525" s="35" t="s">
        <v>415</v>
      </c>
      <c r="AM525" s="35" t="s">
        <v>178</v>
      </c>
      <c r="AQ525" s="35" t="s">
        <v>416</v>
      </c>
      <c r="AR525" s="35" t="s">
        <v>416</v>
      </c>
      <c r="AS525" s="35" t="s">
        <v>178</v>
      </c>
      <c r="AT525" s="35" t="s">
        <v>161</v>
      </c>
      <c r="AU525" s="35">
        <v>4</v>
      </c>
      <c r="AW525" s="35" t="s">
        <v>336</v>
      </c>
      <c r="BA525" s="53"/>
      <c r="BH525" s="35">
        <v>5611</v>
      </c>
      <c r="BI525" s="35">
        <v>6477</v>
      </c>
      <c r="BM525" s="405"/>
      <c r="BN525" s="405"/>
      <c r="BR525" s="405"/>
      <c r="BS525" s="405"/>
      <c r="FI525" s="35">
        <f t="shared" si="183"/>
        <v>145.9</v>
      </c>
      <c r="FJ525" s="35">
        <v>136.9</v>
      </c>
      <c r="GM525" s="12"/>
      <c r="GQ525" s="12"/>
    </row>
    <row r="526" spans="1:250" s="5" customFormat="1" x14ac:dyDescent="0.25">
      <c r="A526" s="35">
        <v>27</v>
      </c>
      <c r="B526" s="35" t="s">
        <v>411</v>
      </c>
      <c r="C526" s="35" t="s">
        <v>412</v>
      </c>
      <c r="D526" s="35">
        <v>2017</v>
      </c>
      <c r="E526" s="35">
        <v>2008</v>
      </c>
      <c r="F526" s="35" t="s">
        <v>413</v>
      </c>
      <c r="G526" s="35" t="s">
        <v>414</v>
      </c>
      <c r="H526" s="32" t="s">
        <v>2831</v>
      </c>
      <c r="I526" s="35">
        <f t="shared" si="181"/>
        <v>42.866666666666667</v>
      </c>
      <c r="J526" s="35">
        <f t="shared" si="182"/>
        <v>-76.55</v>
      </c>
      <c r="K526" s="35">
        <v>255.8</v>
      </c>
      <c r="L526" s="35"/>
      <c r="M526" s="35"/>
      <c r="N526" s="35"/>
      <c r="O526" s="35">
        <v>979</v>
      </c>
      <c r="P526" s="35"/>
      <c r="Q526" s="49">
        <v>5</v>
      </c>
      <c r="R526" s="49" t="s">
        <v>1726</v>
      </c>
      <c r="S526" s="49"/>
      <c r="T526" s="49" t="s">
        <v>1915</v>
      </c>
      <c r="U526" s="49" t="s">
        <v>1395</v>
      </c>
      <c r="V526" s="49" t="s">
        <v>1728</v>
      </c>
      <c r="W526" s="49" t="s">
        <v>1395</v>
      </c>
      <c r="X526" s="49" t="s">
        <v>1395</v>
      </c>
      <c r="Y526" s="35"/>
      <c r="Z526" s="329"/>
      <c r="AA526" s="329"/>
      <c r="AB526" s="35" t="s">
        <v>140</v>
      </c>
      <c r="AC526" s="35"/>
      <c r="AD526" s="35"/>
      <c r="AE526" s="35"/>
      <c r="AF526" s="35" t="s">
        <v>1329</v>
      </c>
      <c r="AG526" s="35" t="s">
        <v>636</v>
      </c>
      <c r="AH526" s="138" t="s">
        <v>636</v>
      </c>
      <c r="AI526" s="35" t="s">
        <v>221</v>
      </c>
      <c r="AJ526" s="140" t="s">
        <v>1617</v>
      </c>
      <c r="AK526" s="35" t="s">
        <v>415</v>
      </c>
      <c r="AL526" s="35" t="s">
        <v>415</v>
      </c>
      <c r="AM526" s="35" t="s">
        <v>178</v>
      </c>
      <c r="AN526" s="35"/>
      <c r="AO526" s="35"/>
      <c r="AP526" s="35"/>
      <c r="AQ526" s="35" t="s">
        <v>416</v>
      </c>
      <c r="AR526" s="35" t="s">
        <v>416</v>
      </c>
      <c r="AS526" s="35" t="s">
        <v>178</v>
      </c>
      <c r="AT526" s="35" t="s">
        <v>161</v>
      </c>
      <c r="AU526" s="35">
        <v>4</v>
      </c>
      <c r="AV526" s="35"/>
      <c r="AW526" s="35" t="s">
        <v>336</v>
      </c>
      <c r="AX526" s="35"/>
      <c r="BA526" s="54"/>
      <c r="BH526" s="5">
        <v>4914</v>
      </c>
      <c r="BI526" s="5">
        <v>4623</v>
      </c>
      <c r="BM526" s="403"/>
      <c r="BN526" s="403"/>
      <c r="BR526" s="403"/>
      <c r="BS526" s="403"/>
      <c r="FI526" s="5">
        <v>237.5</v>
      </c>
      <c r="FJ526" s="5">
        <v>233.61</v>
      </c>
      <c r="GM526" s="12"/>
      <c r="GQ526" s="12"/>
      <c r="IK526" s="35"/>
      <c r="IL526" s="35"/>
      <c r="IM526" s="35"/>
      <c r="IN526" s="35"/>
    </row>
    <row r="527" spans="1:250" s="5" customFormat="1" x14ac:dyDescent="0.25">
      <c r="A527" s="35">
        <v>27</v>
      </c>
      <c r="B527" s="35" t="s">
        <v>411</v>
      </c>
      <c r="C527" s="35" t="s">
        <v>412</v>
      </c>
      <c r="D527" s="35">
        <v>2017</v>
      </c>
      <c r="E527" s="35">
        <v>2008</v>
      </c>
      <c r="F527" s="35" t="s">
        <v>413</v>
      </c>
      <c r="G527" s="35" t="s">
        <v>414</v>
      </c>
      <c r="H527" s="32" t="s">
        <v>2831</v>
      </c>
      <c r="I527" s="35">
        <f t="shared" si="181"/>
        <v>42.866666666666667</v>
      </c>
      <c r="J527" s="35">
        <f t="shared" si="182"/>
        <v>-76.55</v>
      </c>
      <c r="K527" s="35">
        <v>255.8</v>
      </c>
      <c r="L527" s="35"/>
      <c r="M527" s="35"/>
      <c r="N527" s="35"/>
      <c r="O527" s="35">
        <v>979</v>
      </c>
      <c r="P527" s="35"/>
      <c r="Q527" s="49">
        <v>5</v>
      </c>
      <c r="R527" s="49" t="s">
        <v>1726</v>
      </c>
      <c r="S527" s="49"/>
      <c r="T527" s="49" t="s">
        <v>1915</v>
      </c>
      <c r="U527" s="49" t="s">
        <v>1395</v>
      </c>
      <c r="V527" s="49" t="s">
        <v>1728</v>
      </c>
      <c r="W527" s="49" t="s">
        <v>1395</v>
      </c>
      <c r="X527" s="49" t="s">
        <v>1395</v>
      </c>
      <c r="Y527" s="35"/>
      <c r="Z527" s="329"/>
      <c r="AA527" s="329"/>
      <c r="AB527" s="35" t="s">
        <v>140</v>
      </c>
      <c r="AC527" s="35"/>
      <c r="AD527" s="35"/>
      <c r="AE527" s="35"/>
      <c r="AF527" s="35" t="s">
        <v>1329</v>
      </c>
      <c r="AG527" s="35" t="s">
        <v>636</v>
      </c>
      <c r="AH527" s="138" t="s">
        <v>636</v>
      </c>
      <c r="AI527" s="35" t="s">
        <v>221</v>
      </c>
      <c r="AJ527" s="140" t="s">
        <v>1617</v>
      </c>
      <c r="AK527" s="35" t="s">
        <v>415</v>
      </c>
      <c r="AL527" s="35" t="s">
        <v>415</v>
      </c>
      <c r="AM527" s="35" t="s">
        <v>178</v>
      </c>
      <c r="AN527" s="35"/>
      <c r="AO527" s="35"/>
      <c r="AP527" s="35"/>
      <c r="AQ527" s="35" t="s">
        <v>416</v>
      </c>
      <c r="AR527" s="35" t="s">
        <v>416</v>
      </c>
      <c r="AS527" s="35" t="s">
        <v>178</v>
      </c>
      <c r="AT527" s="35" t="s">
        <v>161</v>
      </c>
      <c r="AU527" s="35">
        <v>4</v>
      </c>
      <c r="AV527" s="35"/>
      <c r="AW527" s="35" t="s">
        <v>336</v>
      </c>
      <c r="AX527" s="35"/>
      <c r="BA527" s="54"/>
      <c r="BH527" s="5">
        <v>4914</v>
      </c>
      <c r="BI527" s="5">
        <v>5501</v>
      </c>
      <c r="BM527" s="403"/>
      <c r="BN527" s="403"/>
      <c r="BR527" s="403"/>
      <c r="BS527" s="403"/>
      <c r="FI527" s="5">
        <v>237.5</v>
      </c>
      <c r="FJ527" s="5">
        <v>54.49</v>
      </c>
      <c r="GM527" s="12"/>
      <c r="GQ527" s="12"/>
      <c r="IK527" s="35"/>
      <c r="IL527" s="35"/>
      <c r="IM527" s="35"/>
      <c r="IN527" s="35"/>
    </row>
    <row r="528" spans="1:250" s="5" customFormat="1" x14ac:dyDescent="0.25">
      <c r="A528" s="35">
        <v>27</v>
      </c>
      <c r="B528" s="35" t="s">
        <v>411</v>
      </c>
      <c r="C528" s="35" t="s">
        <v>412</v>
      </c>
      <c r="D528" s="35">
        <v>2017</v>
      </c>
      <c r="E528" s="35">
        <v>2008</v>
      </c>
      <c r="F528" s="35" t="s">
        <v>413</v>
      </c>
      <c r="G528" s="35" t="s">
        <v>414</v>
      </c>
      <c r="H528" s="32" t="s">
        <v>2831</v>
      </c>
      <c r="I528" s="35">
        <f t="shared" si="181"/>
        <v>42.866666666666667</v>
      </c>
      <c r="J528" s="35">
        <f t="shared" si="182"/>
        <v>-76.55</v>
      </c>
      <c r="K528" s="35">
        <v>255.8</v>
      </c>
      <c r="L528" s="35"/>
      <c r="M528" s="35"/>
      <c r="N528" s="35"/>
      <c r="O528" s="35">
        <v>979</v>
      </c>
      <c r="P528" s="35"/>
      <c r="Q528" s="49">
        <v>5</v>
      </c>
      <c r="R528" s="49" t="s">
        <v>1726</v>
      </c>
      <c r="S528" s="49"/>
      <c r="T528" s="49" t="s">
        <v>1915</v>
      </c>
      <c r="U528" s="49" t="s">
        <v>1395</v>
      </c>
      <c r="V528" s="49" t="s">
        <v>1728</v>
      </c>
      <c r="W528" s="49" t="s">
        <v>1395</v>
      </c>
      <c r="X528" s="49" t="s">
        <v>1395</v>
      </c>
      <c r="Y528" s="35"/>
      <c r="Z528" s="329"/>
      <c r="AA528" s="329"/>
      <c r="AB528" s="35" t="s">
        <v>140</v>
      </c>
      <c r="AC528" s="35"/>
      <c r="AD528" s="35"/>
      <c r="AE528" s="35"/>
      <c r="AF528" s="35" t="s">
        <v>1329</v>
      </c>
      <c r="AG528" s="35" t="s">
        <v>636</v>
      </c>
      <c r="AH528" s="138" t="s">
        <v>636</v>
      </c>
      <c r="AI528" s="35" t="s">
        <v>221</v>
      </c>
      <c r="AJ528" s="140" t="s">
        <v>1617</v>
      </c>
      <c r="AK528" s="35" t="s">
        <v>415</v>
      </c>
      <c r="AL528" s="35" t="s">
        <v>415</v>
      </c>
      <c r="AM528" s="35" t="s">
        <v>178</v>
      </c>
      <c r="AN528" s="35"/>
      <c r="AO528" s="35"/>
      <c r="AP528" s="35"/>
      <c r="AQ528" s="35" t="s">
        <v>416</v>
      </c>
      <c r="AR528" s="35" t="s">
        <v>416</v>
      </c>
      <c r="AS528" s="35" t="s">
        <v>178</v>
      </c>
      <c r="AT528" s="35" t="s">
        <v>161</v>
      </c>
      <c r="AU528" s="35">
        <v>4</v>
      </c>
      <c r="AV528" s="35"/>
      <c r="AW528" s="35" t="s">
        <v>336</v>
      </c>
      <c r="AX528" s="35"/>
      <c r="BA528" s="54"/>
      <c r="BH528" s="5">
        <v>4914</v>
      </c>
      <c r="BI528" s="5">
        <v>4918</v>
      </c>
      <c r="BM528" s="403"/>
      <c r="BN528" s="403"/>
      <c r="BR528" s="403"/>
      <c r="BS528" s="403"/>
      <c r="FI528" s="5">
        <v>237.5</v>
      </c>
      <c r="FJ528" s="5">
        <v>216.05</v>
      </c>
      <c r="GM528" s="12"/>
      <c r="GQ528" s="12"/>
      <c r="IK528" s="35"/>
      <c r="IL528" s="35"/>
      <c r="IM528" s="35"/>
      <c r="IN528" s="35"/>
    </row>
    <row r="529" spans="1:250" s="33" customFormat="1" x14ac:dyDescent="0.25">
      <c r="A529" s="33">
        <v>28</v>
      </c>
      <c r="B529" s="33" t="s">
        <v>417</v>
      </c>
      <c r="C529" s="33" t="s">
        <v>418</v>
      </c>
      <c r="D529" s="33">
        <v>2007</v>
      </c>
      <c r="E529" s="33">
        <v>2005</v>
      </c>
      <c r="F529" s="33" t="s">
        <v>419</v>
      </c>
      <c r="G529" s="33" t="s">
        <v>420</v>
      </c>
      <c r="H529" s="32" t="s">
        <v>2831</v>
      </c>
      <c r="I529" s="33">
        <f>39+13/60</f>
        <v>39.216666666666669</v>
      </c>
      <c r="J529" s="33">
        <f>-92-7/60</f>
        <v>-92.11666666666666</v>
      </c>
      <c r="K529" s="33">
        <v>262.2</v>
      </c>
      <c r="Q529" s="47" t="s">
        <v>1724</v>
      </c>
      <c r="R529" s="47" t="s">
        <v>1724</v>
      </c>
      <c r="S529" s="47"/>
      <c r="T529" s="47" t="s">
        <v>1916</v>
      </c>
      <c r="U529" s="47" t="s">
        <v>1392</v>
      </c>
      <c r="V529" s="47" t="s">
        <v>1726</v>
      </c>
      <c r="W529" s="47" t="s">
        <v>1392</v>
      </c>
      <c r="X529" s="47" t="s">
        <v>1393</v>
      </c>
      <c r="Y529" s="33">
        <v>1.28</v>
      </c>
      <c r="Z529" s="327">
        <f>100-AA529-(21.3+45.5+49.9+24.8+54.6+42.9+23+38.3+39.7)/9</f>
        <v>5.2555555555555529</v>
      </c>
      <c r="AA529" s="327">
        <f>(70.3+50.2+49+65.8+42.8+55.3+69.2+55.7+54.4)/9</f>
        <v>56.966666666666669</v>
      </c>
      <c r="AB529" s="33" t="s">
        <v>421</v>
      </c>
      <c r="AC529" s="33">
        <f>(5.9+5+5+6.1+4.9+5.1+5.9+5.1+5.1)/9</f>
        <v>5.344444444444445</v>
      </c>
      <c r="AD529" s="33">
        <f>(1+0.9+0.7+1+0.9+0.4+1+0.9+0.5)/9</f>
        <v>0.81111111111111123</v>
      </c>
      <c r="AF529" s="33" t="s">
        <v>1330</v>
      </c>
      <c r="AG529" s="33" t="s">
        <v>1538</v>
      </c>
      <c r="AH529" s="138" t="s">
        <v>578</v>
      </c>
      <c r="AI529" s="33" t="s">
        <v>1591</v>
      </c>
      <c r="AJ529" s="141" t="s">
        <v>1626</v>
      </c>
      <c r="AK529" s="33" t="s">
        <v>422</v>
      </c>
      <c r="AL529" s="33" t="s">
        <v>422</v>
      </c>
      <c r="AM529" s="33" t="s">
        <v>178</v>
      </c>
      <c r="AN529" s="33" t="s">
        <v>423</v>
      </c>
      <c r="AO529" s="33" t="s">
        <v>157</v>
      </c>
      <c r="AP529" s="33" t="s">
        <v>503</v>
      </c>
      <c r="AQ529" s="33" t="s">
        <v>425</v>
      </c>
      <c r="AR529" s="33" t="s">
        <v>424</v>
      </c>
      <c r="AS529" s="33" t="s">
        <v>503</v>
      </c>
      <c r="AT529" s="33" t="s">
        <v>161</v>
      </c>
      <c r="AU529" s="33">
        <v>3</v>
      </c>
      <c r="AW529" s="33" t="s">
        <v>336</v>
      </c>
      <c r="BA529" s="54"/>
      <c r="BM529" s="402">
        <v>1.24</v>
      </c>
      <c r="BN529" s="402">
        <v>1.24</v>
      </c>
      <c r="BR529" s="402"/>
      <c r="BS529" s="402"/>
      <c r="DK529" s="33">
        <v>0.03</v>
      </c>
      <c r="DL529" s="33">
        <v>2.8000000000000001E-2</v>
      </c>
      <c r="DO529" s="33" t="s">
        <v>427</v>
      </c>
      <c r="DZ529" s="33">
        <f>10^(1.0005)</f>
        <v>10.011519555381691</v>
      </c>
      <c r="EA529" s="33">
        <f>10^1.3276</f>
        <v>21.261798598625219</v>
      </c>
      <c r="EY529" s="33">
        <v>0.4743</v>
      </c>
      <c r="EZ529" s="33">
        <v>0.4919</v>
      </c>
      <c r="FC529" s="33" t="s">
        <v>426</v>
      </c>
      <c r="GM529" s="12"/>
      <c r="GQ529" s="12"/>
      <c r="IO529" s="33" t="s">
        <v>862</v>
      </c>
    </row>
    <row r="530" spans="1:250" s="33" customFormat="1" x14ac:dyDescent="0.25">
      <c r="A530" s="33">
        <v>28</v>
      </c>
      <c r="B530" s="33" t="s">
        <v>417</v>
      </c>
      <c r="C530" s="33" t="s">
        <v>418</v>
      </c>
      <c r="D530" s="33">
        <v>2007</v>
      </c>
      <c r="E530" s="33">
        <v>2005</v>
      </c>
      <c r="F530" s="33" t="s">
        <v>419</v>
      </c>
      <c r="G530" s="33" t="s">
        <v>420</v>
      </c>
      <c r="H530" s="32" t="s">
        <v>2831</v>
      </c>
      <c r="I530" s="33">
        <f>39+13/60</f>
        <v>39.216666666666669</v>
      </c>
      <c r="J530" s="33">
        <f>-92-7/60</f>
        <v>-92.11666666666666</v>
      </c>
      <c r="K530" s="33">
        <v>262.2</v>
      </c>
      <c r="Q530" s="47" t="s">
        <v>1724</v>
      </c>
      <c r="R530" s="47" t="s">
        <v>1724</v>
      </c>
      <c r="S530" s="47"/>
      <c r="T530" s="47" t="s">
        <v>1916</v>
      </c>
      <c r="U530" s="47" t="s">
        <v>1396</v>
      </c>
      <c r="V530" s="47" t="s">
        <v>1726</v>
      </c>
      <c r="W530" s="47" t="s">
        <v>1392</v>
      </c>
      <c r="X530" s="47" t="s">
        <v>1393</v>
      </c>
      <c r="Y530" s="33">
        <v>1.28</v>
      </c>
      <c r="Z530" s="327">
        <f>100-AA530-(21.3+45.5+49.9+24.8+54.6+42.9+23+38.3+39.7)/9</f>
        <v>5.2555555555555529</v>
      </c>
      <c r="AA530" s="327">
        <f>(70.3+50.2+49+65.8+42.8+55.3+69.2+55.7+54.4)/9</f>
        <v>56.966666666666669</v>
      </c>
      <c r="AB530" s="33" t="s">
        <v>421</v>
      </c>
      <c r="AC530" s="33">
        <f>(5.9+5+5+6.1+4.9+5.1+5.9+5.1+5.1)/9</f>
        <v>5.344444444444445</v>
      </c>
      <c r="AD530" s="33">
        <f t="shared" ref="AD530:AD531" si="184">(1+0.9+0.7+1+0.9+0.4+1+0.9+0.5)/9</f>
        <v>0.81111111111111123</v>
      </c>
      <c r="AF530" s="33" t="s">
        <v>1330</v>
      </c>
      <c r="AG530" s="33" t="s">
        <v>1538</v>
      </c>
      <c r="AH530" s="138" t="s">
        <v>578</v>
      </c>
      <c r="AI530" s="33" t="s">
        <v>1591</v>
      </c>
      <c r="AJ530" s="141" t="s">
        <v>1626</v>
      </c>
      <c r="AK530" s="33" t="s">
        <v>422</v>
      </c>
      <c r="AL530" s="33" t="s">
        <v>422</v>
      </c>
      <c r="AM530" s="33" t="s">
        <v>178</v>
      </c>
      <c r="AN530" s="33" t="s">
        <v>423</v>
      </c>
      <c r="AO530" s="33" t="s">
        <v>157</v>
      </c>
      <c r="AP530" s="33" t="s">
        <v>503</v>
      </c>
      <c r="AQ530" s="33" t="s">
        <v>425</v>
      </c>
      <c r="AR530" s="33" t="s">
        <v>424</v>
      </c>
      <c r="AS530" s="33" t="s">
        <v>503</v>
      </c>
      <c r="AT530" s="33" t="s">
        <v>161</v>
      </c>
      <c r="AU530" s="33">
        <v>3</v>
      </c>
      <c r="AW530" s="33" t="s">
        <v>336</v>
      </c>
      <c r="BA530" s="54"/>
      <c r="BM530" s="402">
        <v>1.36</v>
      </c>
      <c r="BN530" s="402">
        <v>1.38</v>
      </c>
      <c r="BR530" s="402"/>
      <c r="BS530" s="402"/>
      <c r="DK530" s="33">
        <v>2.8000000000000001E-2</v>
      </c>
      <c r="DL530" s="33">
        <v>2.5999999999999999E-2</v>
      </c>
      <c r="DO530" s="33" t="s">
        <v>427</v>
      </c>
      <c r="DZ530" s="33">
        <f>10^0.7856</f>
        <v>6.1037958555853074</v>
      </c>
      <c r="EA530" s="33">
        <f>10^1.2941</f>
        <v>19.683394644420513</v>
      </c>
      <c r="EY530" s="33">
        <v>0.4672</v>
      </c>
      <c r="EZ530" s="33">
        <v>0.47420000000000001</v>
      </c>
      <c r="FC530" s="33" t="s">
        <v>426</v>
      </c>
      <c r="GM530" s="12"/>
      <c r="GQ530" s="12"/>
      <c r="IO530" s="33" t="s">
        <v>862</v>
      </c>
    </row>
    <row r="531" spans="1:250" s="33" customFormat="1" x14ac:dyDescent="0.25">
      <c r="A531" s="33">
        <v>28</v>
      </c>
      <c r="B531" s="33" t="s">
        <v>417</v>
      </c>
      <c r="C531" s="33" t="s">
        <v>418</v>
      </c>
      <c r="D531" s="33">
        <v>2007</v>
      </c>
      <c r="E531" s="33">
        <v>2005</v>
      </c>
      <c r="F531" s="33" t="s">
        <v>419</v>
      </c>
      <c r="G531" s="33" t="s">
        <v>420</v>
      </c>
      <c r="H531" s="32" t="s">
        <v>2831</v>
      </c>
      <c r="I531" s="33">
        <f>39+13/60</f>
        <v>39.216666666666669</v>
      </c>
      <c r="J531" s="33">
        <f>-92-7/60</f>
        <v>-92.11666666666666</v>
      </c>
      <c r="K531" s="33">
        <v>262.2</v>
      </c>
      <c r="Q531" s="47" t="s">
        <v>1724</v>
      </c>
      <c r="R531" s="47" t="s">
        <v>1724</v>
      </c>
      <c r="S531" s="47"/>
      <c r="T531" s="47" t="s">
        <v>1916</v>
      </c>
      <c r="U531" s="47" t="s">
        <v>1397</v>
      </c>
      <c r="V531" s="47" t="s">
        <v>1726</v>
      </c>
      <c r="W531" s="47" t="s">
        <v>1392</v>
      </c>
      <c r="X531" s="47" t="s">
        <v>1393</v>
      </c>
      <c r="Y531" s="33">
        <v>1.28</v>
      </c>
      <c r="Z531" s="327">
        <f>100-AA531-(21.3+45.5+49.9+24.8+54.6+42.9+23+38.3+39.7)/9</f>
        <v>5.2555555555555529</v>
      </c>
      <c r="AA531" s="327">
        <f>(70.3+50.2+49+65.8+42.8+55.3+69.2+55.7+54.4)/9</f>
        <v>56.966666666666669</v>
      </c>
      <c r="AB531" s="33" t="s">
        <v>421</v>
      </c>
      <c r="AC531" s="33">
        <f>(5.9+5+5+6.1+4.9+5.1+5.9+5.1+5.1)/9</f>
        <v>5.344444444444445</v>
      </c>
      <c r="AD531" s="33">
        <f t="shared" si="184"/>
        <v>0.81111111111111123</v>
      </c>
      <c r="AF531" s="33" t="s">
        <v>1330</v>
      </c>
      <c r="AG531" s="33" t="s">
        <v>1538</v>
      </c>
      <c r="AH531" s="138" t="s">
        <v>578</v>
      </c>
      <c r="AI531" s="33" t="s">
        <v>1591</v>
      </c>
      <c r="AJ531" s="141" t="s">
        <v>1626</v>
      </c>
      <c r="AK531" s="33" t="s">
        <v>422</v>
      </c>
      <c r="AL531" s="33" t="s">
        <v>422</v>
      </c>
      <c r="AM531" s="33" t="s">
        <v>178</v>
      </c>
      <c r="AN531" s="33" t="s">
        <v>423</v>
      </c>
      <c r="AO531" s="33" t="s">
        <v>157</v>
      </c>
      <c r="AP531" s="33" t="s">
        <v>503</v>
      </c>
      <c r="AQ531" s="33" t="s">
        <v>425</v>
      </c>
      <c r="AR531" s="33" t="s">
        <v>424</v>
      </c>
      <c r="AS531" s="33" t="s">
        <v>503</v>
      </c>
      <c r="AT531" s="33" t="s">
        <v>161</v>
      </c>
      <c r="AU531" s="33">
        <v>3</v>
      </c>
      <c r="AW531" s="33" t="s">
        <v>336</v>
      </c>
      <c r="BA531" s="54"/>
      <c r="BM531" s="402">
        <v>1.22</v>
      </c>
      <c r="BN531" s="402">
        <v>1.25</v>
      </c>
      <c r="BR531" s="402"/>
      <c r="BS531" s="402"/>
      <c r="DK531" s="33">
        <v>2.8000000000000001E-2</v>
      </c>
      <c r="DL531" s="33">
        <v>1.9E-2</v>
      </c>
      <c r="DO531" s="33" t="s">
        <v>427</v>
      </c>
      <c r="DZ531" s="33">
        <f>10^0.0959</f>
        <v>1.2470963266393924</v>
      </c>
      <c r="EA531" s="33">
        <f>10^0.5215</f>
        <v>3.3227678521107569</v>
      </c>
      <c r="EY531" s="33">
        <v>0.53639999999999999</v>
      </c>
      <c r="EZ531" s="33">
        <v>0.51890000000000003</v>
      </c>
      <c r="FC531" s="33" t="s">
        <v>426</v>
      </c>
      <c r="GM531" s="12"/>
      <c r="GQ531" s="12"/>
      <c r="IO531" s="33" t="s">
        <v>862</v>
      </c>
    </row>
    <row r="532" spans="1:250" s="34" customFormat="1" x14ac:dyDescent="0.25">
      <c r="A532" s="34">
        <v>29</v>
      </c>
      <c r="B532" s="34" t="s">
        <v>1021</v>
      </c>
      <c r="C532" s="34" t="s">
        <v>428</v>
      </c>
      <c r="D532" s="34">
        <v>2009</v>
      </c>
      <c r="E532" s="34">
        <v>2006</v>
      </c>
      <c r="F532" s="34" t="s">
        <v>303</v>
      </c>
      <c r="G532" s="34" t="s">
        <v>429</v>
      </c>
      <c r="H532" s="32" t="s">
        <v>2831</v>
      </c>
      <c r="I532" s="34">
        <f t="shared" ref="I532:I567" si="185">43+20/60</f>
        <v>43.333333333333336</v>
      </c>
      <c r="J532" s="34">
        <f t="shared" ref="J532:J567" si="186">-89-43/60</f>
        <v>-89.716666666666669</v>
      </c>
      <c r="K532" s="34">
        <v>250</v>
      </c>
      <c r="Q532" s="48">
        <v>4</v>
      </c>
      <c r="R532" s="48">
        <v>4</v>
      </c>
      <c r="S532" s="48"/>
      <c r="T532" s="48" t="s">
        <v>1917</v>
      </c>
      <c r="U532" s="48" t="s">
        <v>1398</v>
      </c>
      <c r="V532" s="48" t="s">
        <v>1729</v>
      </c>
      <c r="W532" s="48" t="s">
        <v>1398</v>
      </c>
      <c r="X532" s="48" t="s">
        <v>1393</v>
      </c>
      <c r="Y532" s="34">
        <f t="shared" ref="Y532:Y567" si="187">(1.4+1.46+1.41+1.37+1.39+1.47+1.42)/7</f>
        <v>1.417142857142857</v>
      </c>
      <c r="Z532" s="328"/>
      <c r="AA532" s="328"/>
      <c r="AB532" s="34" t="s">
        <v>451</v>
      </c>
      <c r="AC532" s="34">
        <f t="shared" ref="AC532:AC567" si="188">(6.6+6.9+7+6.8+7.1+6.7+7)/7</f>
        <v>6.8714285714285719</v>
      </c>
      <c r="AF532" s="34" t="s">
        <v>1331</v>
      </c>
      <c r="AG532" s="34" t="s">
        <v>1539</v>
      </c>
      <c r="AH532" s="138" t="s">
        <v>578</v>
      </c>
      <c r="AI532" s="34" t="s">
        <v>430</v>
      </c>
      <c r="AJ532" s="140" t="s">
        <v>1626</v>
      </c>
      <c r="AK532" s="34" t="s">
        <v>422</v>
      </c>
      <c r="AL532" s="34" t="s">
        <v>422</v>
      </c>
      <c r="AM532" s="34" t="s">
        <v>178</v>
      </c>
      <c r="AQ532" s="34" t="s">
        <v>437</v>
      </c>
      <c r="AR532" s="34" t="s">
        <v>437</v>
      </c>
      <c r="AT532" s="34" t="s">
        <v>431</v>
      </c>
      <c r="AU532" s="34">
        <v>4</v>
      </c>
      <c r="AW532" s="34" t="s">
        <v>142</v>
      </c>
      <c r="BA532" s="53"/>
      <c r="BM532" s="404">
        <v>1.47</v>
      </c>
      <c r="BN532" s="404">
        <v>1.4</v>
      </c>
      <c r="BR532" s="404">
        <v>3.63</v>
      </c>
      <c r="BS532" s="404">
        <v>4.2299999999999995</v>
      </c>
      <c r="BV532" s="34" t="s">
        <v>1677</v>
      </c>
      <c r="CB532" s="34">
        <v>45.8</v>
      </c>
      <c r="CC532" s="34">
        <v>37.799999999999997</v>
      </c>
      <c r="CG532" s="34">
        <v>244</v>
      </c>
      <c r="CH532" s="34">
        <v>204</v>
      </c>
      <c r="CL532" s="34">
        <v>6.7</v>
      </c>
      <c r="CM532" s="34">
        <v>6.6</v>
      </c>
      <c r="DF532" s="34">
        <v>336</v>
      </c>
      <c r="DG532" s="34">
        <v>365</v>
      </c>
      <c r="DJ532" s="34" t="s">
        <v>434</v>
      </c>
      <c r="DP532" s="34">
        <v>0.52980000000000005</v>
      </c>
      <c r="DQ532" s="34">
        <v>0.61539999999999995</v>
      </c>
      <c r="DT532" s="34" t="s">
        <v>859</v>
      </c>
      <c r="EY532" s="34">
        <v>0.21</v>
      </c>
      <c r="EZ532" s="34">
        <v>0.26800000000000002</v>
      </c>
      <c r="GM532" s="12"/>
      <c r="GQ532" s="12"/>
      <c r="GR532" s="34">
        <v>1288</v>
      </c>
      <c r="GS532" s="34">
        <v>1376</v>
      </c>
      <c r="GV532" s="34" t="s">
        <v>433</v>
      </c>
      <c r="IA532" s="34">
        <f>40.3*0.012</f>
        <v>0.48359999999999997</v>
      </c>
      <c r="IB532" s="34">
        <f>87.1*0.012</f>
        <v>1.0451999999999999</v>
      </c>
      <c r="IE532" s="34" t="s">
        <v>979</v>
      </c>
      <c r="IL532" s="34">
        <v>99999</v>
      </c>
      <c r="IO532" s="34" t="s">
        <v>435</v>
      </c>
      <c r="IP532" s="34" t="s">
        <v>858</v>
      </c>
    </row>
    <row r="533" spans="1:250" s="34" customFormat="1" x14ac:dyDescent="0.25">
      <c r="A533" s="34">
        <v>29</v>
      </c>
      <c r="B533" s="34" t="s">
        <v>1021</v>
      </c>
      <c r="C533" s="34" t="s">
        <v>428</v>
      </c>
      <c r="D533" s="34">
        <v>2009</v>
      </c>
      <c r="E533" s="34">
        <v>2006</v>
      </c>
      <c r="F533" s="34" t="s">
        <v>303</v>
      </c>
      <c r="G533" s="34" t="s">
        <v>429</v>
      </c>
      <c r="H533" s="32" t="s">
        <v>2831</v>
      </c>
      <c r="I533" s="34">
        <f t="shared" si="185"/>
        <v>43.333333333333336</v>
      </c>
      <c r="J533" s="34">
        <f t="shared" si="186"/>
        <v>-89.716666666666669</v>
      </c>
      <c r="K533" s="34">
        <v>250</v>
      </c>
      <c r="Q533" s="48">
        <v>4</v>
      </c>
      <c r="R533" s="48">
        <v>4</v>
      </c>
      <c r="S533" s="48"/>
      <c r="T533" s="48" t="s">
        <v>1917</v>
      </c>
      <c r="U533" s="48" t="s">
        <v>1398</v>
      </c>
      <c r="V533" s="48" t="s">
        <v>1729</v>
      </c>
      <c r="W533" s="48" t="s">
        <v>1398</v>
      </c>
      <c r="X533" s="48" t="s">
        <v>1393</v>
      </c>
      <c r="Y533" s="34">
        <f t="shared" si="187"/>
        <v>1.417142857142857</v>
      </c>
      <c r="Z533" s="328"/>
      <c r="AA533" s="328"/>
      <c r="AB533" s="34" t="s">
        <v>451</v>
      </c>
      <c r="AC533" s="34">
        <f t="shared" si="188"/>
        <v>6.8714285714285719</v>
      </c>
      <c r="AF533" s="34" t="s">
        <v>1331</v>
      </c>
      <c r="AG533" s="34" t="s">
        <v>1539</v>
      </c>
      <c r="AH533" s="138" t="s">
        <v>578</v>
      </c>
      <c r="AI533" s="34" t="s">
        <v>133</v>
      </c>
      <c r="AJ533" s="140" t="s">
        <v>1626</v>
      </c>
      <c r="AK533" s="34" t="s">
        <v>422</v>
      </c>
      <c r="AL533" s="34" t="s">
        <v>422</v>
      </c>
      <c r="AM533" s="34" t="s">
        <v>178</v>
      </c>
      <c r="AQ533" s="34" t="s">
        <v>437</v>
      </c>
      <c r="AR533" s="34" t="s">
        <v>437</v>
      </c>
      <c r="AT533" s="34" t="s">
        <v>431</v>
      </c>
      <c r="AU533" s="34">
        <v>4</v>
      </c>
      <c r="AW533" s="34" t="s">
        <v>142</v>
      </c>
      <c r="BA533" s="53"/>
      <c r="BM533" s="404">
        <v>1.47</v>
      </c>
      <c r="BN533" s="404">
        <v>1.4</v>
      </c>
      <c r="BR533" s="404">
        <v>3.63</v>
      </c>
      <c r="BS533" s="404">
        <v>4.2799999999999994</v>
      </c>
      <c r="BV533" s="34" t="s">
        <v>1677</v>
      </c>
      <c r="CB533" s="34">
        <v>45.8</v>
      </c>
      <c r="CC533" s="34">
        <v>42.3</v>
      </c>
      <c r="CG533" s="34">
        <v>244</v>
      </c>
      <c r="CH533" s="34">
        <v>269</v>
      </c>
      <c r="CL533" s="34">
        <v>6.7</v>
      </c>
      <c r="CM533" s="34">
        <v>6.9</v>
      </c>
      <c r="DF533" s="34">
        <v>336</v>
      </c>
      <c r="DG533" s="34">
        <v>385</v>
      </c>
      <c r="DJ533" s="34" t="s">
        <v>434</v>
      </c>
      <c r="DP533" s="34">
        <v>0.52980000000000005</v>
      </c>
      <c r="DQ533" s="34">
        <v>0.6</v>
      </c>
      <c r="DT533" s="34" t="s">
        <v>859</v>
      </c>
      <c r="EY533" s="34">
        <v>0.21</v>
      </c>
      <c r="EZ533" s="34">
        <v>0.24399999999999999</v>
      </c>
      <c r="GM533" s="12"/>
      <c r="GQ533" s="12"/>
      <c r="GR533" s="34">
        <v>1288</v>
      </c>
      <c r="GS533" s="34">
        <v>1379</v>
      </c>
      <c r="GV533" s="34" t="s">
        <v>433</v>
      </c>
      <c r="IA533" s="34">
        <f t="shared" ref="IA533:IA537" si="189">40.3*0.012</f>
        <v>0.48359999999999997</v>
      </c>
      <c r="IB533" s="34">
        <f>108.2*0.012</f>
        <v>1.2984</v>
      </c>
      <c r="IE533" s="34" t="s">
        <v>979</v>
      </c>
      <c r="IL533" s="34">
        <v>99999</v>
      </c>
      <c r="IO533" s="34" t="s">
        <v>435</v>
      </c>
      <c r="IP533" s="34" t="s">
        <v>858</v>
      </c>
    </row>
    <row r="534" spans="1:250" s="34" customFormat="1" x14ac:dyDescent="0.25">
      <c r="A534" s="34">
        <v>29</v>
      </c>
      <c r="B534" s="34" t="s">
        <v>1021</v>
      </c>
      <c r="C534" s="34" t="s">
        <v>428</v>
      </c>
      <c r="D534" s="34">
        <v>2009</v>
      </c>
      <c r="E534" s="34">
        <v>2006</v>
      </c>
      <c r="F534" s="34" t="s">
        <v>303</v>
      </c>
      <c r="G534" s="34" t="s">
        <v>429</v>
      </c>
      <c r="H534" s="32" t="s">
        <v>2831</v>
      </c>
      <c r="I534" s="34">
        <f t="shared" si="185"/>
        <v>43.333333333333336</v>
      </c>
      <c r="J534" s="34">
        <f t="shared" si="186"/>
        <v>-89.716666666666669</v>
      </c>
      <c r="K534" s="34">
        <v>250</v>
      </c>
      <c r="Q534" s="48">
        <v>4</v>
      </c>
      <c r="R534" s="48">
        <v>4</v>
      </c>
      <c r="S534" s="48"/>
      <c r="T534" s="48" t="s">
        <v>1917</v>
      </c>
      <c r="U534" s="48" t="s">
        <v>1398</v>
      </c>
      <c r="V534" s="48" t="s">
        <v>1729</v>
      </c>
      <c r="W534" s="48" t="s">
        <v>1398</v>
      </c>
      <c r="X534" s="48" t="s">
        <v>1393</v>
      </c>
      <c r="Y534" s="34">
        <f t="shared" si="187"/>
        <v>1.417142857142857</v>
      </c>
      <c r="Z534" s="328"/>
      <c r="AA534" s="328"/>
      <c r="AB534" s="34" t="s">
        <v>451</v>
      </c>
      <c r="AC534" s="34">
        <f t="shared" si="188"/>
        <v>6.8714285714285719</v>
      </c>
      <c r="AF534" s="34" t="s">
        <v>1331</v>
      </c>
      <c r="AG534" s="34" t="s">
        <v>1519</v>
      </c>
      <c r="AH534" s="138" t="s">
        <v>578</v>
      </c>
      <c r="AI534" s="34" t="s">
        <v>430</v>
      </c>
      <c r="AJ534" s="140" t="s">
        <v>1626</v>
      </c>
      <c r="AK534" s="34" t="s">
        <v>422</v>
      </c>
      <c r="AL534" s="34" t="s">
        <v>422</v>
      </c>
      <c r="AM534" s="34" t="s">
        <v>178</v>
      </c>
      <c r="AQ534" s="34" t="s">
        <v>437</v>
      </c>
      <c r="AR534" s="34" t="s">
        <v>437</v>
      </c>
      <c r="AT534" s="34" t="s">
        <v>431</v>
      </c>
      <c r="AU534" s="34">
        <v>4</v>
      </c>
      <c r="AW534" s="34" t="s">
        <v>142</v>
      </c>
      <c r="BA534" s="53"/>
      <c r="BM534" s="404">
        <v>1.47</v>
      </c>
      <c r="BN534" s="404">
        <v>1.46</v>
      </c>
      <c r="BR534" s="404">
        <v>3.63</v>
      </c>
      <c r="BS534" s="404">
        <v>3.8299999999999996</v>
      </c>
      <c r="BV534" s="34" t="s">
        <v>1677</v>
      </c>
      <c r="CB534" s="34">
        <v>45.8</v>
      </c>
      <c r="CC534" s="34">
        <v>37.299999999999997</v>
      </c>
      <c r="CG534" s="34">
        <v>244</v>
      </c>
      <c r="CH534" s="34">
        <v>161</v>
      </c>
      <c r="CL534" s="34">
        <v>6.7</v>
      </c>
      <c r="CM534" s="34">
        <v>6.6</v>
      </c>
      <c r="DF534" s="34">
        <v>336</v>
      </c>
      <c r="DG534" s="34">
        <v>337</v>
      </c>
      <c r="DJ534" s="34" t="s">
        <v>434</v>
      </c>
      <c r="DP534" s="34">
        <v>0.52980000000000005</v>
      </c>
      <c r="DQ534" s="34">
        <v>0.63</v>
      </c>
      <c r="DT534" s="34" t="s">
        <v>859</v>
      </c>
      <c r="EY534" s="34">
        <v>0.21</v>
      </c>
      <c r="EZ534" s="34">
        <v>0.23799999999999999</v>
      </c>
      <c r="GM534" s="12"/>
      <c r="GQ534" s="12"/>
      <c r="GR534" s="34">
        <v>1288</v>
      </c>
      <c r="GS534" s="34">
        <v>1336</v>
      </c>
      <c r="GV534" s="34" t="s">
        <v>433</v>
      </c>
      <c r="IA534" s="34">
        <f t="shared" si="189"/>
        <v>0.48359999999999997</v>
      </c>
      <c r="IB534" s="34">
        <f>105*0.012</f>
        <v>1.26</v>
      </c>
      <c r="IE534" s="34" t="s">
        <v>979</v>
      </c>
      <c r="IL534" s="34">
        <v>99999</v>
      </c>
      <c r="IO534" s="34" t="s">
        <v>435</v>
      </c>
      <c r="IP534" s="34" t="s">
        <v>858</v>
      </c>
    </row>
    <row r="535" spans="1:250" s="34" customFormat="1" x14ac:dyDescent="0.25">
      <c r="A535" s="34">
        <v>29</v>
      </c>
      <c r="B535" s="34" t="s">
        <v>1021</v>
      </c>
      <c r="C535" s="34" t="s">
        <v>428</v>
      </c>
      <c r="D535" s="34">
        <v>2009</v>
      </c>
      <c r="E535" s="34">
        <v>2006</v>
      </c>
      <c r="F535" s="34" t="s">
        <v>303</v>
      </c>
      <c r="G535" s="34" t="s">
        <v>429</v>
      </c>
      <c r="H535" s="32" t="s">
        <v>2831</v>
      </c>
      <c r="I535" s="34">
        <f t="shared" si="185"/>
        <v>43.333333333333336</v>
      </c>
      <c r="J535" s="34">
        <f t="shared" si="186"/>
        <v>-89.716666666666669</v>
      </c>
      <c r="K535" s="34">
        <v>250</v>
      </c>
      <c r="Q535" s="48">
        <v>4</v>
      </c>
      <c r="R535" s="48">
        <v>4</v>
      </c>
      <c r="S535" s="48"/>
      <c r="T535" s="48" t="s">
        <v>1917</v>
      </c>
      <c r="U535" s="48" t="s">
        <v>1398</v>
      </c>
      <c r="V535" s="48" t="s">
        <v>1729</v>
      </c>
      <c r="W535" s="48" t="s">
        <v>1398</v>
      </c>
      <c r="X535" s="48" t="s">
        <v>1393</v>
      </c>
      <c r="Y535" s="34">
        <f t="shared" si="187"/>
        <v>1.417142857142857</v>
      </c>
      <c r="Z535" s="328"/>
      <c r="AA535" s="328"/>
      <c r="AB535" s="34" t="s">
        <v>451</v>
      </c>
      <c r="AC535" s="34">
        <f t="shared" si="188"/>
        <v>6.8714285714285719</v>
      </c>
      <c r="AF535" s="34" t="s">
        <v>1331</v>
      </c>
      <c r="AG535" s="34" t="s">
        <v>1519</v>
      </c>
      <c r="AH535" s="138" t="s">
        <v>578</v>
      </c>
      <c r="AI535" s="34" t="s">
        <v>133</v>
      </c>
      <c r="AJ535" s="140" t="s">
        <v>1626</v>
      </c>
      <c r="AK535" s="34" t="s">
        <v>422</v>
      </c>
      <c r="AL535" s="34" t="s">
        <v>422</v>
      </c>
      <c r="AM535" s="34" t="s">
        <v>178</v>
      </c>
      <c r="AQ535" s="34" t="s">
        <v>437</v>
      </c>
      <c r="AR535" s="34" t="s">
        <v>437</v>
      </c>
      <c r="AT535" s="34" t="s">
        <v>431</v>
      </c>
      <c r="AU535" s="34">
        <v>4</v>
      </c>
      <c r="AW535" s="34" t="s">
        <v>142</v>
      </c>
      <c r="BA535" s="53"/>
      <c r="BM535" s="404">
        <v>1.47</v>
      </c>
      <c r="BN535" s="404">
        <v>1.41</v>
      </c>
      <c r="BR535" s="404">
        <v>3.63</v>
      </c>
      <c r="BS535" s="404">
        <v>4.2299999999999995</v>
      </c>
      <c r="BV535" s="34" t="s">
        <v>1677</v>
      </c>
      <c r="CB535" s="34">
        <v>45.8</v>
      </c>
      <c r="CC535" s="34">
        <v>54.5</v>
      </c>
      <c r="CG535" s="34">
        <v>244</v>
      </c>
      <c r="CH535" s="34">
        <v>204</v>
      </c>
      <c r="CL535" s="34">
        <v>6.7</v>
      </c>
      <c r="CM535" s="34">
        <v>7</v>
      </c>
      <c r="DF535" s="34">
        <v>336</v>
      </c>
      <c r="DG535" s="34">
        <v>368</v>
      </c>
      <c r="DJ535" s="34" t="s">
        <v>434</v>
      </c>
      <c r="DP535" s="34">
        <v>0.52980000000000005</v>
      </c>
      <c r="DQ535" s="34">
        <v>0.65</v>
      </c>
      <c r="DT535" s="34" t="s">
        <v>859</v>
      </c>
      <c r="EY535" s="34">
        <v>0.21</v>
      </c>
      <c r="EZ535" s="34">
        <v>0.221</v>
      </c>
      <c r="GM535" s="12"/>
      <c r="GQ535" s="12"/>
      <c r="GR535" s="34">
        <v>1288</v>
      </c>
      <c r="GS535" s="34">
        <v>1354</v>
      </c>
      <c r="GV535" s="34" t="s">
        <v>433</v>
      </c>
      <c r="IA535" s="34">
        <f t="shared" si="189"/>
        <v>0.48359999999999997</v>
      </c>
      <c r="IB535" s="34">
        <f>70.9*0.012</f>
        <v>0.85080000000000011</v>
      </c>
      <c r="IE535" s="34" t="s">
        <v>979</v>
      </c>
      <c r="IL535" s="34">
        <v>99999</v>
      </c>
      <c r="IO535" s="34" t="s">
        <v>435</v>
      </c>
      <c r="IP535" s="34" t="s">
        <v>858</v>
      </c>
    </row>
    <row r="536" spans="1:250" s="34" customFormat="1" x14ac:dyDescent="0.25">
      <c r="A536" s="34">
        <v>29</v>
      </c>
      <c r="B536" s="34" t="s">
        <v>1021</v>
      </c>
      <c r="C536" s="34" t="s">
        <v>428</v>
      </c>
      <c r="D536" s="34">
        <v>2009</v>
      </c>
      <c r="E536" s="34">
        <v>2006</v>
      </c>
      <c r="F536" s="34" t="s">
        <v>303</v>
      </c>
      <c r="G536" s="34" t="s">
        <v>429</v>
      </c>
      <c r="H536" s="32" t="s">
        <v>2831</v>
      </c>
      <c r="I536" s="34">
        <f t="shared" si="185"/>
        <v>43.333333333333336</v>
      </c>
      <c r="J536" s="34">
        <f t="shared" si="186"/>
        <v>-89.716666666666669</v>
      </c>
      <c r="K536" s="34">
        <v>250</v>
      </c>
      <c r="Q536" s="48">
        <v>4</v>
      </c>
      <c r="R536" s="48">
        <v>4</v>
      </c>
      <c r="S536" s="48"/>
      <c r="T536" s="48" t="s">
        <v>1917</v>
      </c>
      <c r="U536" s="48" t="s">
        <v>1398</v>
      </c>
      <c r="V536" s="48" t="s">
        <v>1729</v>
      </c>
      <c r="W536" s="48" t="s">
        <v>1398</v>
      </c>
      <c r="X536" s="48" t="s">
        <v>1393</v>
      </c>
      <c r="Y536" s="34">
        <f t="shared" si="187"/>
        <v>1.417142857142857</v>
      </c>
      <c r="Z536" s="328"/>
      <c r="AA536" s="328"/>
      <c r="AB536" s="34" t="s">
        <v>451</v>
      </c>
      <c r="AC536" s="34">
        <f t="shared" si="188"/>
        <v>6.8714285714285719</v>
      </c>
      <c r="AF536" s="34" t="s">
        <v>1331</v>
      </c>
      <c r="AG536" s="34" t="s">
        <v>1155</v>
      </c>
      <c r="AH536" s="138" t="s">
        <v>132</v>
      </c>
      <c r="AI536" s="34" t="s">
        <v>133</v>
      </c>
      <c r="AJ536" s="140" t="s">
        <v>1626</v>
      </c>
      <c r="AK536" s="34" t="s">
        <v>422</v>
      </c>
      <c r="AL536" s="34" t="s">
        <v>422</v>
      </c>
      <c r="AM536" s="34" t="s">
        <v>178</v>
      </c>
      <c r="AQ536" s="34" t="s">
        <v>437</v>
      </c>
      <c r="AR536" s="34" t="s">
        <v>437</v>
      </c>
      <c r="AT536" s="34" t="s">
        <v>431</v>
      </c>
      <c r="AU536" s="34">
        <v>4</v>
      </c>
      <c r="AW536" s="34" t="s">
        <v>142</v>
      </c>
      <c r="BA536" s="53"/>
      <c r="BM536" s="404">
        <v>1.47</v>
      </c>
      <c r="BN536" s="404">
        <v>1.37</v>
      </c>
      <c r="BR536" s="404">
        <v>3.63</v>
      </c>
      <c r="BS536" s="404">
        <v>4.13</v>
      </c>
      <c r="BV536" s="34" t="s">
        <v>1677</v>
      </c>
      <c r="CB536" s="34">
        <v>45.8</v>
      </c>
      <c r="CC536" s="34">
        <v>57.5</v>
      </c>
      <c r="CG536" s="34">
        <v>244</v>
      </c>
      <c r="CH536" s="34">
        <v>277</v>
      </c>
      <c r="CL536" s="34">
        <v>6.7</v>
      </c>
      <c r="CM536" s="34">
        <v>6.8</v>
      </c>
      <c r="DF536" s="34">
        <v>336</v>
      </c>
      <c r="DG536" s="34">
        <v>352</v>
      </c>
      <c r="DJ536" s="34" t="s">
        <v>434</v>
      </c>
      <c r="DP536" s="34">
        <v>0.52980000000000005</v>
      </c>
      <c r="DQ536" s="34">
        <v>0.64</v>
      </c>
      <c r="DT536" s="34" t="s">
        <v>859</v>
      </c>
      <c r="EY536" s="34">
        <v>0.21</v>
      </c>
      <c r="EZ536" s="34">
        <v>0.23300000000000001</v>
      </c>
      <c r="GM536" s="12"/>
      <c r="GQ536" s="12"/>
      <c r="GR536" s="34">
        <v>1288</v>
      </c>
      <c r="GS536" s="34">
        <v>1382</v>
      </c>
      <c r="GV536" s="34" t="s">
        <v>433</v>
      </c>
      <c r="IA536" s="34">
        <f t="shared" si="189"/>
        <v>0.48359999999999997</v>
      </c>
      <c r="IB536" s="34">
        <f>88.6*0.012</f>
        <v>1.0631999999999999</v>
      </c>
      <c r="IE536" s="34" t="s">
        <v>979</v>
      </c>
      <c r="IL536" s="34">
        <v>99999</v>
      </c>
      <c r="IO536" s="34" t="s">
        <v>435</v>
      </c>
      <c r="IP536" s="34" t="s">
        <v>858</v>
      </c>
    </row>
    <row r="537" spans="1:250" s="34" customFormat="1" x14ac:dyDescent="0.25">
      <c r="A537" s="34">
        <v>29</v>
      </c>
      <c r="B537" s="34" t="s">
        <v>1021</v>
      </c>
      <c r="C537" s="34" t="s">
        <v>428</v>
      </c>
      <c r="D537" s="34">
        <v>2009</v>
      </c>
      <c r="E537" s="34">
        <v>2006</v>
      </c>
      <c r="F537" s="34" t="s">
        <v>303</v>
      </c>
      <c r="G537" s="34" t="s">
        <v>429</v>
      </c>
      <c r="H537" s="32" t="s">
        <v>2831</v>
      </c>
      <c r="I537" s="34">
        <f t="shared" si="185"/>
        <v>43.333333333333336</v>
      </c>
      <c r="J537" s="34">
        <f t="shared" si="186"/>
        <v>-89.716666666666669</v>
      </c>
      <c r="K537" s="34">
        <v>250</v>
      </c>
      <c r="Q537" s="48">
        <v>4</v>
      </c>
      <c r="R537" s="48">
        <v>4</v>
      </c>
      <c r="S537" s="48"/>
      <c r="T537" s="48" t="s">
        <v>1917</v>
      </c>
      <c r="U537" s="48" t="s">
        <v>1398</v>
      </c>
      <c r="V537" s="48" t="s">
        <v>1729</v>
      </c>
      <c r="W537" s="48" t="s">
        <v>1398</v>
      </c>
      <c r="X537" s="48" t="s">
        <v>1393</v>
      </c>
      <c r="Y537" s="34">
        <f t="shared" si="187"/>
        <v>1.417142857142857</v>
      </c>
      <c r="Z537" s="328"/>
      <c r="AA537" s="328"/>
      <c r="AB537" s="34" t="s">
        <v>451</v>
      </c>
      <c r="AC537" s="34">
        <f t="shared" si="188"/>
        <v>6.8714285714285719</v>
      </c>
      <c r="AF537" s="34" t="s">
        <v>1331</v>
      </c>
      <c r="AG537" s="34" t="s">
        <v>1156</v>
      </c>
      <c r="AH537" s="138" t="s">
        <v>132</v>
      </c>
      <c r="AI537" s="34" t="s">
        <v>133</v>
      </c>
      <c r="AJ537" s="140" t="s">
        <v>1626</v>
      </c>
      <c r="AK537" s="34" t="s">
        <v>422</v>
      </c>
      <c r="AL537" s="34" t="s">
        <v>422</v>
      </c>
      <c r="AM537" s="34" t="s">
        <v>178</v>
      </c>
      <c r="AQ537" s="34" t="s">
        <v>437</v>
      </c>
      <c r="AR537" s="34" t="s">
        <v>437</v>
      </c>
      <c r="AT537" s="34" t="s">
        <v>431</v>
      </c>
      <c r="AU537" s="34">
        <v>4</v>
      </c>
      <c r="AW537" s="34" t="s">
        <v>142</v>
      </c>
      <c r="BA537" s="53"/>
      <c r="BM537" s="404">
        <v>1.47</v>
      </c>
      <c r="BN537" s="404">
        <v>1.39</v>
      </c>
      <c r="BR537" s="404">
        <v>3.63</v>
      </c>
      <c r="BS537" s="404">
        <v>3.7</v>
      </c>
      <c r="BV537" s="34" t="s">
        <v>1677</v>
      </c>
      <c r="CB537" s="34">
        <v>45.8</v>
      </c>
      <c r="CC537" s="34">
        <v>43.3</v>
      </c>
      <c r="CG537" s="34">
        <v>244</v>
      </c>
      <c r="CH537" s="34">
        <v>265</v>
      </c>
      <c r="CL537" s="34">
        <v>6.7</v>
      </c>
      <c r="CM537" s="34">
        <v>7.1</v>
      </c>
      <c r="DF537" s="34">
        <v>336</v>
      </c>
      <c r="DG537" s="34">
        <v>411</v>
      </c>
      <c r="DJ537" s="34" t="s">
        <v>434</v>
      </c>
      <c r="DP537" s="34">
        <v>0.52980000000000005</v>
      </c>
      <c r="DQ537" s="34">
        <v>0.63</v>
      </c>
      <c r="DT537" s="34" t="s">
        <v>859</v>
      </c>
      <c r="EY537" s="34">
        <v>0.21</v>
      </c>
      <c r="EZ537" s="34">
        <v>0.219</v>
      </c>
      <c r="GM537" s="12"/>
      <c r="GQ537" s="12"/>
      <c r="GR537" s="34">
        <v>1288</v>
      </c>
      <c r="GS537" s="34">
        <v>1360</v>
      </c>
      <c r="GV537" s="34" t="s">
        <v>433</v>
      </c>
      <c r="IA537" s="34">
        <f t="shared" si="189"/>
        <v>0.48359999999999997</v>
      </c>
      <c r="IB537" s="34">
        <f>72.5*0.012</f>
        <v>0.87</v>
      </c>
      <c r="IE537" s="34" t="s">
        <v>979</v>
      </c>
      <c r="IL537" s="34">
        <v>99999</v>
      </c>
      <c r="IO537" s="34" t="s">
        <v>435</v>
      </c>
      <c r="IP537" s="34" t="s">
        <v>858</v>
      </c>
    </row>
    <row r="538" spans="1:250" s="32" customFormat="1" x14ac:dyDescent="0.25">
      <c r="A538" s="32">
        <v>29</v>
      </c>
      <c r="B538" s="32" t="s">
        <v>1021</v>
      </c>
      <c r="C538" s="32" t="s">
        <v>428</v>
      </c>
      <c r="D538" s="32">
        <v>2009</v>
      </c>
      <c r="E538" s="32">
        <v>2006</v>
      </c>
      <c r="F538" s="32" t="s">
        <v>303</v>
      </c>
      <c r="G538" s="32" t="s">
        <v>429</v>
      </c>
      <c r="H538" s="32" t="s">
        <v>2831</v>
      </c>
      <c r="I538" s="32">
        <f t="shared" si="185"/>
        <v>43.333333333333336</v>
      </c>
      <c r="J538" s="32">
        <f t="shared" si="186"/>
        <v>-89.716666666666669</v>
      </c>
      <c r="K538" s="32">
        <v>250</v>
      </c>
      <c r="Q538" s="44">
        <v>4</v>
      </c>
      <c r="R538" s="44">
        <v>4</v>
      </c>
      <c r="S538" s="44"/>
      <c r="T538" s="44" t="s">
        <v>1917</v>
      </c>
      <c r="U538" s="44" t="s">
        <v>1398</v>
      </c>
      <c r="V538" s="44" t="s">
        <v>1729</v>
      </c>
      <c r="W538" s="44" t="s">
        <v>1398</v>
      </c>
      <c r="X538" s="44" t="s">
        <v>1393</v>
      </c>
      <c r="Y538" s="32">
        <f t="shared" si="187"/>
        <v>1.417142857142857</v>
      </c>
      <c r="Z538" s="323"/>
      <c r="AA538" s="323"/>
      <c r="AB538" s="32" t="s">
        <v>451</v>
      </c>
      <c r="AC538" s="32">
        <f t="shared" si="188"/>
        <v>6.8714285714285719</v>
      </c>
      <c r="AF538" s="32" t="s">
        <v>1331</v>
      </c>
      <c r="AG538" s="32" t="s">
        <v>1539</v>
      </c>
      <c r="AH538" s="138" t="s">
        <v>578</v>
      </c>
      <c r="AI538" s="32" t="s">
        <v>430</v>
      </c>
      <c r="AJ538" s="140" t="s">
        <v>1626</v>
      </c>
      <c r="AK538" s="32" t="s">
        <v>422</v>
      </c>
      <c r="AL538" s="32" t="s">
        <v>422</v>
      </c>
      <c r="AM538" s="32" t="s">
        <v>178</v>
      </c>
      <c r="AQ538" s="32" t="s">
        <v>437</v>
      </c>
      <c r="AR538" s="32" t="s">
        <v>437</v>
      </c>
      <c r="AT538" s="32" t="s">
        <v>432</v>
      </c>
      <c r="AU538" s="32">
        <v>4</v>
      </c>
      <c r="AW538" s="32" t="s">
        <v>142</v>
      </c>
      <c r="BA538" s="53"/>
      <c r="BM538" s="397">
        <v>1.42</v>
      </c>
      <c r="BN538" s="397">
        <v>1.4</v>
      </c>
      <c r="BR538" s="397">
        <v>4</v>
      </c>
      <c r="BS538" s="397">
        <v>4.2299999999999995</v>
      </c>
      <c r="BV538" s="32" t="s">
        <v>1677</v>
      </c>
      <c r="CB538" s="32">
        <v>33</v>
      </c>
      <c r="CC538" s="32">
        <v>37.799999999999997</v>
      </c>
      <c r="CG538" s="32">
        <v>208</v>
      </c>
      <c r="CH538" s="32">
        <v>204</v>
      </c>
      <c r="CL538" s="32">
        <v>7</v>
      </c>
      <c r="CM538" s="32">
        <v>6.6</v>
      </c>
      <c r="DF538" s="32">
        <v>407</v>
      </c>
      <c r="DG538" s="32">
        <v>365</v>
      </c>
      <c r="DJ538" s="32" t="s">
        <v>434</v>
      </c>
      <c r="DP538" s="32">
        <v>0.57999999999999996</v>
      </c>
      <c r="DQ538" s="32">
        <v>0.61539999999999995</v>
      </c>
      <c r="DT538" s="32" t="s">
        <v>859</v>
      </c>
      <c r="EY538" s="32">
        <v>0.216</v>
      </c>
      <c r="EZ538" s="32">
        <v>0.26800000000000002</v>
      </c>
      <c r="GM538" s="12"/>
      <c r="GQ538" s="12"/>
      <c r="GR538" s="32">
        <v>1306</v>
      </c>
      <c r="GS538" s="32">
        <v>1376</v>
      </c>
      <c r="GV538" s="32" t="s">
        <v>433</v>
      </c>
      <c r="IA538" s="32">
        <f>61.6*0.012</f>
        <v>0.73920000000000008</v>
      </c>
      <c r="IB538" s="32">
        <f>87.1*0.012</f>
        <v>1.0451999999999999</v>
      </c>
      <c r="IE538" s="32" t="s">
        <v>436</v>
      </c>
      <c r="IL538" s="34">
        <v>99999</v>
      </c>
      <c r="IO538" s="32" t="s">
        <v>435</v>
      </c>
      <c r="IP538" s="32" t="s">
        <v>858</v>
      </c>
    </row>
    <row r="539" spans="1:250" s="32" customFormat="1" x14ac:dyDescent="0.25">
      <c r="A539" s="32">
        <v>29</v>
      </c>
      <c r="B539" s="32" t="s">
        <v>1021</v>
      </c>
      <c r="C539" s="32" t="s">
        <v>428</v>
      </c>
      <c r="D539" s="32">
        <v>2009</v>
      </c>
      <c r="E539" s="32">
        <v>2006</v>
      </c>
      <c r="F539" s="32" t="s">
        <v>303</v>
      </c>
      <c r="G539" s="32" t="s">
        <v>429</v>
      </c>
      <c r="H539" s="32" t="s">
        <v>2831</v>
      </c>
      <c r="I539" s="32">
        <f t="shared" si="185"/>
        <v>43.333333333333336</v>
      </c>
      <c r="J539" s="32">
        <f t="shared" si="186"/>
        <v>-89.716666666666669</v>
      </c>
      <c r="K539" s="32">
        <v>250</v>
      </c>
      <c r="Q539" s="44">
        <v>4</v>
      </c>
      <c r="R539" s="44">
        <v>4</v>
      </c>
      <c r="S539" s="44"/>
      <c r="T539" s="44" t="s">
        <v>1917</v>
      </c>
      <c r="U539" s="44" t="s">
        <v>1398</v>
      </c>
      <c r="V539" s="44" t="s">
        <v>1729</v>
      </c>
      <c r="W539" s="44" t="s">
        <v>1398</v>
      </c>
      <c r="X539" s="44" t="s">
        <v>1393</v>
      </c>
      <c r="Y539" s="32">
        <f t="shared" si="187"/>
        <v>1.417142857142857</v>
      </c>
      <c r="Z539" s="323"/>
      <c r="AA539" s="323"/>
      <c r="AB539" s="32" t="s">
        <v>451</v>
      </c>
      <c r="AC539" s="32">
        <f t="shared" si="188"/>
        <v>6.8714285714285719</v>
      </c>
      <c r="AF539" s="32" t="s">
        <v>1331</v>
      </c>
      <c r="AG539" s="32" t="s">
        <v>1539</v>
      </c>
      <c r="AH539" s="138" t="s">
        <v>578</v>
      </c>
      <c r="AI539" s="32" t="s">
        <v>133</v>
      </c>
      <c r="AJ539" s="140" t="s">
        <v>1626</v>
      </c>
      <c r="AK539" s="32" t="s">
        <v>422</v>
      </c>
      <c r="AL539" s="32" t="s">
        <v>422</v>
      </c>
      <c r="AM539" s="32" t="s">
        <v>178</v>
      </c>
      <c r="AQ539" s="32" t="s">
        <v>437</v>
      </c>
      <c r="AR539" s="32" t="s">
        <v>437</v>
      </c>
      <c r="AT539" s="32" t="s">
        <v>432</v>
      </c>
      <c r="AU539" s="32">
        <v>4</v>
      </c>
      <c r="AW539" s="32" t="s">
        <v>142</v>
      </c>
      <c r="BA539" s="53"/>
      <c r="BM539" s="397">
        <v>1.42</v>
      </c>
      <c r="BN539" s="397">
        <v>1.4</v>
      </c>
      <c r="BR539" s="397">
        <v>4</v>
      </c>
      <c r="BS539" s="397">
        <v>4.2799999999999994</v>
      </c>
      <c r="BV539" s="32" t="s">
        <v>1677</v>
      </c>
      <c r="CB539" s="32">
        <v>33</v>
      </c>
      <c r="CC539" s="32">
        <v>42.3</v>
      </c>
      <c r="CG539" s="32">
        <v>208</v>
      </c>
      <c r="CH539" s="32">
        <v>269</v>
      </c>
      <c r="CL539" s="32">
        <v>7</v>
      </c>
      <c r="CM539" s="32">
        <v>6.9</v>
      </c>
      <c r="DF539" s="32">
        <v>407</v>
      </c>
      <c r="DG539" s="32">
        <v>385</v>
      </c>
      <c r="DJ539" s="32" t="s">
        <v>434</v>
      </c>
      <c r="DP539" s="32">
        <v>0.57999999999999996</v>
      </c>
      <c r="DQ539" s="32">
        <v>0.6</v>
      </c>
      <c r="DT539" s="32" t="s">
        <v>859</v>
      </c>
      <c r="EY539" s="32">
        <v>0.216</v>
      </c>
      <c r="EZ539" s="32">
        <v>0.24399999999999999</v>
      </c>
      <c r="GM539" s="12"/>
      <c r="GQ539" s="12"/>
      <c r="GR539" s="32">
        <v>1306</v>
      </c>
      <c r="GS539" s="32">
        <v>1379</v>
      </c>
      <c r="GV539" s="32" t="s">
        <v>433</v>
      </c>
      <c r="IA539" s="32">
        <f t="shared" ref="IA539:IA543" si="190">61.6*0.012</f>
        <v>0.73920000000000008</v>
      </c>
      <c r="IB539" s="32">
        <f>108.2*0.012</f>
        <v>1.2984</v>
      </c>
      <c r="IE539" s="32" t="s">
        <v>436</v>
      </c>
      <c r="IL539" s="34">
        <v>99999</v>
      </c>
      <c r="IO539" s="32" t="s">
        <v>435</v>
      </c>
      <c r="IP539" s="32" t="s">
        <v>858</v>
      </c>
    </row>
    <row r="540" spans="1:250" s="32" customFormat="1" x14ac:dyDescent="0.25">
      <c r="A540" s="32">
        <v>29</v>
      </c>
      <c r="B540" s="32" t="s">
        <v>1021</v>
      </c>
      <c r="C540" s="32" t="s">
        <v>428</v>
      </c>
      <c r="D540" s="32">
        <v>2009</v>
      </c>
      <c r="E540" s="32">
        <v>2006</v>
      </c>
      <c r="F540" s="32" t="s">
        <v>303</v>
      </c>
      <c r="G540" s="32" t="s">
        <v>429</v>
      </c>
      <c r="H540" s="32" t="s">
        <v>2831</v>
      </c>
      <c r="I540" s="32">
        <f t="shared" si="185"/>
        <v>43.333333333333336</v>
      </c>
      <c r="J540" s="32">
        <f t="shared" si="186"/>
        <v>-89.716666666666669</v>
      </c>
      <c r="K540" s="32">
        <v>250</v>
      </c>
      <c r="Q540" s="44">
        <v>4</v>
      </c>
      <c r="R540" s="44">
        <v>4</v>
      </c>
      <c r="S540" s="44"/>
      <c r="T540" s="44" t="s">
        <v>1917</v>
      </c>
      <c r="U540" s="44" t="s">
        <v>1398</v>
      </c>
      <c r="V540" s="44" t="s">
        <v>1729</v>
      </c>
      <c r="W540" s="44" t="s">
        <v>1398</v>
      </c>
      <c r="X540" s="44" t="s">
        <v>1393</v>
      </c>
      <c r="Y540" s="32">
        <f t="shared" si="187"/>
        <v>1.417142857142857</v>
      </c>
      <c r="Z540" s="323"/>
      <c r="AA540" s="323"/>
      <c r="AB540" s="32" t="s">
        <v>451</v>
      </c>
      <c r="AC540" s="32">
        <f t="shared" si="188"/>
        <v>6.8714285714285719</v>
      </c>
      <c r="AF540" s="32" t="s">
        <v>1331</v>
      </c>
      <c r="AG540" s="32" t="s">
        <v>1519</v>
      </c>
      <c r="AH540" s="138" t="s">
        <v>578</v>
      </c>
      <c r="AI540" s="32" t="s">
        <v>430</v>
      </c>
      <c r="AJ540" s="140" t="s">
        <v>1626</v>
      </c>
      <c r="AK540" s="32" t="s">
        <v>422</v>
      </c>
      <c r="AL540" s="32" t="s">
        <v>422</v>
      </c>
      <c r="AM540" s="32" t="s">
        <v>178</v>
      </c>
      <c r="AQ540" s="32" t="s">
        <v>437</v>
      </c>
      <c r="AR540" s="32" t="s">
        <v>437</v>
      </c>
      <c r="AT540" s="32" t="s">
        <v>432</v>
      </c>
      <c r="AU540" s="32">
        <v>4</v>
      </c>
      <c r="AW540" s="32" t="s">
        <v>142</v>
      </c>
      <c r="BA540" s="53"/>
      <c r="BM540" s="397">
        <v>1.42</v>
      </c>
      <c r="BN540" s="397">
        <v>1.46</v>
      </c>
      <c r="BR540" s="397">
        <v>4</v>
      </c>
      <c r="BS540" s="397">
        <v>3.8299999999999996</v>
      </c>
      <c r="BV540" s="32" t="s">
        <v>1677</v>
      </c>
      <c r="CB540" s="32">
        <v>33</v>
      </c>
      <c r="CC540" s="32">
        <v>37.299999999999997</v>
      </c>
      <c r="CG540" s="32">
        <v>208</v>
      </c>
      <c r="CH540" s="32">
        <v>161</v>
      </c>
      <c r="CL540" s="32">
        <v>7</v>
      </c>
      <c r="CM540" s="32">
        <v>6.6</v>
      </c>
      <c r="DF540" s="32">
        <v>407</v>
      </c>
      <c r="DG540" s="32">
        <v>337</v>
      </c>
      <c r="DJ540" s="32" t="s">
        <v>434</v>
      </c>
      <c r="DP540" s="32">
        <v>0.57999999999999996</v>
      </c>
      <c r="DQ540" s="32">
        <v>0.63</v>
      </c>
      <c r="DT540" s="32" t="s">
        <v>859</v>
      </c>
      <c r="EY540" s="32">
        <v>0.216</v>
      </c>
      <c r="EZ540" s="32">
        <v>0.23799999999999999</v>
      </c>
      <c r="GM540" s="12"/>
      <c r="GQ540" s="12"/>
      <c r="GR540" s="32">
        <v>1306</v>
      </c>
      <c r="GS540" s="32">
        <v>1336</v>
      </c>
      <c r="GV540" s="32" t="s">
        <v>433</v>
      </c>
      <c r="IA540" s="32">
        <f t="shared" si="190"/>
        <v>0.73920000000000008</v>
      </c>
      <c r="IB540" s="32">
        <f>105*0.012</f>
        <v>1.26</v>
      </c>
      <c r="IE540" s="32" t="s">
        <v>436</v>
      </c>
      <c r="IL540" s="34">
        <v>99999</v>
      </c>
      <c r="IO540" s="32" t="s">
        <v>435</v>
      </c>
      <c r="IP540" s="32" t="s">
        <v>858</v>
      </c>
    </row>
    <row r="541" spans="1:250" s="32" customFormat="1" x14ac:dyDescent="0.25">
      <c r="A541" s="32">
        <v>29</v>
      </c>
      <c r="B541" s="32" t="s">
        <v>1021</v>
      </c>
      <c r="C541" s="32" t="s">
        <v>428</v>
      </c>
      <c r="D541" s="32">
        <v>2009</v>
      </c>
      <c r="E541" s="32">
        <v>2006</v>
      </c>
      <c r="F541" s="32" t="s">
        <v>303</v>
      </c>
      <c r="G541" s="32" t="s">
        <v>429</v>
      </c>
      <c r="H541" s="32" t="s">
        <v>2831</v>
      </c>
      <c r="I541" s="32">
        <f t="shared" si="185"/>
        <v>43.333333333333336</v>
      </c>
      <c r="J541" s="32">
        <f t="shared" si="186"/>
        <v>-89.716666666666669</v>
      </c>
      <c r="K541" s="32">
        <v>250</v>
      </c>
      <c r="Q541" s="44">
        <v>4</v>
      </c>
      <c r="R541" s="44">
        <v>4</v>
      </c>
      <c r="S541" s="44"/>
      <c r="T541" s="44" t="s">
        <v>1917</v>
      </c>
      <c r="U541" s="44" t="s">
        <v>1398</v>
      </c>
      <c r="V541" s="44" t="s">
        <v>1729</v>
      </c>
      <c r="W541" s="44" t="s">
        <v>1398</v>
      </c>
      <c r="X541" s="44" t="s">
        <v>1393</v>
      </c>
      <c r="Y541" s="32">
        <f t="shared" si="187"/>
        <v>1.417142857142857</v>
      </c>
      <c r="Z541" s="323"/>
      <c r="AA541" s="323"/>
      <c r="AB541" s="32" t="s">
        <v>451</v>
      </c>
      <c r="AC541" s="32">
        <f t="shared" si="188"/>
        <v>6.8714285714285719</v>
      </c>
      <c r="AF541" s="32" t="s">
        <v>1331</v>
      </c>
      <c r="AG541" s="32" t="s">
        <v>1519</v>
      </c>
      <c r="AH541" s="138" t="s">
        <v>578</v>
      </c>
      <c r="AI541" s="32" t="s">
        <v>133</v>
      </c>
      <c r="AJ541" s="140" t="s">
        <v>1626</v>
      </c>
      <c r="AK541" s="32" t="s">
        <v>422</v>
      </c>
      <c r="AL541" s="32" t="s">
        <v>422</v>
      </c>
      <c r="AM541" s="32" t="s">
        <v>178</v>
      </c>
      <c r="AQ541" s="32" t="s">
        <v>437</v>
      </c>
      <c r="AR541" s="32" t="s">
        <v>437</v>
      </c>
      <c r="AT541" s="32" t="s">
        <v>432</v>
      </c>
      <c r="AU541" s="32">
        <v>4</v>
      </c>
      <c r="AW541" s="32" t="s">
        <v>142</v>
      </c>
      <c r="BA541" s="53"/>
      <c r="BM541" s="397">
        <v>1.42</v>
      </c>
      <c r="BN541" s="397">
        <v>1.41</v>
      </c>
      <c r="BR541" s="397">
        <v>4</v>
      </c>
      <c r="BS541" s="397">
        <v>4.2299999999999995</v>
      </c>
      <c r="BV541" s="32" t="s">
        <v>1677</v>
      </c>
      <c r="CB541" s="32">
        <v>33</v>
      </c>
      <c r="CC541" s="32">
        <v>54.5</v>
      </c>
      <c r="CG541" s="32">
        <v>208</v>
      </c>
      <c r="CH541" s="32">
        <v>204</v>
      </c>
      <c r="CL541" s="32">
        <v>7</v>
      </c>
      <c r="CM541" s="32">
        <v>7</v>
      </c>
      <c r="DF541" s="32">
        <v>407</v>
      </c>
      <c r="DG541" s="32">
        <v>368</v>
      </c>
      <c r="DJ541" s="32" t="s">
        <v>434</v>
      </c>
      <c r="DP541" s="32">
        <v>0.57999999999999996</v>
      </c>
      <c r="DQ541" s="32">
        <v>0.65</v>
      </c>
      <c r="DT541" s="32" t="s">
        <v>859</v>
      </c>
      <c r="EY541" s="32">
        <v>0.216</v>
      </c>
      <c r="EZ541" s="32">
        <v>0.221</v>
      </c>
      <c r="GM541" s="12"/>
      <c r="GQ541" s="12"/>
      <c r="GR541" s="32">
        <v>1306</v>
      </c>
      <c r="GS541" s="32">
        <v>1354</v>
      </c>
      <c r="GV541" s="32" t="s">
        <v>433</v>
      </c>
      <c r="IA541" s="32">
        <f t="shared" si="190"/>
        <v>0.73920000000000008</v>
      </c>
      <c r="IB541" s="32">
        <f>70.9*0.012</f>
        <v>0.85080000000000011</v>
      </c>
      <c r="IE541" s="32" t="s">
        <v>436</v>
      </c>
      <c r="IL541" s="34">
        <v>99999</v>
      </c>
      <c r="IO541" s="32" t="s">
        <v>435</v>
      </c>
      <c r="IP541" s="32" t="s">
        <v>858</v>
      </c>
    </row>
    <row r="542" spans="1:250" s="32" customFormat="1" x14ac:dyDescent="0.25">
      <c r="A542" s="32">
        <v>29</v>
      </c>
      <c r="B542" s="32" t="s">
        <v>1021</v>
      </c>
      <c r="C542" s="32" t="s">
        <v>428</v>
      </c>
      <c r="D542" s="32">
        <v>2009</v>
      </c>
      <c r="E542" s="32">
        <v>2006</v>
      </c>
      <c r="F542" s="32" t="s">
        <v>303</v>
      </c>
      <c r="G542" s="32" t="s">
        <v>429</v>
      </c>
      <c r="H542" s="32" t="s">
        <v>2831</v>
      </c>
      <c r="I542" s="32">
        <f t="shared" si="185"/>
        <v>43.333333333333336</v>
      </c>
      <c r="J542" s="32">
        <f t="shared" si="186"/>
        <v>-89.716666666666669</v>
      </c>
      <c r="K542" s="32">
        <v>250</v>
      </c>
      <c r="Q542" s="44">
        <v>4</v>
      </c>
      <c r="R542" s="44">
        <v>4</v>
      </c>
      <c r="S542" s="44"/>
      <c r="T542" s="44" t="s">
        <v>1917</v>
      </c>
      <c r="U542" s="44" t="s">
        <v>1398</v>
      </c>
      <c r="V542" s="44" t="s">
        <v>1729</v>
      </c>
      <c r="W542" s="44" t="s">
        <v>1398</v>
      </c>
      <c r="X542" s="44" t="s">
        <v>1393</v>
      </c>
      <c r="Y542" s="32">
        <f t="shared" si="187"/>
        <v>1.417142857142857</v>
      </c>
      <c r="Z542" s="323"/>
      <c r="AA542" s="323"/>
      <c r="AB542" s="32" t="s">
        <v>451</v>
      </c>
      <c r="AC542" s="32">
        <f t="shared" si="188"/>
        <v>6.8714285714285719</v>
      </c>
      <c r="AF542" s="32" t="s">
        <v>1331</v>
      </c>
      <c r="AG542" s="32" t="s">
        <v>1155</v>
      </c>
      <c r="AH542" s="138" t="s">
        <v>132</v>
      </c>
      <c r="AI542" s="32" t="s">
        <v>133</v>
      </c>
      <c r="AJ542" s="140" t="s">
        <v>1626</v>
      </c>
      <c r="AK542" s="32" t="s">
        <v>422</v>
      </c>
      <c r="AL542" s="32" t="s">
        <v>422</v>
      </c>
      <c r="AM542" s="32" t="s">
        <v>178</v>
      </c>
      <c r="AQ542" s="32" t="s">
        <v>437</v>
      </c>
      <c r="AR542" s="32" t="s">
        <v>437</v>
      </c>
      <c r="AT542" s="32" t="s">
        <v>432</v>
      </c>
      <c r="AU542" s="32">
        <v>4</v>
      </c>
      <c r="AW542" s="32" t="s">
        <v>142</v>
      </c>
      <c r="BA542" s="53"/>
      <c r="BM542" s="397">
        <v>1.42</v>
      </c>
      <c r="BN542" s="397">
        <v>1.37</v>
      </c>
      <c r="BR542" s="397">
        <v>4</v>
      </c>
      <c r="BS542" s="397">
        <v>4.13</v>
      </c>
      <c r="BV542" s="32" t="s">
        <v>1677</v>
      </c>
      <c r="CB542" s="32">
        <v>33</v>
      </c>
      <c r="CC542" s="32">
        <v>57.5</v>
      </c>
      <c r="CG542" s="32">
        <v>208</v>
      </c>
      <c r="CH542" s="32">
        <v>277</v>
      </c>
      <c r="CL542" s="32">
        <v>7</v>
      </c>
      <c r="CM542" s="32">
        <v>6.8</v>
      </c>
      <c r="DF542" s="32">
        <v>407</v>
      </c>
      <c r="DG542" s="32">
        <v>352</v>
      </c>
      <c r="DJ542" s="32" t="s">
        <v>434</v>
      </c>
      <c r="DP542" s="32">
        <v>0.57999999999999996</v>
      </c>
      <c r="DQ542" s="32">
        <v>0.64</v>
      </c>
      <c r="DT542" s="32" t="s">
        <v>859</v>
      </c>
      <c r="EY542" s="32">
        <v>0.216</v>
      </c>
      <c r="EZ542" s="32">
        <v>0.23300000000000001</v>
      </c>
      <c r="GM542" s="12"/>
      <c r="GQ542" s="12"/>
      <c r="GR542" s="32">
        <v>1306</v>
      </c>
      <c r="GS542" s="32">
        <v>1382</v>
      </c>
      <c r="GV542" s="32" t="s">
        <v>433</v>
      </c>
      <c r="IA542" s="32">
        <f t="shared" si="190"/>
        <v>0.73920000000000008</v>
      </c>
      <c r="IB542" s="32">
        <f>88.6*0.012</f>
        <v>1.0631999999999999</v>
      </c>
      <c r="IE542" s="32" t="s">
        <v>436</v>
      </c>
      <c r="IL542" s="34">
        <v>99999</v>
      </c>
      <c r="IO542" s="32" t="s">
        <v>435</v>
      </c>
      <c r="IP542" s="32" t="s">
        <v>858</v>
      </c>
    </row>
    <row r="543" spans="1:250" s="32" customFormat="1" x14ac:dyDescent="0.25">
      <c r="A543" s="32">
        <v>29</v>
      </c>
      <c r="B543" s="32" t="s">
        <v>1021</v>
      </c>
      <c r="C543" s="32" t="s">
        <v>428</v>
      </c>
      <c r="D543" s="32">
        <v>2009</v>
      </c>
      <c r="E543" s="32">
        <v>2006</v>
      </c>
      <c r="F543" s="32" t="s">
        <v>303</v>
      </c>
      <c r="G543" s="32" t="s">
        <v>429</v>
      </c>
      <c r="H543" s="32" t="s">
        <v>2831</v>
      </c>
      <c r="I543" s="32">
        <f t="shared" si="185"/>
        <v>43.333333333333336</v>
      </c>
      <c r="J543" s="32">
        <f t="shared" si="186"/>
        <v>-89.716666666666669</v>
      </c>
      <c r="K543" s="32">
        <v>250</v>
      </c>
      <c r="Q543" s="44">
        <v>4</v>
      </c>
      <c r="R543" s="44">
        <v>4</v>
      </c>
      <c r="S543" s="44"/>
      <c r="T543" s="44" t="s">
        <v>1917</v>
      </c>
      <c r="U543" s="44" t="s">
        <v>1398</v>
      </c>
      <c r="V543" s="44" t="s">
        <v>1729</v>
      </c>
      <c r="W543" s="44" t="s">
        <v>1398</v>
      </c>
      <c r="X543" s="44" t="s">
        <v>1393</v>
      </c>
      <c r="Y543" s="32">
        <f t="shared" si="187"/>
        <v>1.417142857142857</v>
      </c>
      <c r="Z543" s="323"/>
      <c r="AA543" s="323"/>
      <c r="AB543" s="32" t="s">
        <v>451</v>
      </c>
      <c r="AC543" s="32">
        <f t="shared" si="188"/>
        <v>6.8714285714285719</v>
      </c>
      <c r="AF543" s="32" t="s">
        <v>1331</v>
      </c>
      <c r="AG543" s="32" t="s">
        <v>1156</v>
      </c>
      <c r="AH543" s="138" t="s">
        <v>132</v>
      </c>
      <c r="AI543" s="32" t="s">
        <v>133</v>
      </c>
      <c r="AJ543" s="140" t="s">
        <v>1626</v>
      </c>
      <c r="AK543" s="32" t="s">
        <v>422</v>
      </c>
      <c r="AL543" s="32" t="s">
        <v>422</v>
      </c>
      <c r="AM543" s="32" t="s">
        <v>178</v>
      </c>
      <c r="AQ543" s="32" t="s">
        <v>437</v>
      </c>
      <c r="AR543" s="32" t="s">
        <v>437</v>
      </c>
      <c r="AT543" s="32" t="s">
        <v>432</v>
      </c>
      <c r="AU543" s="32">
        <v>4</v>
      </c>
      <c r="AW543" s="32" t="s">
        <v>142</v>
      </c>
      <c r="BA543" s="53"/>
      <c r="BM543" s="397">
        <v>1.42</v>
      </c>
      <c r="BN543" s="397">
        <v>1.39</v>
      </c>
      <c r="BR543" s="397">
        <v>4</v>
      </c>
      <c r="BS543" s="397">
        <v>3.7</v>
      </c>
      <c r="BV543" s="32" t="s">
        <v>1677</v>
      </c>
      <c r="CB543" s="32">
        <v>33</v>
      </c>
      <c r="CC543" s="32">
        <v>43.3</v>
      </c>
      <c r="CG543" s="32">
        <v>208</v>
      </c>
      <c r="CH543" s="32">
        <v>265</v>
      </c>
      <c r="CL543" s="32">
        <v>7</v>
      </c>
      <c r="CM543" s="32">
        <v>7.1</v>
      </c>
      <c r="DF543" s="32">
        <v>407</v>
      </c>
      <c r="DG543" s="32">
        <v>411</v>
      </c>
      <c r="DJ543" s="32" t="s">
        <v>434</v>
      </c>
      <c r="DP543" s="32">
        <v>0.57999999999999996</v>
      </c>
      <c r="DQ543" s="32">
        <v>0.63</v>
      </c>
      <c r="DT543" s="32" t="s">
        <v>859</v>
      </c>
      <c r="EY543" s="32">
        <v>0.216</v>
      </c>
      <c r="EZ543" s="32">
        <v>0.219</v>
      </c>
      <c r="GM543" s="12"/>
      <c r="GQ543" s="12"/>
      <c r="GR543" s="32">
        <v>1306</v>
      </c>
      <c r="GS543" s="32">
        <v>1360</v>
      </c>
      <c r="GV543" s="32" t="s">
        <v>433</v>
      </c>
      <c r="IA543" s="32">
        <f t="shared" si="190"/>
        <v>0.73920000000000008</v>
      </c>
      <c r="IB543" s="32">
        <f>72.5*0.012</f>
        <v>0.87</v>
      </c>
      <c r="IE543" s="32" t="s">
        <v>436</v>
      </c>
      <c r="IL543" s="34">
        <v>99999</v>
      </c>
      <c r="IO543" s="32" t="s">
        <v>435</v>
      </c>
      <c r="IP543" s="32" t="s">
        <v>858</v>
      </c>
    </row>
    <row r="544" spans="1:250" s="34" customFormat="1" x14ac:dyDescent="0.25">
      <c r="A544" s="34">
        <v>29</v>
      </c>
      <c r="B544" s="34" t="s">
        <v>1021</v>
      </c>
      <c r="C544" s="34" t="s">
        <v>428</v>
      </c>
      <c r="D544" s="34">
        <v>2009</v>
      </c>
      <c r="E544" s="34">
        <v>2006</v>
      </c>
      <c r="F544" s="34" t="s">
        <v>303</v>
      </c>
      <c r="G544" s="34" t="s">
        <v>429</v>
      </c>
      <c r="H544" s="32" t="s">
        <v>2831</v>
      </c>
      <c r="I544" s="34">
        <f t="shared" si="185"/>
        <v>43.333333333333336</v>
      </c>
      <c r="J544" s="34">
        <f t="shared" si="186"/>
        <v>-89.716666666666669</v>
      </c>
      <c r="K544" s="34">
        <v>250</v>
      </c>
      <c r="Q544" s="48">
        <v>4</v>
      </c>
      <c r="R544" s="48">
        <v>4</v>
      </c>
      <c r="S544" s="48"/>
      <c r="T544" s="48" t="s">
        <v>1917</v>
      </c>
      <c r="U544" s="48" t="s">
        <v>1386</v>
      </c>
      <c r="V544" s="48" t="s">
        <v>1724</v>
      </c>
      <c r="W544" s="48" t="s">
        <v>1398</v>
      </c>
      <c r="X544" s="48" t="s">
        <v>1393</v>
      </c>
      <c r="Y544" s="34">
        <f t="shared" si="187"/>
        <v>1.417142857142857</v>
      </c>
      <c r="Z544" s="328"/>
      <c r="AA544" s="328"/>
      <c r="AB544" s="34" t="s">
        <v>451</v>
      </c>
      <c r="AC544" s="34">
        <f t="shared" si="188"/>
        <v>6.8714285714285719</v>
      </c>
      <c r="AF544" s="34" t="s">
        <v>1331</v>
      </c>
      <c r="AG544" s="34" t="s">
        <v>1539</v>
      </c>
      <c r="AH544" s="138" t="s">
        <v>578</v>
      </c>
      <c r="AI544" s="34" t="s">
        <v>430</v>
      </c>
      <c r="AJ544" s="140" t="s">
        <v>1626</v>
      </c>
      <c r="AK544" s="34" t="s">
        <v>422</v>
      </c>
      <c r="AL544" s="34" t="s">
        <v>422</v>
      </c>
      <c r="AM544" s="34" t="s">
        <v>178</v>
      </c>
      <c r="AQ544" s="34" t="s">
        <v>437</v>
      </c>
      <c r="AR544" s="34" t="s">
        <v>437</v>
      </c>
      <c r="AT544" s="34" t="s">
        <v>431</v>
      </c>
      <c r="AU544" s="34">
        <v>4</v>
      </c>
      <c r="AW544" s="34" t="s">
        <v>142</v>
      </c>
      <c r="BA544" s="53"/>
      <c r="BM544" s="404">
        <v>1.49</v>
      </c>
      <c r="BN544" s="404">
        <v>1.45</v>
      </c>
      <c r="BR544" s="404">
        <v>2.93</v>
      </c>
      <c r="BS544" s="404">
        <v>3.3</v>
      </c>
      <c r="BV544" s="34" t="s">
        <v>1677</v>
      </c>
      <c r="CB544" s="34">
        <v>24.3</v>
      </c>
      <c r="CC544" s="34">
        <v>20.8</v>
      </c>
      <c r="CG544" s="34">
        <v>145</v>
      </c>
      <c r="CH544" s="34">
        <v>104</v>
      </c>
      <c r="CL544" s="34">
        <v>7.1</v>
      </c>
      <c r="CM544" s="34">
        <v>6.8</v>
      </c>
      <c r="DF544" s="34">
        <v>293</v>
      </c>
      <c r="DG544" s="34">
        <v>313</v>
      </c>
      <c r="DJ544" s="34" t="s">
        <v>434</v>
      </c>
      <c r="DP544" s="34">
        <v>1.3393999999999999</v>
      </c>
      <c r="DQ544" s="34">
        <v>1.2694000000000001</v>
      </c>
      <c r="DT544" s="34" t="s">
        <v>859</v>
      </c>
      <c r="EY544" s="34">
        <v>0.23</v>
      </c>
      <c r="EZ544" s="34">
        <v>0.23499999999999999</v>
      </c>
      <c r="GM544" s="12"/>
      <c r="GQ544" s="12"/>
      <c r="GR544" s="34">
        <v>1092</v>
      </c>
      <c r="GS544" s="34">
        <v>1178</v>
      </c>
      <c r="GV544" s="34" t="s">
        <v>433</v>
      </c>
      <c r="IA544" s="34">
        <f>22*0.012</f>
        <v>0.26400000000000001</v>
      </c>
      <c r="IB544" s="34">
        <f>54.3*0.012</f>
        <v>0.65159999999999996</v>
      </c>
      <c r="IE544" s="34" t="s">
        <v>436</v>
      </c>
      <c r="IL544" s="34">
        <v>99999</v>
      </c>
      <c r="IO544" s="34" t="s">
        <v>435</v>
      </c>
      <c r="IP544" s="34" t="s">
        <v>858</v>
      </c>
    </row>
    <row r="545" spans="1:250" s="34" customFormat="1" x14ac:dyDescent="0.25">
      <c r="A545" s="34">
        <v>29</v>
      </c>
      <c r="B545" s="34" t="s">
        <v>1021</v>
      </c>
      <c r="C545" s="34" t="s">
        <v>428</v>
      </c>
      <c r="D545" s="34">
        <v>2009</v>
      </c>
      <c r="E545" s="34">
        <v>2006</v>
      </c>
      <c r="F545" s="34" t="s">
        <v>303</v>
      </c>
      <c r="G545" s="34" t="s">
        <v>429</v>
      </c>
      <c r="H545" s="32" t="s">
        <v>2831</v>
      </c>
      <c r="I545" s="34">
        <f t="shared" si="185"/>
        <v>43.333333333333336</v>
      </c>
      <c r="J545" s="34">
        <f t="shared" si="186"/>
        <v>-89.716666666666669</v>
      </c>
      <c r="K545" s="34">
        <v>250</v>
      </c>
      <c r="Q545" s="48">
        <v>4</v>
      </c>
      <c r="R545" s="48">
        <v>4</v>
      </c>
      <c r="S545" s="48"/>
      <c r="T545" s="48" t="s">
        <v>1917</v>
      </c>
      <c r="U545" s="48" t="s">
        <v>1386</v>
      </c>
      <c r="V545" s="48" t="s">
        <v>1724</v>
      </c>
      <c r="W545" s="48" t="s">
        <v>1398</v>
      </c>
      <c r="X545" s="48" t="s">
        <v>1393</v>
      </c>
      <c r="Y545" s="34">
        <f t="shared" si="187"/>
        <v>1.417142857142857</v>
      </c>
      <c r="Z545" s="328"/>
      <c r="AA545" s="328"/>
      <c r="AB545" s="34" t="s">
        <v>451</v>
      </c>
      <c r="AC545" s="34">
        <f t="shared" si="188"/>
        <v>6.8714285714285719</v>
      </c>
      <c r="AF545" s="34" t="s">
        <v>1331</v>
      </c>
      <c r="AG545" s="34" t="s">
        <v>1539</v>
      </c>
      <c r="AH545" s="138" t="s">
        <v>578</v>
      </c>
      <c r="AI545" s="34" t="s">
        <v>133</v>
      </c>
      <c r="AJ545" s="140" t="s">
        <v>1626</v>
      </c>
      <c r="AK545" s="34" t="s">
        <v>422</v>
      </c>
      <c r="AL545" s="34" t="s">
        <v>422</v>
      </c>
      <c r="AM545" s="34" t="s">
        <v>178</v>
      </c>
      <c r="AQ545" s="34" t="s">
        <v>437</v>
      </c>
      <c r="AR545" s="34" t="s">
        <v>437</v>
      </c>
      <c r="AT545" s="34" t="s">
        <v>431</v>
      </c>
      <c r="AU545" s="34">
        <v>4</v>
      </c>
      <c r="AW545" s="34" t="s">
        <v>142</v>
      </c>
      <c r="BA545" s="53"/>
      <c r="BM545" s="404">
        <v>1.49</v>
      </c>
      <c r="BN545" s="404">
        <v>1.42</v>
      </c>
      <c r="BR545" s="404">
        <v>2.93</v>
      </c>
      <c r="BS545" s="404">
        <v>3.38</v>
      </c>
      <c r="BV545" s="34" t="s">
        <v>1677</v>
      </c>
      <c r="CB545" s="34">
        <v>24.3</v>
      </c>
      <c r="CC545" s="34">
        <v>19</v>
      </c>
      <c r="CG545" s="34">
        <v>145</v>
      </c>
      <c r="CH545" s="34">
        <v>121</v>
      </c>
      <c r="CL545" s="34">
        <v>7.1</v>
      </c>
      <c r="CM545" s="34">
        <v>6.6</v>
      </c>
      <c r="DF545" s="34">
        <v>293</v>
      </c>
      <c r="DG545" s="34">
        <v>404</v>
      </c>
      <c r="DJ545" s="34" t="s">
        <v>434</v>
      </c>
      <c r="DP545" s="34">
        <v>1.3393999999999999</v>
      </c>
      <c r="DQ545" s="34">
        <v>1.3277000000000001</v>
      </c>
      <c r="DT545" s="34" t="s">
        <v>859</v>
      </c>
      <c r="EY545" s="34">
        <v>0.23</v>
      </c>
      <c r="EZ545" s="34">
        <v>0.22800000000000001</v>
      </c>
      <c r="GM545" s="12"/>
      <c r="GQ545" s="12"/>
      <c r="GR545" s="34">
        <v>1092</v>
      </c>
      <c r="GS545" s="34">
        <v>1169</v>
      </c>
      <c r="GV545" s="34" t="s">
        <v>433</v>
      </c>
      <c r="IA545" s="34">
        <f t="shared" ref="IA545:IA549" si="191">22*0.012</f>
        <v>0.26400000000000001</v>
      </c>
      <c r="IB545" s="34">
        <f>29.1*0.012</f>
        <v>0.34920000000000001</v>
      </c>
      <c r="IE545" s="34" t="s">
        <v>436</v>
      </c>
      <c r="IL545" s="34">
        <v>99999</v>
      </c>
      <c r="IO545" s="34" t="s">
        <v>435</v>
      </c>
      <c r="IP545" s="34" t="s">
        <v>858</v>
      </c>
    </row>
    <row r="546" spans="1:250" s="34" customFormat="1" x14ac:dyDescent="0.25">
      <c r="A546" s="34">
        <v>29</v>
      </c>
      <c r="B546" s="34" t="s">
        <v>1021</v>
      </c>
      <c r="C546" s="34" t="s">
        <v>428</v>
      </c>
      <c r="D546" s="34">
        <v>2009</v>
      </c>
      <c r="E546" s="34">
        <v>2006</v>
      </c>
      <c r="F546" s="34" t="s">
        <v>303</v>
      </c>
      <c r="G546" s="34" t="s">
        <v>429</v>
      </c>
      <c r="H546" s="32" t="s">
        <v>2831</v>
      </c>
      <c r="I546" s="34">
        <f t="shared" si="185"/>
        <v>43.333333333333336</v>
      </c>
      <c r="J546" s="34">
        <f t="shared" si="186"/>
        <v>-89.716666666666669</v>
      </c>
      <c r="K546" s="34">
        <v>250</v>
      </c>
      <c r="Q546" s="48">
        <v>4</v>
      </c>
      <c r="R546" s="48">
        <v>4</v>
      </c>
      <c r="S546" s="48"/>
      <c r="T546" s="48" t="s">
        <v>1917</v>
      </c>
      <c r="U546" s="48" t="s">
        <v>1386</v>
      </c>
      <c r="V546" s="48" t="s">
        <v>1724</v>
      </c>
      <c r="W546" s="48" t="s">
        <v>1398</v>
      </c>
      <c r="X546" s="48" t="s">
        <v>1393</v>
      </c>
      <c r="Y546" s="34">
        <f t="shared" si="187"/>
        <v>1.417142857142857</v>
      </c>
      <c r="Z546" s="328"/>
      <c r="AA546" s="328"/>
      <c r="AB546" s="34" t="s">
        <v>451</v>
      </c>
      <c r="AC546" s="34">
        <f t="shared" si="188"/>
        <v>6.8714285714285719</v>
      </c>
      <c r="AF546" s="34" t="s">
        <v>1331</v>
      </c>
      <c r="AG546" s="34" t="s">
        <v>1519</v>
      </c>
      <c r="AH546" s="138" t="s">
        <v>578</v>
      </c>
      <c r="AI546" s="34" t="s">
        <v>430</v>
      </c>
      <c r="AJ546" s="140" t="s">
        <v>1626</v>
      </c>
      <c r="AK546" s="34" t="s">
        <v>422</v>
      </c>
      <c r="AL546" s="34" t="s">
        <v>422</v>
      </c>
      <c r="AM546" s="34" t="s">
        <v>178</v>
      </c>
      <c r="AQ546" s="34" t="s">
        <v>437</v>
      </c>
      <c r="AR546" s="34" t="s">
        <v>437</v>
      </c>
      <c r="AT546" s="34" t="s">
        <v>431</v>
      </c>
      <c r="AU546" s="34">
        <v>4</v>
      </c>
      <c r="AW546" s="34" t="s">
        <v>142</v>
      </c>
      <c r="BA546" s="53"/>
      <c r="BM546" s="404">
        <v>1.49</v>
      </c>
      <c r="BN546" s="404">
        <v>1.48</v>
      </c>
      <c r="BR546" s="404">
        <v>2.93</v>
      </c>
      <c r="BS546" s="404">
        <v>3.25</v>
      </c>
      <c r="BV546" s="34" t="s">
        <v>1677</v>
      </c>
      <c r="CB546" s="34">
        <v>24.3</v>
      </c>
      <c r="CC546" s="34">
        <v>22.5</v>
      </c>
      <c r="CG546" s="34">
        <v>145</v>
      </c>
      <c r="CH546" s="34">
        <v>92</v>
      </c>
      <c r="CL546" s="34">
        <v>7.1</v>
      </c>
      <c r="CM546" s="34">
        <v>7</v>
      </c>
      <c r="DF546" s="34">
        <v>293</v>
      </c>
      <c r="DG546" s="34">
        <v>279</v>
      </c>
      <c r="DJ546" s="34" t="s">
        <v>434</v>
      </c>
      <c r="DP546" s="34">
        <v>1.3393999999999999</v>
      </c>
      <c r="DQ546" s="34">
        <v>1.3549</v>
      </c>
      <c r="DT546" s="34" t="s">
        <v>859</v>
      </c>
      <c r="EY546" s="34">
        <v>0.23</v>
      </c>
      <c r="EZ546" s="34">
        <v>0.22700000000000001</v>
      </c>
      <c r="GM546" s="12"/>
      <c r="GQ546" s="12"/>
      <c r="GR546" s="34">
        <v>1092</v>
      </c>
      <c r="GS546" s="34">
        <v>1148</v>
      </c>
      <c r="GV546" s="34" t="s">
        <v>433</v>
      </c>
      <c r="IA546" s="34">
        <f t="shared" si="191"/>
        <v>0.26400000000000001</v>
      </c>
      <c r="IB546" s="34">
        <f>43.9*0.012</f>
        <v>0.52680000000000005</v>
      </c>
      <c r="IE546" s="34" t="s">
        <v>436</v>
      </c>
      <c r="IL546" s="34">
        <v>99999</v>
      </c>
      <c r="IO546" s="34" t="s">
        <v>435</v>
      </c>
      <c r="IP546" s="34" t="s">
        <v>858</v>
      </c>
    </row>
    <row r="547" spans="1:250" s="34" customFormat="1" x14ac:dyDescent="0.25">
      <c r="A547" s="34">
        <v>29</v>
      </c>
      <c r="B547" s="34" t="s">
        <v>1021</v>
      </c>
      <c r="C547" s="34" t="s">
        <v>428</v>
      </c>
      <c r="D547" s="34">
        <v>2009</v>
      </c>
      <c r="E547" s="34">
        <v>2006</v>
      </c>
      <c r="F547" s="34" t="s">
        <v>303</v>
      </c>
      <c r="G547" s="34" t="s">
        <v>429</v>
      </c>
      <c r="H547" s="32" t="s">
        <v>2831</v>
      </c>
      <c r="I547" s="34">
        <f t="shared" si="185"/>
        <v>43.333333333333336</v>
      </c>
      <c r="J547" s="34">
        <f t="shared" si="186"/>
        <v>-89.716666666666669</v>
      </c>
      <c r="K547" s="34">
        <v>250</v>
      </c>
      <c r="Q547" s="48">
        <v>4</v>
      </c>
      <c r="R547" s="48">
        <v>4</v>
      </c>
      <c r="S547" s="48"/>
      <c r="T547" s="48" t="s">
        <v>1917</v>
      </c>
      <c r="U547" s="48" t="s">
        <v>1386</v>
      </c>
      <c r="V547" s="48" t="s">
        <v>1724</v>
      </c>
      <c r="W547" s="48" t="s">
        <v>1398</v>
      </c>
      <c r="X547" s="48" t="s">
        <v>1393</v>
      </c>
      <c r="Y547" s="34">
        <f t="shared" si="187"/>
        <v>1.417142857142857</v>
      </c>
      <c r="Z547" s="328"/>
      <c r="AA547" s="328"/>
      <c r="AB547" s="34" t="s">
        <v>451</v>
      </c>
      <c r="AC547" s="34">
        <f t="shared" si="188"/>
        <v>6.8714285714285719</v>
      </c>
      <c r="AF547" s="34" t="s">
        <v>1331</v>
      </c>
      <c r="AG547" s="34" t="s">
        <v>1519</v>
      </c>
      <c r="AH547" s="138" t="s">
        <v>578</v>
      </c>
      <c r="AI547" s="34" t="s">
        <v>133</v>
      </c>
      <c r="AJ547" s="140" t="s">
        <v>1626</v>
      </c>
      <c r="AK547" s="34" t="s">
        <v>422</v>
      </c>
      <c r="AL547" s="34" t="s">
        <v>422</v>
      </c>
      <c r="AM547" s="34" t="s">
        <v>178</v>
      </c>
      <c r="AQ547" s="34" t="s">
        <v>437</v>
      </c>
      <c r="AR547" s="34" t="s">
        <v>437</v>
      </c>
      <c r="AT547" s="34" t="s">
        <v>431</v>
      </c>
      <c r="AU547" s="34">
        <v>4</v>
      </c>
      <c r="AW547" s="34" t="s">
        <v>142</v>
      </c>
      <c r="BA547" s="53"/>
      <c r="BM547" s="404">
        <v>1.49</v>
      </c>
      <c r="BN547" s="404">
        <v>1.43</v>
      </c>
      <c r="BR547" s="404">
        <v>2.93</v>
      </c>
      <c r="BS547" s="404">
        <v>3.3299999999999996</v>
      </c>
      <c r="BV547" s="34" t="s">
        <v>1677</v>
      </c>
      <c r="CB547" s="34">
        <v>24.3</v>
      </c>
      <c r="CC547" s="34">
        <v>20.8</v>
      </c>
      <c r="CG547" s="34">
        <v>145</v>
      </c>
      <c r="CH547" s="34">
        <v>104</v>
      </c>
      <c r="CL547" s="34">
        <v>7.1</v>
      </c>
      <c r="CM547" s="34">
        <v>6.7</v>
      </c>
      <c r="DF547" s="34">
        <v>293</v>
      </c>
      <c r="DG547" s="34">
        <v>365</v>
      </c>
      <c r="DJ547" s="34" t="s">
        <v>434</v>
      </c>
      <c r="DP547" s="34">
        <v>1.3393999999999999</v>
      </c>
      <c r="DQ547" s="34">
        <v>1.38</v>
      </c>
      <c r="DT547" s="34" t="s">
        <v>859</v>
      </c>
      <c r="EY547" s="34">
        <v>0.23</v>
      </c>
      <c r="EZ547" s="34">
        <v>0.22700000000000001</v>
      </c>
      <c r="GM547" s="12"/>
      <c r="GQ547" s="12"/>
      <c r="GR547" s="34">
        <v>1092</v>
      </c>
      <c r="GS547" s="34">
        <v>1189</v>
      </c>
      <c r="GV547" s="34" t="s">
        <v>433</v>
      </c>
      <c r="IA547" s="34">
        <f t="shared" si="191"/>
        <v>0.26400000000000001</v>
      </c>
      <c r="IB547" s="34">
        <f>34.3*0.012</f>
        <v>0.41159999999999997</v>
      </c>
      <c r="IE547" s="34" t="s">
        <v>436</v>
      </c>
      <c r="IL547" s="34">
        <v>99999</v>
      </c>
      <c r="IO547" s="34" t="s">
        <v>435</v>
      </c>
      <c r="IP547" s="34" t="s">
        <v>858</v>
      </c>
    </row>
    <row r="548" spans="1:250" s="34" customFormat="1" x14ac:dyDescent="0.25">
      <c r="A548" s="34">
        <v>29</v>
      </c>
      <c r="B548" s="34" t="s">
        <v>1021</v>
      </c>
      <c r="C548" s="34" t="s">
        <v>428</v>
      </c>
      <c r="D548" s="34">
        <v>2009</v>
      </c>
      <c r="E548" s="34">
        <v>2006</v>
      </c>
      <c r="F548" s="34" t="s">
        <v>303</v>
      </c>
      <c r="G548" s="34" t="s">
        <v>429</v>
      </c>
      <c r="H548" s="32" t="s">
        <v>2831</v>
      </c>
      <c r="I548" s="34">
        <f t="shared" si="185"/>
        <v>43.333333333333336</v>
      </c>
      <c r="J548" s="34">
        <f t="shared" si="186"/>
        <v>-89.716666666666669</v>
      </c>
      <c r="K548" s="34">
        <v>250</v>
      </c>
      <c r="Q548" s="48">
        <v>4</v>
      </c>
      <c r="R548" s="48">
        <v>4</v>
      </c>
      <c r="S548" s="48"/>
      <c r="T548" s="48" t="s">
        <v>1917</v>
      </c>
      <c r="U548" s="48" t="s">
        <v>1386</v>
      </c>
      <c r="V548" s="48" t="s">
        <v>1724</v>
      </c>
      <c r="W548" s="48" t="s">
        <v>1398</v>
      </c>
      <c r="X548" s="48" t="s">
        <v>1393</v>
      </c>
      <c r="Y548" s="34">
        <f t="shared" si="187"/>
        <v>1.417142857142857</v>
      </c>
      <c r="Z548" s="328"/>
      <c r="AA548" s="328"/>
      <c r="AB548" s="34" t="s">
        <v>451</v>
      </c>
      <c r="AC548" s="34">
        <f t="shared" si="188"/>
        <v>6.8714285714285719</v>
      </c>
      <c r="AF548" s="34" t="s">
        <v>1331</v>
      </c>
      <c r="AG548" s="34" t="s">
        <v>1155</v>
      </c>
      <c r="AH548" s="138" t="s">
        <v>132</v>
      </c>
      <c r="AI548" s="34" t="s">
        <v>133</v>
      </c>
      <c r="AJ548" s="140" t="s">
        <v>1626</v>
      </c>
      <c r="AK548" s="34" t="s">
        <v>422</v>
      </c>
      <c r="AL548" s="34" t="s">
        <v>422</v>
      </c>
      <c r="AM548" s="34" t="s">
        <v>178</v>
      </c>
      <c r="AQ548" s="34" t="s">
        <v>437</v>
      </c>
      <c r="AR548" s="34" t="s">
        <v>437</v>
      </c>
      <c r="AT548" s="34" t="s">
        <v>431</v>
      </c>
      <c r="AU548" s="34">
        <v>4</v>
      </c>
      <c r="AW548" s="34" t="s">
        <v>142</v>
      </c>
      <c r="BA548" s="53"/>
      <c r="BM548" s="404">
        <v>1.49</v>
      </c>
      <c r="BN548" s="404">
        <v>1.44</v>
      </c>
      <c r="BR548" s="404">
        <v>2.93</v>
      </c>
      <c r="BS548" s="404">
        <v>3.3</v>
      </c>
      <c r="BV548" s="34" t="s">
        <v>1677</v>
      </c>
      <c r="CB548" s="34">
        <v>24.3</v>
      </c>
      <c r="CC548" s="34">
        <v>22</v>
      </c>
      <c r="CG548" s="34">
        <v>145</v>
      </c>
      <c r="CH548" s="34">
        <v>132</v>
      </c>
      <c r="CL548" s="34">
        <v>7.1</v>
      </c>
      <c r="CM548" s="34">
        <v>7.2</v>
      </c>
      <c r="DF548" s="34">
        <v>293</v>
      </c>
      <c r="DG548" s="34">
        <v>355</v>
      </c>
      <c r="DJ548" s="34" t="s">
        <v>434</v>
      </c>
      <c r="DP548" s="34">
        <v>1.3393999999999999</v>
      </c>
      <c r="DQ548" s="34">
        <v>1.49</v>
      </c>
      <c r="DT548" s="34" t="s">
        <v>859</v>
      </c>
      <c r="EY548" s="34">
        <v>0.23</v>
      </c>
      <c r="EZ548" s="34">
        <v>0.22700000000000001</v>
      </c>
      <c r="GM548" s="12"/>
      <c r="GQ548" s="12"/>
      <c r="GR548" s="34">
        <v>1092</v>
      </c>
      <c r="GS548" s="34">
        <v>1229</v>
      </c>
      <c r="GV548" s="34" t="s">
        <v>433</v>
      </c>
      <c r="IA548" s="34">
        <f t="shared" si="191"/>
        <v>0.26400000000000001</v>
      </c>
      <c r="IB548" s="34">
        <f>66*0.012</f>
        <v>0.79200000000000004</v>
      </c>
      <c r="IE548" s="34" t="s">
        <v>436</v>
      </c>
      <c r="IL548" s="34">
        <v>99999</v>
      </c>
      <c r="IO548" s="34" t="s">
        <v>435</v>
      </c>
      <c r="IP548" s="34" t="s">
        <v>858</v>
      </c>
    </row>
    <row r="549" spans="1:250" s="34" customFormat="1" x14ac:dyDescent="0.25">
      <c r="A549" s="34">
        <v>29</v>
      </c>
      <c r="B549" s="34" t="s">
        <v>1021</v>
      </c>
      <c r="C549" s="34" t="s">
        <v>428</v>
      </c>
      <c r="D549" s="34">
        <v>2009</v>
      </c>
      <c r="E549" s="34">
        <v>2006</v>
      </c>
      <c r="F549" s="34" t="s">
        <v>303</v>
      </c>
      <c r="G549" s="34" t="s">
        <v>429</v>
      </c>
      <c r="H549" s="32" t="s">
        <v>2831</v>
      </c>
      <c r="I549" s="34">
        <f t="shared" si="185"/>
        <v>43.333333333333336</v>
      </c>
      <c r="J549" s="34">
        <f t="shared" si="186"/>
        <v>-89.716666666666669</v>
      </c>
      <c r="K549" s="34">
        <v>250</v>
      </c>
      <c r="Q549" s="48">
        <v>4</v>
      </c>
      <c r="R549" s="48">
        <v>4</v>
      </c>
      <c r="S549" s="48"/>
      <c r="T549" s="48" t="s">
        <v>1917</v>
      </c>
      <c r="U549" s="48" t="s">
        <v>1386</v>
      </c>
      <c r="V549" s="48" t="s">
        <v>1724</v>
      </c>
      <c r="W549" s="48" t="s">
        <v>1398</v>
      </c>
      <c r="X549" s="48" t="s">
        <v>1393</v>
      </c>
      <c r="Y549" s="34">
        <f t="shared" si="187"/>
        <v>1.417142857142857</v>
      </c>
      <c r="Z549" s="328"/>
      <c r="AA549" s="328"/>
      <c r="AB549" s="34" t="s">
        <v>451</v>
      </c>
      <c r="AC549" s="34">
        <f t="shared" si="188"/>
        <v>6.8714285714285719</v>
      </c>
      <c r="AF549" s="34" t="s">
        <v>1331</v>
      </c>
      <c r="AG549" s="34" t="s">
        <v>1156</v>
      </c>
      <c r="AH549" s="138" t="s">
        <v>132</v>
      </c>
      <c r="AI549" s="34" t="s">
        <v>133</v>
      </c>
      <c r="AJ549" s="140" t="s">
        <v>1626</v>
      </c>
      <c r="AK549" s="34" t="s">
        <v>422</v>
      </c>
      <c r="AL549" s="34" t="s">
        <v>422</v>
      </c>
      <c r="AM549" s="34" t="s">
        <v>178</v>
      </c>
      <c r="AQ549" s="34" t="s">
        <v>437</v>
      </c>
      <c r="AR549" s="34" t="s">
        <v>437</v>
      </c>
      <c r="AT549" s="34" t="s">
        <v>431</v>
      </c>
      <c r="AU549" s="34">
        <v>4</v>
      </c>
      <c r="AW549" s="34" t="s">
        <v>142</v>
      </c>
      <c r="BA549" s="53"/>
      <c r="BM549" s="404">
        <v>1.49</v>
      </c>
      <c r="BN549" s="404">
        <v>1.45</v>
      </c>
      <c r="BR549" s="404">
        <v>2.93</v>
      </c>
      <c r="BS549" s="404">
        <v>3.13</v>
      </c>
      <c r="BV549" s="34" t="s">
        <v>1677</v>
      </c>
      <c r="CB549" s="34">
        <v>24.3</v>
      </c>
      <c r="CC549" s="34">
        <v>18.8</v>
      </c>
      <c r="CG549" s="34">
        <v>145</v>
      </c>
      <c r="CH549" s="34">
        <v>147</v>
      </c>
      <c r="CL549" s="34">
        <v>7.1</v>
      </c>
      <c r="CM549" s="34">
        <v>6.8</v>
      </c>
      <c r="DF549" s="34">
        <v>293</v>
      </c>
      <c r="DG549" s="34">
        <v>302</v>
      </c>
      <c r="DJ549" s="34" t="s">
        <v>434</v>
      </c>
      <c r="DP549" s="34">
        <v>1.3393999999999999</v>
      </c>
      <c r="DQ549" s="34">
        <v>1.53</v>
      </c>
      <c r="DT549" s="34" t="s">
        <v>859</v>
      </c>
      <c r="EY549" s="34">
        <v>0.23</v>
      </c>
      <c r="EZ549" s="34">
        <v>0.222</v>
      </c>
      <c r="GM549" s="12"/>
      <c r="GQ549" s="12"/>
      <c r="GR549" s="34">
        <v>1092</v>
      </c>
      <c r="GS549" s="34">
        <v>1217</v>
      </c>
      <c r="GV549" s="34" t="s">
        <v>433</v>
      </c>
      <c r="IA549" s="34">
        <f t="shared" si="191"/>
        <v>0.26400000000000001</v>
      </c>
      <c r="IB549" s="34">
        <f>41.7*0.012</f>
        <v>0.50040000000000007</v>
      </c>
      <c r="IE549" s="34" t="s">
        <v>436</v>
      </c>
      <c r="IL549" s="34">
        <v>99999</v>
      </c>
      <c r="IO549" s="34" t="s">
        <v>435</v>
      </c>
      <c r="IP549" s="34" t="s">
        <v>858</v>
      </c>
    </row>
    <row r="550" spans="1:250" s="32" customFormat="1" x14ac:dyDescent="0.25">
      <c r="A550" s="32">
        <v>29</v>
      </c>
      <c r="B550" s="32" t="s">
        <v>1021</v>
      </c>
      <c r="C550" s="32" t="s">
        <v>428</v>
      </c>
      <c r="D550" s="32">
        <v>2009</v>
      </c>
      <c r="E550" s="32">
        <v>2006</v>
      </c>
      <c r="F550" s="32" t="s">
        <v>303</v>
      </c>
      <c r="G550" s="32" t="s">
        <v>429</v>
      </c>
      <c r="H550" s="32" t="s">
        <v>2831</v>
      </c>
      <c r="I550" s="32">
        <f t="shared" si="185"/>
        <v>43.333333333333336</v>
      </c>
      <c r="J550" s="32">
        <f t="shared" si="186"/>
        <v>-89.716666666666669</v>
      </c>
      <c r="K550" s="32">
        <v>250</v>
      </c>
      <c r="Q550" s="44">
        <v>4</v>
      </c>
      <c r="R550" s="44">
        <v>4</v>
      </c>
      <c r="S550" s="44"/>
      <c r="T550" s="44" t="s">
        <v>1917</v>
      </c>
      <c r="U550" s="44" t="s">
        <v>1386</v>
      </c>
      <c r="V550" s="44" t="s">
        <v>1724</v>
      </c>
      <c r="W550" s="44" t="s">
        <v>1398</v>
      </c>
      <c r="X550" s="44" t="s">
        <v>1393</v>
      </c>
      <c r="Y550" s="32">
        <f t="shared" si="187"/>
        <v>1.417142857142857</v>
      </c>
      <c r="Z550" s="323"/>
      <c r="AA550" s="323"/>
      <c r="AB550" s="32" t="s">
        <v>451</v>
      </c>
      <c r="AC550" s="32">
        <f t="shared" si="188"/>
        <v>6.8714285714285719</v>
      </c>
      <c r="AF550" s="32" t="s">
        <v>1331</v>
      </c>
      <c r="AG550" s="32" t="s">
        <v>1539</v>
      </c>
      <c r="AH550" s="138" t="s">
        <v>578</v>
      </c>
      <c r="AI550" s="32" t="s">
        <v>430</v>
      </c>
      <c r="AJ550" s="140" t="s">
        <v>1626</v>
      </c>
      <c r="AK550" s="32" t="s">
        <v>422</v>
      </c>
      <c r="AL550" s="32" t="s">
        <v>422</v>
      </c>
      <c r="AM550" s="32" t="s">
        <v>178</v>
      </c>
      <c r="AQ550" s="32" t="s">
        <v>437</v>
      </c>
      <c r="AR550" s="32" t="s">
        <v>437</v>
      </c>
      <c r="AT550" s="32" t="s">
        <v>432</v>
      </c>
      <c r="AU550" s="32">
        <v>4</v>
      </c>
      <c r="AW550" s="32" t="s">
        <v>142</v>
      </c>
      <c r="BA550" s="53"/>
      <c r="BM550" s="397">
        <v>1.4</v>
      </c>
      <c r="BN550" s="397">
        <v>1.45</v>
      </c>
      <c r="BR550" s="397">
        <v>3.38</v>
      </c>
      <c r="BS550" s="397">
        <v>3.3</v>
      </c>
      <c r="BV550" s="32" t="s">
        <v>1677</v>
      </c>
      <c r="CB550" s="32">
        <v>28</v>
      </c>
      <c r="CC550" s="32">
        <v>20.8</v>
      </c>
      <c r="CG550" s="32">
        <v>120</v>
      </c>
      <c r="CH550" s="32">
        <v>104</v>
      </c>
      <c r="CL550" s="32">
        <v>6.7</v>
      </c>
      <c r="CM550" s="32">
        <v>6.8</v>
      </c>
      <c r="DF550" s="32">
        <v>369</v>
      </c>
      <c r="DG550" s="32">
        <v>313</v>
      </c>
      <c r="DJ550" s="32" t="s">
        <v>434</v>
      </c>
      <c r="DP550" s="32">
        <v>1.4172</v>
      </c>
      <c r="DQ550" s="32">
        <v>1.2694000000000001</v>
      </c>
      <c r="DT550" s="32" t="s">
        <v>859</v>
      </c>
      <c r="EY550" s="32">
        <v>0.23</v>
      </c>
      <c r="EZ550" s="32">
        <v>0.23499999999999999</v>
      </c>
      <c r="GM550" s="12"/>
      <c r="GQ550" s="12"/>
      <c r="GR550" s="32">
        <v>1172</v>
      </c>
      <c r="GS550" s="32">
        <v>1178</v>
      </c>
      <c r="GV550" s="32" t="s">
        <v>433</v>
      </c>
      <c r="IA550" s="32">
        <f>40.7*0.012</f>
        <v>0.48840000000000006</v>
      </c>
      <c r="IB550" s="32">
        <f>54.3*0.012</f>
        <v>0.65159999999999996</v>
      </c>
      <c r="IE550" s="32" t="s">
        <v>436</v>
      </c>
      <c r="IL550" s="34">
        <v>99999</v>
      </c>
      <c r="IO550" s="32" t="s">
        <v>435</v>
      </c>
      <c r="IP550" s="32" t="s">
        <v>858</v>
      </c>
    </row>
    <row r="551" spans="1:250" s="32" customFormat="1" x14ac:dyDescent="0.25">
      <c r="A551" s="32">
        <v>29</v>
      </c>
      <c r="B551" s="32" t="s">
        <v>1021</v>
      </c>
      <c r="C551" s="32" t="s">
        <v>428</v>
      </c>
      <c r="D551" s="32">
        <v>2009</v>
      </c>
      <c r="E551" s="32">
        <v>2006</v>
      </c>
      <c r="F551" s="32" t="s">
        <v>303</v>
      </c>
      <c r="G551" s="32" t="s">
        <v>429</v>
      </c>
      <c r="H551" s="32" t="s">
        <v>2831</v>
      </c>
      <c r="I551" s="32">
        <f t="shared" si="185"/>
        <v>43.333333333333336</v>
      </c>
      <c r="J551" s="32">
        <f t="shared" si="186"/>
        <v>-89.716666666666669</v>
      </c>
      <c r="K551" s="32">
        <v>250</v>
      </c>
      <c r="Q551" s="44">
        <v>4</v>
      </c>
      <c r="R551" s="44">
        <v>4</v>
      </c>
      <c r="S551" s="44"/>
      <c r="T551" s="44" t="s">
        <v>1917</v>
      </c>
      <c r="U551" s="44" t="s">
        <v>1386</v>
      </c>
      <c r="V551" s="44" t="s">
        <v>1724</v>
      </c>
      <c r="W551" s="44" t="s">
        <v>1398</v>
      </c>
      <c r="X551" s="44" t="s">
        <v>1393</v>
      </c>
      <c r="Y551" s="32">
        <f t="shared" si="187"/>
        <v>1.417142857142857</v>
      </c>
      <c r="Z551" s="323"/>
      <c r="AA551" s="323"/>
      <c r="AB551" s="32" t="s">
        <v>451</v>
      </c>
      <c r="AC551" s="32">
        <f t="shared" si="188"/>
        <v>6.8714285714285719</v>
      </c>
      <c r="AF551" s="32" t="s">
        <v>1331</v>
      </c>
      <c r="AG551" s="32" t="s">
        <v>1539</v>
      </c>
      <c r="AH551" s="138" t="s">
        <v>578</v>
      </c>
      <c r="AI551" s="32" t="s">
        <v>133</v>
      </c>
      <c r="AJ551" s="140" t="s">
        <v>1626</v>
      </c>
      <c r="AK551" s="32" t="s">
        <v>422</v>
      </c>
      <c r="AL551" s="32" t="s">
        <v>422</v>
      </c>
      <c r="AM551" s="32" t="s">
        <v>178</v>
      </c>
      <c r="AQ551" s="32" t="s">
        <v>437</v>
      </c>
      <c r="AR551" s="32" t="s">
        <v>437</v>
      </c>
      <c r="AT551" s="32" t="s">
        <v>432</v>
      </c>
      <c r="AU551" s="32">
        <v>4</v>
      </c>
      <c r="AW551" s="32" t="s">
        <v>142</v>
      </c>
      <c r="BA551" s="53"/>
      <c r="BM551" s="397">
        <v>1.4</v>
      </c>
      <c r="BN551" s="397">
        <v>1.42</v>
      </c>
      <c r="BR551" s="397">
        <v>3.38</v>
      </c>
      <c r="BS551" s="397">
        <v>3.38</v>
      </c>
      <c r="BV551" s="32" t="s">
        <v>1677</v>
      </c>
      <c r="CB551" s="32">
        <v>28</v>
      </c>
      <c r="CC551" s="32">
        <v>19</v>
      </c>
      <c r="CG551" s="32">
        <v>120</v>
      </c>
      <c r="CH551" s="32">
        <v>121</v>
      </c>
      <c r="CL551" s="32">
        <v>6.7</v>
      </c>
      <c r="CM551" s="32">
        <v>6.6</v>
      </c>
      <c r="DF551" s="32">
        <v>369</v>
      </c>
      <c r="DG551" s="32">
        <v>404</v>
      </c>
      <c r="DJ551" s="32" t="s">
        <v>434</v>
      </c>
      <c r="DP551" s="32">
        <v>1.4172</v>
      </c>
      <c r="DQ551" s="32">
        <v>1.3277000000000001</v>
      </c>
      <c r="DT551" s="32" t="s">
        <v>859</v>
      </c>
      <c r="EY551" s="32">
        <v>0.23</v>
      </c>
      <c r="EZ551" s="32">
        <v>0.22800000000000001</v>
      </c>
      <c r="GM551" s="12"/>
      <c r="GQ551" s="12"/>
      <c r="GR551" s="32">
        <v>1172</v>
      </c>
      <c r="GS551" s="32">
        <v>1169</v>
      </c>
      <c r="GV551" s="32" t="s">
        <v>433</v>
      </c>
      <c r="IA551" s="32">
        <f t="shared" ref="IA551:IA555" si="192">40.7*0.012</f>
        <v>0.48840000000000006</v>
      </c>
      <c r="IB551" s="32">
        <f>29.1*0.012</f>
        <v>0.34920000000000001</v>
      </c>
      <c r="IE551" s="32" t="s">
        <v>436</v>
      </c>
      <c r="IL551" s="34">
        <v>99999</v>
      </c>
      <c r="IO551" s="32" t="s">
        <v>435</v>
      </c>
      <c r="IP551" s="32" t="s">
        <v>858</v>
      </c>
    </row>
    <row r="552" spans="1:250" s="32" customFormat="1" x14ac:dyDescent="0.25">
      <c r="A552" s="32">
        <v>29</v>
      </c>
      <c r="B552" s="32" t="s">
        <v>1021</v>
      </c>
      <c r="C552" s="32" t="s">
        <v>428</v>
      </c>
      <c r="D552" s="32">
        <v>2009</v>
      </c>
      <c r="E552" s="32">
        <v>2006</v>
      </c>
      <c r="F552" s="32" t="s">
        <v>303</v>
      </c>
      <c r="G552" s="32" t="s">
        <v>429</v>
      </c>
      <c r="H552" s="32" t="s">
        <v>2831</v>
      </c>
      <c r="I552" s="32">
        <f t="shared" si="185"/>
        <v>43.333333333333336</v>
      </c>
      <c r="J552" s="32">
        <f t="shared" si="186"/>
        <v>-89.716666666666669</v>
      </c>
      <c r="K552" s="32">
        <v>250</v>
      </c>
      <c r="Q552" s="44">
        <v>4</v>
      </c>
      <c r="R552" s="44">
        <v>4</v>
      </c>
      <c r="S552" s="44"/>
      <c r="T552" s="44" t="s">
        <v>1917</v>
      </c>
      <c r="U552" s="44" t="s">
        <v>1386</v>
      </c>
      <c r="V552" s="44" t="s">
        <v>1724</v>
      </c>
      <c r="W552" s="44" t="s">
        <v>1398</v>
      </c>
      <c r="X552" s="44" t="s">
        <v>1393</v>
      </c>
      <c r="Y552" s="32">
        <f t="shared" si="187"/>
        <v>1.417142857142857</v>
      </c>
      <c r="Z552" s="323"/>
      <c r="AA552" s="323"/>
      <c r="AB552" s="32" t="s">
        <v>451</v>
      </c>
      <c r="AC552" s="32">
        <f t="shared" si="188"/>
        <v>6.8714285714285719</v>
      </c>
      <c r="AF552" s="32" t="s">
        <v>1331</v>
      </c>
      <c r="AG552" s="32" t="s">
        <v>1519</v>
      </c>
      <c r="AH552" s="138" t="s">
        <v>578</v>
      </c>
      <c r="AI552" s="32" t="s">
        <v>430</v>
      </c>
      <c r="AJ552" s="140" t="s">
        <v>1626</v>
      </c>
      <c r="AK552" s="32" t="s">
        <v>422</v>
      </c>
      <c r="AL552" s="32" t="s">
        <v>422</v>
      </c>
      <c r="AM552" s="32" t="s">
        <v>178</v>
      </c>
      <c r="AQ552" s="32" t="s">
        <v>437</v>
      </c>
      <c r="AR552" s="32" t="s">
        <v>437</v>
      </c>
      <c r="AT552" s="32" t="s">
        <v>432</v>
      </c>
      <c r="AU552" s="32">
        <v>4</v>
      </c>
      <c r="AW552" s="32" t="s">
        <v>142</v>
      </c>
      <c r="BA552" s="53"/>
      <c r="BM552" s="397">
        <v>1.4</v>
      </c>
      <c r="BN552" s="397">
        <v>1.48</v>
      </c>
      <c r="BR552" s="397">
        <v>3.38</v>
      </c>
      <c r="BS552" s="397">
        <v>3.25</v>
      </c>
      <c r="BV552" s="32" t="s">
        <v>1677</v>
      </c>
      <c r="CB552" s="32">
        <v>28</v>
      </c>
      <c r="CC552" s="32">
        <v>22.5</v>
      </c>
      <c r="CG552" s="32">
        <v>120</v>
      </c>
      <c r="CH552" s="32">
        <v>92</v>
      </c>
      <c r="CL552" s="32">
        <v>6.7</v>
      </c>
      <c r="CM552" s="32">
        <v>7</v>
      </c>
      <c r="DF552" s="32">
        <v>369</v>
      </c>
      <c r="DG552" s="32">
        <v>279</v>
      </c>
      <c r="DJ552" s="32" t="s">
        <v>434</v>
      </c>
      <c r="DP552" s="32">
        <v>1.4172</v>
      </c>
      <c r="DQ552" s="32">
        <v>1.3549</v>
      </c>
      <c r="DT552" s="32" t="s">
        <v>859</v>
      </c>
      <c r="EY552" s="32">
        <v>0.23</v>
      </c>
      <c r="EZ552" s="32">
        <v>0.22700000000000001</v>
      </c>
      <c r="GM552" s="12"/>
      <c r="GQ552" s="12"/>
      <c r="GR552" s="32">
        <v>1172</v>
      </c>
      <c r="GS552" s="32">
        <v>1148</v>
      </c>
      <c r="GV552" s="32" t="s">
        <v>433</v>
      </c>
      <c r="IA552" s="32">
        <f t="shared" si="192"/>
        <v>0.48840000000000006</v>
      </c>
      <c r="IB552" s="32">
        <f>43.9*0.012</f>
        <v>0.52680000000000005</v>
      </c>
      <c r="IE552" s="32" t="s">
        <v>436</v>
      </c>
      <c r="IL552" s="34">
        <v>99999</v>
      </c>
      <c r="IO552" s="32" t="s">
        <v>435</v>
      </c>
      <c r="IP552" s="32" t="s">
        <v>858</v>
      </c>
    </row>
    <row r="553" spans="1:250" s="32" customFormat="1" x14ac:dyDescent="0.25">
      <c r="A553" s="32">
        <v>29</v>
      </c>
      <c r="B553" s="32" t="s">
        <v>1021</v>
      </c>
      <c r="C553" s="32" t="s">
        <v>428</v>
      </c>
      <c r="D553" s="32">
        <v>2009</v>
      </c>
      <c r="E553" s="32">
        <v>2006</v>
      </c>
      <c r="F553" s="32" t="s">
        <v>303</v>
      </c>
      <c r="G553" s="32" t="s">
        <v>429</v>
      </c>
      <c r="H553" s="32" t="s">
        <v>2831</v>
      </c>
      <c r="I553" s="32">
        <f t="shared" si="185"/>
        <v>43.333333333333336</v>
      </c>
      <c r="J553" s="32">
        <f t="shared" si="186"/>
        <v>-89.716666666666669</v>
      </c>
      <c r="K553" s="32">
        <v>250</v>
      </c>
      <c r="Q553" s="44">
        <v>4</v>
      </c>
      <c r="R553" s="44">
        <v>4</v>
      </c>
      <c r="S553" s="44"/>
      <c r="T553" s="44" t="s">
        <v>1917</v>
      </c>
      <c r="U553" s="44" t="s">
        <v>1386</v>
      </c>
      <c r="V553" s="44" t="s">
        <v>1724</v>
      </c>
      <c r="W553" s="44" t="s">
        <v>1398</v>
      </c>
      <c r="X553" s="44" t="s">
        <v>1393</v>
      </c>
      <c r="Y553" s="32">
        <f t="shared" si="187"/>
        <v>1.417142857142857</v>
      </c>
      <c r="Z553" s="323"/>
      <c r="AA553" s="323"/>
      <c r="AB553" s="32" t="s">
        <v>451</v>
      </c>
      <c r="AC553" s="32">
        <f t="shared" si="188"/>
        <v>6.8714285714285719</v>
      </c>
      <c r="AF553" s="32" t="s">
        <v>1331</v>
      </c>
      <c r="AG553" s="32" t="s">
        <v>1519</v>
      </c>
      <c r="AH553" s="138" t="s">
        <v>578</v>
      </c>
      <c r="AI553" s="32" t="s">
        <v>133</v>
      </c>
      <c r="AJ553" s="140" t="s">
        <v>1626</v>
      </c>
      <c r="AK553" s="32" t="s">
        <v>422</v>
      </c>
      <c r="AL553" s="32" t="s">
        <v>422</v>
      </c>
      <c r="AM553" s="32" t="s">
        <v>178</v>
      </c>
      <c r="AQ553" s="32" t="s">
        <v>437</v>
      </c>
      <c r="AR553" s="32" t="s">
        <v>437</v>
      </c>
      <c r="AT553" s="32" t="s">
        <v>432</v>
      </c>
      <c r="AU553" s="32">
        <v>4</v>
      </c>
      <c r="AW553" s="32" t="s">
        <v>142</v>
      </c>
      <c r="BA553" s="53"/>
      <c r="BM553" s="397">
        <v>1.4</v>
      </c>
      <c r="BN553" s="397">
        <v>1.43</v>
      </c>
      <c r="BR553" s="397">
        <v>3.38</v>
      </c>
      <c r="BS553" s="397">
        <v>3.3299999999999996</v>
      </c>
      <c r="BV553" s="32" t="s">
        <v>1677</v>
      </c>
      <c r="CB553" s="32">
        <v>28</v>
      </c>
      <c r="CC553" s="32">
        <v>20.8</v>
      </c>
      <c r="CG553" s="32">
        <v>120</v>
      </c>
      <c r="CH553" s="32">
        <v>104</v>
      </c>
      <c r="CL553" s="32">
        <v>6.7</v>
      </c>
      <c r="CM553" s="32">
        <v>6.7</v>
      </c>
      <c r="DF553" s="32">
        <v>369</v>
      </c>
      <c r="DG553" s="32">
        <v>365</v>
      </c>
      <c r="DJ553" s="32" t="s">
        <v>434</v>
      </c>
      <c r="DP553" s="32">
        <v>1.4172</v>
      </c>
      <c r="DQ553" s="32">
        <v>1.38</v>
      </c>
      <c r="DT553" s="32" t="s">
        <v>859</v>
      </c>
      <c r="EY553" s="32">
        <v>0.23</v>
      </c>
      <c r="EZ553" s="32">
        <v>0.22700000000000001</v>
      </c>
      <c r="GM553" s="12"/>
      <c r="GQ553" s="12"/>
      <c r="GR553" s="32">
        <v>1172</v>
      </c>
      <c r="GS553" s="32">
        <v>1189</v>
      </c>
      <c r="GV553" s="32" t="s">
        <v>433</v>
      </c>
      <c r="IA553" s="32">
        <f t="shared" si="192"/>
        <v>0.48840000000000006</v>
      </c>
      <c r="IB553" s="32">
        <f>34.3*0.012</f>
        <v>0.41159999999999997</v>
      </c>
      <c r="IE553" s="32" t="s">
        <v>436</v>
      </c>
      <c r="IL553" s="34">
        <v>99999</v>
      </c>
      <c r="IO553" s="32" t="s">
        <v>435</v>
      </c>
      <c r="IP553" s="32" t="s">
        <v>858</v>
      </c>
    </row>
    <row r="554" spans="1:250" s="32" customFormat="1" x14ac:dyDescent="0.25">
      <c r="A554" s="32">
        <v>29</v>
      </c>
      <c r="B554" s="32" t="s">
        <v>1021</v>
      </c>
      <c r="C554" s="32" t="s">
        <v>428</v>
      </c>
      <c r="D554" s="32">
        <v>2009</v>
      </c>
      <c r="E554" s="32">
        <v>2006</v>
      </c>
      <c r="F554" s="32" t="s">
        <v>303</v>
      </c>
      <c r="G554" s="32" t="s">
        <v>429</v>
      </c>
      <c r="H554" s="32" t="s">
        <v>2831</v>
      </c>
      <c r="I554" s="32">
        <f t="shared" si="185"/>
        <v>43.333333333333336</v>
      </c>
      <c r="J554" s="32">
        <f t="shared" si="186"/>
        <v>-89.716666666666669</v>
      </c>
      <c r="K554" s="32">
        <v>250</v>
      </c>
      <c r="Q554" s="44">
        <v>4</v>
      </c>
      <c r="R554" s="44">
        <v>4</v>
      </c>
      <c r="S554" s="44"/>
      <c r="T554" s="44" t="s">
        <v>1917</v>
      </c>
      <c r="U554" s="44" t="s">
        <v>1386</v>
      </c>
      <c r="V554" s="44" t="s">
        <v>1724</v>
      </c>
      <c r="W554" s="44" t="s">
        <v>1398</v>
      </c>
      <c r="X554" s="44" t="s">
        <v>1393</v>
      </c>
      <c r="Y554" s="32">
        <f t="shared" si="187"/>
        <v>1.417142857142857</v>
      </c>
      <c r="Z554" s="323"/>
      <c r="AA554" s="323"/>
      <c r="AB554" s="32" t="s">
        <v>451</v>
      </c>
      <c r="AC554" s="32">
        <f t="shared" si="188"/>
        <v>6.8714285714285719</v>
      </c>
      <c r="AF554" s="32" t="s">
        <v>1331</v>
      </c>
      <c r="AG554" s="32" t="s">
        <v>1155</v>
      </c>
      <c r="AH554" s="138" t="s">
        <v>132</v>
      </c>
      <c r="AI554" s="32" t="s">
        <v>133</v>
      </c>
      <c r="AJ554" s="140" t="s">
        <v>1626</v>
      </c>
      <c r="AK554" s="32" t="s">
        <v>422</v>
      </c>
      <c r="AL554" s="32" t="s">
        <v>422</v>
      </c>
      <c r="AM554" s="32" t="s">
        <v>178</v>
      </c>
      <c r="AQ554" s="32" t="s">
        <v>437</v>
      </c>
      <c r="AR554" s="32" t="s">
        <v>437</v>
      </c>
      <c r="AT554" s="32" t="s">
        <v>432</v>
      </c>
      <c r="AU554" s="32">
        <v>4</v>
      </c>
      <c r="AW554" s="32" t="s">
        <v>142</v>
      </c>
      <c r="BA554" s="53"/>
      <c r="BM554" s="397">
        <v>1.4</v>
      </c>
      <c r="BN554" s="397">
        <v>1.44</v>
      </c>
      <c r="BR554" s="397">
        <v>3.38</v>
      </c>
      <c r="BS554" s="397">
        <v>3.3</v>
      </c>
      <c r="BV554" s="32" t="s">
        <v>1677</v>
      </c>
      <c r="CB554" s="32">
        <v>28</v>
      </c>
      <c r="CC554" s="32">
        <v>22</v>
      </c>
      <c r="CG554" s="32">
        <v>120</v>
      </c>
      <c r="CH554" s="32">
        <v>132</v>
      </c>
      <c r="CL554" s="32">
        <v>6.7</v>
      </c>
      <c r="CM554" s="32">
        <v>7.2</v>
      </c>
      <c r="DF554" s="32">
        <v>369</v>
      </c>
      <c r="DG554" s="32">
        <v>355</v>
      </c>
      <c r="DJ554" s="32" t="s">
        <v>434</v>
      </c>
      <c r="DP554" s="32">
        <v>1.4172</v>
      </c>
      <c r="DQ554" s="32">
        <v>1.49</v>
      </c>
      <c r="DT554" s="32" t="s">
        <v>859</v>
      </c>
      <c r="EY554" s="32">
        <v>0.23</v>
      </c>
      <c r="EZ554" s="32">
        <v>0.22700000000000001</v>
      </c>
      <c r="GM554" s="12"/>
      <c r="GQ554" s="12"/>
      <c r="GR554" s="32">
        <v>1172</v>
      </c>
      <c r="GS554" s="32">
        <v>1229</v>
      </c>
      <c r="GV554" s="32" t="s">
        <v>433</v>
      </c>
      <c r="IA554" s="32">
        <f t="shared" si="192"/>
        <v>0.48840000000000006</v>
      </c>
      <c r="IB554" s="32">
        <f>66*0.012</f>
        <v>0.79200000000000004</v>
      </c>
      <c r="IE554" s="32" t="s">
        <v>436</v>
      </c>
      <c r="IL554" s="34">
        <v>99999</v>
      </c>
      <c r="IO554" s="32" t="s">
        <v>435</v>
      </c>
      <c r="IP554" s="32" t="s">
        <v>858</v>
      </c>
    </row>
    <row r="555" spans="1:250" s="32" customFormat="1" x14ac:dyDescent="0.25">
      <c r="A555" s="32">
        <v>29</v>
      </c>
      <c r="B555" s="32" t="s">
        <v>1021</v>
      </c>
      <c r="C555" s="32" t="s">
        <v>428</v>
      </c>
      <c r="D555" s="32">
        <v>2009</v>
      </c>
      <c r="E555" s="32">
        <v>2006</v>
      </c>
      <c r="F555" s="32" t="s">
        <v>303</v>
      </c>
      <c r="G555" s="32" t="s">
        <v>429</v>
      </c>
      <c r="H555" s="32" t="s">
        <v>2831</v>
      </c>
      <c r="I555" s="32">
        <f t="shared" si="185"/>
        <v>43.333333333333336</v>
      </c>
      <c r="J555" s="32">
        <f t="shared" si="186"/>
        <v>-89.716666666666669</v>
      </c>
      <c r="K555" s="32">
        <v>250</v>
      </c>
      <c r="Q555" s="44">
        <v>4</v>
      </c>
      <c r="R555" s="44">
        <v>4</v>
      </c>
      <c r="S555" s="44"/>
      <c r="T555" s="44" t="s">
        <v>1917</v>
      </c>
      <c r="U555" s="44" t="s">
        <v>1386</v>
      </c>
      <c r="V555" s="44" t="s">
        <v>1724</v>
      </c>
      <c r="W555" s="44" t="s">
        <v>1398</v>
      </c>
      <c r="X555" s="44" t="s">
        <v>1393</v>
      </c>
      <c r="Y555" s="32">
        <f t="shared" si="187"/>
        <v>1.417142857142857</v>
      </c>
      <c r="Z555" s="323"/>
      <c r="AA555" s="323"/>
      <c r="AB555" s="32" t="s">
        <v>451</v>
      </c>
      <c r="AC555" s="32">
        <f t="shared" si="188"/>
        <v>6.8714285714285719</v>
      </c>
      <c r="AF555" s="32" t="s">
        <v>1331</v>
      </c>
      <c r="AG555" s="32" t="s">
        <v>1156</v>
      </c>
      <c r="AH555" s="138" t="s">
        <v>132</v>
      </c>
      <c r="AI555" s="32" t="s">
        <v>133</v>
      </c>
      <c r="AJ555" s="140" t="s">
        <v>1626</v>
      </c>
      <c r="AK555" s="32" t="s">
        <v>422</v>
      </c>
      <c r="AL555" s="32" t="s">
        <v>422</v>
      </c>
      <c r="AM555" s="32" t="s">
        <v>178</v>
      </c>
      <c r="AQ555" s="32" t="s">
        <v>437</v>
      </c>
      <c r="AR555" s="32" t="s">
        <v>437</v>
      </c>
      <c r="AT555" s="32" t="s">
        <v>432</v>
      </c>
      <c r="AU555" s="32">
        <v>4</v>
      </c>
      <c r="AW555" s="32" t="s">
        <v>142</v>
      </c>
      <c r="BA555" s="53"/>
      <c r="BM555" s="397">
        <v>1.4</v>
      </c>
      <c r="BN555" s="397">
        <v>1.45</v>
      </c>
      <c r="BR555" s="397">
        <v>3.38</v>
      </c>
      <c r="BS555" s="397">
        <v>3.13</v>
      </c>
      <c r="BV555" s="32" t="s">
        <v>1677</v>
      </c>
      <c r="CB555" s="32">
        <v>28</v>
      </c>
      <c r="CC555" s="32">
        <v>18.8</v>
      </c>
      <c r="CG555" s="32">
        <v>120</v>
      </c>
      <c r="CH555" s="32">
        <v>147</v>
      </c>
      <c r="CL555" s="32">
        <v>6.7</v>
      </c>
      <c r="CM555" s="32">
        <v>6.8</v>
      </c>
      <c r="DF555" s="32">
        <v>369</v>
      </c>
      <c r="DG555" s="32">
        <v>302</v>
      </c>
      <c r="DJ555" s="32" t="s">
        <v>434</v>
      </c>
      <c r="DP555" s="32">
        <v>1.4172</v>
      </c>
      <c r="DQ555" s="32">
        <v>1.53</v>
      </c>
      <c r="DT555" s="32" t="s">
        <v>859</v>
      </c>
      <c r="EY555" s="32">
        <v>0.23</v>
      </c>
      <c r="EZ555" s="32">
        <v>0.222</v>
      </c>
      <c r="GM555" s="12"/>
      <c r="GQ555" s="12"/>
      <c r="GR555" s="32">
        <v>1172</v>
      </c>
      <c r="GS555" s="32">
        <v>1217</v>
      </c>
      <c r="GV555" s="32" t="s">
        <v>433</v>
      </c>
      <c r="IA555" s="32">
        <f t="shared" si="192"/>
        <v>0.48840000000000006</v>
      </c>
      <c r="IB555" s="32">
        <f>41.7*0.012</f>
        <v>0.50040000000000007</v>
      </c>
      <c r="IE555" s="32" t="s">
        <v>436</v>
      </c>
      <c r="IL555" s="34">
        <v>99999</v>
      </c>
      <c r="IO555" s="32" t="s">
        <v>435</v>
      </c>
      <c r="IP555" s="32" t="s">
        <v>858</v>
      </c>
    </row>
    <row r="556" spans="1:250" s="34" customFormat="1" x14ac:dyDescent="0.25">
      <c r="A556" s="34">
        <v>29</v>
      </c>
      <c r="B556" s="34" t="s">
        <v>1021</v>
      </c>
      <c r="C556" s="34" t="s">
        <v>428</v>
      </c>
      <c r="D556" s="34">
        <v>2009</v>
      </c>
      <c r="E556" s="34">
        <v>2006</v>
      </c>
      <c r="F556" s="34" t="s">
        <v>303</v>
      </c>
      <c r="G556" s="34" t="s">
        <v>429</v>
      </c>
      <c r="H556" s="32" t="s">
        <v>2831</v>
      </c>
      <c r="I556" s="34">
        <f t="shared" si="185"/>
        <v>43.333333333333336</v>
      </c>
      <c r="J556" s="34">
        <f t="shared" si="186"/>
        <v>-89.716666666666669</v>
      </c>
      <c r="K556" s="34">
        <v>250</v>
      </c>
      <c r="Q556" s="48">
        <v>4</v>
      </c>
      <c r="R556" s="48">
        <v>4</v>
      </c>
      <c r="S556" s="48"/>
      <c r="T556" s="48" t="s">
        <v>1917</v>
      </c>
      <c r="U556" s="48" t="s">
        <v>1393</v>
      </c>
      <c r="V556" s="48" t="s">
        <v>1727</v>
      </c>
      <c r="W556" s="48" t="s">
        <v>1398</v>
      </c>
      <c r="X556" s="48" t="s">
        <v>1393</v>
      </c>
      <c r="Y556" s="34">
        <f t="shared" si="187"/>
        <v>1.417142857142857</v>
      </c>
      <c r="Z556" s="328"/>
      <c r="AA556" s="328"/>
      <c r="AB556" s="34" t="s">
        <v>451</v>
      </c>
      <c r="AC556" s="34">
        <f t="shared" si="188"/>
        <v>6.8714285714285719</v>
      </c>
      <c r="AF556" s="34" t="s">
        <v>1331</v>
      </c>
      <c r="AG556" s="34" t="s">
        <v>1539</v>
      </c>
      <c r="AH556" s="138" t="s">
        <v>578</v>
      </c>
      <c r="AI556" s="34" t="s">
        <v>430</v>
      </c>
      <c r="AJ556" s="140" t="s">
        <v>1626</v>
      </c>
      <c r="AK556" s="34" t="s">
        <v>422</v>
      </c>
      <c r="AL556" s="34" t="s">
        <v>422</v>
      </c>
      <c r="AM556" s="34" t="s">
        <v>178</v>
      </c>
      <c r="AQ556" s="34" t="s">
        <v>437</v>
      </c>
      <c r="AR556" s="34" t="s">
        <v>437</v>
      </c>
      <c r="AT556" s="34" t="s">
        <v>431</v>
      </c>
      <c r="AU556" s="34">
        <v>4</v>
      </c>
      <c r="AW556" s="34" t="s">
        <v>142</v>
      </c>
      <c r="BA556" s="53"/>
      <c r="BM556" s="404">
        <v>1.57</v>
      </c>
      <c r="BN556" s="404">
        <v>1.55</v>
      </c>
      <c r="BR556" s="404">
        <v>2.58</v>
      </c>
      <c r="BS556" s="404">
        <v>2.75</v>
      </c>
      <c r="BV556" s="34" t="s">
        <v>1677</v>
      </c>
      <c r="CB556" s="34">
        <v>23.8</v>
      </c>
      <c r="CC556" s="34">
        <v>16.8</v>
      </c>
      <c r="CG556" s="34">
        <v>130</v>
      </c>
      <c r="CH556" s="34">
        <v>77</v>
      </c>
      <c r="CL556" s="34">
        <v>6.7</v>
      </c>
      <c r="CM556" s="34">
        <v>6.7</v>
      </c>
      <c r="DF556" s="34">
        <v>166</v>
      </c>
      <c r="DG556" s="34">
        <v>263</v>
      </c>
      <c r="DJ556" s="34" t="s">
        <v>434</v>
      </c>
      <c r="DP556" s="34">
        <v>1.49</v>
      </c>
      <c r="DQ556" s="34">
        <v>1.3345</v>
      </c>
      <c r="DT556" s="34" t="s">
        <v>859</v>
      </c>
      <c r="EY556" s="34">
        <v>0.23400000000000001</v>
      </c>
      <c r="EZ556" s="34">
        <v>0.23200000000000001</v>
      </c>
      <c r="GM556" s="12"/>
      <c r="GQ556" s="12"/>
      <c r="GR556" s="34">
        <v>797</v>
      </c>
      <c r="GS556" s="34">
        <v>977</v>
      </c>
      <c r="GV556" s="34" t="s">
        <v>433</v>
      </c>
      <c r="IL556" s="34">
        <v>99999</v>
      </c>
      <c r="IO556" s="34" t="s">
        <v>435</v>
      </c>
      <c r="IP556" s="34" t="s">
        <v>858</v>
      </c>
    </row>
    <row r="557" spans="1:250" s="34" customFormat="1" x14ac:dyDescent="0.25">
      <c r="A557" s="34">
        <v>29</v>
      </c>
      <c r="B557" s="34" t="s">
        <v>1021</v>
      </c>
      <c r="C557" s="34" t="s">
        <v>428</v>
      </c>
      <c r="D557" s="34">
        <v>2009</v>
      </c>
      <c r="E557" s="34">
        <v>2006</v>
      </c>
      <c r="F557" s="34" t="s">
        <v>303</v>
      </c>
      <c r="G557" s="34" t="s">
        <v>429</v>
      </c>
      <c r="H557" s="32" t="s">
        <v>2831</v>
      </c>
      <c r="I557" s="34">
        <f t="shared" si="185"/>
        <v>43.333333333333336</v>
      </c>
      <c r="J557" s="34">
        <f t="shared" si="186"/>
        <v>-89.716666666666669</v>
      </c>
      <c r="K557" s="34">
        <v>250</v>
      </c>
      <c r="Q557" s="48">
        <v>4</v>
      </c>
      <c r="R557" s="48">
        <v>4</v>
      </c>
      <c r="S557" s="48"/>
      <c r="T557" s="48" t="s">
        <v>1917</v>
      </c>
      <c r="U557" s="48" t="s">
        <v>1393</v>
      </c>
      <c r="V557" s="48" t="s">
        <v>1727</v>
      </c>
      <c r="W557" s="48" t="s">
        <v>1398</v>
      </c>
      <c r="X557" s="48" t="s">
        <v>1393</v>
      </c>
      <c r="Y557" s="34">
        <f t="shared" si="187"/>
        <v>1.417142857142857</v>
      </c>
      <c r="Z557" s="328"/>
      <c r="AA557" s="328"/>
      <c r="AB557" s="34" t="s">
        <v>451</v>
      </c>
      <c r="AC557" s="34">
        <f t="shared" si="188"/>
        <v>6.8714285714285719</v>
      </c>
      <c r="AF557" s="34" t="s">
        <v>1331</v>
      </c>
      <c r="AG557" s="34" t="s">
        <v>1539</v>
      </c>
      <c r="AH557" s="138" t="s">
        <v>578</v>
      </c>
      <c r="AI557" s="34" t="s">
        <v>133</v>
      </c>
      <c r="AJ557" s="140" t="s">
        <v>1626</v>
      </c>
      <c r="AK557" s="34" t="s">
        <v>422</v>
      </c>
      <c r="AL557" s="34" t="s">
        <v>422</v>
      </c>
      <c r="AM557" s="34" t="s">
        <v>178</v>
      </c>
      <c r="AQ557" s="34" t="s">
        <v>437</v>
      </c>
      <c r="AR557" s="34" t="s">
        <v>437</v>
      </c>
      <c r="AT557" s="34" t="s">
        <v>431</v>
      </c>
      <c r="AU557" s="34">
        <v>4</v>
      </c>
      <c r="AW557" s="34" t="s">
        <v>142</v>
      </c>
      <c r="BA557" s="53"/>
      <c r="BM557" s="404">
        <v>1.57</v>
      </c>
      <c r="BN557" s="404">
        <v>1.5</v>
      </c>
      <c r="BR557" s="404">
        <v>2.58</v>
      </c>
      <c r="BS557" s="404">
        <v>2.9</v>
      </c>
      <c r="BV557" s="34" t="s">
        <v>1677</v>
      </c>
      <c r="CB557" s="34">
        <v>23.8</v>
      </c>
      <c r="CC557" s="34">
        <v>15.3</v>
      </c>
      <c r="CG557" s="34">
        <v>130</v>
      </c>
      <c r="CH557" s="34">
        <v>77</v>
      </c>
      <c r="CL557" s="34">
        <v>6.7</v>
      </c>
      <c r="CM557" s="34">
        <v>7</v>
      </c>
      <c r="DF557" s="34">
        <v>166</v>
      </c>
      <c r="DG557" s="34">
        <v>286</v>
      </c>
      <c r="DJ557" s="34" t="s">
        <v>434</v>
      </c>
      <c r="DP557" s="34">
        <v>1.49</v>
      </c>
      <c r="DQ557" s="34">
        <v>1.6107</v>
      </c>
      <c r="DT557" s="34" t="s">
        <v>859</v>
      </c>
      <c r="EY557" s="34">
        <v>0.23400000000000001</v>
      </c>
      <c r="EZ557" s="34">
        <v>0.23899999999999999</v>
      </c>
      <c r="GM557" s="12"/>
      <c r="GQ557" s="12"/>
      <c r="GR557" s="34">
        <v>797</v>
      </c>
      <c r="GS557" s="34">
        <v>962</v>
      </c>
      <c r="GV557" s="34" t="s">
        <v>433</v>
      </c>
      <c r="IL557" s="34">
        <v>99999</v>
      </c>
      <c r="IO557" s="34" t="s">
        <v>435</v>
      </c>
      <c r="IP557" s="34" t="s">
        <v>858</v>
      </c>
    </row>
    <row r="558" spans="1:250" s="34" customFormat="1" x14ac:dyDescent="0.25">
      <c r="A558" s="34">
        <v>29</v>
      </c>
      <c r="B558" s="34" t="s">
        <v>1021</v>
      </c>
      <c r="C558" s="34" t="s">
        <v>428</v>
      </c>
      <c r="D558" s="34">
        <v>2009</v>
      </c>
      <c r="E558" s="34">
        <v>2006</v>
      </c>
      <c r="F558" s="34" t="s">
        <v>303</v>
      </c>
      <c r="G558" s="34" t="s">
        <v>429</v>
      </c>
      <c r="H558" s="32" t="s">
        <v>2831</v>
      </c>
      <c r="I558" s="34">
        <f t="shared" si="185"/>
        <v>43.333333333333336</v>
      </c>
      <c r="J558" s="34">
        <f t="shared" si="186"/>
        <v>-89.716666666666669</v>
      </c>
      <c r="K558" s="34">
        <v>250</v>
      </c>
      <c r="Q558" s="48">
        <v>4</v>
      </c>
      <c r="R558" s="48">
        <v>4</v>
      </c>
      <c r="S558" s="48"/>
      <c r="T558" s="48" t="s">
        <v>1917</v>
      </c>
      <c r="U558" s="48" t="s">
        <v>1393</v>
      </c>
      <c r="V558" s="48" t="s">
        <v>1727</v>
      </c>
      <c r="W558" s="48" t="s">
        <v>1398</v>
      </c>
      <c r="X558" s="48" t="s">
        <v>1393</v>
      </c>
      <c r="Y558" s="34">
        <f t="shared" si="187"/>
        <v>1.417142857142857</v>
      </c>
      <c r="Z558" s="328"/>
      <c r="AA558" s="328"/>
      <c r="AB558" s="34" t="s">
        <v>451</v>
      </c>
      <c r="AC558" s="34">
        <f t="shared" si="188"/>
        <v>6.8714285714285719</v>
      </c>
      <c r="AF558" s="34" t="s">
        <v>1331</v>
      </c>
      <c r="AG558" s="34" t="s">
        <v>1519</v>
      </c>
      <c r="AH558" s="138" t="s">
        <v>578</v>
      </c>
      <c r="AI558" s="34" t="s">
        <v>430</v>
      </c>
      <c r="AJ558" s="140" t="s">
        <v>1626</v>
      </c>
      <c r="AK558" s="34" t="s">
        <v>422</v>
      </c>
      <c r="AL558" s="34" t="s">
        <v>422</v>
      </c>
      <c r="AM558" s="34" t="s">
        <v>178</v>
      </c>
      <c r="AQ558" s="34" t="s">
        <v>437</v>
      </c>
      <c r="AR558" s="34" t="s">
        <v>437</v>
      </c>
      <c r="AT558" s="34" t="s">
        <v>431</v>
      </c>
      <c r="AU558" s="34">
        <v>4</v>
      </c>
      <c r="AW558" s="34" t="s">
        <v>142</v>
      </c>
      <c r="BA558" s="53"/>
      <c r="BM558" s="404">
        <v>1.57</v>
      </c>
      <c r="BN558" s="404">
        <v>1.54</v>
      </c>
      <c r="BR558" s="404">
        <v>2.58</v>
      </c>
      <c r="BS558" s="404">
        <v>2.63</v>
      </c>
      <c r="BV558" s="34" t="s">
        <v>1677</v>
      </c>
      <c r="CB558" s="34">
        <v>23.8</v>
      </c>
      <c r="CC558" s="34">
        <v>13.8</v>
      </c>
      <c r="CG558" s="34">
        <v>130</v>
      </c>
      <c r="CH558" s="34">
        <v>73</v>
      </c>
      <c r="CL558" s="34">
        <v>6.7</v>
      </c>
      <c r="CM558" s="34">
        <v>6.8</v>
      </c>
      <c r="DF558" s="34">
        <v>166</v>
      </c>
      <c r="DG558" s="34">
        <v>276</v>
      </c>
      <c r="DJ558" s="34" t="s">
        <v>434</v>
      </c>
      <c r="DP558" s="34">
        <v>1.49</v>
      </c>
      <c r="DQ558" s="34">
        <v>1.54</v>
      </c>
      <c r="DT558" s="34" t="s">
        <v>859</v>
      </c>
      <c r="EY558" s="34">
        <v>0.23400000000000001</v>
      </c>
      <c r="EZ558" s="34">
        <v>0.23300000000000001</v>
      </c>
      <c r="GM558" s="12"/>
      <c r="GQ558" s="12"/>
      <c r="GR558" s="34">
        <v>797</v>
      </c>
      <c r="GS558" s="34">
        <v>944</v>
      </c>
      <c r="GV558" s="34" t="s">
        <v>433</v>
      </c>
      <c r="IL558" s="34">
        <v>99999</v>
      </c>
      <c r="IO558" s="34" t="s">
        <v>435</v>
      </c>
      <c r="IP558" s="34" t="s">
        <v>858</v>
      </c>
    </row>
    <row r="559" spans="1:250" s="34" customFormat="1" x14ac:dyDescent="0.25">
      <c r="A559" s="34">
        <v>29</v>
      </c>
      <c r="B559" s="34" t="s">
        <v>1021</v>
      </c>
      <c r="C559" s="34" t="s">
        <v>428</v>
      </c>
      <c r="D559" s="34">
        <v>2009</v>
      </c>
      <c r="E559" s="34">
        <v>2006</v>
      </c>
      <c r="F559" s="34" t="s">
        <v>303</v>
      </c>
      <c r="G559" s="34" t="s">
        <v>429</v>
      </c>
      <c r="H559" s="32" t="s">
        <v>2831</v>
      </c>
      <c r="I559" s="34">
        <f t="shared" si="185"/>
        <v>43.333333333333336</v>
      </c>
      <c r="J559" s="34">
        <f t="shared" si="186"/>
        <v>-89.716666666666669</v>
      </c>
      <c r="K559" s="34">
        <v>250</v>
      </c>
      <c r="Q559" s="48">
        <v>4</v>
      </c>
      <c r="R559" s="48">
        <v>4</v>
      </c>
      <c r="S559" s="48"/>
      <c r="T559" s="48" t="s">
        <v>1917</v>
      </c>
      <c r="U559" s="48" t="s">
        <v>1393</v>
      </c>
      <c r="V559" s="48" t="s">
        <v>1727</v>
      </c>
      <c r="W559" s="48" t="s">
        <v>1398</v>
      </c>
      <c r="X559" s="48" t="s">
        <v>1393</v>
      </c>
      <c r="Y559" s="34">
        <f t="shared" si="187"/>
        <v>1.417142857142857</v>
      </c>
      <c r="Z559" s="328"/>
      <c r="AA559" s="328"/>
      <c r="AB559" s="34" t="s">
        <v>451</v>
      </c>
      <c r="AC559" s="34">
        <f t="shared" si="188"/>
        <v>6.8714285714285719</v>
      </c>
      <c r="AF559" s="34" t="s">
        <v>1331</v>
      </c>
      <c r="AG559" s="34" t="s">
        <v>1519</v>
      </c>
      <c r="AH559" s="138" t="s">
        <v>578</v>
      </c>
      <c r="AI559" s="34" t="s">
        <v>133</v>
      </c>
      <c r="AJ559" s="140" t="s">
        <v>1626</v>
      </c>
      <c r="AK559" s="34" t="s">
        <v>422</v>
      </c>
      <c r="AL559" s="34" t="s">
        <v>422</v>
      </c>
      <c r="AM559" s="34" t="s">
        <v>178</v>
      </c>
      <c r="AQ559" s="34" t="s">
        <v>437</v>
      </c>
      <c r="AR559" s="34" t="s">
        <v>437</v>
      </c>
      <c r="AT559" s="34" t="s">
        <v>431</v>
      </c>
      <c r="AU559" s="34">
        <v>4</v>
      </c>
      <c r="AW559" s="34" t="s">
        <v>142</v>
      </c>
      <c r="BA559" s="53"/>
      <c r="BM559" s="404">
        <v>1.57</v>
      </c>
      <c r="BN559" s="404">
        <v>1.55</v>
      </c>
      <c r="BR559" s="404">
        <v>2.58</v>
      </c>
      <c r="BS559" s="404">
        <v>2.83</v>
      </c>
      <c r="BV559" s="34" t="s">
        <v>1677</v>
      </c>
      <c r="CB559" s="34">
        <v>23.8</v>
      </c>
      <c r="CC559" s="34">
        <v>16.8</v>
      </c>
      <c r="CG559" s="34">
        <v>130</v>
      </c>
      <c r="CH559" s="34">
        <v>71</v>
      </c>
      <c r="CL559" s="34">
        <v>6.7</v>
      </c>
      <c r="CM559" s="34">
        <v>7.1</v>
      </c>
      <c r="DF559" s="34">
        <v>166</v>
      </c>
      <c r="DG559" s="34">
        <v>272</v>
      </c>
      <c r="DJ559" s="34" t="s">
        <v>434</v>
      </c>
      <c r="DP559" s="34">
        <v>1.49</v>
      </c>
      <c r="DQ559" s="34">
        <v>1.3345</v>
      </c>
      <c r="DT559" s="34" t="s">
        <v>859</v>
      </c>
      <c r="EY559" s="34">
        <v>0.23400000000000001</v>
      </c>
      <c r="EZ559" s="34">
        <v>0.23</v>
      </c>
      <c r="GM559" s="12"/>
      <c r="GQ559" s="12"/>
      <c r="GR559" s="34">
        <v>797</v>
      </c>
      <c r="GS559" s="34">
        <v>984</v>
      </c>
      <c r="GV559" s="34" t="s">
        <v>433</v>
      </c>
      <c r="IL559" s="34">
        <v>99999</v>
      </c>
      <c r="IO559" s="34" t="s">
        <v>435</v>
      </c>
      <c r="IP559" s="34" t="s">
        <v>858</v>
      </c>
    </row>
    <row r="560" spans="1:250" s="34" customFormat="1" x14ac:dyDescent="0.25">
      <c r="A560" s="34">
        <v>29</v>
      </c>
      <c r="B560" s="34" t="s">
        <v>1021</v>
      </c>
      <c r="C560" s="34" t="s">
        <v>428</v>
      </c>
      <c r="D560" s="34">
        <v>2009</v>
      </c>
      <c r="E560" s="34">
        <v>2006</v>
      </c>
      <c r="F560" s="34" t="s">
        <v>303</v>
      </c>
      <c r="G560" s="34" t="s">
        <v>429</v>
      </c>
      <c r="H560" s="32" t="s">
        <v>2831</v>
      </c>
      <c r="I560" s="34">
        <f t="shared" si="185"/>
        <v>43.333333333333336</v>
      </c>
      <c r="J560" s="34">
        <f t="shared" si="186"/>
        <v>-89.716666666666669</v>
      </c>
      <c r="K560" s="34">
        <v>250</v>
      </c>
      <c r="Q560" s="48">
        <v>4</v>
      </c>
      <c r="R560" s="48">
        <v>4</v>
      </c>
      <c r="S560" s="48"/>
      <c r="T560" s="48" t="s">
        <v>1917</v>
      </c>
      <c r="U560" s="48" t="s">
        <v>1393</v>
      </c>
      <c r="V560" s="48" t="s">
        <v>1727</v>
      </c>
      <c r="W560" s="48" t="s">
        <v>1398</v>
      </c>
      <c r="X560" s="48" t="s">
        <v>1393</v>
      </c>
      <c r="Y560" s="34">
        <f t="shared" si="187"/>
        <v>1.417142857142857</v>
      </c>
      <c r="Z560" s="328"/>
      <c r="AA560" s="328"/>
      <c r="AB560" s="34" t="s">
        <v>451</v>
      </c>
      <c r="AC560" s="34">
        <f t="shared" si="188"/>
        <v>6.8714285714285719</v>
      </c>
      <c r="AF560" s="34" t="s">
        <v>1331</v>
      </c>
      <c r="AG560" s="34" t="s">
        <v>1155</v>
      </c>
      <c r="AH560" s="138" t="s">
        <v>132</v>
      </c>
      <c r="AI560" s="34" t="s">
        <v>133</v>
      </c>
      <c r="AJ560" s="140" t="s">
        <v>1626</v>
      </c>
      <c r="AK560" s="34" t="s">
        <v>422</v>
      </c>
      <c r="AL560" s="34" t="s">
        <v>422</v>
      </c>
      <c r="AM560" s="34" t="s">
        <v>178</v>
      </c>
      <c r="AQ560" s="34" t="s">
        <v>437</v>
      </c>
      <c r="AR560" s="34" t="s">
        <v>437</v>
      </c>
      <c r="AT560" s="34" t="s">
        <v>431</v>
      </c>
      <c r="AU560" s="34">
        <v>4</v>
      </c>
      <c r="AW560" s="34" t="s">
        <v>142</v>
      </c>
      <c r="BA560" s="53"/>
      <c r="BM560" s="404">
        <v>1.57</v>
      </c>
      <c r="BN560" s="404">
        <v>1.55</v>
      </c>
      <c r="BR560" s="404">
        <v>2.58</v>
      </c>
      <c r="BS560" s="404">
        <v>2.38</v>
      </c>
      <c r="BV560" s="34" t="s">
        <v>1677</v>
      </c>
      <c r="CB560" s="34">
        <v>23.8</v>
      </c>
      <c r="CC560" s="34">
        <v>14.8</v>
      </c>
      <c r="CG560" s="34">
        <v>130</v>
      </c>
      <c r="CH560" s="34">
        <v>87</v>
      </c>
      <c r="CL560" s="34">
        <v>6.7</v>
      </c>
      <c r="CM560" s="34">
        <v>6.8</v>
      </c>
      <c r="DF560" s="34">
        <v>166</v>
      </c>
      <c r="DG560" s="34">
        <v>249</v>
      </c>
      <c r="DJ560" s="34" t="s">
        <v>434</v>
      </c>
      <c r="DP560" s="34">
        <v>1.49</v>
      </c>
      <c r="DQ560" s="34">
        <v>1.56</v>
      </c>
      <c r="DT560" s="34" t="s">
        <v>859</v>
      </c>
      <c r="EY560" s="34">
        <v>0.23400000000000001</v>
      </c>
      <c r="EZ560" s="34">
        <v>0.23</v>
      </c>
      <c r="GM560" s="12"/>
      <c r="GQ560" s="12"/>
      <c r="GR560" s="34">
        <v>797</v>
      </c>
      <c r="GS560" s="34">
        <v>949</v>
      </c>
      <c r="GV560" s="34" t="s">
        <v>433</v>
      </c>
      <c r="IL560" s="34">
        <v>99999</v>
      </c>
      <c r="IO560" s="34" t="s">
        <v>435</v>
      </c>
      <c r="IP560" s="34" t="s">
        <v>858</v>
      </c>
    </row>
    <row r="561" spans="1:250" s="34" customFormat="1" x14ac:dyDescent="0.25">
      <c r="A561" s="34">
        <v>29</v>
      </c>
      <c r="B561" s="34" t="s">
        <v>1021</v>
      </c>
      <c r="C561" s="34" t="s">
        <v>428</v>
      </c>
      <c r="D561" s="34">
        <v>2009</v>
      </c>
      <c r="E561" s="34">
        <v>2006</v>
      </c>
      <c r="F561" s="34" t="s">
        <v>303</v>
      </c>
      <c r="G561" s="34" t="s">
        <v>429</v>
      </c>
      <c r="H561" s="32" t="s">
        <v>2831</v>
      </c>
      <c r="I561" s="34">
        <f t="shared" si="185"/>
        <v>43.333333333333336</v>
      </c>
      <c r="J561" s="34">
        <f t="shared" si="186"/>
        <v>-89.716666666666669</v>
      </c>
      <c r="K561" s="34">
        <v>250</v>
      </c>
      <c r="Q561" s="48">
        <v>4</v>
      </c>
      <c r="R561" s="48">
        <v>4</v>
      </c>
      <c r="S561" s="48"/>
      <c r="T561" s="48" t="s">
        <v>1917</v>
      </c>
      <c r="U561" s="48" t="s">
        <v>1393</v>
      </c>
      <c r="V561" s="48" t="s">
        <v>1727</v>
      </c>
      <c r="W561" s="48" t="s">
        <v>1398</v>
      </c>
      <c r="X561" s="48" t="s">
        <v>1393</v>
      </c>
      <c r="Y561" s="34">
        <f t="shared" si="187"/>
        <v>1.417142857142857</v>
      </c>
      <c r="Z561" s="328"/>
      <c r="AA561" s="328"/>
      <c r="AB561" s="34" t="s">
        <v>451</v>
      </c>
      <c r="AC561" s="34">
        <f t="shared" si="188"/>
        <v>6.8714285714285719</v>
      </c>
      <c r="AF561" s="34" t="s">
        <v>1331</v>
      </c>
      <c r="AG561" s="34" t="s">
        <v>1156</v>
      </c>
      <c r="AH561" s="138" t="s">
        <v>132</v>
      </c>
      <c r="AI561" s="34" t="s">
        <v>133</v>
      </c>
      <c r="AJ561" s="140" t="s">
        <v>1626</v>
      </c>
      <c r="AK561" s="34" t="s">
        <v>422</v>
      </c>
      <c r="AL561" s="34" t="s">
        <v>422</v>
      </c>
      <c r="AM561" s="34" t="s">
        <v>178</v>
      </c>
      <c r="AQ561" s="34" t="s">
        <v>437</v>
      </c>
      <c r="AR561" s="34" t="s">
        <v>437</v>
      </c>
      <c r="AT561" s="34" t="s">
        <v>431</v>
      </c>
      <c r="AU561" s="34">
        <v>4</v>
      </c>
      <c r="AW561" s="34" t="s">
        <v>142</v>
      </c>
      <c r="BA561" s="53"/>
      <c r="BM561" s="404">
        <v>1.57</v>
      </c>
      <c r="BN561" s="404">
        <v>1.51</v>
      </c>
      <c r="BR561" s="404">
        <v>2.58</v>
      </c>
      <c r="BS561" s="404">
        <v>2.38</v>
      </c>
      <c r="BV561" s="34" t="s">
        <v>1677</v>
      </c>
      <c r="CB561" s="34">
        <v>23.8</v>
      </c>
      <c r="CC561" s="34">
        <v>12.8</v>
      </c>
      <c r="CG561" s="34">
        <v>130</v>
      </c>
      <c r="CH561" s="34">
        <v>92</v>
      </c>
      <c r="CL561" s="34">
        <v>6.7</v>
      </c>
      <c r="CM561" s="34">
        <v>7.2</v>
      </c>
      <c r="DF561" s="34">
        <v>166</v>
      </c>
      <c r="DG561" s="34">
        <v>238</v>
      </c>
      <c r="DJ561" s="34" t="s">
        <v>434</v>
      </c>
      <c r="DP561" s="34">
        <v>1.49</v>
      </c>
      <c r="DQ561" s="34">
        <v>1.56</v>
      </c>
      <c r="DT561" s="34" t="s">
        <v>859</v>
      </c>
      <c r="EY561" s="34">
        <v>0.23400000000000001</v>
      </c>
      <c r="EZ561" s="34">
        <v>0.23400000000000001</v>
      </c>
      <c r="GM561" s="12"/>
      <c r="GQ561" s="12"/>
      <c r="GR561" s="34">
        <v>797</v>
      </c>
      <c r="GS561" s="34">
        <v>922</v>
      </c>
      <c r="GV561" s="34" t="s">
        <v>433</v>
      </c>
      <c r="IL561" s="34">
        <v>99999</v>
      </c>
      <c r="IO561" s="34" t="s">
        <v>435</v>
      </c>
      <c r="IP561" s="34" t="s">
        <v>858</v>
      </c>
    </row>
    <row r="562" spans="1:250" s="32" customFormat="1" x14ac:dyDescent="0.25">
      <c r="A562" s="32">
        <v>29</v>
      </c>
      <c r="B562" s="32" t="s">
        <v>1021</v>
      </c>
      <c r="C562" s="32" t="s">
        <v>428</v>
      </c>
      <c r="D562" s="32">
        <v>2009</v>
      </c>
      <c r="E562" s="32">
        <v>2006</v>
      </c>
      <c r="F562" s="32" t="s">
        <v>303</v>
      </c>
      <c r="G562" s="32" t="s">
        <v>429</v>
      </c>
      <c r="H562" s="32" t="s">
        <v>2831</v>
      </c>
      <c r="I562" s="32">
        <f t="shared" si="185"/>
        <v>43.333333333333336</v>
      </c>
      <c r="J562" s="32">
        <f t="shared" si="186"/>
        <v>-89.716666666666669</v>
      </c>
      <c r="K562" s="32">
        <v>250</v>
      </c>
      <c r="Q562" s="44">
        <v>4</v>
      </c>
      <c r="R562" s="44">
        <v>4</v>
      </c>
      <c r="S562" s="44"/>
      <c r="T562" s="44" t="s">
        <v>1917</v>
      </c>
      <c r="U562" s="44" t="s">
        <v>1393</v>
      </c>
      <c r="V562" s="44" t="s">
        <v>1727</v>
      </c>
      <c r="W562" s="44" t="s">
        <v>1398</v>
      </c>
      <c r="X562" s="44" t="s">
        <v>1393</v>
      </c>
      <c r="Y562" s="32">
        <f t="shared" si="187"/>
        <v>1.417142857142857</v>
      </c>
      <c r="Z562" s="323"/>
      <c r="AA562" s="323"/>
      <c r="AB562" s="32" t="s">
        <v>451</v>
      </c>
      <c r="AC562" s="32">
        <f t="shared" si="188"/>
        <v>6.8714285714285719</v>
      </c>
      <c r="AF562" s="32" t="s">
        <v>1331</v>
      </c>
      <c r="AG562" s="32" t="s">
        <v>1539</v>
      </c>
      <c r="AH562" s="138" t="s">
        <v>578</v>
      </c>
      <c r="AI562" s="32" t="s">
        <v>430</v>
      </c>
      <c r="AJ562" s="140" t="s">
        <v>1626</v>
      </c>
      <c r="AK562" s="32" t="s">
        <v>422</v>
      </c>
      <c r="AL562" s="32" t="s">
        <v>422</v>
      </c>
      <c r="AM562" s="32" t="s">
        <v>178</v>
      </c>
      <c r="AQ562" s="32" t="s">
        <v>437</v>
      </c>
      <c r="AR562" s="32" t="s">
        <v>437</v>
      </c>
      <c r="AT562" s="32" t="s">
        <v>432</v>
      </c>
      <c r="AU562" s="32">
        <v>4</v>
      </c>
      <c r="AW562" s="32" t="s">
        <v>142</v>
      </c>
      <c r="BA562" s="53"/>
      <c r="BM562" s="397">
        <v>1.57</v>
      </c>
      <c r="BN562" s="397">
        <v>1.55</v>
      </c>
      <c r="BR562" s="397">
        <v>2.48</v>
      </c>
      <c r="BS562" s="397">
        <v>2.75</v>
      </c>
      <c r="BV562" s="32" t="s">
        <v>1677</v>
      </c>
      <c r="CB562" s="32">
        <v>13</v>
      </c>
      <c r="CC562" s="32">
        <v>16.8</v>
      </c>
      <c r="CG562" s="32">
        <v>86</v>
      </c>
      <c r="CH562" s="32">
        <v>77</v>
      </c>
      <c r="CL562" s="32">
        <v>7</v>
      </c>
      <c r="CM562" s="32">
        <v>6.7</v>
      </c>
      <c r="DF562" s="32">
        <v>267</v>
      </c>
      <c r="DG562" s="32">
        <v>263</v>
      </c>
      <c r="DJ562" s="32" t="s">
        <v>434</v>
      </c>
      <c r="DP562" s="32">
        <v>1.54</v>
      </c>
      <c r="DQ562" s="32">
        <v>1.3345</v>
      </c>
      <c r="DT562" s="32" t="s">
        <v>859</v>
      </c>
      <c r="EY562" s="32">
        <v>0.23400000000000001</v>
      </c>
      <c r="EZ562" s="32">
        <v>0.23200000000000001</v>
      </c>
      <c r="GM562" s="12"/>
      <c r="GQ562" s="12"/>
      <c r="GR562" s="32">
        <v>878</v>
      </c>
      <c r="GS562" s="32">
        <v>977</v>
      </c>
      <c r="GV562" s="32" t="s">
        <v>433</v>
      </c>
      <c r="IL562" s="34">
        <v>99999</v>
      </c>
      <c r="IO562" s="32" t="s">
        <v>435</v>
      </c>
      <c r="IP562" s="32" t="s">
        <v>858</v>
      </c>
    </row>
    <row r="563" spans="1:250" s="32" customFormat="1" x14ac:dyDescent="0.25">
      <c r="A563" s="32">
        <v>29</v>
      </c>
      <c r="B563" s="32" t="s">
        <v>1021</v>
      </c>
      <c r="C563" s="32" t="s">
        <v>428</v>
      </c>
      <c r="D563" s="32">
        <v>2009</v>
      </c>
      <c r="E563" s="32">
        <v>2006</v>
      </c>
      <c r="F563" s="32" t="s">
        <v>303</v>
      </c>
      <c r="G563" s="32" t="s">
        <v>429</v>
      </c>
      <c r="H563" s="32" t="s">
        <v>2831</v>
      </c>
      <c r="I563" s="32">
        <f t="shared" si="185"/>
        <v>43.333333333333336</v>
      </c>
      <c r="J563" s="32">
        <f t="shared" si="186"/>
        <v>-89.716666666666669</v>
      </c>
      <c r="K563" s="32">
        <v>250</v>
      </c>
      <c r="Q563" s="44">
        <v>4</v>
      </c>
      <c r="R563" s="44">
        <v>4</v>
      </c>
      <c r="S563" s="44"/>
      <c r="T563" s="44" t="s">
        <v>1917</v>
      </c>
      <c r="U563" s="44" t="s">
        <v>1393</v>
      </c>
      <c r="V563" s="44" t="s">
        <v>1727</v>
      </c>
      <c r="W563" s="44" t="s">
        <v>1398</v>
      </c>
      <c r="X563" s="44" t="s">
        <v>1393</v>
      </c>
      <c r="Y563" s="32">
        <f t="shared" si="187"/>
        <v>1.417142857142857</v>
      </c>
      <c r="Z563" s="323"/>
      <c r="AA563" s="323"/>
      <c r="AB563" s="32" t="s">
        <v>451</v>
      </c>
      <c r="AC563" s="32">
        <f t="shared" si="188"/>
        <v>6.8714285714285719</v>
      </c>
      <c r="AF563" s="32" t="s">
        <v>1331</v>
      </c>
      <c r="AG563" s="32" t="s">
        <v>1539</v>
      </c>
      <c r="AH563" s="138" t="s">
        <v>578</v>
      </c>
      <c r="AI563" s="32" t="s">
        <v>133</v>
      </c>
      <c r="AJ563" s="140" t="s">
        <v>1626</v>
      </c>
      <c r="AK563" s="32" t="s">
        <v>422</v>
      </c>
      <c r="AL563" s="32" t="s">
        <v>422</v>
      </c>
      <c r="AM563" s="32" t="s">
        <v>178</v>
      </c>
      <c r="AQ563" s="32" t="s">
        <v>437</v>
      </c>
      <c r="AR563" s="32" t="s">
        <v>437</v>
      </c>
      <c r="AT563" s="32" t="s">
        <v>432</v>
      </c>
      <c r="AU563" s="32">
        <v>4</v>
      </c>
      <c r="AW563" s="32" t="s">
        <v>142</v>
      </c>
      <c r="BA563" s="53"/>
      <c r="BM563" s="397">
        <v>1.57</v>
      </c>
      <c r="BN563" s="397">
        <v>1.5</v>
      </c>
      <c r="BR563" s="397">
        <v>2.48</v>
      </c>
      <c r="BS563" s="397">
        <v>2.9</v>
      </c>
      <c r="BV563" s="32" t="s">
        <v>1677</v>
      </c>
      <c r="CB563" s="32">
        <v>13</v>
      </c>
      <c r="CC563" s="32">
        <v>15.3</v>
      </c>
      <c r="CG563" s="32">
        <v>86</v>
      </c>
      <c r="CH563" s="32">
        <v>77</v>
      </c>
      <c r="CL563" s="32">
        <v>7</v>
      </c>
      <c r="CM563" s="32">
        <v>7</v>
      </c>
      <c r="DF563" s="32">
        <v>267</v>
      </c>
      <c r="DG563" s="32">
        <v>286</v>
      </c>
      <c r="DJ563" s="32" t="s">
        <v>434</v>
      </c>
      <c r="DP563" s="32">
        <v>1.54</v>
      </c>
      <c r="DQ563" s="32">
        <v>1.6107</v>
      </c>
      <c r="DT563" s="32" t="s">
        <v>859</v>
      </c>
      <c r="EY563" s="32">
        <v>0.23400000000000001</v>
      </c>
      <c r="EZ563" s="32">
        <v>0.23899999999999999</v>
      </c>
      <c r="GM563" s="12"/>
      <c r="GQ563" s="12"/>
      <c r="GR563" s="32">
        <v>878</v>
      </c>
      <c r="GS563" s="32">
        <v>962</v>
      </c>
      <c r="GV563" s="32" t="s">
        <v>433</v>
      </c>
      <c r="IL563" s="34">
        <v>99999</v>
      </c>
      <c r="IO563" s="32" t="s">
        <v>435</v>
      </c>
      <c r="IP563" s="32" t="s">
        <v>858</v>
      </c>
    </row>
    <row r="564" spans="1:250" s="32" customFormat="1" x14ac:dyDescent="0.25">
      <c r="A564" s="32">
        <v>29</v>
      </c>
      <c r="B564" s="32" t="s">
        <v>1021</v>
      </c>
      <c r="C564" s="32" t="s">
        <v>428</v>
      </c>
      <c r="D564" s="32">
        <v>2009</v>
      </c>
      <c r="E564" s="32">
        <v>2006</v>
      </c>
      <c r="F564" s="32" t="s">
        <v>303</v>
      </c>
      <c r="G564" s="32" t="s">
        <v>429</v>
      </c>
      <c r="H564" s="32" t="s">
        <v>2831</v>
      </c>
      <c r="I564" s="32">
        <f t="shared" si="185"/>
        <v>43.333333333333336</v>
      </c>
      <c r="J564" s="32">
        <f t="shared" si="186"/>
        <v>-89.716666666666669</v>
      </c>
      <c r="K564" s="32">
        <v>250</v>
      </c>
      <c r="Q564" s="44">
        <v>4</v>
      </c>
      <c r="R564" s="44">
        <v>4</v>
      </c>
      <c r="S564" s="44"/>
      <c r="T564" s="44" t="s">
        <v>1917</v>
      </c>
      <c r="U564" s="44" t="s">
        <v>1393</v>
      </c>
      <c r="V564" s="44" t="s">
        <v>1727</v>
      </c>
      <c r="W564" s="44" t="s">
        <v>1398</v>
      </c>
      <c r="X564" s="44" t="s">
        <v>1393</v>
      </c>
      <c r="Y564" s="32">
        <f t="shared" si="187"/>
        <v>1.417142857142857</v>
      </c>
      <c r="Z564" s="323"/>
      <c r="AA564" s="323"/>
      <c r="AB564" s="32" t="s">
        <v>451</v>
      </c>
      <c r="AC564" s="32">
        <f t="shared" si="188"/>
        <v>6.8714285714285719</v>
      </c>
      <c r="AF564" s="32" t="s">
        <v>1331</v>
      </c>
      <c r="AG564" s="32" t="s">
        <v>1519</v>
      </c>
      <c r="AH564" s="138" t="s">
        <v>578</v>
      </c>
      <c r="AI564" s="32" t="s">
        <v>430</v>
      </c>
      <c r="AJ564" s="140" t="s">
        <v>1626</v>
      </c>
      <c r="AK564" s="32" t="s">
        <v>422</v>
      </c>
      <c r="AL564" s="32" t="s">
        <v>422</v>
      </c>
      <c r="AM564" s="32" t="s">
        <v>178</v>
      </c>
      <c r="AQ564" s="32" t="s">
        <v>437</v>
      </c>
      <c r="AR564" s="32" t="s">
        <v>437</v>
      </c>
      <c r="AT564" s="32" t="s">
        <v>432</v>
      </c>
      <c r="AU564" s="32">
        <v>4</v>
      </c>
      <c r="AW564" s="32" t="s">
        <v>142</v>
      </c>
      <c r="BA564" s="53"/>
      <c r="BM564" s="397">
        <v>1.57</v>
      </c>
      <c r="BN564" s="397">
        <v>1.54</v>
      </c>
      <c r="BR564" s="397">
        <v>2.48</v>
      </c>
      <c r="BS564" s="397">
        <v>2.63</v>
      </c>
      <c r="BV564" s="32" t="s">
        <v>1677</v>
      </c>
      <c r="CB564" s="32">
        <v>13</v>
      </c>
      <c r="CC564" s="32">
        <v>13.8</v>
      </c>
      <c r="CG564" s="32">
        <v>86</v>
      </c>
      <c r="CH564" s="32">
        <v>73</v>
      </c>
      <c r="CL564" s="32">
        <v>7</v>
      </c>
      <c r="CM564" s="32">
        <v>6.8</v>
      </c>
      <c r="DF564" s="32">
        <v>267</v>
      </c>
      <c r="DG564" s="32">
        <v>276</v>
      </c>
      <c r="DJ564" s="32" t="s">
        <v>434</v>
      </c>
      <c r="DP564" s="32">
        <v>1.54</v>
      </c>
      <c r="DQ564" s="32">
        <v>1.54</v>
      </c>
      <c r="DT564" s="32" t="s">
        <v>859</v>
      </c>
      <c r="EY564" s="32">
        <v>0.23400000000000001</v>
      </c>
      <c r="EZ564" s="32">
        <v>0.23300000000000001</v>
      </c>
      <c r="GM564" s="12"/>
      <c r="GQ564" s="12"/>
      <c r="GR564" s="32">
        <v>878</v>
      </c>
      <c r="GS564" s="32">
        <v>944</v>
      </c>
      <c r="GV564" s="32" t="s">
        <v>433</v>
      </c>
      <c r="IL564" s="34">
        <v>99999</v>
      </c>
      <c r="IO564" s="32" t="s">
        <v>435</v>
      </c>
      <c r="IP564" s="32" t="s">
        <v>858</v>
      </c>
    </row>
    <row r="565" spans="1:250" s="32" customFormat="1" x14ac:dyDescent="0.25">
      <c r="A565" s="32">
        <v>29</v>
      </c>
      <c r="B565" s="32" t="s">
        <v>1021</v>
      </c>
      <c r="C565" s="32" t="s">
        <v>428</v>
      </c>
      <c r="D565" s="32">
        <v>2009</v>
      </c>
      <c r="E565" s="32">
        <v>2006</v>
      </c>
      <c r="F565" s="32" t="s">
        <v>303</v>
      </c>
      <c r="G565" s="32" t="s">
        <v>429</v>
      </c>
      <c r="H565" s="32" t="s">
        <v>2831</v>
      </c>
      <c r="I565" s="32">
        <f t="shared" si="185"/>
        <v>43.333333333333336</v>
      </c>
      <c r="J565" s="32">
        <f t="shared" si="186"/>
        <v>-89.716666666666669</v>
      </c>
      <c r="K565" s="32">
        <v>250</v>
      </c>
      <c r="Q565" s="44">
        <v>4</v>
      </c>
      <c r="R565" s="44">
        <v>4</v>
      </c>
      <c r="S565" s="44"/>
      <c r="T565" s="44" t="s">
        <v>1917</v>
      </c>
      <c r="U565" s="44" t="s">
        <v>1393</v>
      </c>
      <c r="V565" s="44" t="s">
        <v>1727</v>
      </c>
      <c r="W565" s="44" t="s">
        <v>1398</v>
      </c>
      <c r="X565" s="44" t="s">
        <v>1393</v>
      </c>
      <c r="Y565" s="32">
        <f t="shared" si="187"/>
        <v>1.417142857142857</v>
      </c>
      <c r="Z565" s="323"/>
      <c r="AA565" s="323"/>
      <c r="AB565" s="32" t="s">
        <v>451</v>
      </c>
      <c r="AC565" s="32">
        <f t="shared" si="188"/>
        <v>6.8714285714285719</v>
      </c>
      <c r="AF565" s="32" t="s">
        <v>1331</v>
      </c>
      <c r="AG565" s="32" t="s">
        <v>1519</v>
      </c>
      <c r="AH565" s="138" t="s">
        <v>578</v>
      </c>
      <c r="AI565" s="32" t="s">
        <v>133</v>
      </c>
      <c r="AJ565" s="140" t="s">
        <v>1626</v>
      </c>
      <c r="AK565" s="32" t="s">
        <v>422</v>
      </c>
      <c r="AL565" s="32" t="s">
        <v>422</v>
      </c>
      <c r="AM565" s="32" t="s">
        <v>178</v>
      </c>
      <c r="AQ565" s="32" t="s">
        <v>437</v>
      </c>
      <c r="AR565" s="32" t="s">
        <v>437</v>
      </c>
      <c r="AT565" s="32" t="s">
        <v>432</v>
      </c>
      <c r="AU565" s="32">
        <v>4</v>
      </c>
      <c r="AW565" s="32" t="s">
        <v>142</v>
      </c>
      <c r="BA565" s="53"/>
      <c r="BM565" s="397">
        <v>1.57</v>
      </c>
      <c r="BN565" s="397">
        <v>1.55</v>
      </c>
      <c r="BR565" s="397">
        <v>2.48</v>
      </c>
      <c r="BS565" s="397">
        <v>2.83</v>
      </c>
      <c r="BV565" s="32" t="s">
        <v>1677</v>
      </c>
      <c r="CB565" s="32">
        <v>13</v>
      </c>
      <c r="CC565" s="32">
        <v>16.8</v>
      </c>
      <c r="CG565" s="32">
        <v>86</v>
      </c>
      <c r="CH565" s="32">
        <v>71</v>
      </c>
      <c r="CL565" s="32">
        <v>7</v>
      </c>
      <c r="CM565" s="32">
        <v>7.1</v>
      </c>
      <c r="DF565" s="32">
        <v>267</v>
      </c>
      <c r="DG565" s="32">
        <v>272</v>
      </c>
      <c r="DJ565" s="32" t="s">
        <v>434</v>
      </c>
      <c r="DP565" s="32">
        <v>1.54</v>
      </c>
      <c r="DQ565" s="32">
        <v>1.3345</v>
      </c>
      <c r="DT565" s="32" t="s">
        <v>859</v>
      </c>
      <c r="EY565" s="32">
        <v>0.23400000000000001</v>
      </c>
      <c r="EZ565" s="32">
        <v>0.23</v>
      </c>
      <c r="GM565" s="12"/>
      <c r="GQ565" s="12"/>
      <c r="GR565" s="32">
        <v>878</v>
      </c>
      <c r="GS565" s="32">
        <v>984</v>
      </c>
      <c r="GV565" s="32" t="s">
        <v>433</v>
      </c>
      <c r="IL565" s="34">
        <v>99999</v>
      </c>
      <c r="IO565" s="32" t="s">
        <v>435</v>
      </c>
      <c r="IP565" s="32" t="s">
        <v>858</v>
      </c>
    </row>
    <row r="566" spans="1:250" s="32" customFormat="1" x14ac:dyDescent="0.25">
      <c r="A566" s="32">
        <v>29</v>
      </c>
      <c r="B566" s="32" t="s">
        <v>1021</v>
      </c>
      <c r="C566" s="32" t="s">
        <v>428</v>
      </c>
      <c r="D566" s="32">
        <v>2009</v>
      </c>
      <c r="E566" s="32">
        <v>2006</v>
      </c>
      <c r="F566" s="32" t="s">
        <v>303</v>
      </c>
      <c r="G566" s="32" t="s">
        <v>429</v>
      </c>
      <c r="H566" s="32" t="s">
        <v>2831</v>
      </c>
      <c r="I566" s="32">
        <f t="shared" si="185"/>
        <v>43.333333333333336</v>
      </c>
      <c r="J566" s="32">
        <f t="shared" si="186"/>
        <v>-89.716666666666669</v>
      </c>
      <c r="K566" s="32">
        <v>250</v>
      </c>
      <c r="Q566" s="44">
        <v>4</v>
      </c>
      <c r="R566" s="44">
        <v>4</v>
      </c>
      <c r="S566" s="44"/>
      <c r="T566" s="44" t="s">
        <v>1917</v>
      </c>
      <c r="U566" s="44" t="s">
        <v>1393</v>
      </c>
      <c r="V566" s="44" t="s">
        <v>1727</v>
      </c>
      <c r="W566" s="44" t="s">
        <v>1398</v>
      </c>
      <c r="X566" s="44" t="s">
        <v>1393</v>
      </c>
      <c r="Y566" s="32">
        <f t="shared" si="187"/>
        <v>1.417142857142857</v>
      </c>
      <c r="Z566" s="323"/>
      <c r="AA566" s="323"/>
      <c r="AB566" s="32" t="s">
        <v>451</v>
      </c>
      <c r="AC566" s="32">
        <f t="shared" si="188"/>
        <v>6.8714285714285719</v>
      </c>
      <c r="AF566" s="32" t="s">
        <v>1331</v>
      </c>
      <c r="AG566" s="32" t="s">
        <v>1155</v>
      </c>
      <c r="AH566" s="138" t="s">
        <v>132</v>
      </c>
      <c r="AI566" s="32" t="s">
        <v>133</v>
      </c>
      <c r="AJ566" s="140" t="s">
        <v>1626</v>
      </c>
      <c r="AK566" s="32" t="s">
        <v>422</v>
      </c>
      <c r="AL566" s="32" t="s">
        <v>422</v>
      </c>
      <c r="AM566" s="32" t="s">
        <v>178</v>
      </c>
      <c r="AQ566" s="32" t="s">
        <v>437</v>
      </c>
      <c r="AR566" s="32" t="s">
        <v>437</v>
      </c>
      <c r="AT566" s="32" t="s">
        <v>432</v>
      </c>
      <c r="AU566" s="32">
        <v>4</v>
      </c>
      <c r="AW566" s="32" t="s">
        <v>142</v>
      </c>
      <c r="BA566" s="53"/>
      <c r="BM566" s="397">
        <v>1.57</v>
      </c>
      <c r="BN566" s="397">
        <v>1.55</v>
      </c>
      <c r="BR566" s="397">
        <v>2.48</v>
      </c>
      <c r="BS566" s="397">
        <v>2.38</v>
      </c>
      <c r="BV566" s="32" t="s">
        <v>1677</v>
      </c>
      <c r="CB566" s="32">
        <v>13</v>
      </c>
      <c r="CC566" s="32">
        <v>14.8</v>
      </c>
      <c r="CG566" s="32">
        <v>86</v>
      </c>
      <c r="CH566" s="32">
        <v>87</v>
      </c>
      <c r="CL566" s="32">
        <v>7</v>
      </c>
      <c r="CM566" s="32">
        <v>6.8</v>
      </c>
      <c r="DF566" s="32">
        <v>267</v>
      </c>
      <c r="DG566" s="32">
        <v>249</v>
      </c>
      <c r="DJ566" s="32" t="s">
        <v>434</v>
      </c>
      <c r="DP566" s="32">
        <v>1.54</v>
      </c>
      <c r="DQ566" s="32">
        <v>1.56</v>
      </c>
      <c r="DT566" s="32" t="s">
        <v>859</v>
      </c>
      <c r="EY566" s="32">
        <v>0.23400000000000001</v>
      </c>
      <c r="EZ566" s="32">
        <v>0.23</v>
      </c>
      <c r="GM566" s="12"/>
      <c r="GQ566" s="12"/>
      <c r="GR566" s="32">
        <v>878</v>
      </c>
      <c r="GS566" s="32">
        <v>949</v>
      </c>
      <c r="GV566" s="32" t="s">
        <v>433</v>
      </c>
      <c r="IL566" s="34">
        <v>99999</v>
      </c>
      <c r="IO566" s="32" t="s">
        <v>435</v>
      </c>
      <c r="IP566" s="32" t="s">
        <v>858</v>
      </c>
    </row>
    <row r="567" spans="1:250" s="32" customFormat="1" x14ac:dyDescent="0.25">
      <c r="A567" s="32">
        <v>29</v>
      </c>
      <c r="B567" s="32" t="s">
        <v>1021</v>
      </c>
      <c r="C567" s="32" t="s">
        <v>428</v>
      </c>
      <c r="D567" s="32">
        <v>2009</v>
      </c>
      <c r="E567" s="32">
        <v>2006</v>
      </c>
      <c r="F567" s="32" t="s">
        <v>303</v>
      </c>
      <c r="G567" s="32" t="s">
        <v>429</v>
      </c>
      <c r="H567" s="32" t="s">
        <v>2831</v>
      </c>
      <c r="I567" s="32">
        <f t="shared" si="185"/>
        <v>43.333333333333336</v>
      </c>
      <c r="J567" s="32">
        <f t="shared" si="186"/>
        <v>-89.716666666666669</v>
      </c>
      <c r="K567" s="32">
        <v>250</v>
      </c>
      <c r="Q567" s="44">
        <v>4</v>
      </c>
      <c r="R567" s="44">
        <v>4</v>
      </c>
      <c r="S567" s="44"/>
      <c r="T567" s="44" t="s">
        <v>1917</v>
      </c>
      <c r="U567" s="44" t="s">
        <v>1393</v>
      </c>
      <c r="V567" s="44" t="s">
        <v>1727</v>
      </c>
      <c r="W567" s="44" t="s">
        <v>1398</v>
      </c>
      <c r="X567" s="44" t="s">
        <v>1393</v>
      </c>
      <c r="Y567" s="32">
        <f t="shared" si="187"/>
        <v>1.417142857142857</v>
      </c>
      <c r="Z567" s="323"/>
      <c r="AA567" s="323"/>
      <c r="AB567" s="32" t="s">
        <v>451</v>
      </c>
      <c r="AC567" s="32">
        <f t="shared" si="188"/>
        <v>6.8714285714285719</v>
      </c>
      <c r="AF567" s="32" t="s">
        <v>1331</v>
      </c>
      <c r="AG567" s="32" t="s">
        <v>1156</v>
      </c>
      <c r="AH567" s="138" t="s">
        <v>132</v>
      </c>
      <c r="AI567" s="32" t="s">
        <v>133</v>
      </c>
      <c r="AJ567" s="140" t="s">
        <v>1626</v>
      </c>
      <c r="AK567" s="32" t="s">
        <v>422</v>
      </c>
      <c r="AL567" s="32" t="s">
        <v>422</v>
      </c>
      <c r="AM567" s="32" t="s">
        <v>178</v>
      </c>
      <c r="AQ567" s="32" t="s">
        <v>437</v>
      </c>
      <c r="AR567" s="32" t="s">
        <v>437</v>
      </c>
      <c r="AT567" s="32" t="s">
        <v>432</v>
      </c>
      <c r="AU567" s="32">
        <v>4</v>
      </c>
      <c r="AW567" s="32" t="s">
        <v>142</v>
      </c>
      <c r="BA567" s="53"/>
      <c r="BM567" s="397">
        <v>1.57</v>
      </c>
      <c r="BN567" s="397">
        <v>1.51</v>
      </c>
      <c r="BR567" s="397">
        <v>2.48</v>
      </c>
      <c r="BS567" s="397">
        <v>2.38</v>
      </c>
      <c r="BV567" s="32" t="s">
        <v>1677</v>
      </c>
      <c r="CB567" s="32">
        <v>13</v>
      </c>
      <c r="CC567" s="32">
        <v>12.8</v>
      </c>
      <c r="CG567" s="32">
        <v>86</v>
      </c>
      <c r="CH567" s="32">
        <v>92</v>
      </c>
      <c r="CL567" s="32">
        <v>7</v>
      </c>
      <c r="CM567" s="32">
        <v>7.2</v>
      </c>
      <c r="DF567" s="32">
        <v>267</v>
      </c>
      <c r="DG567" s="32">
        <v>238</v>
      </c>
      <c r="DJ567" s="32" t="s">
        <v>434</v>
      </c>
      <c r="DP567" s="32">
        <v>1.54</v>
      </c>
      <c r="DQ567" s="32">
        <v>1.56</v>
      </c>
      <c r="DT567" s="32" t="s">
        <v>859</v>
      </c>
      <c r="EY567" s="32">
        <v>0.23400000000000001</v>
      </c>
      <c r="EZ567" s="32">
        <v>0.23400000000000001</v>
      </c>
      <c r="GM567" s="12"/>
      <c r="GQ567" s="12"/>
      <c r="GR567" s="32">
        <v>878</v>
      </c>
      <c r="GS567" s="32">
        <v>922</v>
      </c>
      <c r="GV567" s="32" t="s">
        <v>433</v>
      </c>
      <c r="IL567" s="34">
        <v>99999</v>
      </c>
      <c r="IO567" s="32" t="s">
        <v>435</v>
      </c>
      <c r="IP567" s="32" t="s">
        <v>858</v>
      </c>
    </row>
    <row r="568" spans="1:250" s="33" customFormat="1" x14ac:dyDescent="0.25">
      <c r="A568" s="33">
        <v>30</v>
      </c>
      <c r="B568" s="33" t="s">
        <v>438</v>
      </c>
      <c r="C568" s="33" t="s">
        <v>439</v>
      </c>
      <c r="D568" s="33">
        <v>2002</v>
      </c>
      <c r="E568" s="33">
        <v>1998</v>
      </c>
      <c r="F568" s="33" t="s">
        <v>440</v>
      </c>
      <c r="G568" s="33" t="s">
        <v>441</v>
      </c>
      <c r="H568" s="32" t="s">
        <v>2831</v>
      </c>
      <c r="I568" s="33">
        <f t="shared" ref="I568:I599" si="193">38+32/60</f>
        <v>38.533333333333331</v>
      </c>
      <c r="J568" s="33">
        <f t="shared" ref="J568:J599" si="194">-121-47/60</f>
        <v>-121.78333333333333</v>
      </c>
      <c r="K568" s="33">
        <v>18.399999999999999</v>
      </c>
      <c r="O568" s="33">
        <v>483</v>
      </c>
      <c r="Q568" s="47">
        <v>2</v>
      </c>
      <c r="R568" s="47" t="s">
        <v>1867</v>
      </c>
      <c r="S568" s="47"/>
      <c r="T568" s="47">
        <v>36145</v>
      </c>
      <c r="U568" s="47" t="s">
        <v>1399</v>
      </c>
      <c r="V568" s="47" t="s">
        <v>1730</v>
      </c>
      <c r="W568" s="47" t="s">
        <v>1399</v>
      </c>
      <c r="X568" s="47" t="s">
        <v>1421</v>
      </c>
      <c r="Z568" s="327">
        <v>36</v>
      </c>
      <c r="AA568" s="327">
        <v>46</v>
      </c>
      <c r="AB568" s="33" t="s">
        <v>140</v>
      </c>
      <c r="AF568" s="33" t="s">
        <v>1332</v>
      </c>
      <c r="AG568" s="33" t="s">
        <v>1537</v>
      </c>
      <c r="AH568" s="138" t="s">
        <v>578</v>
      </c>
      <c r="AI568" s="33" t="s">
        <v>1592</v>
      </c>
      <c r="AJ568" s="141" t="s">
        <v>1617</v>
      </c>
      <c r="AK568" s="33" t="s">
        <v>442</v>
      </c>
      <c r="AL568" s="33" t="s">
        <v>442</v>
      </c>
      <c r="AM568" s="33" t="s">
        <v>178</v>
      </c>
      <c r="AQ568" s="33" t="s">
        <v>369</v>
      </c>
      <c r="AR568" s="33" t="s">
        <v>443</v>
      </c>
      <c r="AS568" s="33" t="s">
        <v>503</v>
      </c>
      <c r="AT568" s="33" t="s">
        <v>120</v>
      </c>
      <c r="AU568" s="33">
        <v>4</v>
      </c>
      <c r="AW568" s="33" t="s">
        <v>336</v>
      </c>
      <c r="BA568" s="54"/>
      <c r="BM568" s="402"/>
      <c r="BN568" s="402"/>
      <c r="BR568" s="402"/>
      <c r="BS568" s="402"/>
      <c r="DZ568" s="33">
        <v>4.8099999999999997E-2</v>
      </c>
      <c r="EA568" s="33">
        <v>9.6299999999999997E-2</v>
      </c>
      <c r="ED568" s="33" t="s">
        <v>447</v>
      </c>
      <c r="EJ568" s="33">
        <f>6.84/38*100</f>
        <v>18</v>
      </c>
      <c r="EK568" s="33">
        <f>1.29/38*100</f>
        <v>3.3947368421052637</v>
      </c>
      <c r="EN568" s="33" t="s">
        <v>446</v>
      </c>
      <c r="EY568" s="33">
        <v>0.21840000000000001</v>
      </c>
      <c r="EZ568" s="33">
        <v>0.2094</v>
      </c>
      <c r="FC568" s="33" t="s">
        <v>445</v>
      </c>
      <c r="GM568" s="12"/>
      <c r="GQ568" s="12"/>
      <c r="IO568" s="33" t="s">
        <v>716</v>
      </c>
    </row>
    <row r="569" spans="1:250" s="33" customFormat="1" x14ac:dyDescent="0.25">
      <c r="A569" s="33">
        <v>30</v>
      </c>
      <c r="B569" s="33" t="s">
        <v>438</v>
      </c>
      <c r="C569" s="33" t="s">
        <v>439</v>
      </c>
      <c r="D569" s="33">
        <v>2002</v>
      </c>
      <c r="E569" s="33">
        <v>1998</v>
      </c>
      <c r="F569" s="33" t="s">
        <v>440</v>
      </c>
      <c r="G569" s="33" t="s">
        <v>441</v>
      </c>
      <c r="H569" s="32" t="s">
        <v>2831</v>
      </c>
      <c r="I569" s="33">
        <f t="shared" si="193"/>
        <v>38.533333333333331</v>
      </c>
      <c r="J569" s="33">
        <f t="shared" si="194"/>
        <v>-121.78333333333333</v>
      </c>
      <c r="K569" s="33">
        <v>18.399999999999999</v>
      </c>
      <c r="O569" s="33">
        <v>483</v>
      </c>
      <c r="Q569" s="47">
        <v>2</v>
      </c>
      <c r="R569" s="47" t="s">
        <v>1867</v>
      </c>
      <c r="S569" s="47"/>
      <c r="T569" s="47">
        <v>36145</v>
      </c>
      <c r="U569" s="47" t="s">
        <v>1399</v>
      </c>
      <c r="V569" s="47" t="s">
        <v>1730</v>
      </c>
      <c r="W569" s="47" t="s">
        <v>1399</v>
      </c>
      <c r="X569" s="47" t="s">
        <v>1421</v>
      </c>
      <c r="Z569" s="327">
        <v>36</v>
      </c>
      <c r="AA569" s="327">
        <v>46</v>
      </c>
      <c r="AB569" s="33" t="s">
        <v>140</v>
      </c>
      <c r="AF569" s="33" t="s">
        <v>1332</v>
      </c>
      <c r="AG569" s="33" t="s">
        <v>1537</v>
      </c>
      <c r="AH569" s="138" t="s">
        <v>578</v>
      </c>
      <c r="AI569" s="33" t="s">
        <v>1592</v>
      </c>
      <c r="AJ569" s="141" t="s">
        <v>1617</v>
      </c>
      <c r="AK569" s="33" t="s">
        <v>442</v>
      </c>
      <c r="AL569" s="33" t="s">
        <v>442</v>
      </c>
      <c r="AM569" s="33" t="s">
        <v>178</v>
      </c>
      <c r="AQ569" s="33" t="s">
        <v>369</v>
      </c>
      <c r="AR569" s="33" t="s">
        <v>444</v>
      </c>
      <c r="AS569" s="33" t="s">
        <v>503</v>
      </c>
      <c r="AT569" s="33" t="s">
        <v>120</v>
      </c>
      <c r="AU569" s="33">
        <v>4</v>
      </c>
      <c r="AW569" s="33" t="s">
        <v>336</v>
      </c>
      <c r="BA569" s="54"/>
      <c r="BM569" s="402"/>
      <c r="BN569" s="402"/>
      <c r="BR569" s="402"/>
      <c r="BS569" s="402"/>
      <c r="DZ569" s="33">
        <v>4.8099999999999997E-2</v>
      </c>
      <c r="EA569" s="33">
        <v>0.1206</v>
      </c>
      <c r="ED569" s="33" t="s">
        <v>447</v>
      </c>
      <c r="EJ569" s="33">
        <f>6.84/38*100</f>
        <v>18</v>
      </c>
      <c r="EK569" s="33">
        <f>3.42/38*100</f>
        <v>9</v>
      </c>
      <c r="EN569" s="33" t="s">
        <v>446</v>
      </c>
      <c r="EY569" s="33">
        <v>0.21840000000000001</v>
      </c>
      <c r="EZ569" s="33">
        <v>0.1958</v>
      </c>
      <c r="FC569" s="33" t="s">
        <v>445</v>
      </c>
      <c r="GM569" s="12"/>
      <c r="GQ569" s="12"/>
      <c r="IO569" s="33" t="s">
        <v>716</v>
      </c>
    </row>
    <row r="570" spans="1:250" s="33" customFormat="1" x14ac:dyDescent="0.25">
      <c r="A570" s="33">
        <v>30</v>
      </c>
      <c r="B570" s="33" t="s">
        <v>438</v>
      </c>
      <c r="C570" s="33" t="s">
        <v>439</v>
      </c>
      <c r="D570" s="33">
        <v>2002</v>
      </c>
      <c r="E570" s="33">
        <v>1999</v>
      </c>
      <c r="F570" s="33" t="s">
        <v>440</v>
      </c>
      <c r="G570" s="33" t="s">
        <v>441</v>
      </c>
      <c r="H570" s="32" t="s">
        <v>2831</v>
      </c>
      <c r="I570" s="33">
        <f t="shared" si="193"/>
        <v>38.533333333333331</v>
      </c>
      <c r="J570" s="33">
        <f t="shared" si="194"/>
        <v>-121.78333333333333</v>
      </c>
      <c r="K570" s="33">
        <v>18.399999999999999</v>
      </c>
      <c r="O570" s="33">
        <v>483</v>
      </c>
      <c r="Q570" s="47">
        <v>3</v>
      </c>
      <c r="R570" s="47" t="s">
        <v>1867</v>
      </c>
      <c r="S570" s="47"/>
      <c r="T570" s="47">
        <v>36170</v>
      </c>
      <c r="U570" s="47" t="s">
        <v>1399</v>
      </c>
      <c r="V570" s="47" t="s">
        <v>1730</v>
      </c>
      <c r="W570" s="47" t="s">
        <v>1399</v>
      </c>
      <c r="X570" s="47" t="s">
        <v>1421</v>
      </c>
      <c r="Z570" s="327">
        <v>36</v>
      </c>
      <c r="AA570" s="327">
        <v>46</v>
      </c>
      <c r="AB570" s="33" t="s">
        <v>140</v>
      </c>
      <c r="AF570" s="33" t="s">
        <v>1332</v>
      </c>
      <c r="AG570" s="33" t="s">
        <v>1537</v>
      </c>
      <c r="AH570" s="138" t="s">
        <v>578</v>
      </c>
      <c r="AI570" s="33" t="s">
        <v>1592</v>
      </c>
      <c r="AJ570" s="141" t="s">
        <v>1617</v>
      </c>
      <c r="AK570" s="33" t="s">
        <v>442</v>
      </c>
      <c r="AL570" s="33" t="s">
        <v>442</v>
      </c>
      <c r="AM570" s="33" t="s">
        <v>178</v>
      </c>
      <c r="AQ570" s="33" t="s">
        <v>369</v>
      </c>
      <c r="AR570" s="33" t="s">
        <v>443</v>
      </c>
      <c r="AS570" s="33" t="s">
        <v>503</v>
      </c>
      <c r="AT570" s="33" t="s">
        <v>120</v>
      </c>
      <c r="AU570" s="33">
        <v>4</v>
      </c>
      <c r="AW570" s="33" t="s">
        <v>336</v>
      </c>
      <c r="BA570" s="54"/>
      <c r="BM570" s="402"/>
      <c r="BN570" s="402"/>
      <c r="BR570" s="402"/>
      <c r="BS570" s="402"/>
      <c r="DZ570" s="33">
        <v>2.4E-2</v>
      </c>
      <c r="EA570" s="33">
        <v>9.6000000000000002E-2</v>
      </c>
      <c r="ED570" s="33" t="s">
        <v>447</v>
      </c>
      <c r="EJ570" s="33">
        <f>5.95/14.2*100</f>
        <v>41.901408450704231</v>
      </c>
      <c r="EK570" s="33">
        <f>0.97/14.2*100</f>
        <v>6.830985915492958</v>
      </c>
      <c r="EN570" s="33" t="s">
        <v>446</v>
      </c>
      <c r="EY570" s="33">
        <v>0.1966</v>
      </c>
      <c r="EZ570" s="33">
        <v>0.20660000000000001</v>
      </c>
      <c r="FC570" s="33" t="s">
        <v>445</v>
      </c>
      <c r="GM570" s="12"/>
      <c r="GQ570" s="12"/>
      <c r="IO570" s="33" t="s">
        <v>716</v>
      </c>
    </row>
    <row r="571" spans="1:250" s="33" customFormat="1" x14ac:dyDescent="0.25">
      <c r="A571" s="33">
        <v>30</v>
      </c>
      <c r="B571" s="33" t="s">
        <v>438</v>
      </c>
      <c r="C571" s="33" t="s">
        <v>439</v>
      </c>
      <c r="D571" s="33">
        <v>2002</v>
      </c>
      <c r="E571" s="33">
        <v>1999</v>
      </c>
      <c r="F571" s="33" t="s">
        <v>440</v>
      </c>
      <c r="G571" s="33" t="s">
        <v>441</v>
      </c>
      <c r="H571" s="32" t="s">
        <v>2831</v>
      </c>
      <c r="I571" s="33">
        <f t="shared" si="193"/>
        <v>38.533333333333331</v>
      </c>
      <c r="J571" s="33">
        <f t="shared" si="194"/>
        <v>-121.78333333333333</v>
      </c>
      <c r="K571" s="33">
        <v>18.399999999999999</v>
      </c>
      <c r="O571" s="33">
        <v>483</v>
      </c>
      <c r="Q571" s="47">
        <v>3</v>
      </c>
      <c r="R571" s="47" t="s">
        <v>1867</v>
      </c>
      <c r="S571" s="47"/>
      <c r="T571" s="47">
        <v>36170</v>
      </c>
      <c r="U571" s="47" t="s">
        <v>1399</v>
      </c>
      <c r="V571" s="47" t="s">
        <v>1730</v>
      </c>
      <c r="W571" s="47" t="s">
        <v>1399</v>
      </c>
      <c r="X571" s="47" t="s">
        <v>1421</v>
      </c>
      <c r="Z571" s="327">
        <v>36</v>
      </c>
      <c r="AA571" s="327">
        <v>46</v>
      </c>
      <c r="AB571" s="33" t="s">
        <v>140</v>
      </c>
      <c r="AF571" s="33" t="s">
        <v>1332</v>
      </c>
      <c r="AG571" s="33" t="s">
        <v>1537</v>
      </c>
      <c r="AH571" s="138" t="s">
        <v>578</v>
      </c>
      <c r="AI571" s="33" t="s">
        <v>1592</v>
      </c>
      <c r="AJ571" s="141" t="s">
        <v>1617</v>
      </c>
      <c r="AK571" s="33" t="s">
        <v>442</v>
      </c>
      <c r="AL571" s="33" t="s">
        <v>442</v>
      </c>
      <c r="AM571" s="33" t="s">
        <v>178</v>
      </c>
      <c r="AQ571" s="33" t="s">
        <v>369</v>
      </c>
      <c r="AR571" s="33" t="s">
        <v>444</v>
      </c>
      <c r="AS571" s="33" t="s">
        <v>503</v>
      </c>
      <c r="AT571" s="33" t="s">
        <v>120</v>
      </c>
      <c r="AU571" s="33">
        <v>4</v>
      </c>
      <c r="AW571" s="33" t="s">
        <v>336</v>
      </c>
      <c r="BA571" s="54"/>
      <c r="BM571" s="402"/>
      <c r="BN571" s="402"/>
      <c r="BR571" s="402"/>
      <c r="BS571" s="402"/>
      <c r="DZ571" s="33">
        <v>2.4E-2</v>
      </c>
      <c r="EA571" s="33">
        <v>9.6000000000000002E-2</v>
      </c>
      <c r="ED571" s="33" t="s">
        <v>447</v>
      </c>
      <c r="EJ571" s="33">
        <f>5.95/14.2*100</f>
        <v>41.901408450704231</v>
      </c>
      <c r="EK571" s="33">
        <f>1.46/14.2*100</f>
        <v>10.28169014084507</v>
      </c>
      <c r="EN571" s="33" t="s">
        <v>446</v>
      </c>
      <c r="EY571" s="33">
        <v>0.1966</v>
      </c>
      <c r="EZ571" s="33">
        <v>0.1885</v>
      </c>
      <c r="FC571" s="33" t="s">
        <v>445</v>
      </c>
      <c r="GM571" s="12"/>
      <c r="GQ571" s="12"/>
      <c r="IO571" s="33" t="s">
        <v>716</v>
      </c>
    </row>
    <row r="572" spans="1:250" s="33" customFormat="1" x14ac:dyDescent="0.25">
      <c r="A572" s="33">
        <v>30</v>
      </c>
      <c r="B572" s="33" t="s">
        <v>438</v>
      </c>
      <c r="C572" s="33" t="s">
        <v>439</v>
      </c>
      <c r="D572" s="33">
        <v>2002</v>
      </c>
      <c r="E572" s="33">
        <v>1999</v>
      </c>
      <c r="F572" s="33" t="s">
        <v>440</v>
      </c>
      <c r="G572" s="33" t="s">
        <v>441</v>
      </c>
      <c r="H572" s="32" t="s">
        <v>2831</v>
      </c>
      <c r="I572" s="33">
        <f t="shared" si="193"/>
        <v>38.533333333333331</v>
      </c>
      <c r="J572" s="33">
        <f t="shared" si="194"/>
        <v>-121.78333333333333</v>
      </c>
      <c r="K572" s="33">
        <v>18.399999999999999</v>
      </c>
      <c r="O572" s="33">
        <v>483</v>
      </c>
      <c r="Q572" s="47">
        <v>3</v>
      </c>
      <c r="R572" s="47" t="s">
        <v>1867</v>
      </c>
      <c r="S572" s="47"/>
      <c r="T572" s="47">
        <v>36187</v>
      </c>
      <c r="U572" s="47" t="s">
        <v>1399</v>
      </c>
      <c r="V572" s="47" t="s">
        <v>1730</v>
      </c>
      <c r="W572" s="47" t="s">
        <v>1399</v>
      </c>
      <c r="X572" s="47" t="s">
        <v>1421</v>
      </c>
      <c r="Z572" s="327">
        <v>36</v>
      </c>
      <c r="AA572" s="327">
        <v>46</v>
      </c>
      <c r="AB572" s="33" t="s">
        <v>140</v>
      </c>
      <c r="AF572" s="33" t="s">
        <v>1332</v>
      </c>
      <c r="AG572" s="33" t="s">
        <v>1537</v>
      </c>
      <c r="AH572" s="138" t="s">
        <v>578</v>
      </c>
      <c r="AI572" s="33" t="s">
        <v>1592</v>
      </c>
      <c r="AJ572" s="141" t="s">
        <v>1617</v>
      </c>
      <c r="AK572" s="33" t="s">
        <v>442</v>
      </c>
      <c r="AL572" s="33" t="s">
        <v>442</v>
      </c>
      <c r="AM572" s="33" t="s">
        <v>178</v>
      </c>
      <c r="AQ572" s="33" t="s">
        <v>369</v>
      </c>
      <c r="AR572" s="33" t="s">
        <v>443</v>
      </c>
      <c r="AS572" s="33" t="s">
        <v>503</v>
      </c>
      <c r="AT572" s="33" t="s">
        <v>120</v>
      </c>
      <c r="AU572" s="33">
        <v>4</v>
      </c>
      <c r="AW572" s="33" t="s">
        <v>336</v>
      </c>
      <c r="BA572" s="54"/>
      <c r="BM572" s="402"/>
      <c r="BN572" s="402"/>
      <c r="BR572" s="402"/>
      <c r="BS572" s="402"/>
      <c r="DZ572" s="33">
        <v>1.24E-2</v>
      </c>
      <c r="EA572" s="33">
        <v>9.6500000000000002E-2</v>
      </c>
      <c r="ED572" s="33" t="s">
        <v>447</v>
      </c>
      <c r="EJ572" s="33">
        <v>0</v>
      </c>
      <c r="EK572" s="33">
        <f>0.16/2.9*100</f>
        <v>5.5172413793103452</v>
      </c>
      <c r="EN572" s="33" t="s">
        <v>446</v>
      </c>
      <c r="EY572" s="33">
        <v>0.22539999999999999</v>
      </c>
      <c r="EZ572" s="33">
        <v>0.2137</v>
      </c>
      <c r="FC572" s="33" t="s">
        <v>445</v>
      </c>
      <c r="GM572" s="12"/>
      <c r="GQ572" s="12"/>
      <c r="IO572" s="33" t="s">
        <v>716</v>
      </c>
    </row>
    <row r="573" spans="1:250" s="33" customFormat="1" x14ac:dyDescent="0.25">
      <c r="A573" s="33">
        <v>30</v>
      </c>
      <c r="B573" s="33" t="s">
        <v>438</v>
      </c>
      <c r="C573" s="33" t="s">
        <v>439</v>
      </c>
      <c r="D573" s="33">
        <v>2002</v>
      </c>
      <c r="E573" s="33">
        <v>1999</v>
      </c>
      <c r="F573" s="33" t="s">
        <v>440</v>
      </c>
      <c r="G573" s="33" t="s">
        <v>441</v>
      </c>
      <c r="H573" s="32" t="s">
        <v>2831</v>
      </c>
      <c r="I573" s="33">
        <f t="shared" si="193"/>
        <v>38.533333333333331</v>
      </c>
      <c r="J573" s="33">
        <f t="shared" si="194"/>
        <v>-121.78333333333333</v>
      </c>
      <c r="K573" s="33">
        <v>18.399999999999999</v>
      </c>
      <c r="O573" s="33">
        <v>483</v>
      </c>
      <c r="Q573" s="47">
        <v>3</v>
      </c>
      <c r="R573" s="47" t="s">
        <v>1867</v>
      </c>
      <c r="S573" s="47"/>
      <c r="T573" s="47">
        <v>36187</v>
      </c>
      <c r="U573" s="47" t="s">
        <v>1399</v>
      </c>
      <c r="V573" s="47" t="s">
        <v>1730</v>
      </c>
      <c r="W573" s="47" t="s">
        <v>1399</v>
      </c>
      <c r="X573" s="47" t="s">
        <v>1421</v>
      </c>
      <c r="Z573" s="327">
        <v>36</v>
      </c>
      <c r="AA573" s="327">
        <v>46</v>
      </c>
      <c r="AB573" s="33" t="s">
        <v>140</v>
      </c>
      <c r="AF573" s="33" t="s">
        <v>1332</v>
      </c>
      <c r="AG573" s="33" t="s">
        <v>1537</v>
      </c>
      <c r="AH573" s="138" t="s">
        <v>578</v>
      </c>
      <c r="AI573" s="33" t="s">
        <v>1592</v>
      </c>
      <c r="AJ573" s="141" t="s">
        <v>1617</v>
      </c>
      <c r="AK573" s="33" t="s">
        <v>442</v>
      </c>
      <c r="AL573" s="33" t="s">
        <v>442</v>
      </c>
      <c r="AM573" s="33" t="s">
        <v>178</v>
      </c>
      <c r="AQ573" s="33" t="s">
        <v>369</v>
      </c>
      <c r="AR573" s="33" t="s">
        <v>444</v>
      </c>
      <c r="AS573" s="33" t="s">
        <v>503</v>
      </c>
      <c r="AT573" s="33" t="s">
        <v>120</v>
      </c>
      <c r="AU573" s="33">
        <v>4</v>
      </c>
      <c r="AW573" s="33" t="s">
        <v>336</v>
      </c>
      <c r="BA573" s="54"/>
      <c r="BM573" s="402"/>
      <c r="BN573" s="402"/>
      <c r="BR573" s="402"/>
      <c r="BS573" s="402"/>
      <c r="DZ573" s="33">
        <v>1.24E-2</v>
      </c>
      <c r="EA573" s="33">
        <v>7.8600000000000003E-2</v>
      </c>
      <c r="ED573" s="33" t="s">
        <v>447</v>
      </c>
      <c r="EJ573" s="33">
        <v>0</v>
      </c>
      <c r="EK573" s="33">
        <f>0.02/2.9*100</f>
        <v>0.68965517241379315</v>
      </c>
      <c r="EN573" s="33" t="s">
        <v>446</v>
      </c>
      <c r="EY573" s="33">
        <v>0.22539999999999999</v>
      </c>
      <c r="EZ573" s="33">
        <v>0.19919999999999999</v>
      </c>
      <c r="FC573" s="33" t="s">
        <v>445</v>
      </c>
      <c r="GM573" s="12"/>
      <c r="GQ573" s="12"/>
      <c r="IO573" s="33" t="s">
        <v>716</v>
      </c>
    </row>
    <row r="574" spans="1:250" s="33" customFormat="1" x14ac:dyDescent="0.25">
      <c r="A574" s="33">
        <v>30</v>
      </c>
      <c r="B574" s="33" t="s">
        <v>438</v>
      </c>
      <c r="C574" s="33" t="s">
        <v>439</v>
      </c>
      <c r="D574" s="33">
        <v>2002</v>
      </c>
      <c r="E574" s="33">
        <v>1999</v>
      </c>
      <c r="F574" s="33" t="s">
        <v>440</v>
      </c>
      <c r="G574" s="33" t="s">
        <v>441</v>
      </c>
      <c r="H574" s="32" t="s">
        <v>2831</v>
      </c>
      <c r="I574" s="33">
        <f t="shared" si="193"/>
        <v>38.533333333333331</v>
      </c>
      <c r="J574" s="33">
        <f t="shared" si="194"/>
        <v>-121.78333333333333</v>
      </c>
      <c r="K574" s="33">
        <v>18.399999999999999</v>
      </c>
      <c r="O574" s="33">
        <v>483</v>
      </c>
      <c r="Q574" s="47">
        <v>3</v>
      </c>
      <c r="R574" s="47" t="s">
        <v>1867</v>
      </c>
      <c r="S574" s="47"/>
      <c r="T574" s="47">
        <v>36198</v>
      </c>
      <c r="U574" s="47" t="s">
        <v>1399</v>
      </c>
      <c r="V574" s="47" t="s">
        <v>1730</v>
      </c>
      <c r="W574" s="47" t="s">
        <v>1399</v>
      </c>
      <c r="X574" s="47" t="s">
        <v>1421</v>
      </c>
      <c r="Z574" s="327">
        <v>36</v>
      </c>
      <c r="AA574" s="327">
        <v>46</v>
      </c>
      <c r="AB574" s="33" t="s">
        <v>140</v>
      </c>
      <c r="AF574" s="33" t="s">
        <v>1332</v>
      </c>
      <c r="AG574" s="33" t="s">
        <v>1537</v>
      </c>
      <c r="AH574" s="138" t="s">
        <v>578</v>
      </c>
      <c r="AI574" s="33" t="s">
        <v>1592</v>
      </c>
      <c r="AJ574" s="141" t="s">
        <v>1617</v>
      </c>
      <c r="AK574" s="33" t="s">
        <v>442</v>
      </c>
      <c r="AL574" s="33" t="s">
        <v>442</v>
      </c>
      <c r="AM574" s="33" t="s">
        <v>178</v>
      </c>
      <c r="AQ574" s="33" t="s">
        <v>369</v>
      </c>
      <c r="AR574" s="33" t="s">
        <v>443</v>
      </c>
      <c r="AS574" s="33" t="s">
        <v>503</v>
      </c>
      <c r="AT574" s="33" t="s">
        <v>120</v>
      </c>
      <c r="AU574" s="33">
        <v>4</v>
      </c>
      <c r="AW574" s="33" t="s">
        <v>336</v>
      </c>
      <c r="BA574" s="54"/>
      <c r="BM574" s="402"/>
      <c r="BN574" s="402"/>
      <c r="BR574" s="402"/>
      <c r="BS574" s="402"/>
      <c r="DZ574" s="33">
        <v>1.2999999999999999E-2</v>
      </c>
      <c r="EA574" s="33">
        <v>6.9000000000000006E-2</v>
      </c>
      <c r="ED574" s="33" t="s">
        <v>447</v>
      </c>
      <c r="EJ574" s="33">
        <f>2.22/17.1*100</f>
        <v>12.982456140350877</v>
      </c>
      <c r="EK574" s="33">
        <f>1.68/17.1*100</f>
        <v>9.8245614035087705</v>
      </c>
      <c r="EN574" s="33" t="s">
        <v>446</v>
      </c>
      <c r="EY574" s="33">
        <v>0.26869999999999999</v>
      </c>
      <c r="EZ574" s="33">
        <v>0.28589999999999999</v>
      </c>
      <c r="FC574" s="33" t="s">
        <v>445</v>
      </c>
      <c r="GM574" s="12"/>
      <c r="GQ574" s="12"/>
      <c r="IO574" s="33" t="s">
        <v>716</v>
      </c>
    </row>
    <row r="575" spans="1:250" s="33" customFormat="1" x14ac:dyDescent="0.25">
      <c r="A575" s="33">
        <v>30</v>
      </c>
      <c r="B575" s="33" t="s">
        <v>438</v>
      </c>
      <c r="C575" s="33" t="s">
        <v>439</v>
      </c>
      <c r="D575" s="33">
        <v>2002</v>
      </c>
      <c r="E575" s="33">
        <v>1999</v>
      </c>
      <c r="F575" s="33" t="s">
        <v>440</v>
      </c>
      <c r="G575" s="33" t="s">
        <v>441</v>
      </c>
      <c r="H575" s="32" t="s">
        <v>2831</v>
      </c>
      <c r="I575" s="33">
        <f t="shared" si="193"/>
        <v>38.533333333333331</v>
      </c>
      <c r="J575" s="33">
        <f t="shared" si="194"/>
        <v>-121.78333333333333</v>
      </c>
      <c r="K575" s="33">
        <v>18.399999999999999</v>
      </c>
      <c r="O575" s="33">
        <v>483</v>
      </c>
      <c r="Q575" s="47">
        <v>3</v>
      </c>
      <c r="R575" s="47" t="s">
        <v>1867</v>
      </c>
      <c r="S575" s="47"/>
      <c r="T575" s="47">
        <v>36198</v>
      </c>
      <c r="U575" s="47" t="s">
        <v>1399</v>
      </c>
      <c r="V575" s="47" t="s">
        <v>1730</v>
      </c>
      <c r="W575" s="47" t="s">
        <v>1399</v>
      </c>
      <c r="X575" s="47" t="s">
        <v>1421</v>
      </c>
      <c r="Z575" s="327">
        <v>36</v>
      </c>
      <c r="AA575" s="327">
        <v>46</v>
      </c>
      <c r="AB575" s="33" t="s">
        <v>140</v>
      </c>
      <c r="AF575" s="33" t="s">
        <v>1332</v>
      </c>
      <c r="AG575" s="33" t="s">
        <v>1537</v>
      </c>
      <c r="AH575" s="138" t="s">
        <v>578</v>
      </c>
      <c r="AI575" s="33" t="s">
        <v>1592</v>
      </c>
      <c r="AJ575" s="141" t="s">
        <v>1617</v>
      </c>
      <c r="AK575" s="33" t="s">
        <v>442</v>
      </c>
      <c r="AL575" s="33" t="s">
        <v>442</v>
      </c>
      <c r="AM575" s="33" t="s">
        <v>178</v>
      </c>
      <c r="AQ575" s="33" t="s">
        <v>369</v>
      </c>
      <c r="AR575" s="33" t="s">
        <v>444</v>
      </c>
      <c r="AS575" s="33" t="s">
        <v>503</v>
      </c>
      <c r="AT575" s="33" t="s">
        <v>120</v>
      </c>
      <c r="AU575" s="33">
        <v>4</v>
      </c>
      <c r="AW575" s="33" t="s">
        <v>336</v>
      </c>
      <c r="BA575" s="54"/>
      <c r="BM575" s="402"/>
      <c r="BN575" s="402"/>
      <c r="BR575" s="402"/>
      <c r="BS575" s="402"/>
      <c r="DZ575" s="33">
        <v>1.2999999999999999E-2</v>
      </c>
      <c r="EA575" s="33">
        <v>7.8E-2</v>
      </c>
      <c r="ED575" s="33" t="s">
        <v>447</v>
      </c>
      <c r="EJ575" s="33">
        <f>2.22/17.1*100</f>
        <v>12.982456140350877</v>
      </c>
      <c r="EK575" s="33">
        <f>1.39/17.1*100</f>
        <v>8.1286549707602322</v>
      </c>
      <c r="EN575" s="33" t="s">
        <v>446</v>
      </c>
      <c r="EY575" s="33">
        <v>0.26869999999999999</v>
      </c>
      <c r="EZ575" s="33">
        <v>0.28589999999999999</v>
      </c>
      <c r="FC575" s="33" t="s">
        <v>445</v>
      </c>
      <c r="GM575" s="12"/>
      <c r="GQ575" s="12"/>
      <c r="IO575" s="33" t="s">
        <v>716</v>
      </c>
    </row>
    <row r="576" spans="1:250" s="33" customFormat="1" x14ac:dyDescent="0.25">
      <c r="A576" s="33">
        <v>30</v>
      </c>
      <c r="B576" s="33" t="s">
        <v>438</v>
      </c>
      <c r="C576" s="33" t="s">
        <v>439</v>
      </c>
      <c r="D576" s="33">
        <v>2002</v>
      </c>
      <c r="E576" s="33">
        <v>1999</v>
      </c>
      <c r="F576" s="33" t="s">
        <v>440</v>
      </c>
      <c r="G576" s="33" t="s">
        <v>441</v>
      </c>
      <c r="H576" s="32" t="s">
        <v>2831</v>
      </c>
      <c r="I576" s="33">
        <f t="shared" si="193"/>
        <v>38.533333333333331</v>
      </c>
      <c r="J576" s="33">
        <f t="shared" si="194"/>
        <v>-121.78333333333333</v>
      </c>
      <c r="K576" s="33">
        <v>18.399999999999999</v>
      </c>
      <c r="O576" s="33">
        <v>483</v>
      </c>
      <c r="Q576" s="47">
        <v>3</v>
      </c>
      <c r="R576" s="47" t="s">
        <v>1867</v>
      </c>
      <c r="S576" s="47"/>
      <c r="T576" s="47">
        <v>36232</v>
      </c>
      <c r="U576" s="47" t="s">
        <v>1399</v>
      </c>
      <c r="V576" s="47" t="s">
        <v>1730</v>
      </c>
      <c r="W576" s="47" t="s">
        <v>1399</v>
      </c>
      <c r="X576" s="47" t="s">
        <v>1421</v>
      </c>
      <c r="Z576" s="327">
        <v>36</v>
      </c>
      <c r="AA576" s="327">
        <v>46</v>
      </c>
      <c r="AB576" s="33" t="s">
        <v>140</v>
      </c>
      <c r="AF576" s="33" t="s">
        <v>1332</v>
      </c>
      <c r="AG576" s="33" t="s">
        <v>1537</v>
      </c>
      <c r="AH576" s="138" t="s">
        <v>578</v>
      </c>
      <c r="AI576" s="33" t="s">
        <v>1592</v>
      </c>
      <c r="AJ576" s="141" t="s">
        <v>1617</v>
      </c>
      <c r="AK576" s="33" t="s">
        <v>442</v>
      </c>
      <c r="AL576" s="33" t="s">
        <v>442</v>
      </c>
      <c r="AM576" s="33" t="s">
        <v>178</v>
      </c>
      <c r="AQ576" s="33" t="s">
        <v>369</v>
      </c>
      <c r="AR576" s="33" t="s">
        <v>443</v>
      </c>
      <c r="AS576" s="33" t="s">
        <v>503</v>
      </c>
      <c r="AT576" s="33" t="s">
        <v>120</v>
      </c>
      <c r="AU576" s="33">
        <v>4</v>
      </c>
      <c r="AW576" s="33" t="s">
        <v>336</v>
      </c>
      <c r="BA576" s="54"/>
      <c r="BM576" s="402"/>
      <c r="BN576" s="402"/>
      <c r="BR576" s="402"/>
      <c r="BS576" s="402"/>
      <c r="DZ576" s="33">
        <v>4.7999999999999996E-3</v>
      </c>
      <c r="EA576" s="33">
        <v>6.9000000000000006E-2</v>
      </c>
      <c r="ED576" s="33" t="s">
        <v>447</v>
      </c>
      <c r="EJ576" s="33">
        <f>3.41/14.3*100</f>
        <v>23.846153846153843</v>
      </c>
      <c r="EK576" s="33">
        <f>0.21/14.3*100</f>
        <v>1.4685314685314685</v>
      </c>
      <c r="EN576" s="33" t="s">
        <v>446</v>
      </c>
      <c r="EY576" s="33">
        <v>0.25319999999999998</v>
      </c>
      <c r="EZ576" s="33">
        <v>0.25869999999999999</v>
      </c>
      <c r="FC576" s="33" t="s">
        <v>445</v>
      </c>
      <c r="GM576" s="12"/>
      <c r="GQ576" s="12"/>
      <c r="IO576" s="33" t="s">
        <v>716</v>
      </c>
    </row>
    <row r="577" spans="1:249" s="33" customFormat="1" x14ac:dyDescent="0.25">
      <c r="A577" s="33">
        <v>30</v>
      </c>
      <c r="B577" s="33" t="s">
        <v>438</v>
      </c>
      <c r="C577" s="33" t="s">
        <v>439</v>
      </c>
      <c r="D577" s="33">
        <v>2002</v>
      </c>
      <c r="E577" s="33">
        <v>1999</v>
      </c>
      <c r="F577" s="33" t="s">
        <v>440</v>
      </c>
      <c r="G577" s="33" t="s">
        <v>441</v>
      </c>
      <c r="H577" s="32" t="s">
        <v>2831</v>
      </c>
      <c r="I577" s="33">
        <f t="shared" si="193"/>
        <v>38.533333333333331</v>
      </c>
      <c r="J577" s="33">
        <f t="shared" si="194"/>
        <v>-121.78333333333333</v>
      </c>
      <c r="K577" s="33">
        <v>18.399999999999999</v>
      </c>
      <c r="O577" s="33">
        <v>483</v>
      </c>
      <c r="Q577" s="47">
        <v>3</v>
      </c>
      <c r="R577" s="47" t="s">
        <v>1867</v>
      </c>
      <c r="S577" s="47"/>
      <c r="T577" s="47">
        <v>36232</v>
      </c>
      <c r="U577" s="47" t="s">
        <v>1399</v>
      </c>
      <c r="V577" s="47" t="s">
        <v>1730</v>
      </c>
      <c r="W577" s="47" t="s">
        <v>1399</v>
      </c>
      <c r="X577" s="47" t="s">
        <v>1421</v>
      </c>
      <c r="Z577" s="327">
        <v>36</v>
      </c>
      <c r="AA577" s="327">
        <v>46</v>
      </c>
      <c r="AB577" s="33" t="s">
        <v>140</v>
      </c>
      <c r="AF577" s="33" t="s">
        <v>1332</v>
      </c>
      <c r="AG577" s="33" t="s">
        <v>1537</v>
      </c>
      <c r="AH577" s="138" t="s">
        <v>578</v>
      </c>
      <c r="AI577" s="33" t="s">
        <v>1592</v>
      </c>
      <c r="AJ577" s="141" t="s">
        <v>1617</v>
      </c>
      <c r="AK577" s="33" t="s">
        <v>442</v>
      </c>
      <c r="AL577" s="33" t="s">
        <v>442</v>
      </c>
      <c r="AM577" s="33" t="s">
        <v>178</v>
      </c>
      <c r="AQ577" s="33" t="s">
        <v>369</v>
      </c>
      <c r="AR577" s="33" t="s">
        <v>444</v>
      </c>
      <c r="AS577" s="33" t="s">
        <v>503</v>
      </c>
      <c r="AT577" s="33" t="s">
        <v>120</v>
      </c>
      <c r="AU577" s="33">
        <v>4</v>
      </c>
      <c r="AW577" s="33" t="s">
        <v>336</v>
      </c>
      <c r="BA577" s="54"/>
      <c r="BM577" s="402"/>
      <c r="BN577" s="402"/>
      <c r="BR577" s="402"/>
      <c r="BS577" s="402"/>
      <c r="DZ577" s="33">
        <v>4.7999999999999996E-3</v>
      </c>
      <c r="EA577" s="33">
        <v>7.8E-2</v>
      </c>
      <c r="ED577" s="33" t="s">
        <v>447</v>
      </c>
      <c r="EJ577" s="33">
        <f>3.41/14.3*100</f>
        <v>23.846153846153843</v>
      </c>
      <c r="EK577" s="33">
        <f>1.01/14.3*100</f>
        <v>7.0629370629370625</v>
      </c>
      <c r="EN577" s="33" t="s">
        <v>446</v>
      </c>
      <c r="EY577" s="33">
        <v>0.25319999999999998</v>
      </c>
      <c r="EZ577" s="33">
        <v>0.25869999999999999</v>
      </c>
      <c r="FC577" s="33" t="s">
        <v>445</v>
      </c>
      <c r="GM577" s="12"/>
      <c r="GQ577" s="12"/>
      <c r="IO577" s="33" t="s">
        <v>716</v>
      </c>
    </row>
    <row r="578" spans="1:249" s="33" customFormat="1" x14ac:dyDescent="0.25">
      <c r="A578" s="33">
        <v>30</v>
      </c>
      <c r="B578" s="33" t="s">
        <v>438</v>
      </c>
      <c r="C578" s="33" t="s">
        <v>439</v>
      </c>
      <c r="D578" s="33">
        <v>2002</v>
      </c>
      <c r="E578" s="33">
        <v>1999</v>
      </c>
      <c r="F578" s="33" t="s">
        <v>440</v>
      </c>
      <c r="G578" s="33" t="s">
        <v>441</v>
      </c>
      <c r="H578" s="32" t="s">
        <v>2831</v>
      </c>
      <c r="I578" s="33">
        <f t="shared" si="193"/>
        <v>38.533333333333331</v>
      </c>
      <c r="J578" s="33">
        <f t="shared" si="194"/>
        <v>-121.78333333333333</v>
      </c>
      <c r="K578" s="33">
        <v>18.399999999999999</v>
      </c>
      <c r="O578" s="33">
        <v>483</v>
      </c>
      <c r="Q578" s="47">
        <v>3</v>
      </c>
      <c r="R578" s="47" t="s">
        <v>1867</v>
      </c>
      <c r="S578" s="47"/>
      <c r="T578" s="47">
        <v>36234</v>
      </c>
      <c r="U578" s="47" t="s">
        <v>1399</v>
      </c>
      <c r="V578" s="47" t="s">
        <v>1730</v>
      </c>
      <c r="W578" s="47" t="s">
        <v>1399</v>
      </c>
      <c r="X578" s="47" t="s">
        <v>1421</v>
      </c>
      <c r="Z578" s="327">
        <v>36</v>
      </c>
      <c r="AA578" s="327">
        <v>46</v>
      </c>
      <c r="AB578" s="33" t="s">
        <v>140</v>
      </c>
      <c r="AF578" s="33" t="s">
        <v>1332</v>
      </c>
      <c r="AG578" s="33" t="s">
        <v>1537</v>
      </c>
      <c r="AH578" s="138" t="s">
        <v>578</v>
      </c>
      <c r="AI578" s="33" t="s">
        <v>1592</v>
      </c>
      <c r="AJ578" s="141" t="s">
        <v>1617</v>
      </c>
      <c r="AK578" s="33" t="s">
        <v>442</v>
      </c>
      <c r="AL578" s="33" t="s">
        <v>442</v>
      </c>
      <c r="AM578" s="33" t="s">
        <v>178</v>
      </c>
      <c r="AQ578" s="33" t="s">
        <v>369</v>
      </c>
      <c r="AR578" s="33" t="s">
        <v>443</v>
      </c>
      <c r="AS578" s="33" t="s">
        <v>503</v>
      </c>
      <c r="AT578" s="33" t="s">
        <v>120</v>
      </c>
      <c r="AU578" s="33">
        <v>4</v>
      </c>
      <c r="AW578" s="33" t="s">
        <v>336</v>
      </c>
      <c r="BA578" s="54"/>
      <c r="BM578" s="402"/>
      <c r="BN578" s="402"/>
      <c r="BR578" s="402"/>
      <c r="BS578" s="402"/>
      <c r="DZ578" s="33">
        <v>3.7000000000000002E-3</v>
      </c>
      <c r="EA578" s="33">
        <v>6.3E-2</v>
      </c>
      <c r="ED578" s="33" t="s">
        <v>447</v>
      </c>
      <c r="EJ578" s="33">
        <v>0</v>
      </c>
      <c r="EK578" s="33">
        <v>0</v>
      </c>
      <c r="EN578" s="33" t="s">
        <v>446</v>
      </c>
      <c r="EY578" s="33">
        <v>0.246</v>
      </c>
      <c r="EZ578" s="33">
        <v>0.24779999999999999</v>
      </c>
      <c r="FC578" s="33" t="s">
        <v>445</v>
      </c>
      <c r="GM578" s="12"/>
      <c r="GQ578" s="12"/>
      <c r="IO578" s="33" t="s">
        <v>716</v>
      </c>
    </row>
    <row r="579" spans="1:249" s="33" customFormat="1" x14ac:dyDescent="0.25">
      <c r="A579" s="33">
        <v>30</v>
      </c>
      <c r="B579" s="33" t="s">
        <v>438</v>
      </c>
      <c r="C579" s="33" t="s">
        <v>439</v>
      </c>
      <c r="D579" s="33">
        <v>2002</v>
      </c>
      <c r="E579" s="33">
        <v>1999</v>
      </c>
      <c r="F579" s="33" t="s">
        <v>440</v>
      </c>
      <c r="G579" s="33" t="s">
        <v>441</v>
      </c>
      <c r="H579" s="32" t="s">
        <v>2831</v>
      </c>
      <c r="I579" s="33">
        <f t="shared" si="193"/>
        <v>38.533333333333331</v>
      </c>
      <c r="J579" s="33">
        <f t="shared" si="194"/>
        <v>-121.78333333333333</v>
      </c>
      <c r="K579" s="33">
        <v>18.399999999999999</v>
      </c>
      <c r="O579" s="33">
        <v>483</v>
      </c>
      <c r="Q579" s="47">
        <v>3</v>
      </c>
      <c r="R579" s="47" t="s">
        <v>1867</v>
      </c>
      <c r="S579" s="47"/>
      <c r="T579" s="47">
        <v>36234</v>
      </c>
      <c r="U579" s="47" t="s">
        <v>1399</v>
      </c>
      <c r="V579" s="47" t="s">
        <v>1730</v>
      </c>
      <c r="W579" s="47" t="s">
        <v>1399</v>
      </c>
      <c r="X579" s="47" t="s">
        <v>1421</v>
      </c>
      <c r="Z579" s="327">
        <v>36</v>
      </c>
      <c r="AA579" s="327">
        <v>46</v>
      </c>
      <c r="AB579" s="33" t="s">
        <v>140</v>
      </c>
      <c r="AF579" s="33" t="s">
        <v>1332</v>
      </c>
      <c r="AG579" s="33" t="s">
        <v>1537</v>
      </c>
      <c r="AH579" s="138" t="s">
        <v>578</v>
      </c>
      <c r="AI579" s="33" t="s">
        <v>1592</v>
      </c>
      <c r="AJ579" s="141" t="s">
        <v>1617</v>
      </c>
      <c r="AK579" s="33" t="s">
        <v>442</v>
      </c>
      <c r="AL579" s="33" t="s">
        <v>442</v>
      </c>
      <c r="AM579" s="33" t="s">
        <v>178</v>
      </c>
      <c r="AQ579" s="33" t="s">
        <v>369</v>
      </c>
      <c r="AR579" s="33" t="s">
        <v>444</v>
      </c>
      <c r="AS579" s="33" t="s">
        <v>503</v>
      </c>
      <c r="AT579" s="33" t="s">
        <v>120</v>
      </c>
      <c r="AU579" s="33">
        <v>4</v>
      </c>
      <c r="AW579" s="33" t="s">
        <v>336</v>
      </c>
      <c r="BA579" s="54"/>
      <c r="BM579" s="402"/>
      <c r="BN579" s="402"/>
      <c r="BR579" s="402"/>
      <c r="BS579" s="402"/>
      <c r="DZ579" s="33">
        <v>3.7000000000000002E-3</v>
      </c>
      <c r="EA579" s="33">
        <v>7.6999999999999999E-2</v>
      </c>
      <c r="ED579" s="33" t="s">
        <v>447</v>
      </c>
      <c r="EJ579" s="33">
        <v>0</v>
      </c>
      <c r="EK579" s="33">
        <v>0</v>
      </c>
      <c r="EN579" s="33" t="s">
        <v>446</v>
      </c>
      <c r="EY579" s="33">
        <v>0.246</v>
      </c>
      <c r="EZ579" s="33">
        <v>0.24779999999999999</v>
      </c>
      <c r="FC579" s="33" t="s">
        <v>445</v>
      </c>
      <c r="GM579" s="12"/>
      <c r="GQ579" s="12"/>
      <c r="IO579" s="33" t="s">
        <v>716</v>
      </c>
    </row>
    <row r="580" spans="1:249" s="33" customFormat="1" x14ac:dyDescent="0.25">
      <c r="A580" s="33">
        <v>30</v>
      </c>
      <c r="B580" s="33" t="s">
        <v>438</v>
      </c>
      <c r="C580" s="33" t="s">
        <v>439</v>
      </c>
      <c r="D580" s="33">
        <v>2002</v>
      </c>
      <c r="E580" s="33">
        <v>1999</v>
      </c>
      <c r="F580" s="33" t="s">
        <v>440</v>
      </c>
      <c r="G580" s="33" t="s">
        <v>441</v>
      </c>
      <c r="H580" s="32" t="s">
        <v>2831</v>
      </c>
      <c r="I580" s="33">
        <f t="shared" si="193"/>
        <v>38.533333333333331</v>
      </c>
      <c r="J580" s="33">
        <f t="shared" si="194"/>
        <v>-121.78333333333333</v>
      </c>
      <c r="K580" s="33">
        <v>18.399999999999999</v>
      </c>
      <c r="O580" s="33">
        <v>483</v>
      </c>
      <c r="Q580" s="47">
        <v>3</v>
      </c>
      <c r="R580" s="47" t="s">
        <v>1867</v>
      </c>
      <c r="S580" s="47"/>
      <c r="T580" s="47">
        <v>36514</v>
      </c>
      <c r="U580" s="47" t="s">
        <v>1399</v>
      </c>
      <c r="V580" s="47" t="s">
        <v>1730</v>
      </c>
      <c r="W580" s="47" t="s">
        <v>1399</v>
      </c>
      <c r="X580" s="47" t="s">
        <v>1421</v>
      </c>
      <c r="Z580" s="327">
        <v>36</v>
      </c>
      <c r="AA580" s="327">
        <v>46</v>
      </c>
      <c r="AB580" s="33" t="s">
        <v>140</v>
      </c>
      <c r="AF580" s="33" t="s">
        <v>1332</v>
      </c>
      <c r="AG580" s="33" t="s">
        <v>1537</v>
      </c>
      <c r="AH580" s="138" t="s">
        <v>578</v>
      </c>
      <c r="AI580" s="33" t="s">
        <v>1592</v>
      </c>
      <c r="AJ580" s="141" t="s">
        <v>1617</v>
      </c>
      <c r="AK580" s="33" t="s">
        <v>442</v>
      </c>
      <c r="AL580" s="33" t="s">
        <v>442</v>
      </c>
      <c r="AM580" s="33" t="s">
        <v>178</v>
      </c>
      <c r="AQ580" s="33" t="s">
        <v>369</v>
      </c>
      <c r="AR580" s="33" t="s">
        <v>443</v>
      </c>
      <c r="AS580" s="33" t="s">
        <v>503</v>
      </c>
      <c r="AT580" s="33" t="s">
        <v>120</v>
      </c>
      <c r="AU580" s="33">
        <v>4</v>
      </c>
      <c r="AW580" s="33" t="s">
        <v>336</v>
      </c>
      <c r="BA580" s="54"/>
      <c r="BM580" s="402"/>
      <c r="BN580" s="402"/>
      <c r="BR580" s="402"/>
      <c r="BS580" s="402"/>
      <c r="DZ580" s="33">
        <v>3.3999999999999998E-3</v>
      </c>
      <c r="EA580" s="33">
        <v>5.5E-2</v>
      </c>
      <c r="ED580" s="33" t="s">
        <v>447</v>
      </c>
      <c r="EJ580" s="33">
        <f>0.32/3*100</f>
        <v>10.666666666666668</v>
      </c>
      <c r="EK580" s="33">
        <f>0.02/3*100</f>
        <v>0.66666666666666674</v>
      </c>
      <c r="EN580" s="33" t="s">
        <v>446</v>
      </c>
      <c r="EY580" s="33">
        <v>0.1182</v>
      </c>
      <c r="EZ580" s="33">
        <v>0.12089999999999999</v>
      </c>
      <c r="FC580" s="33" t="s">
        <v>445</v>
      </c>
      <c r="GM580" s="12"/>
      <c r="GQ580" s="12"/>
      <c r="IO580" s="33" t="s">
        <v>716</v>
      </c>
    </row>
    <row r="581" spans="1:249" s="33" customFormat="1" x14ac:dyDescent="0.25">
      <c r="A581" s="33">
        <v>30</v>
      </c>
      <c r="B581" s="33" t="s">
        <v>438</v>
      </c>
      <c r="C581" s="33" t="s">
        <v>439</v>
      </c>
      <c r="D581" s="33">
        <v>2002</v>
      </c>
      <c r="E581" s="33">
        <v>1999</v>
      </c>
      <c r="F581" s="33" t="s">
        <v>440</v>
      </c>
      <c r="G581" s="33" t="s">
        <v>441</v>
      </c>
      <c r="H581" s="32" t="s">
        <v>2831</v>
      </c>
      <c r="I581" s="33">
        <f t="shared" si="193"/>
        <v>38.533333333333331</v>
      </c>
      <c r="J581" s="33">
        <f t="shared" si="194"/>
        <v>-121.78333333333333</v>
      </c>
      <c r="K581" s="33">
        <v>18.399999999999999</v>
      </c>
      <c r="O581" s="33">
        <v>483</v>
      </c>
      <c r="Q581" s="47">
        <v>3</v>
      </c>
      <c r="R581" s="47" t="s">
        <v>1867</v>
      </c>
      <c r="S581" s="47"/>
      <c r="T581" s="47">
        <v>36514</v>
      </c>
      <c r="U581" s="47" t="s">
        <v>1399</v>
      </c>
      <c r="V581" s="47" t="s">
        <v>1730</v>
      </c>
      <c r="W581" s="47" t="s">
        <v>1399</v>
      </c>
      <c r="X581" s="47" t="s">
        <v>1421</v>
      </c>
      <c r="Z581" s="327">
        <v>36</v>
      </c>
      <c r="AA581" s="327">
        <v>46</v>
      </c>
      <c r="AB581" s="33" t="s">
        <v>140</v>
      </c>
      <c r="AF581" s="33" t="s">
        <v>1332</v>
      </c>
      <c r="AG581" s="33" t="s">
        <v>1537</v>
      </c>
      <c r="AH581" s="138" t="s">
        <v>578</v>
      </c>
      <c r="AI581" s="33" t="s">
        <v>1592</v>
      </c>
      <c r="AJ581" s="141" t="s">
        <v>1617</v>
      </c>
      <c r="AK581" s="33" t="s">
        <v>442</v>
      </c>
      <c r="AL581" s="33" t="s">
        <v>442</v>
      </c>
      <c r="AM581" s="33" t="s">
        <v>178</v>
      </c>
      <c r="AQ581" s="33" t="s">
        <v>369</v>
      </c>
      <c r="AR581" s="33" t="s">
        <v>444</v>
      </c>
      <c r="AS581" s="33" t="s">
        <v>503</v>
      </c>
      <c r="AT581" s="33" t="s">
        <v>120</v>
      </c>
      <c r="AU581" s="33">
        <v>4</v>
      </c>
      <c r="AW581" s="33" t="s">
        <v>336</v>
      </c>
      <c r="BA581" s="54"/>
      <c r="BM581" s="402"/>
      <c r="BN581" s="402"/>
      <c r="BR581" s="402"/>
      <c r="BS581" s="402"/>
      <c r="DZ581" s="33">
        <v>3.3999999999999998E-3</v>
      </c>
      <c r="EA581" s="33">
        <v>6.6000000000000003E-2</v>
      </c>
      <c r="ED581" s="33" t="s">
        <v>447</v>
      </c>
      <c r="EJ581" s="33">
        <f>0.32/3*100</f>
        <v>10.666666666666668</v>
      </c>
      <c r="EK581" s="33">
        <f>0.13/3*100</f>
        <v>4.3333333333333339</v>
      </c>
      <c r="EN581" s="33" t="s">
        <v>446</v>
      </c>
      <c r="EY581" s="33">
        <v>0.1182</v>
      </c>
      <c r="EZ581" s="33">
        <v>0.12089999999999999</v>
      </c>
      <c r="FC581" s="33" t="s">
        <v>445</v>
      </c>
      <c r="GM581" s="12"/>
      <c r="GQ581" s="12"/>
      <c r="IO581" s="33" t="s">
        <v>716</v>
      </c>
    </row>
    <row r="582" spans="1:249" s="33" customFormat="1" x14ac:dyDescent="0.25">
      <c r="A582" s="33">
        <v>30</v>
      </c>
      <c r="B582" s="33" t="s">
        <v>438</v>
      </c>
      <c r="C582" s="33" t="s">
        <v>439</v>
      </c>
      <c r="D582" s="33">
        <v>2002</v>
      </c>
      <c r="E582" s="33">
        <v>2000</v>
      </c>
      <c r="F582" s="33" t="s">
        <v>440</v>
      </c>
      <c r="G582" s="33" t="s">
        <v>441</v>
      </c>
      <c r="H582" s="32" t="s">
        <v>2831</v>
      </c>
      <c r="I582" s="33">
        <f t="shared" si="193"/>
        <v>38.533333333333331</v>
      </c>
      <c r="J582" s="33">
        <f t="shared" si="194"/>
        <v>-121.78333333333333</v>
      </c>
      <c r="K582" s="33">
        <v>18.399999999999999</v>
      </c>
      <c r="O582" s="33">
        <v>483</v>
      </c>
      <c r="Q582" s="47">
        <v>4</v>
      </c>
      <c r="R582" s="47" t="s">
        <v>1867</v>
      </c>
      <c r="S582" s="47"/>
      <c r="T582" s="47">
        <v>36535</v>
      </c>
      <c r="U582" s="47" t="s">
        <v>1399</v>
      </c>
      <c r="V582" s="47" t="s">
        <v>1730</v>
      </c>
      <c r="W582" s="47" t="s">
        <v>1399</v>
      </c>
      <c r="X582" s="47" t="s">
        <v>1421</v>
      </c>
      <c r="Z582" s="327">
        <v>36</v>
      </c>
      <c r="AA582" s="327">
        <v>46</v>
      </c>
      <c r="AB582" s="33" t="s">
        <v>140</v>
      </c>
      <c r="AF582" s="33" t="s">
        <v>1332</v>
      </c>
      <c r="AG582" s="33" t="s">
        <v>1537</v>
      </c>
      <c r="AH582" s="138" t="s">
        <v>578</v>
      </c>
      <c r="AI582" s="33" t="s">
        <v>1592</v>
      </c>
      <c r="AJ582" s="141" t="s">
        <v>1617</v>
      </c>
      <c r="AK582" s="33" t="s">
        <v>442</v>
      </c>
      <c r="AL582" s="33" t="s">
        <v>442</v>
      </c>
      <c r="AM582" s="33" t="s">
        <v>178</v>
      </c>
      <c r="AQ582" s="33" t="s">
        <v>369</v>
      </c>
      <c r="AR582" s="33" t="s">
        <v>443</v>
      </c>
      <c r="AS582" s="33" t="s">
        <v>503</v>
      </c>
      <c r="AT582" s="33" t="s">
        <v>120</v>
      </c>
      <c r="AU582" s="33">
        <v>4</v>
      </c>
      <c r="AW582" s="33" t="s">
        <v>336</v>
      </c>
      <c r="BA582" s="54"/>
      <c r="BM582" s="402"/>
      <c r="BN582" s="402"/>
      <c r="BR582" s="402"/>
      <c r="BS582" s="402"/>
      <c r="DZ582" s="33">
        <v>3.3E-3</v>
      </c>
      <c r="EA582" s="33">
        <v>5.3999999999999999E-2</v>
      </c>
      <c r="ED582" s="33" t="s">
        <v>447</v>
      </c>
      <c r="EJ582" s="33">
        <f>0.15/7.1*100</f>
        <v>2.112676056338028</v>
      </c>
      <c r="EK582" s="33">
        <f>0.18/7.1*100</f>
        <v>2.535211267605634</v>
      </c>
      <c r="EN582" s="33" t="s">
        <v>446</v>
      </c>
      <c r="EY582" s="33">
        <v>0.11169999999999999</v>
      </c>
      <c r="EZ582" s="33">
        <v>0.1163</v>
      </c>
      <c r="FC582" s="33" t="s">
        <v>445</v>
      </c>
      <c r="GM582" s="12"/>
      <c r="GQ582" s="12"/>
      <c r="IO582" s="33" t="s">
        <v>716</v>
      </c>
    </row>
    <row r="583" spans="1:249" s="33" customFormat="1" x14ac:dyDescent="0.25">
      <c r="A583" s="33">
        <v>30</v>
      </c>
      <c r="B583" s="33" t="s">
        <v>438</v>
      </c>
      <c r="C583" s="33" t="s">
        <v>439</v>
      </c>
      <c r="D583" s="33">
        <v>2002</v>
      </c>
      <c r="E583" s="33">
        <v>2000</v>
      </c>
      <c r="F583" s="33" t="s">
        <v>440</v>
      </c>
      <c r="G583" s="33" t="s">
        <v>441</v>
      </c>
      <c r="H583" s="32" t="s">
        <v>2831</v>
      </c>
      <c r="I583" s="33">
        <f t="shared" si="193"/>
        <v>38.533333333333331</v>
      </c>
      <c r="J583" s="33">
        <f t="shared" si="194"/>
        <v>-121.78333333333333</v>
      </c>
      <c r="K583" s="33">
        <v>18.399999999999999</v>
      </c>
      <c r="O583" s="33">
        <v>483</v>
      </c>
      <c r="Q583" s="47">
        <v>4</v>
      </c>
      <c r="R583" s="47" t="s">
        <v>1867</v>
      </c>
      <c r="S583" s="47"/>
      <c r="T583" s="47">
        <v>36535</v>
      </c>
      <c r="U583" s="47" t="s">
        <v>1399</v>
      </c>
      <c r="V583" s="47" t="s">
        <v>1730</v>
      </c>
      <c r="W583" s="47" t="s">
        <v>1399</v>
      </c>
      <c r="X583" s="47" t="s">
        <v>1421</v>
      </c>
      <c r="Z583" s="327">
        <v>36</v>
      </c>
      <c r="AA583" s="327">
        <v>46</v>
      </c>
      <c r="AB583" s="33" t="s">
        <v>140</v>
      </c>
      <c r="AF583" s="33" t="s">
        <v>1332</v>
      </c>
      <c r="AG583" s="33" t="s">
        <v>1537</v>
      </c>
      <c r="AH583" s="138" t="s">
        <v>578</v>
      </c>
      <c r="AI583" s="33" t="s">
        <v>1592</v>
      </c>
      <c r="AJ583" s="141" t="s">
        <v>1617</v>
      </c>
      <c r="AK583" s="33" t="s">
        <v>442</v>
      </c>
      <c r="AL583" s="33" t="s">
        <v>442</v>
      </c>
      <c r="AM583" s="33" t="s">
        <v>178</v>
      </c>
      <c r="AQ583" s="33" t="s">
        <v>369</v>
      </c>
      <c r="AR583" s="33" t="s">
        <v>444</v>
      </c>
      <c r="AS583" s="33" t="s">
        <v>503</v>
      </c>
      <c r="AT583" s="33" t="s">
        <v>120</v>
      </c>
      <c r="AU583" s="33">
        <v>4</v>
      </c>
      <c r="AW583" s="33" t="s">
        <v>336</v>
      </c>
      <c r="BA583" s="54"/>
      <c r="BM583" s="402"/>
      <c r="BN583" s="402"/>
      <c r="BR583" s="402"/>
      <c r="BS583" s="402"/>
      <c r="DZ583" s="33">
        <v>3.3E-3</v>
      </c>
      <c r="EA583" s="33">
        <v>6.6000000000000003E-2</v>
      </c>
      <c r="ED583" s="33" t="s">
        <v>447</v>
      </c>
      <c r="EJ583" s="33">
        <f>0.15/7.1*100</f>
        <v>2.112676056338028</v>
      </c>
      <c r="EK583" s="33">
        <f>0.08/7.1*100</f>
        <v>1.1267605633802817</v>
      </c>
      <c r="EN583" s="33" t="s">
        <v>446</v>
      </c>
      <c r="EY583" s="33">
        <v>0.11169999999999999</v>
      </c>
      <c r="EZ583" s="33">
        <v>0.1163</v>
      </c>
      <c r="FC583" s="33" t="s">
        <v>445</v>
      </c>
      <c r="GM583" s="12"/>
      <c r="GQ583" s="12"/>
      <c r="IO583" s="33" t="s">
        <v>716</v>
      </c>
    </row>
    <row r="584" spans="1:249" s="33" customFormat="1" x14ac:dyDescent="0.25">
      <c r="A584" s="33">
        <v>30</v>
      </c>
      <c r="B584" s="33" t="s">
        <v>438</v>
      </c>
      <c r="C584" s="33" t="s">
        <v>439</v>
      </c>
      <c r="D584" s="33">
        <v>2002</v>
      </c>
      <c r="E584" s="33">
        <v>2000</v>
      </c>
      <c r="F584" s="33" t="s">
        <v>440</v>
      </c>
      <c r="G584" s="33" t="s">
        <v>441</v>
      </c>
      <c r="H584" s="32" t="s">
        <v>2831</v>
      </c>
      <c r="I584" s="33">
        <f t="shared" si="193"/>
        <v>38.533333333333331</v>
      </c>
      <c r="J584" s="33">
        <f t="shared" si="194"/>
        <v>-121.78333333333333</v>
      </c>
      <c r="K584" s="33">
        <v>18.399999999999999</v>
      </c>
      <c r="O584" s="33">
        <v>483</v>
      </c>
      <c r="Q584" s="47">
        <v>4</v>
      </c>
      <c r="R584" s="47" t="s">
        <v>1867</v>
      </c>
      <c r="S584" s="47"/>
      <c r="T584" s="47">
        <v>36541</v>
      </c>
      <c r="U584" s="47" t="s">
        <v>1399</v>
      </c>
      <c r="V584" s="47" t="s">
        <v>1730</v>
      </c>
      <c r="W584" s="47" t="s">
        <v>1399</v>
      </c>
      <c r="X584" s="47" t="s">
        <v>1421</v>
      </c>
      <c r="Z584" s="327">
        <v>36</v>
      </c>
      <c r="AA584" s="327">
        <v>46</v>
      </c>
      <c r="AB584" s="33" t="s">
        <v>140</v>
      </c>
      <c r="AF584" s="33" t="s">
        <v>1332</v>
      </c>
      <c r="AG584" s="33" t="s">
        <v>1537</v>
      </c>
      <c r="AH584" s="138" t="s">
        <v>578</v>
      </c>
      <c r="AI584" s="33" t="s">
        <v>1592</v>
      </c>
      <c r="AJ584" s="141" t="s">
        <v>1617</v>
      </c>
      <c r="AK584" s="33" t="s">
        <v>442</v>
      </c>
      <c r="AL584" s="33" t="s">
        <v>442</v>
      </c>
      <c r="AM584" s="33" t="s">
        <v>178</v>
      </c>
      <c r="AQ584" s="33" t="s">
        <v>369</v>
      </c>
      <c r="AR584" s="33" t="s">
        <v>443</v>
      </c>
      <c r="AS584" s="33" t="s">
        <v>503</v>
      </c>
      <c r="AT584" s="33" t="s">
        <v>120</v>
      </c>
      <c r="AU584" s="33">
        <v>4</v>
      </c>
      <c r="AW584" s="33" t="s">
        <v>336</v>
      </c>
      <c r="BA584" s="54"/>
      <c r="BM584" s="402"/>
      <c r="BN584" s="402"/>
      <c r="BR584" s="402"/>
      <c r="BS584" s="402"/>
      <c r="DZ584" s="33">
        <v>3.0999999999999999E-3</v>
      </c>
      <c r="EA584" s="33">
        <v>5.3999999999999999E-2</v>
      </c>
      <c r="ED584" s="33" t="s">
        <v>447</v>
      </c>
      <c r="EJ584" s="33">
        <f>18.89/101.7*100</f>
        <v>18.574237954768929</v>
      </c>
      <c r="EK584" s="33">
        <f>4.51/101.7*100</f>
        <v>4.4346116027531952</v>
      </c>
      <c r="EN584" s="33" t="s">
        <v>446</v>
      </c>
      <c r="EY584" s="33">
        <v>0.1225</v>
      </c>
      <c r="EZ584" s="33">
        <v>0.1225</v>
      </c>
      <c r="FC584" s="33" t="s">
        <v>445</v>
      </c>
      <c r="GM584" s="12"/>
      <c r="GQ584" s="12"/>
      <c r="IO584" s="33" t="s">
        <v>716</v>
      </c>
    </row>
    <row r="585" spans="1:249" s="33" customFormat="1" x14ac:dyDescent="0.25">
      <c r="A585" s="33">
        <v>30</v>
      </c>
      <c r="B585" s="33" t="s">
        <v>438</v>
      </c>
      <c r="C585" s="33" t="s">
        <v>439</v>
      </c>
      <c r="D585" s="33">
        <v>2002</v>
      </c>
      <c r="E585" s="33">
        <v>2000</v>
      </c>
      <c r="F585" s="33" t="s">
        <v>440</v>
      </c>
      <c r="G585" s="33" t="s">
        <v>441</v>
      </c>
      <c r="H585" s="32" t="s">
        <v>2831</v>
      </c>
      <c r="I585" s="33">
        <f t="shared" si="193"/>
        <v>38.533333333333331</v>
      </c>
      <c r="J585" s="33">
        <f t="shared" si="194"/>
        <v>-121.78333333333333</v>
      </c>
      <c r="K585" s="33">
        <v>18.399999999999999</v>
      </c>
      <c r="O585" s="33">
        <v>483</v>
      </c>
      <c r="Q585" s="47">
        <v>4</v>
      </c>
      <c r="R585" s="47" t="s">
        <v>1867</v>
      </c>
      <c r="S585" s="47"/>
      <c r="T585" s="47">
        <v>36541</v>
      </c>
      <c r="U585" s="47" t="s">
        <v>1399</v>
      </c>
      <c r="V585" s="47" t="s">
        <v>1730</v>
      </c>
      <c r="W585" s="47" t="s">
        <v>1399</v>
      </c>
      <c r="X585" s="47" t="s">
        <v>1421</v>
      </c>
      <c r="Z585" s="327">
        <v>36</v>
      </c>
      <c r="AA585" s="327">
        <v>46</v>
      </c>
      <c r="AB585" s="33" t="s">
        <v>140</v>
      </c>
      <c r="AF585" s="33" t="s">
        <v>1332</v>
      </c>
      <c r="AG585" s="33" t="s">
        <v>1537</v>
      </c>
      <c r="AH585" s="138" t="s">
        <v>578</v>
      </c>
      <c r="AI585" s="33" t="s">
        <v>1592</v>
      </c>
      <c r="AJ585" s="141" t="s">
        <v>1617</v>
      </c>
      <c r="AK585" s="33" t="s">
        <v>442</v>
      </c>
      <c r="AL585" s="33" t="s">
        <v>442</v>
      </c>
      <c r="AM585" s="33" t="s">
        <v>178</v>
      </c>
      <c r="AQ585" s="33" t="s">
        <v>369</v>
      </c>
      <c r="AR585" s="33" t="s">
        <v>444</v>
      </c>
      <c r="AS585" s="33" t="s">
        <v>503</v>
      </c>
      <c r="AT585" s="33" t="s">
        <v>120</v>
      </c>
      <c r="AU585" s="33">
        <v>4</v>
      </c>
      <c r="AW585" s="33" t="s">
        <v>336</v>
      </c>
      <c r="BA585" s="54"/>
      <c r="BM585" s="402"/>
      <c r="BN585" s="402"/>
      <c r="BR585" s="402"/>
      <c r="BS585" s="402"/>
      <c r="DZ585" s="33">
        <v>3.0999999999999999E-3</v>
      </c>
      <c r="EA585" s="33">
        <v>0.06</v>
      </c>
      <c r="ED585" s="33" t="s">
        <v>447</v>
      </c>
      <c r="EJ585" s="33">
        <f>18.89/101.7*100</f>
        <v>18.574237954768929</v>
      </c>
      <c r="EK585" s="33">
        <f>7.51/101.7*100</f>
        <v>7.3844641101278263</v>
      </c>
      <c r="EN585" s="33" t="s">
        <v>446</v>
      </c>
      <c r="EY585" s="33">
        <v>0.1225</v>
      </c>
      <c r="EZ585" s="33">
        <v>0.1225</v>
      </c>
      <c r="FC585" s="33" t="s">
        <v>445</v>
      </c>
      <c r="GM585" s="12"/>
      <c r="GQ585" s="12"/>
      <c r="IO585" s="33" t="s">
        <v>716</v>
      </c>
    </row>
    <row r="586" spans="1:249" s="33" customFormat="1" x14ac:dyDescent="0.25">
      <c r="A586" s="33">
        <v>30</v>
      </c>
      <c r="B586" s="33" t="s">
        <v>438</v>
      </c>
      <c r="C586" s="33" t="s">
        <v>439</v>
      </c>
      <c r="D586" s="33">
        <v>2002</v>
      </c>
      <c r="E586" s="33">
        <v>2000</v>
      </c>
      <c r="F586" s="33" t="s">
        <v>440</v>
      </c>
      <c r="G586" s="33" t="s">
        <v>441</v>
      </c>
      <c r="H586" s="32" t="s">
        <v>2831</v>
      </c>
      <c r="I586" s="33">
        <f t="shared" si="193"/>
        <v>38.533333333333331</v>
      </c>
      <c r="J586" s="33">
        <f t="shared" si="194"/>
        <v>-121.78333333333333</v>
      </c>
      <c r="K586" s="33">
        <v>18.399999999999999</v>
      </c>
      <c r="O586" s="33">
        <v>483</v>
      </c>
      <c r="Q586" s="47">
        <v>4</v>
      </c>
      <c r="R586" s="47" t="s">
        <v>1867</v>
      </c>
      <c r="S586" s="47"/>
      <c r="T586" s="47">
        <v>36549</v>
      </c>
      <c r="U586" s="47" t="s">
        <v>1399</v>
      </c>
      <c r="V586" s="47" t="s">
        <v>1730</v>
      </c>
      <c r="W586" s="47" t="s">
        <v>1399</v>
      </c>
      <c r="X586" s="47" t="s">
        <v>1421</v>
      </c>
      <c r="Z586" s="327">
        <v>36</v>
      </c>
      <c r="AA586" s="327">
        <v>46</v>
      </c>
      <c r="AB586" s="33" t="s">
        <v>140</v>
      </c>
      <c r="AF586" s="33" t="s">
        <v>1332</v>
      </c>
      <c r="AG586" s="33" t="s">
        <v>1537</v>
      </c>
      <c r="AH586" s="138" t="s">
        <v>578</v>
      </c>
      <c r="AI586" s="33" t="s">
        <v>1592</v>
      </c>
      <c r="AJ586" s="141" t="s">
        <v>1617</v>
      </c>
      <c r="AK586" s="33" t="s">
        <v>442</v>
      </c>
      <c r="AL586" s="33" t="s">
        <v>442</v>
      </c>
      <c r="AM586" s="33" t="s">
        <v>178</v>
      </c>
      <c r="AQ586" s="33" t="s">
        <v>369</v>
      </c>
      <c r="AR586" s="33" t="s">
        <v>443</v>
      </c>
      <c r="AS586" s="33" t="s">
        <v>503</v>
      </c>
      <c r="AT586" s="33" t="s">
        <v>120</v>
      </c>
      <c r="AU586" s="33">
        <v>4</v>
      </c>
      <c r="AW586" s="33" t="s">
        <v>336</v>
      </c>
      <c r="BA586" s="54"/>
      <c r="BM586" s="402"/>
      <c r="BN586" s="402"/>
      <c r="BR586" s="402"/>
      <c r="BS586" s="402"/>
      <c r="EJ586" s="33">
        <f>0.29/4.6*100</f>
        <v>6.3043478260869561</v>
      </c>
      <c r="EK586" s="33">
        <f>0.22/4.6*100</f>
        <v>4.7826086956521738</v>
      </c>
      <c r="EN586" s="33" t="s">
        <v>446</v>
      </c>
      <c r="EY586" s="33">
        <v>0.14960000000000001</v>
      </c>
      <c r="EZ586" s="33">
        <v>0.1641</v>
      </c>
      <c r="FC586" s="33" t="s">
        <v>445</v>
      </c>
      <c r="GM586" s="12"/>
      <c r="GQ586" s="12"/>
      <c r="IO586" s="33" t="s">
        <v>716</v>
      </c>
    </row>
    <row r="587" spans="1:249" s="33" customFormat="1" x14ac:dyDescent="0.25">
      <c r="A587" s="33">
        <v>30</v>
      </c>
      <c r="B587" s="33" t="s">
        <v>438</v>
      </c>
      <c r="C587" s="33" t="s">
        <v>439</v>
      </c>
      <c r="D587" s="33">
        <v>2002</v>
      </c>
      <c r="E587" s="33">
        <v>2000</v>
      </c>
      <c r="F587" s="33" t="s">
        <v>440</v>
      </c>
      <c r="G587" s="33" t="s">
        <v>441</v>
      </c>
      <c r="H587" s="32" t="s">
        <v>2831</v>
      </c>
      <c r="I587" s="33">
        <f t="shared" si="193"/>
        <v>38.533333333333331</v>
      </c>
      <c r="J587" s="33">
        <f t="shared" si="194"/>
        <v>-121.78333333333333</v>
      </c>
      <c r="K587" s="33">
        <v>18.399999999999999</v>
      </c>
      <c r="O587" s="33">
        <v>483</v>
      </c>
      <c r="Q587" s="47">
        <v>4</v>
      </c>
      <c r="R587" s="47" t="s">
        <v>1867</v>
      </c>
      <c r="S587" s="47"/>
      <c r="T587" s="47">
        <v>36549</v>
      </c>
      <c r="U587" s="47" t="s">
        <v>1399</v>
      </c>
      <c r="V587" s="47" t="s">
        <v>1730</v>
      </c>
      <c r="W587" s="47" t="s">
        <v>1399</v>
      </c>
      <c r="X587" s="47" t="s">
        <v>1421</v>
      </c>
      <c r="Z587" s="327">
        <v>36</v>
      </c>
      <c r="AA587" s="327">
        <v>46</v>
      </c>
      <c r="AB587" s="33" t="s">
        <v>140</v>
      </c>
      <c r="AF587" s="33" t="s">
        <v>1332</v>
      </c>
      <c r="AG587" s="33" t="s">
        <v>1537</v>
      </c>
      <c r="AH587" s="138" t="s">
        <v>578</v>
      </c>
      <c r="AI587" s="33" t="s">
        <v>1592</v>
      </c>
      <c r="AJ587" s="141" t="s">
        <v>1617</v>
      </c>
      <c r="AK587" s="33" t="s">
        <v>442</v>
      </c>
      <c r="AL587" s="33" t="s">
        <v>442</v>
      </c>
      <c r="AM587" s="33" t="s">
        <v>178</v>
      </c>
      <c r="AQ587" s="33" t="s">
        <v>369</v>
      </c>
      <c r="AR587" s="33" t="s">
        <v>444</v>
      </c>
      <c r="AS587" s="33" t="s">
        <v>503</v>
      </c>
      <c r="AT587" s="33" t="s">
        <v>120</v>
      </c>
      <c r="AU587" s="33">
        <v>4</v>
      </c>
      <c r="AW587" s="33" t="s">
        <v>336</v>
      </c>
      <c r="BA587" s="54"/>
      <c r="BM587" s="402"/>
      <c r="BN587" s="402"/>
      <c r="BR587" s="402"/>
      <c r="BS587" s="402"/>
      <c r="EJ587" s="33">
        <f>0.29/4.6*100</f>
        <v>6.3043478260869561</v>
      </c>
      <c r="EK587" s="33">
        <f>0.23/4.6*100</f>
        <v>5</v>
      </c>
      <c r="EN587" s="33" t="s">
        <v>446</v>
      </c>
      <c r="EY587" s="33">
        <v>0.14960000000000001</v>
      </c>
      <c r="EZ587" s="33">
        <v>0.1542</v>
      </c>
      <c r="FC587" s="33" t="s">
        <v>445</v>
      </c>
      <c r="GM587" s="12"/>
      <c r="GQ587" s="12"/>
      <c r="IO587" s="33" t="s">
        <v>716</v>
      </c>
    </row>
    <row r="588" spans="1:249" s="33" customFormat="1" x14ac:dyDescent="0.25">
      <c r="A588" s="33">
        <v>30</v>
      </c>
      <c r="B588" s="33" t="s">
        <v>438</v>
      </c>
      <c r="C588" s="33" t="s">
        <v>439</v>
      </c>
      <c r="D588" s="33">
        <v>2002</v>
      </c>
      <c r="E588" s="33">
        <v>2000</v>
      </c>
      <c r="F588" s="33" t="s">
        <v>440</v>
      </c>
      <c r="G588" s="33" t="s">
        <v>441</v>
      </c>
      <c r="H588" s="32" t="s">
        <v>2831</v>
      </c>
      <c r="I588" s="33">
        <f t="shared" si="193"/>
        <v>38.533333333333331</v>
      </c>
      <c r="J588" s="33">
        <f t="shared" si="194"/>
        <v>-121.78333333333333</v>
      </c>
      <c r="K588" s="33">
        <v>18.399999999999999</v>
      </c>
      <c r="O588" s="33">
        <v>483</v>
      </c>
      <c r="Q588" s="47">
        <v>4</v>
      </c>
      <c r="R588" s="47" t="s">
        <v>1867</v>
      </c>
      <c r="S588" s="47"/>
      <c r="T588" s="47">
        <v>36562</v>
      </c>
      <c r="U588" s="47" t="s">
        <v>1399</v>
      </c>
      <c r="V588" s="47" t="s">
        <v>1730</v>
      </c>
      <c r="W588" s="47" t="s">
        <v>1399</v>
      </c>
      <c r="X588" s="47" t="s">
        <v>1421</v>
      </c>
      <c r="Z588" s="327">
        <v>36</v>
      </c>
      <c r="AA588" s="327">
        <v>46</v>
      </c>
      <c r="AB588" s="33" t="s">
        <v>140</v>
      </c>
      <c r="AF588" s="33" t="s">
        <v>1332</v>
      </c>
      <c r="AG588" s="33" t="s">
        <v>1537</v>
      </c>
      <c r="AH588" s="138" t="s">
        <v>578</v>
      </c>
      <c r="AI588" s="33" t="s">
        <v>1592</v>
      </c>
      <c r="AJ588" s="141" t="s">
        <v>1617</v>
      </c>
      <c r="AK588" s="33" t="s">
        <v>442</v>
      </c>
      <c r="AL588" s="33" t="s">
        <v>442</v>
      </c>
      <c r="AM588" s="33" t="s">
        <v>178</v>
      </c>
      <c r="AQ588" s="33" t="s">
        <v>369</v>
      </c>
      <c r="AR588" s="33" t="s">
        <v>443</v>
      </c>
      <c r="AS588" s="33" t="s">
        <v>503</v>
      </c>
      <c r="AT588" s="33" t="s">
        <v>120</v>
      </c>
      <c r="AU588" s="33">
        <v>4</v>
      </c>
      <c r="AW588" s="33" t="s">
        <v>336</v>
      </c>
      <c r="BA588" s="54"/>
      <c r="BM588" s="402"/>
      <c r="BN588" s="402"/>
      <c r="BR588" s="402"/>
      <c r="BS588" s="402"/>
      <c r="EJ588" s="33">
        <f>15.83/67.6*100</f>
        <v>23.417159763313609</v>
      </c>
      <c r="EK588" s="33">
        <f>1.64/67.6*100</f>
        <v>2.4260355029585798</v>
      </c>
      <c r="EN588" s="33" t="s">
        <v>446</v>
      </c>
      <c r="EY588" s="33">
        <v>0.25180000000000002</v>
      </c>
      <c r="EZ588" s="33">
        <v>0.2671</v>
      </c>
      <c r="FC588" s="33" t="s">
        <v>445</v>
      </c>
      <c r="GM588" s="12"/>
      <c r="GQ588" s="12"/>
      <c r="IO588" s="33" t="s">
        <v>716</v>
      </c>
    </row>
    <row r="589" spans="1:249" s="33" customFormat="1" x14ac:dyDescent="0.25">
      <c r="A589" s="33">
        <v>30</v>
      </c>
      <c r="B589" s="33" t="s">
        <v>438</v>
      </c>
      <c r="C589" s="33" t="s">
        <v>439</v>
      </c>
      <c r="D589" s="33">
        <v>2002</v>
      </c>
      <c r="E589" s="33">
        <v>2000</v>
      </c>
      <c r="F589" s="33" t="s">
        <v>440</v>
      </c>
      <c r="G589" s="33" t="s">
        <v>441</v>
      </c>
      <c r="H589" s="32" t="s">
        <v>2831</v>
      </c>
      <c r="I589" s="33">
        <f t="shared" si="193"/>
        <v>38.533333333333331</v>
      </c>
      <c r="J589" s="33">
        <f t="shared" si="194"/>
        <v>-121.78333333333333</v>
      </c>
      <c r="K589" s="33">
        <v>18.399999999999999</v>
      </c>
      <c r="O589" s="33">
        <v>483</v>
      </c>
      <c r="Q589" s="47">
        <v>4</v>
      </c>
      <c r="R589" s="47" t="s">
        <v>1867</v>
      </c>
      <c r="S589" s="47"/>
      <c r="T589" s="47">
        <v>36562</v>
      </c>
      <c r="U589" s="47" t="s">
        <v>1399</v>
      </c>
      <c r="V589" s="47" t="s">
        <v>1730</v>
      </c>
      <c r="W589" s="47" t="s">
        <v>1399</v>
      </c>
      <c r="X589" s="47" t="s">
        <v>1421</v>
      </c>
      <c r="Z589" s="327">
        <v>36</v>
      </c>
      <c r="AA589" s="327">
        <v>46</v>
      </c>
      <c r="AB589" s="33" t="s">
        <v>140</v>
      </c>
      <c r="AF589" s="33" t="s">
        <v>1332</v>
      </c>
      <c r="AG589" s="33" t="s">
        <v>1537</v>
      </c>
      <c r="AH589" s="138" t="s">
        <v>578</v>
      </c>
      <c r="AI589" s="33" t="s">
        <v>1592</v>
      </c>
      <c r="AJ589" s="141" t="s">
        <v>1617</v>
      </c>
      <c r="AK589" s="33" t="s">
        <v>442</v>
      </c>
      <c r="AL589" s="33" t="s">
        <v>442</v>
      </c>
      <c r="AM589" s="33" t="s">
        <v>178</v>
      </c>
      <c r="AQ589" s="33" t="s">
        <v>369</v>
      </c>
      <c r="AR589" s="33" t="s">
        <v>444</v>
      </c>
      <c r="AS589" s="33" t="s">
        <v>503</v>
      </c>
      <c r="AT589" s="33" t="s">
        <v>120</v>
      </c>
      <c r="AU589" s="33">
        <v>4</v>
      </c>
      <c r="AW589" s="33" t="s">
        <v>336</v>
      </c>
      <c r="BA589" s="54"/>
      <c r="BM589" s="402"/>
      <c r="BN589" s="402"/>
      <c r="BR589" s="402"/>
      <c r="BS589" s="402"/>
      <c r="EJ589" s="33">
        <f>15.83/67.6*100</f>
        <v>23.417159763313609</v>
      </c>
      <c r="EK589" s="33">
        <f>2.32/67.6*100</f>
        <v>3.4319526627218933</v>
      </c>
      <c r="EN589" s="33" t="s">
        <v>446</v>
      </c>
      <c r="EY589" s="33">
        <v>0.25180000000000002</v>
      </c>
      <c r="EZ589" s="33">
        <v>0.2671</v>
      </c>
      <c r="FC589" s="33" t="s">
        <v>445</v>
      </c>
      <c r="GM589" s="12"/>
      <c r="GQ589" s="12"/>
      <c r="IO589" s="33" t="s">
        <v>716</v>
      </c>
    </row>
    <row r="590" spans="1:249" s="33" customFormat="1" x14ac:dyDescent="0.25">
      <c r="A590" s="33">
        <v>30</v>
      </c>
      <c r="B590" s="33" t="s">
        <v>438</v>
      </c>
      <c r="C590" s="33" t="s">
        <v>439</v>
      </c>
      <c r="D590" s="33">
        <v>2002</v>
      </c>
      <c r="E590" s="33">
        <v>2000</v>
      </c>
      <c r="F590" s="33" t="s">
        <v>440</v>
      </c>
      <c r="G590" s="33" t="s">
        <v>441</v>
      </c>
      <c r="H590" s="32" t="s">
        <v>2831</v>
      </c>
      <c r="I590" s="33">
        <f t="shared" si="193"/>
        <v>38.533333333333331</v>
      </c>
      <c r="J590" s="33">
        <f t="shared" si="194"/>
        <v>-121.78333333333333</v>
      </c>
      <c r="K590" s="33">
        <v>18.399999999999999</v>
      </c>
      <c r="O590" s="33">
        <v>483</v>
      </c>
      <c r="Q590" s="47">
        <v>4</v>
      </c>
      <c r="R590" s="47" t="s">
        <v>1867</v>
      </c>
      <c r="S590" s="47"/>
      <c r="T590" s="47">
        <v>36566</v>
      </c>
      <c r="U590" s="47" t="s">
        <v>1399</v>
      </c>
      <c r="V590" s="47" t="s">
        <v>1730</v>
      </c>
      <c r="W590" s="47" t="s">
        <v>1399</v>
      </c>
      <c r="X590" s="47" t="s">
        <v>1421</v>
      </c>
      <c r="Z590" s="327">
        <v>36</v>
      </c>
      <c r="AA590" s="327">
        <v>46</v>
      </c>
      <c r="AB590" s="33" t="s">
        <v>140</v>
      </c>
      <c r="AF590" s="33" t="s">
        <v>1332</v>
      </c>
      <c r="AG590" s="33" t="s">
        <v>1537</v>
      </c>
      <c r="AH590" s="138" t="s">
        <v>578</v>
      </c>
      <c r="AI590" s="33" t="s">
        <v>1592</v>
      </c>
      <c r="AJ590" s="141" t="s">
        <v>1617</v>
      </c>
      <c r="AK590" s="33" t="s">
        <v>442</v>
      </c>
      <c r="AL590" s="33" t="s">
        <v>442</v>
      </c>
      <c r="AM590" s="33" t="s">
        <v>178</v>
      </c>
      <c r="AQ590" s="33" t="s">
        <v>369</v>
      </c>
      <c r="AR590" s="33" t="s">
        <v>443</v>
      </c>
      <c r="AS590" s="33" t="s">
        <v>503</v>
      </c>
      <c r="AT590" s="33" t="s">
        <v>120</v>
      </c>
      <c r="AU590" s="33">
        <v>4</v>
      </c>
      <c r="AW590" s="33" t="s">
        <v>336</v>
      </c>
      <c r="BA590" s="54"/>
      <c r="BM590" s="402"/>
      <c r="BN590" s="402"/>
      <c r="BR590" s="402"/>
      <c r="BS590" s="402"/>
      <c r="EJ590" s="33">
        <f>6.93/14.3*100</f>
        <v>48.461538461538453</v>
      </c>
      <c r="EK590" s="33">
        <f>0.98/14.3*100</f>
        <v>6.8531468531468516</v>
      </c>
      <c r="EN590" s="33" t="s">
        <v>446</v>
      </c>
      <c r="EY590" s="33">
        <v>0.25900000000000001</v>
      </c>
      <c r="EZ590" s="33">
        <v>0.27429999999999999</v>
      </c>
      <c r="FC590" s="33" t="s">
        <v>445</v>
      </c>
      <c r="GM590" s="12"/>
      <c r="GQ590" s="12"/>
      <c r="IO590" s="33" t="s">
        <v>716</v>
      </c>
    </row>
    <row r="591" spans="1:249" s="33" customFormat="1" x14ac:dyDescent="0.25">
      <c r="A591" s="33">
        <v>30</v>
      </c>
      <c r="B591" s="33" t="s">
        <v>438</v>
      </c>
      <c r="C591" s="33" t="s">
        <v>439</v>
      </c>
      <c r="D591" s="33">
        <v>2002</v>
      </c>
      <c r="E591" s="33">
        <v>2000</v>
      </c>
      <c r="F591" s="33" t="s">
        <v>440</v>
      </c>
      <c r="G591" s="33" t="s">
        <v>441</v>
      </c>
      <c r="H591" s="32" t="s">
        <v>2831</v>
      </c>
      <c r="I591" s="33">
        <f t="shared" si="193"/>
        <v>38.533333333333331</v>
      </c>
      <c r="J591" s="33">
        <f t="shared" si="194"/>
        <v>-121.78333333333333</v>
      </c>
      <c r="K591" s="33">
        <v>18.399999999999999</v>
      </c>
      <c r="O591" s="33">
        <v>483</v>
      </c>
      <c r="Q591" s="47">
        <v>4</v>
      </c>
      <c r="R591" s="47" t="s">
        <v>1867</v>
      </c>
      <c r="S591" s="47"/>
      <c r="T591" s="47">
        <v>36566</v>
      </c>
      <c r="U591" s="47" t="s">
        <v>1399</v>
      </c>
      <c r="V591" s="47" t="s">
        <v>1730</v>
      </c>
      <c r="W591" s="47" t="s">
        <v>1399</v>
      </c>
      <c r="X591" s="47" t="s">
        <v>1421</v>
      </c>
      <c r="Z591" s="327">
        <v>36</v>
      </c>
      <c r="AA591" s="327">
        <v>46</v>
      </c>
      <c r="AB591" s="33" t="s">
        <v>140</v>
      </c>
      <c r="AF591" s="33" t="s">
        <v>1332</v>
      </c>
      <c r="AG591" s="33" t="s">
        <v>1537</v>
      </c>
      <c r="AH591" s="138" t="s">
        <v>578</v>
      </c>
      <c r="AI591" s="33" t="s">
        <v>1592</v>
      </c>
      <c r="AJ591" s="141" t="s">
        <v>1617</v>
      </c>
      <c r="AK591" s="33" t="s">
        <v>442</v>
      </c>
      <c r="AL591" s="33" t="s">
        <v>442</v>
      </c>
      <c r="AM591" s="33" t="s">
        <v>178</v>
      </c>
      <c r="AQ591" s="33" t="s">
        <v>369</v>
      </c>
      <c r="AR591" s="33" t="s">
        <v>444</v>
      </c>
      <c r="AS591" s="33" t="s">
        <v>503</v>
      </c>
      <c r="AT591" s="33" t="s">
        <v>120</v>
      </c>
      <c r="AU591" s="33">
        <v>4</v>
      </c>
      <c r="AW591" s="33" t="s">
        <v>336</v>
      </c>
      <c r="BA591" s="54"/>
      <c r="BM591" s="402"/>
      <c r="BN591" s="402"/>
      <c r="BR591" s="402"/>
      <c r="BS591" s="402"/>
      <c r="EJ591" s="33">
        <f>6.93/14.3*100</f>
        <v>48.461538461538453</v>
      </c>
      <c r="EK591" s="33">
        <f>0.26/14.3*100</f>
        <v>1.8181818181818181</v>
      </c>
      <c r="EN591" s="33" t="s">
        <v>446</v>
      </c>
      <c r="EY591" s="33">
        <v>0.25900000000000001</v>
      </c>
      <c r="EZ591" s="33">
        <v>0.2797</v>
      </c>
      <c r="FC591" s="33" t="s">
        <v>445</v>
      </c>
      <c r="GM591" s="12"/>
      <c r="GQ591" s="12"/>
      <c r="IO591" s="33" t="s">
        <v>716</v>
      </c>
    </row>
    <row r="592" spans="1:249" s="33" customFormat="1" x14ac:dyDescent="0.25">
      <c r="A592" s="33">
        <v>30</v>
      </c>
      <c r="B592" s="33" t="s">
        <v>438</v>
      </c>
      <c r="C592" s="33" t="s">
        <v>439</v>
      </c>
      <c r="D592" s="33">
        <v>2002</v>
      </c>
      <c r="E592" s="33">
        <v>2000</v>
      </c>
      <c r="F592" s="33" t="s">
        <v>440</v>
      </c>
      <c r="G592" s="33" t="s">
        <v>441</v>
      </c>
      <c r="H592" s="32" t="s">
        <v>2831</v>
      </c>
      <c r="I592" s="33">
        <f t="shared" si="193"/>
        <v>38.533333333333331</v>
      </c>
      <c r="J592" s="33">
        <f t="shared" si="194"/>
        <v>-121.78333333333333</v>
      </c>
      <c r="K592" s="33">
        <v>18.399999999999999</v>
      </c>
      <c r="O592" s="33">
        <v>483</v>
      </c>
      <c r="Q592" s="47">
        <v>4</v>
      </c>
      <c r="R592" s="47" t="s">
        <v>1867</v>
      </c>
      <c r="S592" s="47"/>
      <c r="T592" s="47">
        <v>36572</v>
      </c>
      <c r="U592" s="47" t="s">
        <v>1399</v>
      </c>
      <c r="V592" s="47" t="s">
        <v>1730</v>
      </c>
      <c r="W592" s="47" t="s">
        <v>1399</v>
      </c>
      <c r="X592" s="47" t="s">
        <v>1421</v>
      </c>
      <c r="Z592" s="327">
        <v>36</v>
      </c>
      <c r="AA592" s="327">
        <v>46</v>
      </c>
      <c r="AB592" s="33" t="s">
        <v>140</v>
      </c>
      <c r="AF592" s="33" t="s">
        <v>1332</v>
      </c>
      <c r="AG592" s="33" t="s">
        <v>1537</v>
      </c>
      <c r="AH592" s="138" t="s">
        <v>578</v>
      </c>
      <c r="AI592" s="33" t="s">
        <v>1592</v>
      </c>
      <c r="AJ592" s="141" t="s">
        <v>1617</v>
      </c>
      <c r="AK592" s="33" t="s">
        <v>442</v>
      </c>
      <c r="AL592" s="33" t="s">
        <v>442</v>
      </c>
      <c r="AM592" s="33" t="s">
        <v>178</v>
      </c>
      <c r="AQ592" s="33" t="s">
        <v>369</v>
      </c>
      <c r="AR592" s="33" t="s">
        <v>443</v>
      </c>
      <c r="AS592" s="33" t="s">
        <v>503</v>
      </c>
      <c r="AT592" s="33" t="s">
        <v>120</v>
      </c>
      <c r="AU592" s="33">
        <v>4</v>
      </c>
      <c r="AW592" s="33" t="s">
        <v>336</v>
      </c>
      <c r="BA592" s="54"/>
      <c r="BM592" s="402"/>
      <c r="BN592" s="402"/>
      <c r="BR592" s="402"/>
      <c r="BS592" s="402"/>
      <c r="EJ592" s="33">
        <f>1.05/5.9*100</f>
        <v>17.796610169491526</v>
      </c>
      <c r="EK592" s="33">
        <f>0.19/5.9*100</f>
        <v>3.2203389830508473</v>
      </c>
      <c r="EN592" s="33" t="s">
        <v>446</v>
      </c>
      <c r="EY592" s="33">
        <v>0.26429999999999998</v>
      </c>
      <c r="EZ592" s="33">
        <v>0.28239999999999998</v>
      </c>
      <c r="FC592" s="33" t="s">
        <v>445</v>
      </c>
      <c r="GM592" s="12"/>
      <c r="GQ592" s="12"/>
      <c r="IO592" s="33" t="s">
        <v>716</v>
      </c>
    </row>
    <row r="593" spans="1:249" s="33" customFormat="1" x14ac:dyDescent="0.25">
      <c r="A593" s="33">
        <v>30</v>
      </c>
      <c r="B593" s="33" t="s">
        <v>438</v>
      </c>
      <c r="C593" s="33" t="s">
        <v>439</v>
      </c>
      <c r="D593" s="33">
        <v>2002</v>
      </c>
      <c r="E593" s="33">
        <v>2000</v>
      </c>
      <c r="F593" s="33" t="s">
        <v>440</v>
      </c>
      <c r="G593" s="33" t="s">
        <v>441</v>
      </c>
      <c r="H593" s="32" t="s">
        <v>2831</v>
      </c>
      <c r="I593" s="33">
        <f t="shared" si="193"/>
        <v>38.533333333333331</v>
      </c>
      <c r="J593" s="33">
        <f t="shared" si="194"/>
        <v>-121.78333333333333</v>
      </c>
      <c r="K593" s="33">
        <v>18.399999999999999</v>
      </c>
      <c r="O593" s="33">
        <v>483</v>
      </c>
      <c r="Q593" s="47">
        <v>4</v>
      </c>
      <c r="R593" s="47" t="s">
        <v>1867</v>
      </c>
      <c r="S593" s="47"/>
      <c r="T593" s="47">
        <v>36572</v>
      </c>
      <c r="U593" s="47" t="s">
        <v>1399</v>
      </c>
      <c r="V593" s="47" t="s">
        <v>1730</v>
      </c>
      <c r="W593" s="47" t="s">
        <v>1399</v>
      </c>
      <c r="X593" s="47" t="s">
        <v>1421</v>
      </c>
      <c r="Z593" s="327">
        <v>36</v>
      </c>
      <c r="AA593" s="327">
        <v>46</v>
      </c>
      <c r="AB593" s="33" t="s">
        <v>140</v>
      </c>
      <c r="AF593" s="33" t="s">
        <v>1332</v>
      </c>
      <c r="AG593" s="33" t="s">
        <v>1537</v>
      </c>
      <c r="AH593" s="138" t="s">
        <v>578</v>
      </c>
      <c r="AI593" s="33" t="s">
        <v>1592</v>
      </c>
      <c r="AJ593" s="141" t="s">
        <v>1617</v>
      </c>
      <c r="AK593" s="33" t="s">
        <v>442</v>
      </c>
      <c r="AL593" s="33" t="s">
        <v>442</v>
      </c>
      <c r="AM593" s="33" t="s">
        <v>178</v>
      </c>
      <c r="AQ593" s="33" t="s">
        <v>369</v>
      </c>
      <c r="AR593" s="33" t="s">
        <v>444</v>
      </c>
      <c r="AS593" s="33" t="s">
        <v>503</v>
      </c>
      <c r="AT593" s="33" t="s">
        <v>120</v>
      </c>
      <c r="AU593" s="33">
        <v>4</v>
      </c>
      <c r="AW593" s="33" t="s">
        <v>336</v>
      </c>
      <c r="BA593" s="54"/>
      <c r="BM593" s="402"/>
      <c r="BN593" s="402"/>
      <c r="BR593" s="402"/>
      <c r="BS593" s="402"/>
      <c r="EJ593" s="33">
        <f>1.05/5.9*100</f>
        <v>17.796610169491526</v>
      </c>
      <c r="EK593" s="33">
        <f>0.24/5.9*100</f>
        <v>4.0677966101694913</v>
      </c>
      <c r="EN593" s="33" t="s">
        <v>446</v>
      </c>
      <c r="EY593" s="33">
        <v>0.26429999999999998</v>
      </c>
      <c r="EZ593" s="33">
        <v>0.2923</v>
      </c>
      <c r="FC593" s="33" t="s">
        <v>445</v>
      </c>
      <c r="GM593" s="12"/>
      <c r="GQ593" s="12"/>
      <c r="IO593" s="33" t="s">
        <v>716</v>
      </c>
    </row>
    <row r="594" spans="1:249" s="33" customFormat="1" x14ac:dyDescent="0.25">
      <c r="A594" s="33">
        <v>30</v>
      </c>
      <c r="B594" s="33" t="s">
        <v>438</v>
      </c>
      <c r="C594" s="33" t="s">
        <v>439</v>
      </c>
      <c r="D594" s="33">
        <v>2002</v>
      </c>
      <c r="E594" s="33">
        <v>2000</v>
      </c>
      <c r="F594" s="33" t="s">
        <v>440</v>
      </c>
      <c r="G594" s="33" t="s">
        <v>441</v>
      </c>
      <c r="H594" s="32" t="s">
        <v>2831</v>
      </c>
      <c r="I594" s="33">
        <f t="shared" si="193"/>
        <v>38.533333333333331</v>
      </c>
      <c r="J594" s="33">
        <f t="shared" si="194"/>
        <v>-121.78333333333333</v>
      </c>
      <c r="K594" s="33">
        <v>18.399999999999999</v>
      </c>
      <c r="O594" s="33">
        <v>483</v>
      </c>
      <c r="Q594" s="47">
        <v>4</v>
      </c>
      <c r="R594" s="47" t="s">
        <v>1867</v>
      </c>
      <c r="S594" s="47"/>
      <c r="T594" s="47">
        <v>36582</v>
      </c>
      <c r="U594" s="47" t="s">
        <v>1399</v>
      </c>
      <c r="V594" s="47" t="s">
        <v>1730</v>
      </c>
      <c r="W594" s="47" t="s">
        <v>1399</v>
      </c>
      <c r="X594" s="47" t="s">
        <v>1421</v>
      </c>
      <c r="Z594" s="327">
        <v>36</v>
      </c>
      <c r="AA594" s="327">
        <v>46</v>
      </c>
      <c r="AB594" s="33" t="s">
        <v>140</v>
      </c>
      <c r="AF594" s="33" t="s">
        <v>1332</v>
      </c>
      <c r="AG594" s="33" t="s">
        <v>1537</v>
      </c>
      <c r="AH594" s="138" t="s">
        <v>578</v>
      </c>
      <c r="AI594" s="33" t="s">
        <v>1592</v>
      </c>
      <c r="AJ594" s="141" t="s">
        <v>1617</v>
      </c>
      <c r="AK594" s="33" t="s">
        <v>442</v>
      </c>
      <c r="AL594" s="33" t="s">
        <v>442</v>
      </c>
      <c r="AM594" s="33" t="s">
        <v>178</v>
      </c>
      <c r="AQ594" s="33" t="s">
        <v>369</v>
      </c>
      <c r="AR594" s="33" t="s">
        <v>443</v>
      </c>
      <c r="AS594" s="33" t="s">
        <v>503</v>
      </c>
      <c r="AT594" s="33" t="s">
        <v>120</v>
      </c>
      <c r="AU594" s="33">
        <v>4</v>
      </c>
      <c r="AW594" s="33" t="s">
        <v>336</v>
      </c>
      <c r="BA594" s="54"/>
      <c r="BM594" s="402"/>
      <c r="BN594" s="402"/>
      <c r="BR594" s="402"/>
      <c r="BS594" s="402"/>
      <c r="EJ594" s="33">
        <f>0.2/1.5*100</f>
        <v>13.333333333333334</v>
      </c>
      <c r="EK594" s="33">
        <f>0.2/1.5*100</f>
        <v>13.333333333333334</v>
      </c>
      <c r="EN594" s="33" t="s">
        <v>446</v>
      </c>
      <c r="EY594" s="33">
        <v>0.26419999999999999</v>
      </c>
      <c r="EZ594" s="33">
        <v>0.28589999999999999</v>
      </c>
      <c r="FC594" s="33" t="s">
        <v>445</v>
      </c>
      <c r="GM594" s="12"/>
      <c r="GQ594" s="12"/>
      <c r="IO594" s="33" t="s">
        <v>716</v>
      </c>
    </row>
    <row r="595" spans="1:249" s="33" customFormat="1" x14ac:dyDescent="0.25">
      <c r="A595" s="33">
        <v>30</v>
      </c>
      <c r="B595" s="33" t="s">
        <v>438</v>
      </c>
      <c r="C595" s="33" t="s">
        <v>439</v>
      </c>
      <c r="D595" s="33">
        <v>2002</v>
      </c>
      <c r="E595" s="33">
        <v>2000</v>
      </c>
      <c r="F595" s="33" t="s">
        <v>440</v>
      </c>
      <c r="G595" s="33" t="s">
        <v>441</v>
      </c>
      <c r="H595" s="32" t="s">
        <v>2831</v>
      </c>
      <c r="I595" s="33">
        <f t="shared" si="193"/>
        <v>38.533333333333331</v>
      </c>
      <c r="J595" s="33">
        <f t="shared" si="194"/>
        <v>-121.78333333333333</v>
      </c>
      <c r="K595" s="33">
        <v>18.399999999999999</v>
      </c>
      <c r="O595" s="33">
        <v>483</v>
      </c>
      <c r="Q595" s="47">
        <v>4</v>
      </c>
      <c r="R595" s="47" t="s">
        <v>1867</v>
      </c>
      <c r="S595" s="47"/>
      <c r="T595" s="47">
        <v>36582</v>
      </c>
      <c r="U595" s="47" t="s">
        <v>1399</v>
      </c>
      <c r="V595" s="47" t="s">
        <v>1730</v>
      </c>
      <c r="W595" s="47" t="s">
        <v>1399</v>
      </c>
      <c r="X595" s="47" t="s">
        <v>1421</v>
      </c>
      <c r="Z595" s="327">
        <v>36</v>
      </c>
      <c r="AA595" s="327">
        <v>46</v>
      </c>
      <c r="AB595" s="33" t="s">
        <v>140</v>
      </c>
      <c r="AF595" s="33" t="s">
        <v>1332</v>
      </c>
      <c r="AG595" s="33" t="s">
        <v>1537</v>
      </c>
      <c r="AH595" s="138" t="s">
        <v>578</v>
      </c>
      <c r="AI595" s="33" t="s">
        <v>1592</v>
      </c>
      <c r="AJ595" s="141" t="s">
        <v>1617</v>
      </c>
      <c r="AK595" s="33" t="s">
        <v>442</v>
      </c>
      <c r="AL595" s="33" t="s">
        <v>442</v>
      </c>
      <c r="AM595" s="33" t="s">
        <v>178</v>
      </c>
      <c r="AQ595" s="33" t="s">
        <v>369</v>
      </c>
      <c r="AR595" s="33" t="s">
        <v>444</v>
      </c>
      <c r="AS595" s="33" t="s">
        <v>503</v>
      </c>
      <c r="AT595" s="33" t="s">
        <v>120</v>
      </c>
      <c r="AU595" s="33">
        <v>4</v>
      </c>
      <c r="AW595" s="33" t="s">
        <v>336</v>
      </c>
      <c r="BA595" s="54"/>
      <c r="BM595" s="402"/>
      <c r="BN595" s="402"/>
      <c r="BR595" s="402"/>
      <c r="BS595" s="402"/>
      <c r="EJ595" s="33">
        <f>0.2/1.5*100</f>
        <v>13.333333333333334</v>
      </c>
      <c r="EK595" s="33">
        <f>0.1/1.5*100</f>
        <v>6.666666666666667</v>
      </c>
      <c r="EN595" s="33" t="s">
        <v>446</v>
      </c>
      <c r="EY595" s="33">
        <v>0.26419999999999999</v>
      </c>
      <c r="EZ595" s="33">
        <v>0.29049999999999998</v>
      </c>
      <c r="FC595" s="33" t="s">
        <v>445</v>
      </c>
      <c r="GM595" s="12"/>
      <c r="GQ595" s="12"/>
      <c r="IO595" s="33" t="s">
        <v>716</v>
      </c>
    </row>
    <row r="596" spans="1:249" s="33" customFormat="1" x14ac:dyDescent="0.25">
      <c r="A596" s="33">
        <v>30</v>
      </c>
      <c r="B596" s="33" t="s">
        <v>438</v>
      </c>
      <c r="C596" s="33" t="s">
        <v>439</v>
      </c>
      <c r="D596" s="33">
        <v>2002</v>
      </c>
      <c r="E596" s="33">
        <v>2000</v>
      </c>
      <c r="F596" s="33" t="s">
        <v>440</v>
      </c>
      <c r="G596" s="33" t="s">
        <v>441</v>
      </c>
      <c r="H596" s="32" t="s">
        <v>2831</v>
      </c>
      <c r="I596" s="33">
        <f t="shared" si="193"/>
        <v>38.533333333333331</v>
      </c>
      <c r="J596" s="33">
        <f t="shared" si="194"/>
        <v>-121.78333333333333</v>
      </c>
      <c r="K596" s="33">
        <v>18.399999999999999</v>
      </c>
      <c r="O596" s="33">
        <v>483</v>
      </c>
      <c r="Q596" s="47">
        <v>4</v>
      </c>
      <c r="R596" s="47" t="s">
        <v>1867</v>
      </c>
      <c r="S596" s="47"/>
      <c r="T596" s="47">
        <v>36587</v>
      </c>
      <c r="U596" s="47" t="s">
        <v>1399</v>
      </c>
      <c r="V596" s="47" t="s">
        <v>1730</v>
      </c>
      <c r="W596" s="47" t="s">
        <v>1399</v>
      </c>
      <c r="X596" s="47" t="s">
        <v>1421</v>
      </c>
      <c r="Z596" s="327">
        <v>36</v>
      </c>
      <c r="AA596" s="327">
        <v>46</v>
      </c>
      <c r="AB596" s="33" t="s">
        <v>140</v>
      </c>
      <c r="AF596" s="33" t="s">
        <v>1332</v>
      </c>
      <c r="AG596" s="33" t="s">
        <v>1537</v>
      </c>
      <c r="AH596" s="138" t="s">
        <v>578</v>
      </c>
      <c r="AI596" s="33" t="s">
        <v>1592</v>
      </c>
      <c r="AJ596" s="141" t="s">
        <v>1617</v>
      </c>
      <c r="AK596" s="33" t="s">
        <v>442</v>
      </c>
      <c r="AL596" s="33" t="s">
        <v>442</v>
      </c>
      <c r="AM596" s="33" t="s">
        <v>178</v>
      </c>
      <c r="AQ596" s="33" t="s">
        <v>369</v>
      </c>
      <c r="AR596" s="33" t="s">
        <v>443</v>
      </c>
      <c r="AS596" s="33" t="s">
        <v>503</v>
      </c>
      <c r="AT596" s="33" t="s">
        <v>120</v>
      </c>
      <c r="AU596" s="33">
        <v>4</v>
      </c>
      <c r="AW596" s="33" t="s">
        <v>336</v>
      </c>
      <c r="BA596" s="54"/>
      <c r="BM596" s="402"/>
      <c r="BN596" s="402"/>
      <c r="BR596" s="402"/>
      <c r="BS596" s="402"/>
      <c r="EJ596" s="33">
        <f>23.11/40*100</f>
        <v>57.774999999999999</v>
      </c>
      <c r="EK596" s="33">
        <f>1.48/40*100</f>
        <v>3.6999999999999997</v>
      </c>
      <c r="EN596" s="33" t="s">
        <v>446</v>
      </c>
      <c r="EY596" s="33">
        <v>0.26150000000000001</v>
      </c>
      <c r="EZ596" s="33">
        <v>0.28589999999999999</v>
      </c>
      <c r="FC596" s="33" t="s">
        <v>445</v>
      </c>
      <c r="GM596" s="12"/>
      <c r="GQ596" s="12"/>
      <c r="IO596" s="33" t="s">
        <v>716</v>
      </c>
    </row>
    <row r="597" spans="1:249" s="33" customFormat="1" x14ac:dyDescent="0.25">
      <c r="A597" s="33">
        <v>30</v>
      </c>
      <c r="B597" s="33" t="s">
        <v>438</v>
      </c>
      <c r="C597" s="33" t="s">
        <v>439</v>
      </c>
      <c r="D597" s="33">
        <v>2002</v>
      </c>
      <c r="E597" s="33">
        <v>2000</v>
      </c>
      <c r="F597" s="33" t="s">
        <v>440</v>
      </c>
      <c r="G597" s="33" t="s">
        <v>441</v>
      </c>
      <c r="H597" s="32" t="s">
        <v>2831</v>
      </c>
      <c r="I597" s="33">
        <f t="shared" si="193"/>
        <v>38.533333333333331</v>
      </c>
      <c r="J597" s="33">
        <f t="shared" si="194"/>
        <v>-121.78333333333333</v>
      </c>
      <c r="K597" s="33">
        <v>18.399999999999999</v>
      </c>
      <c r="O597" s="33">
        <v>483</v>
      </c>
      <c r="Q597" s="47">
        <v>4</v>
      </c>
      <c r="R597" s="47" t="s">
        <v>1867</v>
      </c>
      <c r="S597" s="47"/>
      <c r="T597" s="47">
        <v>36587</v>
      </c>
      <c r="U597" s="47" t="s">
        <v>1399</v>
      </c>
      <c r="V597" s="47" t="s">
        <v>1730</v>
      </c>
      <c r="W597" s="47" t="s">
        <v>1399</v>
      </c>
      <c r="X597" s="47" t="s">
        <v>1421</v>
      </c>
      <c r="Z597" s="327">
        <v>36</v>
      </c>
      <c r="AA597" s="327">
        <v>46</v>
      </c>
      <c r="AB597" s="33" t="s">
        <v>140</v>
      </c>
      <c r="AF597" s="33" t="s">
        <v>1332</v>
      </c>
      <c r="AG597" s="33" t="s">
        <v>1537</v>
      </c>
      <c r="AH597" s="138" t="s">
        <v>578</v>
      </c>
      <c r="AI597" s="33" t="s">
        <v>1592</v>
      </c>
      <c r="AJ597" s="141" t="s">
        <v>1617</v>
      </c>
      <c r="AK597" s="33" t="s">
        <v>442</v>
      </c>
      <c r="AL597" s="33" t="s">
        <v>442</v>
      </c>
      <c r="AM597" s="33" t="s">
        <v>178</v>
      </c>
      <c r="AQ597" s="33" t="s">
        <v>369</v>
      </c>
      <c r="AR597" s="33" t="s">
        <v>444</v>
      </c>
      <c r="AS597" s="33" t="s">
        <v>503</v>
      </c>
      <c r="AT597" s="33" t="s">
        <v>120</v>
      </c>
      <c r="AU597" s="33">
        <v>4</v>
      </c>
      <c r="AW597" s="33" t="s">
        <v>336</v>
      </c>
      <c r="BA597" s="54"/>
      <c r="BM597" s="402"/>
      <c r="BN597" s="402"/>
      <c r="BR597" s="402"/>
      <c r="BS597" s="402"/>
      <c r="EJ597" s="33">
        <f>23.11/40*100</f>
        <v>57.774999999999999</v>
      </c>
      <c r="EK597" s="33">
        <f>2.56/40*100</f>
        <v>6.4</v>
      </c>
      <c r="EN597" s="33" t="s">
        <v>446</v>
      </c>
      <c r="EY597" s="33">
        <v>0.26150000000000001</v>
      </c>
      <c r="EZ597" s="33">
        <v>0.2913</v>
      </c>
      <c r="FC597" s="33" t="s">
        <v>445</v>
      </c>
      <c r="GM597" s="12"/>
      <c r="GQ597" s="12"/>
      <c r="IO597" s="33" t="s">
        <v>716</v>
      </c>
    </row>
    <row r="598" spans="1:249" s="33" customFormat="1" x14ac:dyDescent="0.25">
      <c r="A598" s="33">
        <v>30</v>
      </c>
      <c r="B598" s="33" t="s">
        <v>438</v>
      </c>
      <c r="C598" s="33" t="s">
        <v>439</v>
      </c>
      <c r="D598" s="33">
        <v>2002</v>
      </c>
      <c r="E598" s="33">
        <v>2000</v>
      </c>
      <c r="F598" s="33" t="s">
        <v>440</v>
      </c>
      <c r="G598" s="33" t="s">
        <v>441</v>
      </c>
      <c r="H598" s="32" t="s">
        <v>2831</v>
      </c>
      <c r="I598" s="33">
        <f t="shared" si="193"/>
        <v>38.533333333333331</v>
      </c>
      <c r="J598" s="33">
        <f t="shared" si="194"/>
        <v>-121.78333333333333</v>
      </c>
      <c r="K598" s="33">
        <v>18.399999999999999</v>
      </c>
      <c r="O598" s="33">
        <v>483</v>
      </c>
      <c r="Q598" s="47">
        <v>4</v>
      </c>
      <c r="R598" s="47" t="s">
        <v>1867</v>
      </c>
      <c r="S598" s="47"/>
      <c r="T598" s="47">
        <v>36598</v>
      </c>
      <c r="U598" s="47" t="s">
        <v>1399</v>
      </c>
      <c r="V598" s="47" t="s">
        <v>1730</v>
      </c>
      <c r="W598" s="47" t="s">
        <v>1399</v>
      </c>
      <c r="X598" s="47" t="s">
        <v>1421</v>
      </c>
      <c r="Z598" s="327">
        <v>36</v>
      </c>
      <c r="AA598" s="327">
        <v>46</v>
      </c>
      <c r="AB598" s="33" t="s">
        <v>140</v>
      </c>
      <c r="AF598" s="33" t="s">
        <v>1332</v>
      </c>
      <c r="AG598" s="33" t="s">
        <v>1537</v>
      </c>
      <c r="AH598" s="138" t="s">
        <v>578</v>
      </c>
      <c r="AI598" s="33" t="s">
        <v>1592</v>
      </c>
      <c r="AJ598" s="141" t="s">
        <v>1617</v>
      </c>
      <c r="AK598" s="33" t="s">
        <v>442</v>
      </c>
      <c r="AL598" s="33" t="s">
        <v>442</v>
      </c>
      <c r="AM598" s="33" t="s">
        <v>178</v>
      </c>
      <c r="AQ598" s="33" t="s">
        <v>369</v>
      </c>
      <c r="AR598" s="33" t="s">
        <v>443</v>
      </c>
      <c r="AS598" s="33" t="s">
        <v>503</v>
      </c>
      <c r="AT598" s="33" t="s">
        <v>120</v>
      </c>
      <c r="AU598" s="33">
        <v>4</v>
      </c>
      <c r="AW598" s="33" t="s">
        <v>336</v>
      </c>
      <c r="BA598" s="54"/>
      <c r="BM598" s="402"/>
      <c r="BN598" s="402"/>
      <c r="BR598" s="402"/>
      <c r="BS598" s="402"/>
      <c r="EJ598" s="33">
        <f>30.62/51.6*100</f>
        <v>59.34108527131783</v>
      </c>
      <c r="EK598" s="33">
        <f>4.93/51.6*100</f>
        <v>9.5542635658914712</v>
      </c>
      <c r="EN598" s="33" t="s">
        <v>446</v>
      </c>
      <c r="EY598" s="33">
        <v>0.24779999999999999</v>
      </c>
      <c r="EZ598" s="33">
        <v>0.25690000000000002</v>
      </c>
      <c r="FC598" s="33" t="s">
        <v>445</v>
      </c>
      <c r="GM598" s="12"/>
      <c r="GQ598" s="12"/>
      <c r="IO598" s="33" t="s">
        <v>716</v>
      </c>
    </row>
    <row r="599" spans="1:249" s="33" customFormat="1" x14ac:dyDescent="0.25">
      <c r="A599" s="33">
        <v>30</v>
      </c>
      <c r="B599" s="33" t="s">
        <v>438</v>
      </c>
      <c r="C599" s="33" t="s">
        <v>439</v>
      </c>
      <c r="D599" s="33">
        <v>2002</v>
      </c>
      <c r="E599" s="33">
        <v>2000</v>
      </c>
      <c r="F599" s="33" t="s">
        <v>440</v>
      </c>
      <c r="G599" s="33" t="s">
        <v>441</v>
      </c>
      <c r="H599" s="32" t="s">
        <v>2831</v>
      </c>
      <c r="I599" s="33">
        <f t="shared" si="193"/>
        <v>38.533333333333331</v>
      </c>
      <c r="J599" s="33">
        <f t="shared" si="194"/>
        <v>-121.78333333333333</v>
      </c>
      <c r="K599" s="33">
        <v>18.399999999999999</v>
      </c>
      <c r="O599" s="33">
        <v>483</v>
      </c>
      <c r="Q599" s="47">
        <v>4</v>
      </c>
      <c r="R599" s="47" t="s">
        <v>1867</v>
      </c>
      <c r="S599" s="47"/>
      <c r="T599" s="47">
        <v>36598</v>
      </c>
      <c r="U599" s="47" t="s">
        <v>1399</v>
      </c>
      <c r="V599" s="47" t="s">
        <v>1730</v>
      </c>
      <c r="W599" s="47" t="s">
        <v>1399</v>
      </c>
      <c r="X599" s="47" t="s">
        <v>1421</v>
      </c>
      <c r="Z599" s="327">
        <v>36</v>
      </c>
      <c r="AA599" s="327">
        <v>46</v>
      </c>
      <c r="AB599" s="33" t="s">
        <v>140</v>
      </c>
      <c r="AF599" s="33" t="s">
        <v>1332</v>
      </c>
      <c r="AG599" s="33" t="s">
        <v>1537</v>
      </c>
      <c r="AH599" s="138" t="s">
        <v>578</v>
      </c>
      <c r="AI599" s="33" t="s">
        <v>1592</v>
      </c>
      <c r="AJ599" s="141" t="s">
        <v>1617</v>
      </c>
      <c r="AK599" s="33" t="s">
        <v>442</v>
      </c>
      <c r="AL599" s="33" t="s">
        <v>442</v>
      </c>
      <c r="AM599" s="33" t="s">
        <v>178</v>
      </c>
      <c r="AQ599" s="33" t="s">
        <v>369</v>
      </c>
      <c r="AR599" s="33" t="s">
        <v>444</v>
      </c>
      <c r="AS599" s="33" t="s">
        <v>503</v>
      </c>
      <c r="AT599" s="33" t="s">
        <v>120</v>
      </c>
      <c r="AU599" s="33">
        <v>4</v>
      </c>
      <c r="AW599" s="33" t="s">
        <v>336</v>
      </c>
      <c r="BA599" s="54"/>
      <c r="BM599" s="402"/>
      <c r="BN599" s="402"/>
      <c r="BR599" s="402"/>
      <c r="BS599" s="402"/>
      <c r="EJ599" s="33">
        <f>30.62/51.6*100</f>
        <v>59.34108527131783</v>
      </c>
      <c r="EK599" s="33">
        <f>6.03/51.6*100</f>
        <v>11.686046511627907</v>
      </c>
      <c r="EN599" s="33" t="s">
        <v>446</v>
      </c>
      <c r="EY599" s="33">
        <v>0.24779999999999999</v>
      </c>
      <c r="EZ599" s="33">
        <v>0.2641</v>
      </c>
      <c r="FC599" s="33" t="s">
        <v>445</v>
      </c>
      <c r="GM599" s="12"/>
      <c r="GQ599" s="12"/>
      <c r="IO599" s="33" t="s">
        <v>716</v>
      </c>
    </row>
    <row r="600" spans="1:249" s="21" customFormat="1" x14ac:dyDescent="0.25">
      <c r="A600" s="21">
        <v>30</v>
      </c>
      <c r="B600" s="21" t="s">
        <v>438</v>
      </c>
      <c r="C600" s="21" t="s">
        <v>439</v>
      </c>
      <c r="D600" s="21">
        <v>2002</v>
      </c>
      <c r="E600" s="21">
        <v>1998</v>
      </c>
      <c r="F600" s="21" t="s">
        <v>440</v>
      </c>
      <c r="G600" s="21" t="s">
        <v>441</v>
      </c>
      <c r="H600" s="32" t="s">
        <v>2831</v>
      </c>
      <c r="I600" s="21">
        <f t="shared" ref="I600:I631" si="195">38+32/60</f>
        <v>38.533333333333331</v>
      </c>
      <c r="J600" s="21">
        <f t="shared" ref="J600:J631" si="196">-121-47/60</f>
        <v>-121.78333333333333</v>
      </c>
      <c r="K600" s="21">
        <v>18.399999999999999</v>
      </c>
      <c r="O600" s="21">
        <v>483</v>
      </c>
      <c r="Q600" s="43">
        <v>2</v>
      </c>
      <c r="R600" s="43" t="s">
        <v>1867</v>
      </c>
      <c r="S600" s="43"/>
      <c r="T600" s="43">
        <v>36145</v>
      </c>
      <c r="U600" s="43" t="s">
        <v>1400</v>
      </c>
      <c r="V600" s="43" t="s">
        <v>1731</v>
      </c>
      <c r="W600" s="43" t="s">
        <v>1399</v>
      </c>
      <c r="X600" s="43" t="s">
        <v>1421</v>
      </c>
      <c r="Z600" s="322">
        <v>36</v>
      </c>
      <c r="AA600" s="322">
        <v>46</v>
      </c>
      <c r="AB600" s="21" t="s">
        <v>140</v>
      </c>
      <c r="AF600" s="21" t="s">
        <v>1332</v>
      </c>
      <c r="AG600" s="21" t="s">
        <v>1537</v>
      </c>
      <c r="AH600" s="138" t="s">
        <v>578</v>
      </c>
      <c r="AI600" s="21" t="s">
        <v>1592</v>
      </c>
      <c r="AJ600" s="141" t="s">
        <v>1617</v>
      </c>
      <c r="AK600" s="21" t="s">
        <v>442</v>
      </c>
      <c r="AL600" s="21" t="s">
        <v>442</v>
      </c>
      <c r="AM600" s="21" t="s">
        <v>178</v>
      </c>
      <c r="AQ600" s="21" t="s">
        <v>369</v>
      </c>
      <c r="AR600" s="21" t="s">
        <v>443</v>
      </c>
      <c r="AS600" s="21" t="s">
        <v>503</v>
      </c>
      <c r="AT600" s="21" t="s">
        <v>120</v>
      </c>
      <c r="AU600" s="21">
        <v>4</v>
      </c>
      <c r="AW600" s="21" t="s">
        <v>336</v>
      </c>
      <c r="BA600" s="54"/>
      <c r="BM600" s="396"/>
      <c r="BN600" s="396"/>
      <c r="BR600" s="396"/>
      <c r="BS600" s="396"/>
      <c r="EJ600" s="21">
        <f>3.18/9.4*100</f>
        <v>33.829787234042556</v>
      </c>
      <c r="EK600" s="21">
        <f>0.69/9.4*100</f>
        <v>7.3404255319148932</v>
      </c>
      <c r="EN600" s="21" t="s">
        <v>446</v>
      </c>
      <c r="EY600" s="21">
        <v>0.11459999999999999</v>
      </c>
      <c r="EZ600" s="21">
        <v>0.11269999999999999</v>
      </c>
      <c r="FC600" s="21" t="s">
        <v>445</v>
      </c>
      <c r="GM600" s="12"/>
      <c r="GQ600" s="12"/>
      <c r="IO600" s="21" t="s">
        <v>716</v>
      </c>
    </row>
    <row r="601" spans="1:249" s="21" customFormat="1" x14ac:dyDescent="0.25">
      <c r="A601" s="21">
        <v>30</v>
      </c>
      <c r="B601" s="21" t="s">
        <v>438</v>
      </c>
      <c r="C601" s="21" t="s">
        <v>439</v>
      </c>
      <c r="D601" s="21">
        <v>2002</v>
      </c>
      <c r="E601" s="21">
        <v>1998</v>
      </c>
      <c r="F601" s="21" t="s">
        <v>440</v>
      </c>
      <c r="G601" s="21" t="s">
        <v>441</v>
      </c>
      <c r="H601" s="32" t="s">
        <v>2831</v>
      </c>
      <c r="I601" s="21">
        <f t="shared" si="195"/>
        <v>38.533333333333331</v>
      </c>
      <c r="J601" s="21">
        <f t="shared" si="196"/>
        <v>-121.78333333333333</v>
      </c>
      <c r="K601" s="21">
        <v>18.399999999999999</v>
      </c>
      <c r="O601" s="21">
        <v>483</v>
      </c>
      <c r="Q601" s="43">
        <v>2</v>
      </c>
      <c r="R601" s="43" t="s">
        <v>1867</v>
      </c>
      <c r="S601" s="43"/>
      <c r="T601" s="43">
        <v>36145</v>
      </c>
      <c r="U601" s="43" t="s">
        <v>1400</v>
      </c>
      <c r="V601" s="43" t="s">
        <v>1731</v>
      </c>
      <c r="W601" s="43" t="s">
        <v>1399</v>
      </c>
      <c r="X601" s="43" t="s">
        <v>1421</v>
      </c>
      <c r="Z601" s="322">
        <v>36</v>
      </c>
      <c r="AA601" s="322">
        <v>46</v>
      </c>
      <c r="AB601" s="21" t="s">
        <v>140</v>
      </c>
      <c r="AF601" s="21" t="s">
        <v>1332</v>
      </c>
      <c r="AG601" s="21" t="s">
        <v>1537</v>
      </c>
      <c r="AH601" s="138" t="s">
        <v>578</v>
      </c>
      <c r="AI601" s="21" t="s">
        <v>1592</v>
      </c>
      <c r="AJ601" s="141" t="s">
        <v>1617</v>
      </c>
      <c r="AK601" s="21" t="s">
        <v>442</v>
      </c>
      <c r="AL601" s="21" t="s">
        <v>442</v>
      </c>
      <c r="AM601" s="21" t="s">
        <v>178</v>
      </c>
      <c r="AQ601" s="21" t="s">
        <v>369</v>
      </c>
      <c r="AR601" s="21" t="s">
        <v>444</v>
      </c>
      <c r="AS601" s="21" t="s">
        <v>503</v>
      </c>
      <c r="AT601" s="21" t="s">
        <v>120</v>
      </c>
      <c r="AU601" s="21">
        <v>4</v>
      </c>
      <c r="AW601" s="21" t="s">
        <v>336</v>
      </c>
      <c r="BA601" s="54"/>
      <c r="BM601" s="396"/>
      <c r="BN601" s="396"/>
      <c r="BR601" s="396"/>
      <c r="BS601" s="396"/>
      <c r="EJ601" s="21">
        <f>3.18/9.4*100</f>
        <v>33.829787234042556</v>
      </c>
      <c r="EK601" s="21">
        <f>0.22/9.4*100</f>
        <v>2.3404255319148937</v>
      </c>
      <c r="EN601" s="21" t="s">
        <v>446</v>
      </c>
      <c r="EY601" s="21">
        <v>0.11459999999999999</v>
      </c>
      <c r="EZ601" s="21">
        <v>0.114</v>
      </c>
      <c r="FC601" s="21" t="s">
        <v>445</v>
      </c>
      <c r="GM601" s="12"/>
      <c r="GQ601" s="12"/>
      <c r="IO601" s="21" t="s">
        <v>716</v>
      </c>
    </row>
    <row r="602" spans="1:249" s="21" customFormat="1" x14ac:dyDescent="0.25">
      <c r="A602" s="21">
        <v>30</v>
      </c>
      <c r="B602" s="21" t="s">
        <v>438</v>
      </c>
      <c r="C602" s="21" t="s">
        <v>439</v>
      </c>
      <c r="D602" s="21">
        <v>2002</v>
      </c>
      <c r="E602" s="21">
        <v>1999</v>
      </c>
      <c r="F602" s="21" t="s">
        <v>440</v>
      </c>
      <c r="G602" s="21" t="s">
        <v>441</v>
      </c>
      <c r="H602" s="32" t="s">
        <v>2831</v>
      </c>
      <c r="I602" s="21">
        <f t="shared" si="195"/>
        <v>38.533333333333331</v>
      </c>
      <c r="J602" s="21">
        <f t="shared" si="196"/>
        <v>-121.78333333333333</v>
      </c>
      <c r="K602" s="21">
        <v>18.399999999999999</v>
      </c>
      <c r="O602" s="21">
        <v>483</v>
      </c>
      <c r="Q602" s="43">
        <v>3</v>
      </c>
      <c r="R602" s="43" t="s">
        <v>1867</v>
      </c>
      <c r="S602" s="43"/>
      <c r="T602" s="43">
        <v>36170</v>
      </c>
      <c r="U602" s="43" t="s">
        <v>1400</v>
      </c>
      <c r="V602" s="43" t="s">
        <v>1731</v>
      </c>
      <c r="W602" s="43" t="s">
        <v>1399</v>
      </c>
      <c r="X602" s="43" t="s">
        <v>1421</v>
      </c>
      <c r="Z602" s="322">
        <v>36</v>
      </c>
      <c r="AA602" s="322">
        <v>46</v>
      </c>
      <c r="AB602" s="21" t="s">
        <v>140</v>
      </c>
      <c r="AF602" s="21" t="s">
        <v>1332</v>
      </c>
      <c r="AG602" s="21" t="s">
        <v>1537</v>
      </c>
      <c r="AH602" s="138" t="s">
        <v>578</v>
      </c>
      <c r="AI602" s="21" t="s">
        <v>1592</v>
      </c>
      <c r="AJ602" s="141" t="s">
        <v>1617</v>
      </c>
      <c r="AK602" s="21" t="s">
        <v>442</v>
      </c>
      <c r="AL602" s="21" t="s">
        <v>442</v>
      </c>
      <c r="AM602" s="21" t="s">
        <v>178</v>
      </c>
      <c r="AQ602" s="21" t="s">
        <v>369</v>
      </c>
      <c r="AR602" s="21" t="s">
        <v>443</v>
      </c>
      <c r="AS602" s="21" t="s">
        <v>503</v>
      </c>
      <c r="AT602" s="21" t="s">
        <v>120</v>
      </c>
      <c r="AU602" s="21">
        <v>4</v>
      </c>
      <c r="AW602" s="21" t="s">
        <v>336</v>
      </c>
      <c r="BA602" s="54"/>
      <c r="BM602" s="396"/>
      <c r="BN602" s="396"/>
      <c r="BR602" s="396"/>
      <c r="BS602" s="396"/>
      <c r="EJ602" s="21">
        <f>0.61/2.1*100</f>
        <v>29.047619047619044</v>
      </c>
      <c r="EK602" s="21">
        <f>0.3/2.1*100</f>
        <v>14.285714285714285</v>
      </c>
      <c r="EN602" s="21" t="s">
        <v>446</v>
      </c>
      <c r="EY602" s="21">
        <v>0.1154</v>
      </c>
      <c r="EZ602" s="21">
        <v>0.15540000000000001</v>
      </c>
      <c r="FC602" s="21" t="s">
        <v>445</v>
      </c>
      <c r="GM602" s="12"/>
      <c r="GQ602" s="12"/>
      <c r="IO602" s="21" t="s">
        <v>716</v>
      </c>
    </row>
    <row r="603" spans="1:249" s="21" customFormat="1" x14ac:dyDescent="0.25">
      <c r="A603" s="21">
        <v>30</v>
      </c>
      <c r="B603" s="21" t="s">
        <v>438</v>
      </c>
      <c r="C603" s="21" t="s">
        <v>439</v>
      </c>
      <c r="D603" s="21">
        <v>2002</v>
      </c>
      <c r="E603" s="21">
        <v>1999</v>
      </c>
      <c r="F603" s="21" t="s">
        <v>440</v>
      </c>
      <c r="G603" s="21" t="s">
        <v>441</v>
      </c>
      <c r="H603" s="32" t="s">
        <v>2831</v>
      </c>
      <c r="I603" s="21">
        <f t="shared" si="195"/>
        <v>38.533333333333331</v>
      </c>
      <c r="J603" s="21">
        <f t="shared" si="196"/>
        <v>-121.78333333333333</v>
      </c>
      <c r="K603" s="21">
        <v>18.399999999999999</v>
      </c>
      <c r="O603" s="21">
        <v>483</v>
      </c>
      <c r="Q603" s="43">
        <v>3</v>
      </c>
      <c r="R603" s="43" t="s">
        <v>1867</v>
      </c>
      <c r="S603" s="43"/>
      <c r="T603" s="43">
        <v>36170</v>
      </c>
      <c r="U603" s="43" t="s">
        <v>1400</v>
      </c>
      <c r="V603" s="43" t="s">
        <v>1731</v>
      </c>
      <c r="W603" s="43" t="s">
        <v>1399</v>
      </c>
      <c r="X603" s="43" t="s">
        <v>1421</v>
      </c>
      <c r="Z603" s="322">
        <v>36</v>
      </c>
      <c r="AA603" s="322">
        <v>46</v>
      </c>
      <c r="AB603" s="21" t="s">
        <v>140</v>
      </c>
      <c r="AF603" s="21" t="s">
        <v>1332</v>
      </c>
      <c r="AG603" s="21" t="s">
        <v>1537</v>
      </c>
      <c r="AH603" s="138" t="s">
        <v>578</v>
      </c>
      <c r="AI603" s="21" t="s">
        <v>1592</v>
      </c>
      <c r="AJ603" s="141" t="s">
        <v>1617</v>
      </c>
      <c r="AK603" s="21" t="s">
        <v>442</v>
      </c>
      <c r="AL603" s="21" t="s">
        <v>442</v>
      </c>
      <c r="AM603" s="21" t="s">
        <v>178</v>
      </c>
      <c r="AQ603" s="21" t="s">
        <v>369</v>
      </c>
      <c r="AR603" s="21" t="s">
        <v>444</v>
      </c>
      <c r="AS603" s="21" t="s">
        <v>503</v>
      </c>
      <c r="AT603" s="21" t="s">
        <v>120</v>
      </c>
      <c r="AU603" s="21">
        <v>4</v>
      </c>
      <c r="AW603" s="21" t="s">
        <v>336</v>
      </c>
      <c r="BA603" s="54"/>
      <c r="BM603" s="396"/>
      <c r="BN603" s="396"/>
      <c r="BR603" s="396"/>
      <c r="BS603" s="396"/>
      <c r="EJ603" s="21">
        <f>0.61/2.1*100</f>
        <v>29.047619047619044</v>
      </c>
      <c r="EK603" s="21">
        <f>0.34/2.1*100</f>
        <v>16.19047619047619</v>
      </c>
      <c r="EN603" s="21" t="s">
        <v>446</v>
      </c>
      <c r="EY603" s="21">
        <v>0.1154</v>
      </c>
      <c r="EZ603" s="21">
        <v>0.15540000000000001</v>
      </c>
      <c r="FC603" s="21" t="s">
        <v>445</v>
      </c>
      <c r="GM603" s="12"/>
      <c r="GQ603" s="12"/>
      <c r="IO603" s="21" t="s">
        <v>716</v>
      </c>
    </row>
    <row r="604" spans="1:249" s="21" customFormat="1" x14ac:dyDescent="0.25">
      <c r="A604" s="21">
        <v>30</v>
      </c>
      <c r="B604" s="21" t="s">
        <v>438</v>
      </c>
      <c r="C604" s="21" t="s">
        <v>439</v>
      </c>
      <c r="D604" s="21">
        <v>2002</v>
      </c>
      <c r="E604" s="21">
        <v>1999</v>
      </c>
      <c r="F604" s="21" t="s">
        <v>440</v>
      </c>
      <c r="G604" s="21" t="s">
        <v>441</v>
      </c>
      <c r="H604" s="32" t="s">
        <v>2831</v>
      </c>
      <c r="I604" s="21">
        <f t="shared" si="195"/>
        <v>38.533333333333331</v>
      </c>
      <c r="J604" s="21">
        <f t="shared" si="196"/>
        <v>-121.78333333333333</v>
      </c>
      <c r="K604" s="21">
        <v>18.399999999999999</v>
      </c>
      <c r="O604" s="21">
        <v>483</v>
      </c>
      <c r="Q604" s="43">
        <v>3</v>
      </c>
      <c r="R604" s="43" t="s">
        <v>1867</v>
      </c>
      <c r="S604" s="43"/>
      <c r="T604" s="43">
        <v>36187</v>
      </c>
      <c r="U604" s="43" t="s">
        <v>1400</v>
      </c>
      <c r="V604" s="43" t="s">
        <v>1731</v>
      </c>
      <c r="W604" s="43" t="s">
        <v>1399</v>
      </c>
      <c r="X604" s="43" t="s">
        <v>1421</v>
      </c>
      <c r="Z604" s="322">
        <v>36</v>
      </c>
      <c r="AA604" s="322">
        <v>46</v>
      </c>
      <c r="AB604" s="21" t="s">
        <v>140</v>
      </c>
      <c r="AF604" s="21" t="s">
        <v>1332</v>
      </c>
      <c r="AG604" s="21" t="s">
        <v>1537</v>
      </c>
      <c r="AH604" s="138" t="s">
        <v>578</v>
      </c>
      <c r="AI604" s="21" t="s">
        <v>1592</v>
      </c>
      <c r="AJ604" s="141" t="s">
        <v>1617</v>
      </c>
      <c r="AK604" s="21" t="s">
        <v>442</v>
      </c>
      <c r="AL604" s="21" t="s">
        <v>442</v>
      </c>
      <c r="AM604" s="21" t="s">
        <v>178</v>
      </c>
      <c r="AQ604" s="21" t="s">
        <v>369</v>
      </c>
      <c r="AR604" s="21" t="s">
        <v>443</v>
      </c>
      <c r="AS604" s="21" t="s">
        <v>503</v>
      </c>
      <c r="AT604" s="21" t="s">
        <v>120</v>
      </c>
      <c r="AU604" s="21">
        <v>4</v>
      </c>
      <c r="AW604" s="21" t="s">
        <v>336</v>
      </c>
      <c r="BA604" s="54"/>
      <c r="BM604" s="396"/>
      <c r="BN604" s="396"/>
      <c r="BR604" s="396"/>
      <c r="BS604" s="396"/>
      <c r="EJ604" s="21">
        <f>10.71/19.8*100</f>
        <v>54.090909090909086</v>
      </c>
      <c r="EK604" s="21">
        <f>3.42/19.8*100</f>
        <v>17.272727272727273</v>
      </c>
      <c r="EN604" s="21" t="s">
        <v>446</v>
      </c>
      <c r="EY604" s="21">
        <v>0.11890000000000001</v>
      </c>
      <c r="EZ604" s="21">
        <v>0.1174</v>
      </c>
      <c r="FC604" s="21" t="s">
        <v>445</v>
      </c>
      <c r="GM604" s="12"/>
      <c r="GQ604" s="12"/>
      <c r="IO604" s="21" t="s">
        <v>716</v>
      </c>
    </row>
    <row r="605" spans="1:249" s="21" customFormat="1" x14ac:dyDescent="0.25">
      <c r="A605" s="21">
        <v>30</v>
      </c>
      <c r="B605" s="21" t="s">
        <v>438</v>
      </c>
      <c r="C605" s="21" t="s">
        <v>439</v>
      </c>
      <c r="D605" s="21">
        <v>2002</v>
      </c>
      <c r="E605" s="21">
        <v>1999</v>
      </c>
      <c r="F605" s="21" t="s">
        <v>440</v>
      </c>
      <c r="G605" s="21" t="s">
        <v>441</v>
      </c>
      <c r="H605" s="32" t="s">
        <v>2831</v>
      </c>
      <c r="I605" s="21">
        <f t="shared" si="195"/>
        <v>38.533333333333331</v>
      </c>
      <c r="J605" s="21">
        <f t="shared" si="196"/>
        <v>-121.78333333333333</v>
      </c>
      <c r="K605" s="21">
        <v>18.399999999999999</v>
      </c>
      <c r="O605" s="21">
        <v>483</v>
      </c>
      <c r="Q605" s="43">
        <v>3</v>
      </c>
      <c r="R605" s="43" t="s">
        <v>1867</v>
      </c>
      <c r="S605" s="43"/>
      <c r="T605" s="43">
        <v>36187</v>
      </c>
      <c r="U605" s="43" t="s">
        <v>1400</v>
      </c>
      <c r="V605" s="43" t="s">
        <v>1731</v>
      </c>
      <c r="W605" s="43" t="s">
        <v>1399</v>
      </c>
      <c r="X605" s="43" t="s">
        <v>1421</v>
      </c>
      <c r="Z605" s="322">
        <v>36</v>
      </c>
      <c r="AA605" s="322">
        <v>46</v>
      </c>
      <c r="AB605" s="21" t="s">
        <v>140</v>
      </c>
      <c r="AF605" s="21" t="s">
        <v>1332</v>
      </c>
      <c r="AG605" s="21" t="s">
        <v>1537</v>
      </c>
      <c r="AH605" s="138" t="s">
        <v>578</v>
      </c>
      <c r="AI605" s="21" t="s">
        <v>1592</v>
      </c>
      <c r="AJ605" s="141" t="s">
        <v>1617</v>
      </c>
      <c r="AK605" s="21" t="s">
        <v>442</v>
      </c>
      <c r="AL605" s="21" t="s">
        <v>442</v>
      </c>
      <c r="AM605" s="21" t="s">
        <v>178</v>
      </c>
      <c r="AQ605" s="21" t="s">
        <v>369</v>
      </c>
      <c r="AR605" s="21" t="s">
        <v>444</v>
      </c>
      <c r="AS605" s="21" t="s">
        <v>503</v>
      </c>
      <c r="AT605" s="21" t="s">
        <v>120</v>
      </c>
      <c r="AU605" s="21">
        <v>4</v>
      </c>
      <c r="AW605" s="21" t="s">
        <v>336</v>
      </c>
      <c r="BA605" s="54"/>
      <c r="BM605" s="396"/>
      <c r="BN605" s="396"/>
      <c r="BR605" s="396"/>
      <c r="BS605" s="396"/>
      <c r="EJ605" s="21">
        <f>10.71/19.8*100</f>
        <v>54.090909090909086</v>
      </c>
      <c r="EK605" s="21">
        <f>2.95/19.8*100</f>
        <v>14.8989898989899</v>
      </c>
      <c r="EN605" s="21" t="s">
        <v>446</v>
      </c>
      <c r="EY605" s="21">
        <v>0.11890000000000001</v>
      </c>
      <c r="EZ605" s="21">
        <v>0.1174</v>
      </c>
      <c r="FC605" s="21" t="s">
        <v>445</v>
      </c>
      <c r="GM605" s="12"/>
      <c r="GQ605" s="12"/>
      <c r="IO605" s="21" t="s">
        <v>716</v>
      </c>
    </row>
    <row r="606" spans="1:249" s="21" customFormat="1" x14ac:dyDescent="0.25">
      <c r="A606" s="21">
        <v>30</v>
      </c>
      <c r="B606" s="21" t="s">
        <v>438</v>
      </c>
      <c r="C606" s="21" t="s">
        <v>439</v>
      </c>
      <c r="D606" s="21">
        <v>2002</v>
      </c>
      <c r="E606" s="21">
        <v>1999</v>
      </c>
      <c r="F606" s="21" t="s">
        <v>440</v>
      </c>
      <c r="G606" s="21" t="s">
        <v>441</v>
      </c>
      <c r="H606" s="32" t="s">
        <v>2831</v>
      </c>
      <c r="I606" s="21">
        <f t="shared" si="195"/>
        <v>38.533333333333331</v>
      </c>
      <c r="J606" s="21">
        <f t="shared" si="196"/>
        <v>-121.78333333333333</v>
      </c>
      <c r="K606" s="21">
        <v>18.399999999999999</v>
      </c>
      <c r="O606" s="21">
        <v>483</v>
      </c>
      <c r="Q606" s="43">
        <v>3</v>
      </c>
      <c r="R606" s="43" t="s">
        <v>1867</v>
      </c>
      <c r="S606" s="43"/>
      <c r="T606" s="43">
        <v>36198</v>
      </c>
      <c r="U606" s="43" t="s">
        <v>1400</v>
      </c>
      <c r="V606" s="43" t="s">
        <v>1731</v>
      </c>
      <c r="W606" s="43" t="s">
        <v>1399</v>
      </c>
      <c r="X606" s="43" t="s">
        <v>1421</v>
      </c>
      <c r="Z606" s="322">
        <v>36</v>
      </c>
      <c r="AA606" s="322">
        <v>46</v>
      </c>
      <c r="AB606" s="21" t="s">
        <v>140</v>
      </c>
      <c r="AF606" s="21" t="s">
        <v>1332</v>
      </c>
      <c r="AG606" s="21" t="s">
        <v>1537</v>
      </c>
      <c r="AH606" s="138" t="s">
        <v>578</v>
      </c>
      <c r="AI606" s="21" t="s">
        <v>1592</v>
      </c>
      <c r="AJ606" s="141" t="s">
        <v>1617</v>
      </c>
      <c r="AK606" s="21" t="s">
        <v>442</v>
      </c>
      <c r="AL606" s="21" t="s">
        <v>442</v>
      </c>
      <c r="AM606" s="21" t="s">
        <v>178</v>
      </c>
      <c r="AQ606" s="21" t="s">
        <v>369</v>
      </c>
      <c r="AR606" s="21" t="s">
        <v>443</v>
      </c>
      <c r="AS606" s="21" t="s">
        <v>503</v>
      </c>
      <c r="AT606" s="21" t="s">
        <v>120</v>
      </c>
      <c r="AU606" s="21">
        <v>4</v>
      </c>
      <c r="AW606" s="21" t="s">
        <v>336</v>
      </c>
      <c r="BA606" s="54"/>
      <c r="BM606" s="396"/>
      <c r="BN606" s="396"/>
      <c r="BR606" s="396"/>
      <c r="BS606" s="396"/>
      <c r="EJ606" s="21">
        <f>8.71/15.5*100</f>
        <v>56.193548387096783</v>
      </c>
      <c r="EK606" s="21">
        <f>0.93/15.5*100</f>
        <v>6.0000000000000009</v>
      </c>
      <c r="EN606" s="21" t="s">
        <v>446</v>
      </c>
      <c r="EY606" s="21">
        <v>0.16980000000000001</v>
      </c>
      <c r="EZ606" s="21">
        <v>0.1479</v>
      </c>
      <c r="FC606" s="21" t="s">
        <v>445</v>
      </c>
      <c r="GM606" s="12"/>
      <c r="GQ606" s="12"/>
      <c r="IO606" s="21" t="s">
        <v>716</v>
      </c>
    </row>
    <row r="607" spans="1:249" s="21" customFormat="1" x14ac:dyDescent="0.25">
      <c r="A607" s="21">
        <v>30</v>
      </c>
      <c r="B607" s="21" t="s">
        <v>438</v>
      </c>
      <c r="C607" s="21" t="s">
        <v>439</v>
      </c>
      <c r="D607" s="21">
        <v>2002</v>
      </c>
      <c r="E607" s="21">
        <v>1999</v>
      </c>
      <c r="F607" s="21" t="s">
        <v>440</v>
      </c>
      <c r="G607" s="21" t="s">
        <v>441</v>
      </c>
      <c r="H607" s="32" t="s">
        <v>2831</v>
      </c>
      <c r="I607" s="21">
        <f t="shared" si="195"/>
        <v>38.533333333333331</v>
      </c>
      <c r="J607" s="21">
        <f t="shared" si="196"/>
        <v>-121.78333333333333</v>
      </c>
      <c r="K607" s="21">
        <v>18.399999999999999</v>
      </c>
      <c r="O607" s="21">
        <v>483</v>
      </c>
      <c r="Q607" s="43">
        <v>3</v>
      </c>
      <c r="R607" s="43" t="s">
        <v>1867</v>
      </c>
      <c r="S607" s="43"/>
      <c r="T607" s="43">
        <v>36198</v>
      </c>
      <c r="U607" s="43" t="s">
        <v>1400</v>
      </c>
      <c r="V607" s="43" t="s">
        <v>1731</v>
      </c>
      <c r="W607" s="43" t="s">
        <v>1399</v>
      </c>
      <c r="X607" s="43" t="s">
        <v>1421</v>
      </c>
      <c r="Z607" s="322">
        <v>36</v>
      </c>
      <c r="AA607" s="322">
        <v>46</v>
      </c>
      <c r="AB607" s="21" t="s">
        <v>140</v>
      </c>
      <c r="AF607" s="21" t="s">
        <v>1332</v>
      </c>
      <c r="AG607" s="21" t="s">
        <v>1537</v>
      </c>
      <c r="AH607" s="138" t="s">
        <v>578</v>
      </c>
      <c r="AI607" s="21" t="s">
        <v>1592</v>
      </c>
      <c r="AJ607" s="141" t="s">
        <v>1617</v>
      </c>
      <c r="AK607" s="21" t="s">
        <v>442</v>
      </c>
      <c r="AL607" s="21" t="s">
        <v>442</v>
      </c>
      <c r="AM607" s="21" t="s">
        <v>178</v>
      </c>
      <c r="AQ607" s="21" t="s">
        <v>369</v>
      </c>
      <c r="AR607" s="21" t="s">
        <v>444</v>
      </c>
      <c r="AS607" s="21" t="s">
        <v>503</v>
      </c>
      <c r="AT607" s="21" t="s">
        <v>120</v>
      </c>
      <c r="AU607" s="21">
        <v>4</v>
      </c>
      <c r="AW607" s="21" t="s">
        <v>336</v>
      </c>
      <c r="BA607" s="54"/>
      <c r="BM607" s="396"/>
      <c r="BN607" s="396"/>
      <c r="BR607" s="396"/>
      <c r="BS607" s="396"/>
      <c r="EJ607" s="21">
        <f>8.71/15.5*100</f>
        <v>56.193548387096783</v>
      </c>
      <c r="EK607" s="21">
        <f>0.67/15.5*100</f>
        <v>4.3225806451612909</v>
      </c>
      <c r="EN607" s="21" t="s">
        <v>446</v>
      </c>
      <c r="EY607" s="21">
        <v>0.16980000000000001</v>
      </c>
      <c r="EZ607" s="21">
        <v>0.13600000000000001</v>
      </c>
      <c r="FC607" s="21" t="s">
        <v>445</v>
      </c>
      <c r="GM607" s="12"/>
      <c r="GQ607" s="12"/>
      <c r="IO607" s="21" t="s">
        <v>716</v>
      </c>
    </row>
    <row r="608" spans="1:249" s="21" customFormat="1" x14ac:dyDescent="0.25">
      <c r="A608" s="21">
        <v>30</v>
      </c>
      <c r="B608" s="21" t="s">
        <v>438</v>
      </c>
      <c r="C608" s="21" t="s">
        <v>439</v>
      </c>
      <c r="D608" s="21">
        <v>2002</v>
      </c>
      <c r="E608" s="21">
        <v>1999</v>
      </c>
      <c r="F608" s="21" t="s">
        <v>440</v>
      </c>
      <c r="G608" s="21" t="s">
        <v>441</v>
      </c>
      <c r="H608" s="32" t="s">
        <v>2831</v>
      </c>
      <c r="I608" s="21">
        <f t="shared" si="195"/>
        <v>38.533333333333331</v>
      </c>
      <c r="J608" s="21">
        <f t="shared" si="196"/>
        <v>-121.78333333333333</v>
      </c>
      <c r="K608" s="21">
        <v>18.399999999999999</v>
      </c>
      <c r="O608" s="21">
        <v>483</v>
      </c>
      <c r="Q608" s="43">
        <v>3</v>
      </c>
      <c r="R608" s="43" t="s">
        <v>1867</v>
      </c>
      <c r="S608" s="43"/>
      <c r="T608" s="43">
        <v>36232</v>
      </c>
      <c r="U608" s="43" t="s">
        <v>1400</v>
      </c>
      <c r="V608" s="43" t="s">
        <v>1731</v>
      </c>
      <c r="W608" s="43" t="s">
        <v>1399</v>
      </c>
      <c r="X608" s="43" t="s">
        <v>1421</v>
      </c>
      <c r="Z608" s="322">
        <v>36</v>
      </c>
      <c r="AA608" s="322">
        <v>46</v>
      </c>
      <c r="AB608" s="21" t="s">
        <v>140</v>
      </c>
      <c r="AF608" s="21" t="s">
        <v>1332</v>
      </c>
      <c r="AG608" s="21" t="s">
        <v>1537</v>
      </c>
      <c r="AH608" s="138" t="s">
        <v>578</v>
      </c>
      <c r="AI608" s="21" t="s">
        <v>1592</v>
      </c>
      <c r="AJ608" s="141" t="s">
        <v>1617</v>
      </c>
      <c r="AK608" s="21" t="s">
        <v>442</v>
      </c>
      <c r="AL608" s="21" t="s">
        <v>442</v>
      </c>
      <c r="AM608" s="21" t="s">
        <v>178</v>
      </c>
      <c r="AQ608" s="21" t="s">
        <v>369</v>
      </c>
      <c r="AR608" s="21" t="s">
        <v>443</v>
      </c>
      <c r="AS608" s="21" t="s">
        <v>503</v>
      </c>
      <c r="AT608" s="21" t="s">
        <v>120</v>
      </c>
      <c r="AU608" s="21">
        <v>4</v>
      </c>
      <c r="AW608" s="21" t="s">
        <v>336</v>
      </c>
      <c r="BA608" s="54"/>
      <c r="BM608" s="396"/>
      <c r="BN608" s="396"/>
      <c r="BR608" s="396"/>
      <c r="BS608" s="396"/>
      <c r="EJ608" s="21">
        <f>101.24/232.3*100</f>
        <v>43.581575548859227</v>
      </c>
      <c r="EK608" s="21">
        <f>14.98/232.3*100</f>
        <v>6.4485578992681871</v>
      </c>
      <c r="EN608" s="21" t="s">
        <v>446</v>
      </c>
      <c r="EY608" s="21">
        <v>0.18060000000000001</v>
      </c>
      <c r="EZ608" s="21">
        <v>0.1696</v>
      </c>
      <c r="FC608" s="21" t="s">
        <v>445</v>
      </c>
      <c r="GM608" s="12"/>
      <c r="GQ608" s="12"/>
      <c r="IO608" s="21" t="s">
        <v>716</v>
      </c>
    </row>
    <row r="609" spans="1:249" s="21" customFormat="1" x14ac:dyDescent="0.25">
      <c r="A609" s="21">
        <v>30</v>
      </c>
      <c r="B609" s="21" t="s">
        <v>438</v>
      </c>
      <c r="C609" s="21" t="s">
        <v>439</v>
      </c>
      <c r="D609" s="21">
        <v>2002</v>
      </c>
      <c r="E609" s="21">
        <v>1999</v>
      </c>
      <c r="F609" s="21" t="s">
        <v>440</v>
      </c>
      <c r="G609" s="21" t="s">
        <v>441</v>
      </c>
      <c r="H609" s="32" t="s">
        <v>2831</v>
      </c>
      <c r="I609" s="21">
        <f t="shared" si="195"/>
        <v>38.533333333333331</v>
      </c>
      <c r="J609" s="21">
        <f t="shared" si="196"/>
        <v>-121.78333333333333</v>
      </c>
      <c r="K609" s="21">
        <v>18.399999999999999</v>
      </c>
      <c r="O609" s="21">
        <v>483</v>
      </c>
      <c r="Q609" s="43">
        <v>3</v>
      </c>
      <c r="R609" s="43" t="s">
        <v>1867</v>
      </c>
      <c r="S609" s="43"/>
      <c r="T609" s="43">
        <v>36232</v>
      </c>
      <c r="U609" s="43" t="s">
        <v>1400</v>
      </c>
      <c r="V609" s="43" t="s">
        <v>1731</v>
      </c>
      <c r="W609" s="43" t="s">
        <v>1399</v>
      </c>
      <c r="X609" s="43" t="s">
        <v>1421</v>
      </c>
      <c r="Z609" s="322">
        <v>36</v>
      </c>
      <c r="AA609" s="322">
        <v>46</v>
      </c>
      <c r="AB609" s="21" t="s">
        <v>140</v>
      </c>
      <c r="AF609" s="21" t="s">
        <v>1332</v>
      </c>
      <c r="AG609" s="21" t="s">
        <v>1537</v>
      </c>
      <c r="AH609" s="138" t="s">
        <v>578</v>
      </c>
      <c r="AI609" s="21" t="s">
        <v>1592</v>
      </c>
      <c r="AJ609" s="141" t="s">
        <v>1617</v>
      </c>
      <c r="AK609" s="21" t="s">
        <v>442</v>
      </c>
      <c r="AL609" s="21" t="s">
        <v>442</v>
      </c>
      <c r="AM609" s="21" t="s">
        <v>178</v>
      </c>
      <c r="AQ609" s="21" t="s">
        <v>369</v>
      </c>
      <c r="AR609" s="21" t="s">
        <v>444</v>
      </c>
      <c r="AS609" s="21" t="s">
        <v>503</v>
      </c>
      <c r="AT609" s="21" t="s">
        <v>120</v>
      </c>
      <c r="AU609" s="21">
        <v>4</v>
      </c>
      <c r="AW609" s="21" t="s">
        <v>336</v>
      </c>
      <c r="BA609" s="54"/>
      <c r="BM609" s="396"/>
      <c r="BN609" s="396"/>
      <c r="BR609" s="396"/>
      <c r="BS609" s="396"/>
      <c r="EJ609" s="21">
        <f>101.24/232.3*100</f>
        <v>43.581575548859227</v>
      </c>
      <c r="EK609" s="21">
        <f>15.92/232.3*100</f>
        <v>6.8532070598364179</v>
      </c>
      <c r="EN609" s="21" t="s">
        <v>446</v>
      </c>
      <c r="EY609" s="21">
        <v>0.18060000000000001</v>
      </c>
      <c r="EZ609" s="21">
        <v>0.1696</v>
      </c>
      <c r="FC609" s="21" t="s">
        <v>445</v>
      </c>
      <c r="GM609" s="12"/>
      <c r="GQ609" s="12"/>
      <c r="IO609" s="21" t="s">
        <v>716</v>
      </c>
    </row>
    <row r="610" spans="1:249" s="21" customFormat="1" x14ac:dyDescent="0.25">
      <c r="A610" s="21">
        <v>30</v>
      </c>
      <c r="B610" s="21" t="s">
        <v>438</v>
      </c>
      <c r="C610" s="21" t="s">
        <v>439</v>
      </c>
      <c r="D610" s="21">
        <v>2002</v>
      </c>
      <c r="E610" s="21">
        <v>1999</v>
      </c>
      <c r="F610" s="21" t="s">
        <v>440</v>
      </c>
      <c r="G610" s="21" t="s">
        <v>441</v>
      </c>
      <c r="H610" s="32" t="s">
        <v>2831</v>
      </c>
      <c r="I610" s="21">
        <f t="shared" si="195"/>
        <v>38.533333333333331</v>
      </c>
      <c r="J610" s="21">
        <f t="shared" si="196"/>
        <v>-121.78333333333333</v>
      </c>
      <c r="K610" s="21">
        <v>18.399999999999999</v>
      </c>
      <c r="O610" s="21">
        <v>483</v>
      </c>
      <c r="Q610" s="43">
        <v>3</v>
      </c>
      <c r="R610" s="43" t="s">
        <v>1867</v>
      </c>
      <c r="S610" s="43"/>
      <c r="T610" s="43">
        <v>36234</v>
      </c>
      <c r="U610" s="43" t="s">
        <v>1400</v>
      </c>
      <c r="V610" s="43" t="s">
        <v>1731</v>
      </c>
      <c r="W610" s="43" t="s">
        <v>1399</v>
      </c>
      <c r="X610" s="43" t="s">
        <v>1421</v>
      </c>
      <c r="Z610" s="322">
        <v>36</v>
      </c>
      <c r="AA610" s="322">
        <v>46</v>
      </c>
      <c r="AB610" s="21" t="s">
        <v>140</v>
      </c>
      <c r="AF610" s="21" t="s">
        <v>1332</v>
      </c>
      <c r="AG610" s="21" t="s">
        <v>1537</v>
      </c>
      <c r="AH610" s="138" t="s">
        <v>578</v>
      </c>
      <c r="AI610" s="21" t="s">
        <v>1592</v>
      </c>
      <c r="AJ610" s="141" t="s">
        <v>1617</v>
      </c>
      <c r="AK610" s="21" t="s">
        <v>442</v>
      </c>
      <c r="AL610" s="21" t="s">
        <v>442</v>
      </c>
      <c r="AM610" s="21" t="s">
        <v>178</v>
      </c>
      <c r="AQ610" s="21" t="s">
        <v>369</v>
      </c>
      <c r="AR610" s="21" t="s">
        <v>443</v>
      </c>
      <c r="AS610" s="21" t="s">
        <v>503</v>
      </c>
      <c r="AT610" s="21" t="s">
        <v>120</v>
      </c>
      <c r="AU610" s="21">
        <v>4</v>
      </c>
      <c r="AW610" s="21" t="s">
        <v>336</v>
      </c>
      <c r="BA610" s="54"/>
      <c r="BM610" s="396"/>
      <c r="BN610" s="396"/>
      <c r="BR610" s="396"/>
      <c r="BS610" s="396"/>
      <c r="EY610" s="21">
        <v>0.18329999999999999</v>
      </c>
      <c r="EZ610" s="21">
        <v>0.16689999999999999</v>
      </c>
      <c r="FC610" s="21" t="s">
        <v>445</v>
      </c>
      <c r="GM610" s="12"/>
      <c r="GQ610" s="12"/>
      <c r="IO610" s="21" t="s">
        <v>716</v>
      </c>
    </row>
    <row r="611" spans="1:249" s="21" customFormat="1" x14ac:dyDescent="0.25">
      <c r="A611" s="21">
        <v>30</v>
      </c>
      <c r="B611" s="21" t="s">
        <v>438</v>
      </c>
      <c r="C611" s="21" t="s">
        <v>439</v>
      </c>
      <c r="D611" s="21">
        <v>2002</v>
      </c>
      <c r="E611" s="21">
        <v>1999</v>
      </c>
      <c r="F611" s="21" t="s">
        <v>440</v>
      </c>
      <c r="G611" s="21" t="s">
        <v>441</v>
      </c>
      <c r="H611" s="32" t="s">
        <v>2831</v>
      </c>
      <c r="I611" s="21">
        <f t="shared" si="195"/>
        <v>38.533333333333331</v>
      </c>
      <c r="J611" s="21">
        <f t="shared" si="196"/>
        <v>-121.78333333333333</v>
      </c>
      <c r="K611" s="21">
        <v>18.399999999999999</v>
      </c>
      <c r="O611" s="21">
        <v>483</v>
      </c>
      <c r="Q611" s="43">
        <v>3</v>
      </c>
      <c r="R611" s="43" t="s">
        <v>1867</v>
      </c>
      <c r="S611" s="43"/>
      <c r="T611" s="43">
        <v>36234</v>
      </c>
      <c r="U611" s="43" t="s">
        <v>1400</v>
      </c>
      <c r="V611" s="43" t="s">
        <v>1731</v>
      </c>
      <c r="W611" s="43" t="s">
        <v>1399</v>
      </c>
      <c r="X611" s="43" t="s">
        <v>1421</v>
      </c>
      <c r="Z611" s="322">
        <v>36</v>
      </c>
      <c r="AA611" s="322">
        <v>46</v>
      </c>
      <c r="AB611" s="21" t="s">
        <v>140</v>
      </c>
      <c r="AF611" s="21" t="s">
        <v>1332</v>
      </c>
      <c r="AG611" s="21" t="s">
        <v>1537</v>
      </c>
      <c r="AH611" s="138" t="s">
        <v>578</v>
      </c>
      <c r="AI611" s="21" t="s">
        <v>1592</v>
      </c>
      <c r="AJ611" s="141" t="s">
        <v>1617</v>
      </c>
      <c r="AK611" s="21" t="s">
        <v>442</v>
      </c>
      <c r="AL611" s="21" t="s">
        <v>442</v>
      </c>
      <c r="AM611" s="21" t="s">
        <v>178</v>
      </c>
      <c r="AQ611" s="21" t="s">
        <v>369</v>
      </c>
      <c r="AR611" s="21" t="s">
        <v>444</v>
      </c>
      <c r="AS611" s="21" t="s">
        <v>503</v>
      </c>
      <c r="AT611" s="21" t="s">
        <v>120</v>
      </c>
      <c r="AU611" s="21">
        <v>4</v>
      </c>
      <c r="AW611" s="21" t="s">
        <v>336</v>
      </c>
      <c r="BA611" s="54"/>
      <c r="BM611" s="396"/>
      <c r="BN611" s="396"/>
      <c r="BR611" s="396"/>
      <c r="BS611" s="396"/>
      <c r="EY611" s="21">
        <v>0.18329999999999999</v>
      </c>
      <c r="EZ611" s="21">
        <v>0.16689999999999999</v>
      </c>
      <c r="FC611" s="21" t="s">
        <v>445</v>
      </c>
      <c r="GM611" s="12"/>
      <c r="GQ611" s="12"/>
      <c r="IO611" s="21" t="s">
        <v>716</v>
      </c>
    </row>
    <row r="612" spans="1:249" s="21" customFormat="1" x14ac:dyDescent="0.25">
      <c r="A612" s="21">
        <v>30</v>
      </c>
      <c r="B612" s="21" t="s">
        <v>438</v>
      </c>
      <c r="C612" s="21" t="s">
        <v>439</v>
      </c>
      <c r="D612" s="21">
        <v>2002</v>
      </c>
      <c r="E612" s="21">
        <v>1999</v>
      </c>
      <c r="F612" s="21" t="s">
        <v>440</v>
      </c>
      <c r="G612" s="21" t="s">
        <v>441</v>
      </c>
      <c r="H612" s="32" t="s">
        <v>2831</v>
      </c>
      <c r="I612" s="21">
        <f t="shared" si="195"/>
        <v>38.533333333333331</v>
      </c>
      <c r="J612" s="21">
        <f t="shared" si="196"/>
        <v>-121.78333333333333</v>
      </c>
      <c r="K612" s="21">
        <v>18.399999999999999</v>
      </c>
      <c r="O612" s="21">
        <v>483</v>
      </c>
      <c r="Q612" s="43">
        <v>3</v>
      </c>
      <c r="R612" s="43" t="s">
        <v>1867</v>
      </c>
      <c r="S612" s="43"/>
      <c r="T612" s="43">
        <v>36514</v>
      </c>
      <c r="U612" s="43" t="s">
        <v>1400</v>
      </c>
      <c r="V612" s="43" t="s">
        <v>1731</v>
      </c>
      <c r="W612" s="43" t="s">
        <v>1399</v>
      </c>
      <c r="X612" s="43" t="s">
        <v>1421</v>
      </c>
      <c r="Z612" s="322">
        <v>36</v>
      </c>
      <c r="AA612" s="322">
        <v>46</v>
      </c>
      <c r="AB612" s="21" t="s">
        <v>140</v>
      </c>
      <c r="AF612" s="21" t="s">
        <v>1332</v>
      </c>
      <c r="AG612" s="21" t="s">
        <v>1537</v>
      </c>
      <c r="AH612" s="138" t="s">
        <v>578</v>
      </c>
      <c r="AI612" s="21" t="s">
        <v>1592</v>
      </c>
      <c r="AJ612" s="141" t="s">
        <v>1617</v>
      </c>
      <c r="AK612" s="21" t="s">
        <v>442</v>
      </c>
      <c r="AL612" s="21" t="s">
        <v>442</v>
      </c>
      <c r="AM612" s="21" t="s">
        <v>178</v>
      </c>
      <c r="AQ612" s="21" t="s">
        <v>369</v>
      </c>
      <c r="AR612" s="21" t="s">
        <v>443</v>
      </c>
      <c r="AS612" s="21" t="s">
        <v>503</v>
      </c>
      <c r="AT612" s="21" t="s">
        <v>120</v>
      </c>
      <c r="AU612" s="21">
        <v>4</v>
      </c>
      <c r="AW612" s="21" t="s">
        <v>336</v>
      </c>
      <c r="BA612" s="54"/>
      <c r="BM612" s="396"/>
      <c r="BN612" s="396"/>
      <c r="BR612" s="396"/>
      <c r="BS612" s="396"/>
      <c r="EY612" s="21">
        <v>0.10920000000000001</v>
      </c>
      <c r="EZ612" s="21">
        <v>0.11459999999999999</v>
      </c>
      <c r="FC612" s="21" t="s">
        <v>445</v>
      </c>
      <c r="GM612" s="12"/>
      <c r="GQ612" s="12"/>
      <c r="IO612" s="21" t="s">
        <v>716</v>
      </c>
    </row>
    <row r="613" spans="1:249" s="21" customFormat="1" x14ac:dyDescent="0.25">
      <c r="A613" s="21">
        <v>30</v>
      </c>
      <c r="B613" s="21" t="s">
        <v>438</v>
      </c>
      <c r="C613" s="21" t="s">
        <v>439</v>
      </c>
      <c r="D613" s="21">
        <v>2002</v>
      </c>
      <c r="E613" s="21">
        <v>1999</v>
      </c>
      <c r="F613" s="21" t="s">
        <v>440</v>
      </c>
      <c r="G613" s="21" t="s">
        <v>441</v>
      </c>
      <c r="H613" s="32" t="s">
        <v>2831</v>
      </c>
      <c r="I613" s="21">
        <f t="shared" si="195"/>
        <v>38.533333333333331</v>
      </c>
      <c r="J613" s="21">
        <f t="shared" si="196"/>
        <v>-121.78333333333333</v>
      </c>
      <c r="K613" s="21">
        <v>18.399999999999999</v>
      </c>
      <c r="O613" s="21">
        <v>483</v>
      </c>
      <c r="Q613" s="43">
        <v>3</v>
      </c>
      <c r="R613" s="43" t="s">
        <v>1867</v>
      </c>
      <c r="S613" s="43"/>
      <c r="T613" s="43">
        <v>36514</v>
      </c>
      <c r="U613" s="43" t="s">
        <v>1400</v>
      </c>
      <c r="V613" s="43" t="s">
        <v>1731</v>
      </c>
      <c r="W613" s="43" t="s">
        <v>1399</v>
      </c>
      <c r="X613" s="43" t="s">
        <v>1421</v>
      </c>
      <c r="Z613" s="322">
        <v>36</v>
      </c>
      <c r="AA613" s="322">
        <v>46</v>
      </c>
      <c r="AB613" s="21" t="s">
        <v>140</v>
      </c>
      <c r="AF613" s="21" t="s">
        <v>1332</v>
      </c>
      <c r="AG613" s="21" t="s">
        <v>1537</v>
      </c>
      <c r="AH613" s="138" t="s">
        <v>578</v>
      </c>
      <c r="AI613" s="21" t="s">
        <v>1592</v>
      </c>
      <c r="AJ613" s="141" t="s">
        <v>1617</v>
      </c>
      <c r="AK613" s="21" t="s">
        <v>442</v>
      </c>
      <c r="AL613" s="21" t="s">
        <v>442</v>
      </c>
      <c r="AM613" s="21" t="s">
        <v>178</v>
      </c>
      <c r="AQ613" s="21" t="s">
        <v>369</v>
      </c>
      <c r="AR613" s="21" t="s">
        <v>444</v>
      </c>
      <c r="AS613" s="21" t="s">
        <v>503</v>
      </c>
      <c r="AT613" s="21" t="s">
        <v>120</v>
      </c>
      <c r="AU613" s="21">
        <v>4</v>
      </c>
      <c r="AW613" s="21" t="s">
        <v>336</v>
      </c>
      <c r="BA613" s="54"/>
      <c r="BM613" s="396"/>
      <c r="BN613" s="396"/>
      <c r="BR613" s="396"/>
      <c r="BS613" s="396"/>
      <c r="EY613" s="21">
        <v>0.10920000000000001</v>
      </c>
      <c r="EZ613" s="21">
        <v>0.1265</v>
      </c>
      <c r="FC613" s="21" t="s">
        <v>445</v>
      </c>
      <c r="GM613" s="12"/>
      <c r="GQ613" s="12"/>
      <c r="IO613" s="21" t="s">
        <v>716</v>
      </c>
    </row>
    <row r="614" spans="1:249" s="21" customFormat="1" x14ac:dyDescent="0.25">
      <c r="A614" s="21">
        <v>30</v>
      </c>
      <c r="B614" s="21" t="s">
        <v>438</v>
      </c>
      <c r="C614" s="21" t="s">
        <v>439</v>
      </c>
      <c r="D614" s="21">
        <v>2002</v>
      </c>
      <c r="E614" s="21">
        <v>2000</v>
      </c>
      <c r="F614" s="21" t="s">
        <v>440</v>
      </c>
      <c r="G614" s="21" t="s">
        <v>441</v>
      </c>
      <c r="H614" s="32" t="s">
        <v>2831</v>
      </c>
      <c r="I614" s="21">
        <f t="shared" si="195"/>
        <v>38.533333333333331</v>
      </c>
      <c r="J614" s="21">
        <f t="shared" si="196"/>
        <v>-121.78333333333333</v>
      </c>
      <c r="K614" s="21">
        <v>18.399999999999999</v>
      </c>
      <c r="O614" s="21">
        <v>483</v>
      </c>
      <c r="Q614" s="43">
        <v>4</v>
      </c>
      <c r="R614" s="43" t="s">
        <v>1867</v>
      </c>
      <c r="S614" s="43"/>
      <c r="T614" s="43">
        <v>36535</v>
      </c>
      <c r="U614" s="43" t="s">
        <v>1400</v>
      </c>
      <c r="V614" s="43" t="s">
        <v>1731</v>
      </c>
      <c r="W614" s="43" t="s">
        <v>1399</v>
      </c>
      <c r="X614" s="43" t="s">
        <v>1421</v>
      </c>
      <c r="Z614" s="322">
        <v>36</v>
      </c>
      <c r="AA614" s="322">
        <v>46</v>
      </c>
      <c r="AB614" s="21" t="s">
        <v>140</v>
      </c>
      <c r="AF614" s="21" t="s">
        <v>1332</v>
      </c>
      <c r="AG614" s="21" t="s">
        <v>1537</v>
      </c>
      <c r="AH614" s="138" t="s">
        <v>578</v>
      </c>
      <c r="AI614" s="21" t="s">
        <v>1592</v>
      </c>
      <c r="AJ614" s="141" t="s">
        <v>1617</v>
      </c>
      <c r="AK614" s="21" t="s">
        <v>442</v>
      </c>
      <c r="AL614" s="21" t="s">
        <v>442</v>
      </c>
      <c r="AM614" s="21" t="s">
        <v>178</v>
      </c>
      <c r="AQ614" s="21" t="s">
        <v>369</v>
      </c>
      <c r="AR614" s="21" t="s">
        <v>443</v>
      </c>
      <c r="AS614" s="21" t="s">
        <v>503</v>
      </c>
      <c r="AT614" s="21" t="s">
        <v>120</v>
      </c>
      <c r="AU614" s="21">
        <v>4</v>
      </c>
      <c r="AW614" s="21" t="s">
        <v>336</v>
      </c>
      <c r="BA614" s="54"/>
      <c r="BM614" s="396"/>
      <c r="BN614" s="396"/>
      <c r="BR614" s="396"/>
      <c r="BS614" s="396"/>
      <c r="EY614" s="21">
        <v>0.10630000000000001</v>
      </c>
      <c r="EZ614" s="21">
        <v>0.11360000000000001</v>
      </c>
      <c r="FC614" s="21" t="s">
        <v>445</v>
      </c>
      <c r="GM614" s="12"/>
      <c r="GQ614" s="12"/>
      <c r="IO614" s="21" t="s">
        <v>716</v>
      </c>
    </row>
    <row r="615" spans="1:249" s="21" customFormat="1" x14ac:dyDescent="0.25">
      <c r="A615" s="21">
        <v>30</v>
      </c>
      <c r="B615" s="21" t="s">
        <v>438</v>
      </c>
      <c r="C615" s="21" t="s">
        <v>439</v>
      </c>
      <c r="D615" s="21">
        <v>2002</v>
      </c>
      <c r="E615" s="21">
        <v>2000</v>
      </c>
      <c r="F615" s="21" t="s">
        <v>440</v>
      </c>
      <c r="G615" s="21" t="s">
        <v>441</v>
      </c>
      <c r="H615" s="32" t="s">
        <v>2831</v>
      </c>
      <c r="I615" s="21">
        <f t="shared" si="195"/>
        <v>38.533333333333331</v>
      </c>
      <c r="J615" s="21">
        <f t="shared" si="196"/>
        <v>-121.78333333333333</v>
      </c>
      <c r="K615" s="21">
        <v>18.399999999999999</v>
      </c>
      <c r="O615" s="21">
        <v>483</v>
      </c>
      <c r="Q615" s="43">
        <v>4</v>
      </c>
      <c r="R615" s="43" t="s">
        <v>1867</v>
      </c>
      <c r="S615" s="43"/>
      <c r="T615" s="43">
        <v>36535</v>
      </c>
      <c r="U615" s="43" t="s">
        <v>1400</v>
      </c>
      <c r="V615" s="43" t="s">
        <v>1731</v>
      </c>
      <c r="W615" s="43" t="s">
        <v>1399</v>
      </c>
      <c r="X615" s="43" t="s">
        <v>1421</v>
      </c>
      <c r="Z615" s="322">
        <v>36</v>
      </c>
      <c r="AA615" s="322">
        <v>46</v>
      </c>
      <c r="AB615" s="21" t="s">
        <v>140</v>
      </c>
      <c r="AF615" s="21" t="s">
        <v>1332</v>
      </c>
      <c r="AG615" s="21" t="s">
        <v>1537</v>
      </c>
      <c r="AH615" s="138" t="s">
        <v>578</v>
      </c>
      <c r="AI615" s="21" t="s">
        <v>1592</v>
      </c>
      <c r="AJ615" s="141" t="s">
        <v>1617</v>
      </c>
      <c r="AK615" s="21" t="s">
        <v>442</v>
      </c>
      <c r="AL615" s="21" t="s">
        <v>442</v>
      </c>
      <c r="AM615" s="21" t="s">
        <v>178</v>
      </c>
      <c r="AQ615" s="21" t="s">
        <v>369</v>
      </c>
      <c r="AR615" s="21" t="s">
        <v>444</v>
      </c>
      <c r="AS615" s="21" t="s">
        <v>503</v>
      </c>
      <c r="AT615" s="21" t="s">
        <v>120</v>
      </c>
      <c r="AU615" s="21">
        <v>4</v>
      </c>
      <c r="AW615" s="21" t="s">
        <v>336</v>
      </c>
      <c r="BA615" s="54"/>
      <c r="BM615" s="396"/>
      <c r="BN615" s="396"/>
      <c r="BR615" s="396"/>
      <c r="BS615" s="396"/>
      <c r="EY615" s="21">
        <v>0.10630000000000001</v>
      </c>
      <c r="EZ615" s="21">
        <v>0.1255</v>
      </c>
      <c r="FC615" s="21" t="s">
        <v>445</v>
      </c>
      <c r="GM615" s="12"/>
      <c r="GQ615" s="12"/>
      <c r="IO615" s="21" t="s">
        <v>716</v>
      </c>
    </row>
    <row r="616" spans="1:249" s="21" customFormat="1" x14ac:dyDescent="0.25">
      <c r="A616" s="21">
        <v>30</v>
      </c>
      <c r="B616" s="21" t="s">
        <v>438</v>
      </c>
      <c r="C616" s="21" t="s">
        <v>439</v>
      </c>
      <c r="D616" s="21">
        <v>2002</v>
      </c>
      <c r="E616" s="21">
        <v>2000</v>
      </c>
      <c r="F616" s="21" t="s">
        <v>440</v>
      </c>
      <c r="G616" s="21" t="s">
        <v>441</v>
      </c>
      <c r="H616" s="32" t="s">
        <v>2831</v>
      </c>
      <c r="I616" s="21">
        <f t="shared" si="195"/>
        <v>38.533333333333331</v>
      </c>
      <c r="J616" s="21">
        <f t="shared" si="196"/>
        <v>-121.78333333333333</v>
      </c>
      <c r="K616" s="21">
        <v>18.399999999999999</v>
      </c>
      <c r="O616" s="21">
        <v>483</v>
      </c>
      <c r="Q616" s="43">
        <v>4</v>
      </c>
      <c r="R616" s="43" t="s">
        <v>1867</v>
      </c>
      <c r="S616" s="43"/>
      <c r="T616" s="43">
        <v>36541</v>
      </c>
      <c r="U616" s="43" t="s">
        <v>1400</v>
      </c>
      <c r="V616" s="43" t="s">
        <v>1731</v>
      </c>
      <c r="W616" s="43" t="s">
        <v>1399</v>
      </c>
      <c r="X616" s="43" t="s">
        <v>1421</v>
      </c>
      <c r="Z616" s="322">
        <v>36</v>
      </c>
      <c r="AA616" s="322">
        <v>46</v>
      </c>
      <c r="AB616" s="21" t="s">
        <v>140</v>
      </c>
      <c r="AF616" s="21" t="s">
        <v>1332</v>
      </c>
      <c r="AG616" s="21" t="s">
        <v>1537</v>
      </c>
      <c r="AH616" s="138" t="s">
        <v>578</v>
      </c>
      <c r="AI616" s="21" t="s">
        <v>1592</v>
      </c>
      <c r="AJ616" s="141" t="s">
        <v>1617</v>
      </c>
      <c r="AK616" s="21" t="s">
        <v>442</v>
      </c>
      <c r="AL616" s="21" t="s">
        <v>442</v>
      </c>
      <c r="AM616" s="21" t="s">
        <v>178</v>
      </c>
      <c r="AQ616" s="21" t="s">
        <v>369</v>
      </c>
      <c r="AR616" s="21" t="s">
        <v>443</v>
      </c>
      <c r="AS616" s="21" t="s">
        <v>503</v>
      </c>
      <c r="AT616" s="21" t="s">
        <v>120</v>
      </c>
      <c r="AU616" s="21">
        <v>4</v>
      </c>
      <c r="AW616" s="21" t="s">
        <v>336</v>
      </c>
      <c r="BA616" s="54"/>
      <c r="BM616" s="396"/>
      <c r="BN616" s="396"/>
      <c r="BR616" s="396"/>
      <c r="BS616" s="396"/>
      <c r="EY616" s="21">
        <v>0.1072</v>
      </c>
      <c r="EZ616" s="21">
        <v>0.11360000000000001</v>
      </c>
      <c r="FC616" s="21" t="s">
        <v>445</v>
      </c>
      <c r="GM616" s="12"/>
      <c r="GQ616" s="12"/>
      <c r="IO616" s="21" t="s">
        <v>716</v>
      </c>
    </row>
    <row r="617" spans="1:249" s="21" customFormat="1" x14ac:dyDescent="0.25">
      <c r="A617" s="21">
        <v>30</v>
      </c>
      <c r="B617" s="21" t="s">
        <v>438</v>
      </c>
      <c r="C617" s="21" t="s">
        <v>439</v>
      </c>
      <c r="D617" s="21">
        <v>2002</v>
      </c>
      <c r="E617" s="21">
        <v>2000</v>
      </c>
      <c r="F617" s="21" t="s">
        <v>440</v>
      </c>
      <c r="G617" s="21" t="s">
        <v>441</v>
      </c>
      <c r="H617" s="32" t="s">
        <v>2831</v>
      </c>
      <c r="I617" s="21">
        <f t="shared" si="195"/>
        <v>38.533333333333331</v>
      </c>
      <c r="J617" s="21">
        <f t="shared" si="196"/>
        <v>-121.78333333333333</v>
      </c>
      <c r="K617" s="21">
        <v>18.399999999999999</v>
      </c>
      <c r="O617" s="21">
        <v>483</v>
      </c>
      <c r="Q617" s="43">
        <v>4</v>
      </c>
      <c r="R617" s="43" t="s">
        <v>1867</v>
      </c>
      <c r="S617" s="43"/>
      <c r="T617" s="43">
        <v>36541</v>
      </c>
      <c r="U617" s="43" t="s">
        <v>1400</v>
      </c>
      <c r="V617" s="43" t="s">
        <v>1731</v>
      </c>
      <c r="W617" s="43" t="s">
        <v>1399</v>
      </c>
      <c r="X617" s="43" t="s">
        <v>1421</v>
      </c>
      <c r="Z617" s="322">
        <v>36</v>
      </c>
      <c r="AA617" s="322">
        <v>46</v>
      </c>
      <c r="AB617" s="21" t="s">
        <v>140</v>
      </c>
      <c r="AF617" s="21" t="s">
        <v>1332</v>
      </c>
      <c r="AG617" s="21" t="s">
        <v>1537</v>
      </c>
      <c r="AH617" s="138" t="s">
        <v>578</v>
      </c>
      <c r="AI617" s="21" t="s">
        <v>1592</v>
      </c>
      <c r="AJ617" s="141" t="s">
        <v>1617</v>
      </c>
      <c r="AK617" s="21" t="s">
        <v>442</v>
      </c>
      <c r="AL617" s="21" t="s">
        <v>442</v>
      </c>
      <c r="AM617" s="21" t="s">
        <v>178</v>
      </c>
      <c r="AQ617" s="21" t="s">
        <v>369</v>
      </c>
      <c r="AR617" s="21" t="s">
        <v>444</v>
      </c>
      <c r="AS617" s="21" t="s">
        <v>503</v>
      </c>
      <c r="AT617" s="21" t="s">
        <v>120</v>
      </c>
      <c r="AU617" s="21">
        <v>4</v>
      </c>
      <c r="AW617" s="21" t="s">
        <v>336</v>
      </c>
      <c r="BA617" s="54"/>
      <c r="BM617" s="396"/>
      <c r="BN617" s="396"/>
      <c r="BR617" s="396"/>
      <c r="BS617" s="396"/>
      <c r="EY617" s="21">
        <v>0.1072</v>
      </c>
      <c r="EZ617" s="21">
        <v>0.12540000000000001</v>
      </c>
      <c r="FC617" s="21" t="s">
        <v>445</v>
      </c>
      <c r="GM617" s="12"/>
      <c r="GQ617" s="12"/>
      <c r="IO617" s="21" t="s">
        <v>716</v>
      </c>
    </row>
    <row r="618" spans="1:249" s="21" customFormat="1" x14ac:dyDescent="0.25">
      <c r="A618" s="21">
        <v>30</v>
      </c>
      <c r="B618" s="21" t="s">
        <v>438</v>
      </c>
      <c r="C618" s="21" t="s">
        <v>439</v>
      </c>
      <c r="D618" s="21">
        <v>2002</v>
      </c>
      <c r="E618" s="21">
        <v>2000</v>
      </c>
      <c r="F618" s="21" t="s">
        <v>440</v>
      </c>
      <c r="G618" s="21" t="s">
        <v>441</v>
      </c>
      <c r="H618" s="32" t="s">
        <v>2831</v>
      </c>
      <c r="I618" s="21">
        <f t="shared" si="195"/>
        <v>38.533333333333331</v>
      </c>
      <c r="J618" s="21">
        <f t="shared" si="196"/>
        <v>-121.78333333333333</v>
      </c>
      <c r="K618" s="21">
        <v>18.399999999999999</v>
      </c>
      <c r="O618" s="21">
        <v>483</v>
      </c>
      <c r="Q618" s="43">
        <v>4</v>
      </c>
      <c r="R618" s="43" t="s">
        <v>1867</v>
      </c>
      <c r="S618" s="43"/>
      <c r="T618" s="43">
        <v>36549</v>
      </c>
      <c r="U618" s="43" t="s">
        <v>1400</v>
      </c>
      <c r="V618" s="43" t="s">
        <v>1731</v>
      </c>
      <c r="W618" s="43" t="s">
        <v>1399</v>
      </c>
      <c r="X618" s="43" t="s">
        <v>1421</v>
      </c>
      <c r="Z618" s="322">
        <v>36</v>
      </c>
      <c r="AA618" s="322">
        <v>46</v>
      </c>
      <c r="AB618" s="21" t="s">
        <v>140</v>
      </c>
      <c r="AF618" s="21" t="s">
        <v>1332</v>
      </c>
      <c r="AG618" s="21" t="s">
        <v>1537</v>
      </c>
      <c r="AH618" s="138" t="s">
        <v>578</v>
      </c>
      <c r="AI618" s="21" t="s">
        <v>1592</v>
      </c>
      <c r="AJ618" s="141" t="s">
        <v>1617</v>
      </c>
      <c r="AK618" s="21" t="s">
        <v>442</v>
      </c>
      <c r="AL618" s="21" t="s">
        <v>442</v>
      </c>
      <c r="AM618" s="21" t="s">
        <v>178</v>
      </c>
      <c r="AQ618" s="21" t="s">
        <v>369</v>
      </c>
      <c r="AR618" s="21" t="s">
        <v>443</v>
      </c>
      <c r="AS618" s="21" t="s">
        <v>503</v>
      </c>
      <c r="AT618" s="21" t="s">
        <v>120</v>
      </c>
      <c r="AU618" s="21">
        <v>4</v>
      </c>
      <c r="AW618" s="21" t="s">
        <v>336</v>
      </c>
      <c r="BA618" s="54"/>
      <c r="BM618" s="396"/>
      <c r="BN618" s="396"/>
      <c r="BR618" s="396"/>
      <c r="BS618" s="396"/>
      <c r="EY618" s="21">
        <v>0.1062</v>
      </c>
      <c r="EZ618" s="21">
        <v>0.11360000000000001</v>
      </c>
      <c r="FC618" s="21" t="s">
        <v>445</v>
      </c>
      <c r="GM618" s="12"/>
      <c r="GQ618" s="12"/>
      <c r="IO618" s="21" t="s">
        <v>716</v>
      </c>
    </row>
    <row r="619" spans="1:249" s="21" customFormat="1" x14ac:dyDescent="0.25">
      <c r="A619" s="21">
        <v>30</v>
      </c>
      <c r="B619" s="21" t="s">
        <v>438</v>
      </c>
      <c r="C619" s="21" t="s">
        <v>439</v>
      </c>
      <c r="D619" s="21">
        <v>2002</v>
      </c>
      <c r="E619" s="21">
        <v>2000</v>
      </c>
      <c r="F619" s="21" t="s">
        <v>440</v>
      </c>
      <c r="G619" s="21" t="s">
        <v>441</v>
      </c>
      <c r="H619" s="32" t="s">
        <v>2831</v>
      </c>
      <c r="I619" s="21">
        <f t="shared" si="195"/>
        <v>38.533333333333331</v>
      </c>
      <c r="J619" s="21">
        <f t="shared" si="196"/>
        <v>-121.78333333333333</v>
      </c>
      <c r="K619" s="21">
        <v>18.399999999999999</v>
      </c>
      <c r="O619" s="21">
        <v>483</v>
      </c>
      <c r="Q619" s="43">
        <v>4</v>
      </c>
      <c r="R619" s="43" t="s">
        <v>1867</v>
      </c>
      <c r="S619" s="43"/>
      <c r="T619" s="43">
        <v>36549</v>
      </c>
      <c r="U619" s="43" t="s">
        <v>1400</v>
      </c>
      <c r="V619" s="43" t="s">
        <v>1731</v>
      </c>
      <c r="W619" s="43" t="s">
        <v>1399</v>
      </c>
      <c r="X619" s="43" t="s">
        <v>1421</v>
      </c>
      <c r="Z619" s="322">
        <v>36</v>
      </c>
      <c r="AA619" s="322">
        <v>46</v>
      </c>
      <c r="AB619" s="21" t="s">
        <v>140</v>
      </c>
      <c r="AF619" s="21" t="s">
        <v>1332</v>
      </c>
      <c r="AG619" s="21" t="s">
        <v>1537</v>
      </c>
      <c r="AH619" s="138" t="s">
        <v>578</v>
      </c>
      <c r="AI619" s="21" t="s">
        <v>1592</v>
      </c>
      <c r="AJ619" s="141" t="s">
        <v>1617</v>
      </c>
      <c r="AK619" s="21" t="s">
        <v>442</v>
      </c>
      <c r="AL619" s="21" t="s">
        <v>442</v>
      </c>
      <c r="AM619" s="21" t="s">
        <v>178</v>
      </c>
      <c r="AQ619" s="21" t="s">
        <v>369</v>
      </c>
      <c r="AR619" s="21" t="s">
        <v>444</v>
      </c>
      <c r="AS619" s="21" t="s">
        <v>503</v>
      </c>
      <c r="AT619" s="21" t="s">
        <v>120</v>
      </c>
      <c r="AU619" s="21">
        <v>4</v>
      </c>
      <c r="AW619" s="21" t="s">
        <v>336</v>
      </c>
      <c r="BA619" s="54"/>
      <c r="BM619" s="396"/>
      <c r="BN619" s="396"/>
      <c r="BR619" s="396"/>
      <c r="BS619" s="396"/>
      <c r="EY619" s="21">
        <v>0.1062</v>
      </c>
      <c r="EZ619" s="21">
        <v>0.12540000000000001</v>
      </c>
      <c r="FC619" s="21" t="s">
        <v>445</v>
      </c>
      <c r="GM619" s="12"/>
      <c r="GQ619" s="12"/>
      <c r="IO619" s="21" t="s">
        <v>716</v>
      </c>
    </row>
    <row r="620" spans="1:249" s="21" customFormat="1" x14ac:dyDescent="0.25">
      <c r="A620" s="21">
        <v>30</v>
      </c>
      <c r="B620" s="21" t="s">
        <v>438</v>
      </c>
      <c r="C620" s="21" t="s">
        <v>439</v>
      </c>
      <c r="D620" s="21">
        <v>2002</v>
      </c>
      <c r="E620" s="21">
        <v>2000</v>
      </c>
      <c r="F620" s="21" t="s">
        <v>440</v>
      </c>
      <c r="G620" s="21" t="s">
        <v>441</v>
      </c>
      <c r="H620" s="32" t="s">
        <v>2831</v>
      </c>
      <c r="I620" s="21">
        <f t="shared" si="195"/>
        <v>38.533333333333331</v>
      </c>
      <c r="J620" s="21">
        <f t="shared" si="196"/>
        <v>-121.78333333333333</v>
      </c>
      <c r="K620" s="21">
        <v>18.399999999999999</v>
      </c>
      <c r="O620" s="21">
        <v>483</v>
      </c>
      <c r="Q620" s="43">
        <v>4</v>
      </c>
      <c r="R620" s="43" t="s">
        <v>1867</v>
      </c>
      <c r="S620" s="43"/>
      <c r="T620" s="43">
        <v>36562</v>
      </c>
      <c r="U620" s="43" t="s">
        <v>1400</v>
      </c>
      <c r="V620" s="43" t="s">
        <v>1731</v>
      </c>
      <c r="W620" s="43" t="s">
        <v>1399</v>
      </c>
      <c r="X620" s="43" t="s">
        <v>1421</v>
      </c>
      <c r="Z620" s="322">
        <v>36</v>
      </c>
      <c r="AA620" s="322">
        <v>46</v>
      </c>
      <c r="AB620" s="21" t="s">
        <v>140</v>
      </c>
      <c r="AF620" s="21" t="s">
        <v>1332</v>
      </c>
      <c r="AG620" s="21" t="s">
        <v>1537</v>
      </c>
      <c r="AH620" s="138" t="s">
        <v>578</v>
      </c>
      <c r="AI620" s="21" t="s">
        <v>1592</v>
      </c>
      <c r="AJ620" s="141" t="s">
        <v>1617</v>
      </c>
      <c r="AK620" s="21" t="s">
        <v>442</v>
      </c>
      <c r="AL620" s="21" t="s">
        <v>442</v>
      </c>
      <c r="AM620" s="21" t="s">
        <v>178</v>
      </c>
      <c r="AQ620" s="21" t="s">
        <v>369</v>
      </c>
      <c r="AR620" s="21" t="s">
        <v>443</v>
      </c>
      <c r="AS620" s="21" t="s">
        <v>503</v>
      </c>
      <c r="AT620" s="21" t="s">
        <v>120</v>
      </c>
      <c r="AU620" s="21">
        <v>4</v>
      </c>
      <c r="AW620" s="21" t="s">
        <v>336</v>
      </c>
      <c r="BA620" s="54"/>
      <c r="BM620" s="396"/>
      <c r="BN620" s="396"/>
      <c r="BR620" s="396"/>
      <c r="BS620" s="396"/>
      <c r="EY620" s="21">
        <v>0.13350000000000001</v>
      </c>
      <c r="EZ620" s="21">
        <v>0.1472</v>
      </c>
      <c r="FC620" s="21" t="s">
        <v>445</v>
      </c>
      <c r="GM620" s="12"/>
      <c r="GQ620" s="12"/>
      <c r="IO620" s="21" t="s">
        <v>716</v>
      </c>
    </row>
    <row r="621" spans="1:249" s="21" customFormat="1" x14ac:dyDescent="0.25">
      <c r="A621" s="21">
        <v>30</v>
      </c>
      <c r="B621" s="21" t="s">
        <v>438</v>
      </c>
      <c r="C621" s="21" t="s">
        <v>439</v>
      </c>
      <c r="D621" s="21">
        <v>2002</v>
      </c>
      <c r="E621" s="21">
        <v>2000</v>
      </c>
      <c r="F621" s="21" t="s">
        <v>440</v>
      </c>
      <c r="G621" s="21" t="s">
        <v>441</v>
      </c>
      <c r="H621" s="32" t="s">
        <v>2831</v>
      </c>
      <c r="I621" s="21">
        <f t="shared" si="195"/>
        <v>38.533333333333331</v>
      </c>
      <c r="J621" s="21">
        <f t="shared" si="196"/>
        <v>-121.78333333333333</v>
      </c>
      <c r="K621" s="21">
        <v>18.399999999999999</v>
      </c>
      <c r="O621" s="21">
        <v>483</v>
      </c>
      <c r="Q621" s="43">
        <v>4</v>
      </c>
      <c r="R621" s="43" t="s">
        <v>1867</v>
      </c>
      <c r="S621" s="43"/>
      <c r="T621" s="43">
        <v>36562</v>
      </c>
      <c r="U621" s="43" t="s">
        <v>1400</v>
      </c>
      <c r="V621" s="43" t="s">
        <v>1731</v>
      </c>
      <c r="W621" s="43" t="s">
        <v>1399</v>
      </c>
      <c r="X621" s="43" t="s">
        <v>1421</v>
      </c>
      <c r="Z621" s="322">
        <v>36</v>
      </c>
      <c r="AA621" s="322">
        <v>46</v>
      </c>
      <c r="AB621" s="21" t="s">
        <v>140</v>
      </c>
      <c r="AF621" s="21" t="s">
        <v>1332</v>
      </c>
      <c r="AG621" s="21" t="s">
        <v>1537</v>
      </c>
      <c r="AH621" s="138" t="s">
        <v>578</v>
      </c>
      <c r="AI621" s="21" t="s">
        <v>1592</v>
      </c>
      <c r="AJ621" s="141" t="s">
        <v>1617</v>
      </c>
      <c r="AK621" s="21" t="s">
        <v>442</v>
      </c>
      <c r="AL621" s="21" t="s">
        <v>442</v>
      </c>
      <c r="AM621" s="21" t="s">
        <v>178</v>
      </c>
      <c r="AQ621" s="21" t="s">
        <v>369</v>
      </c>
      <c r="AR621" s="21" t="s">
        <v>444</v>
      </c>
      <c r="AS621" s="21" t="s">
        <v>503</v>
      </c>
      <c r="AT621" s="21" t="s">
        <v>120</v>
      </c>
      <c r="AU621" s="21">
        <v>4</v>
      </c>
      <c r="AW621" s="21" t="s">
        <v>336</v>
      </c>
      <c r="BA621" s="54"/>
      <c r="BM621" s="396"/>
      <c r="BN621" s="396"/>
      <c r="BR621" s="396"/>
      <c r="BS621" s="396"/>
      <c r="EY621" s="21">
        <v>0.13350000000000001</v>
      </c>
      <c r="EZ621" s="21">
        <v>0.1381</v>
      </c>
      <c r="FC621" s="21" t="s">
        <v>445</v>
      </c>
      <c r="GM621" s="12"/>
      <c r="GQ621" s="12"/>
      <c r="IO621" s="21" t="s">
        <v>716</v>
      </c>
    </row>
    <row r="622" spans="1:249" s="21" customFormat="1" x14ac:dyDescent="0.25">
      <c r="A622" s="21">
        <v>30</v>
      </c>
      <c r="B622" s="21" t="s">
        <v>438</v>
      </c>
      <c r="C622" s="21" t="s">
        <v>439</v>
      </c>
      <c r="D622" s="21">
        <v>2002</v>
      </c>
      <c r="E622" s="21">
        <v>2000</v>
      </c>
      <c r="F622" s="21" t="s">
        <v>440</v>
      </c>
      <c r="G622" s="21" t="s">
        <v>441</v>
      </c>
      <c r="H622" s="32" t="s">
        <v>2831</v>
      </c>
      <c r="I622" s="21">
        <f t="shared" si="195"/>
        <v>38.533333333333331</v>
      </c>
      <c r="J622" s="21">
        <f t="shared" si="196"/>
        <v>-121.78333333333333</v>
      </c>
      <c r="K622" s="21">
        <v>18.399999999999999</v>
      </c>
      <c r="O622" s="21">
        <v>483</v>
      </c>
      <c r="Q622" s="43">
        <v>4</v>
      </c>
      <c r="R622" s="43" t="s">
        <v>1867</v>
      </c>
      <c r="S622" s="43"/>
      <c r="T622" s="43">
        <v>36566</v>
      </c>
      <c r="U622" s="43" t="s">
        <v>1400</v>
      </c>
      <c r="V622" s="43" t="s">
        <v>1731</v>
      </c>
      <c r="W622" s="43" t="s">
        <v>1399</v>
      </c>
      <c r="X622" s="43" t="s">
        <v>1421</v>
      </c>
      <c r="Z622" s="322">
        <v>36</v>
      </c>
      <c r="AA622" s="322">
        <v>46</v>
      </c>
      <c r="AB622" s="21" t="s">
        <v>140</v>
      </c>
      <c r="AF622" s="21" t="s">
        <v>1332</v>
      </c>
      <c r="AG622" s="21" t="s">
        <v>1537</v>
      </c>
      <c r="AH622" s="138" t="s">
        <v>578</v>
      </c>
      <c r="AI622" s="21" t="s">
        <v>1592</v>
      </c>
      <c r="AJ622" s="141" t="s">
        <v>1617</v>
      </c>
      <c r="AK622" s="21" t="s">
        <v>442</v>
      </c>
      <c r="AL622" s="21" t="s">
        <v>442</v>
      </c>
      <c r="AM622" s="21" t="s">
        <v>178</v>
      </c>
      <c r="AQ622" s="21" t="s">
        <v>369</v>
      </c>
      <c r="AR622" s="21" t="s">
        <v>443</v>
      </c>
      <c r="AS622" s="21" t="s">
        <v>503</v>
      </c>
      <c r="AT622" s="21" t="s">
        <v>120</v>
      </c>
      <c r="AU622" s="21">
        <v>4</v>
      </c>
      <c r="AW622" s="21" t="s">
        <v>336</v>
      </c>
      <c r="BA622" s="54"/>
      <c r="BM622" s="396"/>
      <c r="BN622" s="396"/>
      <c r="BR622" s="396"/>
      <c r="BS622" s="396"/>
      <c r="EY622" s="21">
        <v>0.1517</v>
      </c>
      <c r="EZ622" s="21">
        <v>0.18179999999999999</v>
      </c>
      <c r="FC622" s="21" t="s">
        <v>445</v>
      </c>
      <c r="GM622" s="12"/>
      <c r="GQ622" s="12"/>
      <c r="IO622" s="21" t="s">
        <v>716</v>
      </c>
    </row>
    <row r="623" spans="1:249" s="21" customFormat="1" x14ac:dyDescent="0.25">
      <c r="A623" s="21">
        <v>30</v>
      </c>
      <c r="B623" s="21" t="s">
        <v>438</v>
      </c>
      <c r="C623" s="21" t="s">
        <v>439</v>
      </c>
      <c r="D623" s="21">
        <v>2002</v>
      </c>
      <c r="E623" s="21">
        <v>2000</v>
      </c>
      <c r="F623" s="21" t="s">
        <v>440</v>
      </c>
      <c r="G623" s="21" t="s">
        <v>441</v>
      </c>
      <c r="H623" s="32" t="s">
        <v>2831</v>
      </c>
      <c r="I623" s="21">
        <f t="shared" si="195"/>
        <v>38.533333333333331</v>
      </c>
      <c r="J623" s="21">
        <f t="shared" si="196"/>
        <v>-121.78333333333333</v>
      </c>
      <c r="K623" s="21">
        <v>18.399999999999999</v>
      </c>
      <c r="O623" s="21">
        <v>483</v>
      </c>
      <c r="Q623" s="43">
        <v>4</v>
      </c>
      <c r="R623" s="43" t="s">
        <v>1867</v>
      </c>
      <c r="S623" s="43"/>
      <c r="T623" s="43">
        <v>36566</v>
      </c>
      <c r="U623" s="43" t="s">
        <v>1400</v>
      </c>
      <c r="V623" s="43" t="s">
        <v>1731</v>
      </c>
      <c r="W623" s="43" t="s">
        <v>1399</v>
      </c>
      <c r="X623" s="43" t="s">
        <v>1421</v>
      </c>
      <c r="Z623" s="322">
        <v>36</v>
      </c>
      <c r="AA623" s="322">
        <v>46</v>
      </c>
      <c r="AB623" s="21" t="s">
        <v>140</v>
      </c>
      <c r="AF623" s="21" t="s">
        <v>1332</v>
      </c>
      <c r="AG623" s="21" t="s">
        <v>1537</v>
      </c>
      <c r="AH623" s="138" t="s">
        <v>578</v>
      </c>
      <c r="AI623" s="21" t="s">
        <v>1592</v>
      </c>
      <c r="AJ623" s="141" t="s">
        <v>1617</v>
      </c>
      <c r="AK623" s="21" t="s">
        <v>442</v>
      </c>
      <c r="AL623" s="21" t="s">
        <v>442</v>
      </c>
      <c r="AM623" s="21" t="s">
        <v>178</v>
      </c>
      <c r="AQ623" s="21" t="s">
        <v>369</v>
      </c>
      <c r="AR623" s="21" t="s">
        <v>444</v>
      </c>
      <c r="AS623" s="21" t="s">
        <v>503</v>
      </c>
      <c r="AT623" s="21" t="s">
        <v>120</v>
      </c>
      <c r="AU623" s="21">
        <v>4</v>
      </c>
      <c r="AW623" s="21" t="s">
        <v>336</v>
      </c>
      <c r="BA623" s="54"/>
      <c r="BM623" s="396"/>
      <c r="BN623" s="396"/>
      <c r="BR623" s="396"/>
      <c r="BS623" s="396"/>
      <c r="EY623" s="21">
        <v>0.1517</v>
      </c>
      <c r="EZ623" s="21">
        <v>0.18179999999999999</v>
      </c>
      <c r="FC623" s="21" t="s">
        <v>445</v>
      </c>
      <c r="GM623" s="12"/>
      <c r="GQ623" s="12"/>
      <c r="IO623" s="21" t="s">
        <v>716</v>
      </c>
    </row>
    <row r="624" spans="1:249" s="21" customFormat="1" x14ac:dyDescent="0.25">
      <c r="A624" s="21">
        <v>30</v>
      </c>
      <c r="B624" s="21" t="s">
        <v>438</v>
      </c>
      <c r="C624" s="21" t="s">
        <v>439</v>
      </c>
      <c r="D624" s="21">
        <v>2002</v>
      </c>
      <c r="E624" s="21">
        <v>2000</v>
      </c>
      <c r="F624" s="21" t="s">
        <v>440</v>
      </c>
      <c r="G624" s="21" t="s">
        <v>441</v>
      </c>
      <c r="H624" s="32" t="s">
        <v>2831</v>
      </c>
      <c r="I624" s="21">
        <f t="shared" si="195"/>
        <v>38.533333333333331</v>
      </c>
      <c r="J624" s="21">
        <f t="shared" si="196"/>
        <v>-121.78333333333333</v>
      </c>
      <c r="K624" s="21">
        <v>18.399999999999999</v>
      </c>
      <c r="O624" s="21">
        <v>483</v>
      </c>
      <c r="Q624" s="43">
        <v>4</v>
      </c>
      <c r="R624" s="43" t="s">
        <v>1867</v>
      </c>
      <c r="S624" s="43"/>
      <c r="T624" s="43">
        <v>36572</v>
      </c>
      <c r="U624" s="43" t="s">
        <v>1400</v>
      </c>
      <c r="V624" s="43" t="s">
        <v>1731</v>
      </c>
      <c r="W624" s="43" t="s">
        <v>1399</v>
      </c>
      <c r="X624" s="43" t="s">
        <v>1421</v>
      </c>
      <c r="Z624" s="322">
        <v>36</v>
      </c>
      <c r="AA624" s="322">
        <v>46</v>
      </c>
      <c r="AB624" s="21" t="s">
        <v>140</v>
      </c>
      <c r="AF624" s="21" t="s">
        <v>1332</v>
      </c>
      <c r="AG624" s="21" t="s">
        <v>1537</v>
      </c>
      <c r="AH624" s="138" t="s">
        <v>578</v>
      </c>
      <c r="AI624" s="21" t="s">
        <v>1592</v>
      </c>
      <c r="AJ624" s="141" t="s">
        <v>1617</v>
      </c>
      <c r="AK624" s="21" t="s">
        <v>442</v>
      </c>
      <c r="AL624" s="21" t="s">
        <v>442</v>
      </c>
      <c r="AM624" s="21" t="s">
        <v>178</v>
      </c>
      <c r="AQ624" s="21" t="s">
        <v>369</v>
      </c>
      <c r="AR624" s="21" t="s">
        <v>443</v>
      </c>
      <c r="AS624" s="21" t="s">
        <v>503</v>
      </c>
      <c r="AT624" s="21" t="s">
        <v>120</v>
      </c>
      <c r="AU624" s="21">
        <v>4</v>
      </c>
      <c r="AW624" s="21" t="s">
        <v>336</v>
      </c>
      <c r="BA624" s="54"/>
      <c r="BM624" s="396"/>
      <c r="BN624" s="396"/>
      <c r="BR624" s="396"/>
      <c r="BS624" s="396"/>
      <c r="EY624" s="21">
        <v>0.1925</v>
      </c>
      <c r="EZ624" s="21">
        <v>0.22900000000000001</v>
      </c>
      <c r="FC624" s="21" t="s">
        <v>445</v>
      </c>
      <c r="GM624" s="12"/>
      <c r="GQ624" s="12"/>
      <c r="IO624" s="21" t="s">
        <v>716</v>
      </c>
    </row>
    <row r="625" spans="1:249" s="21" customFormat="1" x14ac:dyDescent="0.25">
      <c r="A625" s="21">
        <v>30</v>
      </c>
      <c r="B625" s="21" t="s">
        <v>438</v>
      </c>
      <c r="C625" s="21" t="s">
        <v>439</v>
      </c>
      <c r="D625" s="21">
        <v>2002</v>
      </c>
      <c r="E625" s="21">
        <v>2000</v>
      </c>
      <c r="F625" s="21" t="s">
        <v>440</v>
      </c>
      <c r="G625" s="21" t="s">
        <v>441</v>
      </c>
      <c r="H625" s="32" t="s">
        <v>2831</v>
      </c>
      <c r="I625" s="21">
        <f t="shared" si="195"/>
        <v>38.533333333333331</v>
      </c>
      <c r="J625" s="21">
        <f t="shared" si="196"/>
        <v>-121.78333333333333</v>
      </c>
      <c r="K625" s="21">
        <v>18.399999999999999</v>
      </c>
      <c r="O625" s="21">
        <v>483</v>
      </c>
      <c r="Q625" s="43">
        <v>4</v>
      </c>
      <c r="R625" s="43" t="s">
        <v>1867</v>
      </c>
      <c r="S625" s="43"/>
      <c r="T625" s="43">
        <v>36572</v>
      </c>
      <c r="U625" s="43" t="s">
        <v>1400</v>
      </c>
      <c r="V625" s="43" t="s">
        <v>1731</v>
      </c>
      <c r="W625" s="43" t="s">
        <v>1399</v>
      </c>
      <c r="X625" s="43" t="s">
        <v>1421</v>
      </c>
      <c r="Z625" s="322">
        <v>36</v>
      </c>
      <c r="AA625" s="322">
        <v>46</v>
      </c>
      <c r="AB625" s="21" t="s">
        <v>140</v>
      </c>
      <c r="AF625" s="21" t="s">
        <v>1332</v>
      </c>
      <c r="AG625" s="21" t="s">
        <v>1537</v>
      </c>
      <c r="AH625" s="138" t="s">
        <v>578</v>
      </c>
      <c r="AI625" s="21" t="s">
        <v>1592</v>
      </c>
      <c r="AJ625" s="141" t="s">
        <v>1617</v>
      </c>
      <c r="AK625" s="21" t="s">
        <v>442</v>
      </c>
      <c r="AL625" s="21" t="s">
        <v>442</v>
      </c>
      <c r="AM625" s="21" t="s">
        <v>178</v>
      </c>
      <c r="AQ625" s="21" t="s">
        <v>369</v>
      </c>
      <c r="AR625" s="21" t="s">
        <v>444</v>
      </c>
      <c r="AS625" s="21" t="s">
        <v>503</v>
      </c>
      <c r="AT625" s="21" t="s">
        <v>120</v>
      </c>
      <c r="AU625" s="21">
        <v>4</v>
      </c>
      <c r="AW625" s="21" t="s">
        <v>336</v>
      </c>
      <c r="BA625" s="54"/>
      <c r="BM625" s="396"/>
      <c r="BN625" s="396"/>
      <c r="BR625" s="396"/>
      <c r="BS625" s="396"/>
      <c r="EY625" s="21">
        <v>0.1925</v>
      </c>
      <c r="EZ625" s="21">
        <v>0.24629999999999999</v>
      </c>
      <c r="FC625" s="21" t="s">
        <v>445</v>
      </c>
      <c r="GM625" s="12"/>
      <c r="GQ625" s="12"/>
      <c r="IO625" s="21" t="s">
        <v>716</v>
      </c>
    </row>
    <row r="626" spans="1:249" s="21" customFormat="1" x14ac:dyDescent="0.25">
      <c r="A626" s="21">
        <v>30</v>
      </c>
      <c r="B626" s="21" t="s">
        <v>438</v>
      </c>
      <c r="C626" s="21" t="s">
        <v>439</v>
      </c>
      <c r="D626" s="21">
        <v>2002</v>
      </c>
      <c r="E626" s="21">
        <v>2000</v>
      </c>
      <c r="F626" s="21" t="s">
        <v>440</v>
      </c>
      <c r="G626" s="21" t="s">
        <v>441</v>
      </c>
      <c r="H626" s="32" t="s">
        <v>2831</v>
      </c>
      <c r="I626" s="21">
        <f t="shared" si="195"/>
        <v>38.533333333333331</v>
      </c>
      <c r="J626" s="21">
        <f t="shared" si="196"/>
        <v>-121.78333333333333</v>
      </c>
      <c r="K626" s="21">
        <v>18.399999999999999</v>
      </c>
      <c r="O626" s="21">
        <v>483</v>
      </c>
      <c r="Q626" s="43">
        <v>4</v>
      </c>
      <c r="R626" s="43" t="s">
        <v>1867</v>
      </c>
      <c r="S626" s="43"/>
      <c r="T626" s="43">
        <v>36582</v>
      </c>
      <c r="U626" s="43" t="s">
        <v>1400</v>
      </c>
      <c r="V626" s="43" t="s">
        <v>1731</v>
      </c>
      <c r="W626" s="43" t="s">
        <v>1399</v>
      </c>
      <c r="X626" s="43" t="s">
        <v>1421</v>
      </c>
      <c r="Z626" s="322">
        <v>36</v>
      </c>
      <c r="AA626" s="322">
        <v>46</v>
      </c>
      <c r="AB626" s="21" t="s">
        <v>140</v>
      </c>
      <c r="AF626" s="21" t="s">
        <v>1332</v>
      </c>
      <c r="AG626" s="21" t="s">
        <v>1537</v>
      </c>
      <c r="AH626" s="138" t="s">
        <v>578</v>
      </c>
      <c r="AI626" s="21" t="s">
        <v>1592</v>
      </c>
      <c r="AJ626" s="141" t="s">
        <v>1617</v>
      </c>
      <c r="AK626" s="21" t="s">
        <v>442</v>
      </c>
      <c r="AL626" s="21" t="s">
        <v>442</v>
      </c>
      <c r="AM626" s="21" t="s">
        <v>178</v>
      </c>
      <c r="AQ626" s="21" t="s">
        <v>369</v>
      </c>
      <c r="AR626" s="21" t="s">
        <v>443</v>
      </c>
      <c r="AS626" s="21" t="s">
        <v>503</v>
      </c>
      <c r="AT626" s="21" t="s">
        <v>120</v>
      </c>
      <c r="AU626" s="21">
        <v>4</v>
      </c>
      <c r="AW626" s="21" t="s">
        <v>336</v>
      </c>
      <c r="BA626" s="54"/>
      <c r="BM626" s="396"/>
      <c r="BN626" s="396"/>
      <c r="BR626" s="396"/>
      <c r="BS626" s="396"/>
      <c r="EY626" s="21">
        <v>0.19980000000000001</v>
      </c>
      <c r="EZ626" s="21">
        <v>0.24540000000000001</v>
      </c>
      <c r="FC626" s="21" t="s">
        <v>445</v>
      </c>
      <c r="GM626" s="12"/>
      <c r="GQ626" s="12"/>
      <c r="IO626" s="21" t="s">
        <v>716</v>
      </c>
    </row>
    <row r="627" spans="1:249" s="21" customFormat="1" x14ac:dyDescent="0.25">
      <c r="A627" s="21">
        <v>30</v>
      </c>
      <c r="B627" s="21" t="s">
        <v>438</v>
      </c>
      <c r="C627" s="21" t="s">
        <v>439</v>
      </c>
      <c r="D627" s="21">
        <v>2002</v>
      </c>
      <c r="E627" s="21">
        <v>2000</v>
      </c>
      <c r="F627" s="21" t="s">
        <v>440</v>
      </c>
      <c r="G627" s="21" t="s">
        <v>441</v>
      </c>
      <c r="H627" s="32" t="s">
        <v>2831</v>
      </c>
      <c r="I627" s="21">
        <f t="shared" si="195"/>
        <v>38.533333333333331</v>
      </c>
      <c r="J627" s="21">
        <f t="shared" si="196"/>
        <v>-121.78333333333333</v>
      </c>
      <c r="K627" s="21">
        <v>18.399999999999999</v>
      </c>
      <c r="O627" s="21">
        <v>483</v>
      </c>
      <c r="Q627" s="43">
        <v>4</v>
      </c>
      <c r="R627" s="43" t="s">
        <v>1867</v>
      </c>
      <c r="S627" s="43"/>
      <c r="T627" s="43">
        <v>36582</v>
      </c>
      <c r="U627" s="43" t="s">
        <v>1400</v>
      </c>
      <c r="V627" s="43" t="s">
        <v>1731</v>
      </c>
      <c r="W627" s="43" t="s">
        <v>1399</v>
      </c>
      <c r="X627" s="43" t="s">
        <v>1421</v>
      </c>
      <c r="Z627" s="322">
        <v>36</v>
      </c>
      <c r="AA627" s="322">
        <v>46</v>
      </c>
      <c r="AB627" s="21" t="s">
        <v>140</v>
      </c>
      <c r="AF627" s="21" t="s">
        <v>1332</v>
      </c>
      <c r="AG627" s="21" t="s">
        <v>1537</v>
      </c>
      <c r="AH627" s="138" t="s">
        <v>578</v>
      </c>
      <c r="AI627" s="21" t="s">
        <v>1592</v>
      </c>
      <c r="AJ627" s="141" t="s">
        <v>1617</v>
      </c>
      <c r="AK627" s="21" t="s">
        <v>442</v>
      </c>
      <c r="AL627" s="21" t="s">
        <v>442</v>
      </c>
      <c r="AM627" s="21" t="s">
        <v>178</v>
      </c>
      <c r="AQ627" s="21" t="s">
        <v>369</v>
      </c>
      <c r="AR627" s="21" t="s">
        <v>444</v>
      </c>
      <c r="AS627" s="21" t="s">
        <v>503</v>
      </c>
      <c r="AT627" s="21" t="s">
        <v>120</v>
      </c>
      <c r="AU627" s="21">
        <v>4</v>
      </c>
      <c r="AW627" s="21" t="s">
        <v>336</v>
      </c>
      <c r="BA627" s="54"/>
      <c r="BM627" s="396"/>
      <c r="BN627" s="396"/>
      <c r="BR627" s="396"/>
      <c r="BS627" s="396"/>
      <c r="EY627" s="21">
        <v>0.19980000000000001</v>
      </c>
      <c r="EZ627" s="21">
        <v>0.25359999999999999</v>
      </c>
      <c r="FC627" s="21" t="s">
        <v>445</v>
      </c>
      <c r="GM627" s="12"/>
      <c r="GQ627" s="12"/>
      <c r="IO627" s="21" t="s">
        <v>716</v>
      </c>
    </row>
    <row r="628" spans="1:249" s="21" customFormat="1" x14ac:dyDescent="0.25">
      <c r="A628" s="21">
        <v>30</v>
      </c>
      <c r="B628" s="21" t="s">
        <v>438</v>
      </c>
      <c r="C628" s="21" t="s">
        <v>439</v>
      </c>
      <c r="D628" s="21">
        <v>2002</v>
      </c>
      <c r="E628" s="21">
        <v>2000</v>
      </c>
      <c r="F628" s="21" t="s">
        <v>440</v>
      </c>
      <c r="G628" s="21" t="s">
        <v>441</v>
      </c>
      <c r="H628" s="32" t="s">
        <v>2831</v>
      </c>
      <c r="I628" s="21">
        <f t="shared" si="195"/>
        <v>38.533333333333331</v>
      </c>
      <c r="J628" s="21">
        <f t="shared" si="196"/>
        <v>-121.78333333333333</v>
      </c>
      <c r="K628" s="21">
        <v>18.399999999999999</v>
      </c>
      <c r="O628" s="21">
        <v>483</v>
      </c>
      <c r="Q628" s="43">
        <v>4</v>
      </c>
      <c r="R628" s="43" t="s">
        <v>1867</v>
      </c>
      <c r="S628" s="43"/>
      <c r="T628" s="43">
        <v>36587</v>
      </c>
      <c r="U628" s="43" t="s">
        <v>1400</v>
      </c>
      <c r="V628" s="43" t="s">
        <v>1731</v>
      </c>
      <c r="W628" s="43" t="s">
        <v>1399</v>
      </c>
      <c r="X628" s="43" t="s">
        <v>1421</v>
      </c>
      <c r="Z628" s="322">
        <v>36</v>
      </c>
      <c r="AA628" s="322">
        <v>46</v>
      </c>
      <c r="AB628" s="21" t="s">
        <v>140</v>
      </c>
      <c r="AF628" s="21" t="s">
        <v>1332</v>
      </c>
      <c r="AG628" s="21" t="s">
        <v>1537</v>
      </c>
      <c r="AH628" s="138" t="s">
        <v>578</v>
      </c>
      <c r="AI628" s="21" t="s">
        <v>1592</v>
      </c>
      <c r="AJ628" s="141" t="s">
        <v>1617</v>
      </c>
      <c r="AK628" s="21" t="s">
        <v>442</v>
      </c>
      <c r="AL628" s="21" t="s">
        <v>442</v>
      </c>
      <c r="AM628" s="21" t="s">
        <v>178</v>
      </c>
      <c r="AQ628" s="21" t="s">
        <v>369</v>
      </c>
      <c r="AR628" s="21" t="s">
        <v>443</v>
      </c>
      <c r="AS628" s="21" t="s">
        <v>503</v>
      </c>
      <c r="AT628" s="21" t="s">
        <v>120</v>
      </c>
      <c r="AU628" s="21">
        <v>4</v>
      </c>
      <c r="AW628" s="21" t="s">
        <v>336</v>
      </c>
      <c r="BA628" s="54"/>
      <c r="BM628" s="396"/>
      <c r="BN628" s="396"/>
      <c r="BR628" s="396"/>
      <c r="BS628" s="396"/>
      <c r="EY628" s="21">
        <v>0.2006</v>
      </c>
      <c r="EZ628" s="21">
        <v>0.2389</v>
      </c>
      <c r="FC628" s="21" t="s">
        <v>445</v>
      </c>
      <c r="GM628" s="12"/>
      <c r="GQ628" s="12"/>
      <c r="IO628" s="21" t="s">
        <v>716</v>
      </c>
    </row>
    <row r="629" spans="1:249" s="21" customFormat="1" x14ac:dyDescent="0.25">
      <c r="A629" s="21">
        <v>30</v>
      </c>
      <c r="B629" s="21" t="s">
        <v>438</v>
      </c>
      <c r="C629" s="21" t="s">
        <v>439</v>
      </c>
      <c r="D629" s="21">
        <v>2002</v>
      </c>
      <c r="E629" s="21">
        <v>2000</v>
      </c>
      <c r="F629" s="21" t="s">
        <v>440</v>
      </c>
      <c r="G629" s="21" t="s">
        <v>441</v>
      </c>
      <c r="H629" s="32" t="s">
        <v>2831</v>
      </c>
      <c r="I629" s="21">
        <f t="shared" si="195"/>
        <v>38.533333333333331</v>
      </c>
      <c r="J629" s="21">
        <f t="shared" si="196"/>
        <v>-121.78333333333333</v>
      </c>
      <c r="K629" s="21">
        <v>18.399999999999999</v>
      </c>
      <c r="O629" s="21">
        <v>483</v>
      </c>
      <c r="Q629" s="43">
        <v>4</v>
      </c>
      <c r="R629" s="43" t="s">
        <v>1867</v>
      </c>
      <c r="S629" s="43"/>
      <c r="T629" s="43">
        <v>36587</v>
      </c>
      <c r="U629" s="43" t="s">
        <v>1400</v>
      </c>
      <c r="V629" s="43" t="s">
        <v>1731</v>
      </c>
      <c r="W629" s="43" t="s">
        <v>1399</v>
      </c>
      <c r="X629" s="43" t="s">
        <v>1421</v>
      </c>
      <c r="Z629" s="322">
        <v>36</v>
      </c>
      <c r="AA629" s="322">
        <v>46</v>
      </c>
      <c r="AB629" s="21" t="s">
        <v>140</v>
      </c>
      <c r="AF629" s="21" t="s">
        <v>1332</v>
      </c>
      <c r="AG629" s="21" t="s">
        <v>1537</v>
      </c>
      <c r="AH629" s="138" t="s">
        <v>578</v>
      </c>
      <c r="AI629" s="21" t="s">
        <v>1592</v>
      </c>
      <c r="AJ629" s="141" t="s">
        <v>1617</v>
      </c>
      <c r="AK629" s="21" t="s">
        <v>442</v>
      </c>
      <c r="AL629" s="21" t="s">
        <v>442</v>
      </c>
      <c r="AM629" s="21" t="s">
        <v>178</v>
      </c>
      <c r="AQ629" s="21" t="s">
        <v>369</v>
      </c>
      <c r="AR629" s="21" t="s">
        <v>444</v>
      </c>
      <c r="AS629" s="21" t="s">
        <v>503</v>
      </c>
      <c r="AT629" s="21" t="s">
        <v>120</v>
      </c>
      <c r="AU629" s="21">
        <v>4</v>
      </c>
      <c r="AW629" s="21" t="s">
        <v>336</v>
      </c>
      <c r="BA629" s="54"/>
      <c r="BM629" s="396"/>
      <c r="BN629" s="396"/>
      <c r="BR629" s="396"/>
      <c r="BS629" s="396"/>
      <c r="EY629" s="21">
        <v>0.2006</v>
      </c>
      <c r="EZ629" s="21">
        <v>0.25169999999999998</v>
      </c>
      <c r="FC629" s="21" t="s">
        <v>445</v>
      </c>
      <c r="GM629" s="12"/>
      <c r="GQ629" s="12"/>
      <c r="IO629" s="21" t="s">
        <v>716</v>
      </c>
    </row>
    <row r="630" spans="1:249" s="21" customFormat="1" x14ac:dyDescent="0.25">
      <c r="A630" s="21">
        <v>30</v>
      </c>
      <c r="B630" s="21" t="s">
        <v>438</v>
      </c>
      <c r="C630" s="21" t="s">
        <v>439</v>
      </c>
      <c r="D630" s="21">
        <v>2002</v>
      </c>
      <c r="E630" s="21">
        <v>2000</v>
      </c>
      <c r="F630" s="21" t="s">
        <v>440</v>
      </c>
      <c r="G630" s="21" t="s">
        <v>441</v>
      </c>
      <c r="H630" s="32" t="s">
        <v>2831</v>
      </c>
      <c r="I630" s="21">
        <f t="shared" si="195"/>
        <v>38.533333333333331</v>
      </c>
      <c r="J630" s="21">
        <f t="shared" si="196"/>
        <v>-121.78333333333333</v>
      </c>
      <c r="K630" s="21">
        <v>18.399999999999999</v>
      </c>
      <c r="O630" s="21">
        <v>483</v>
      </c>
      <c r="Q630" s="43">
        <v>4</v>
      </c>
      <c r="R630" s="43" t="s">
        <v>1867</v>
      </c>
      <c r="S630" s="43"/>
      <c r="T630" s="43">
        <v>36598</v>
      </c>
      <c r="U630" s="43" t="s">
        <v>1400</v>
      </c>
      <c r="V630" s="43" t="s">
        <v>1731</v>
      </c>
      <c r="W630" s="43" t="s">
        <v>1399</v>
      </c>
      <c r="X630" s="43" t="s">
        <v>1421</v>
      </c>
      <c r="Z630" s="322">
        <v>36</v>
      </c>
      <c r="AA630" s="322">
        <v>46</v>
      </c>
      <c r="AB630" s="21" t="s">
        <v>140</v>
      </c>
      <c r="AF630" s="21" t="s">
        <v>1332</v>
      </c>
      <c r="AG630" s="21" t="s">
        <v>1537</v>
      </c>
      <c r="AH630" s="138" t="s">
        <v>578</v>
      </c>
      <c r="AI630" s="21" t="s">
        <v>1592</v>
      </c>
      <c r="AJ630" s="141" t="s">
        <v>1617</v>
      </c>
      <c r="AK630" s="21" t="s">
        <v>442</v>
      </c>
      <c r="AL630" s="21" t="s">
        <v>442</v>
      </c>
      <c r="AM630" s="21" t="s">
        <v>178</v>
      </c>
      <c r="AQ630" s="21" t="s">
        <v>369</v>
      </c>
      <c r="AR630" s="21" t="s">
        <v>443</v>
      </c>
      <c r="AS630" s="21" t="s">
        <v>503</v>
      </c>
      <c r="AT630" s="21" t="s">
        <v>120</v>
      </c>
      <c r="AU630" s="21">
        <v>4</v>
      </c>
      <c r="AW630" s="21" t="s">
        <v>336</v>
      </c>
      <c r="BA630" s="54"/>
      <c r="BM630" s="396"/>
      <c r="BN630" s="396"/>
      <c r="BR630" s="396"/>
      <c r="BS630" s="396"/>
      <c r="EY630" s="21">
        <v>0.1988</v>
      </c>
      <c r="EZ630" s="21">
        <v>0.2334</v>
      </c>
      <c r="FC630" s="21" t="s">
        <v>445</v>
      </c>
      <c r="GM630" s="12"/>
      <c r="GQ630" s="12"/>
      <c r="IO630" s="21" t="s">
        <v>716</v>
      </c>
    </row>
    <row r="631" spans="1:249" s="21" customFormat="1" x14ac:dyDescent="0.25">
      <c r="A631" s="21">
        <v>30</v>
      </c>
      <c r="B631" s="21" t="s">
        <v>438</v>
      </c>
      <c r="C631" s="21" t="s">
        <v>439</v>
      </c>
      <c r="D631" s="21">
        <v>2002</v>
      </c>
      <c r="E631" s="21">
        <v>2000</v>
      </c>
      <c r="F631" s="21" t="s">
        <v>440</v>
      </c>
      <c r="G631" s="21" t="s">
        <v>441</v>
      </c>
      <c r="H631" s="32" t="s">
        <v>2831</v>
      </c>
      <c r="I631" s="21">
        <f t="shared" si="195"/>
        <v>38.533333333333331</v>
      </c>
      <c r="J631" s="21">
        <f t="shared" si="196"/>
        <v>-121.78333333333333</v>
      </c>
      <c r="K631" s="21">
        <v>18.399999999999999</v>
      </c>
      <c r="O631" s="21">
        <v>483</v>
      </c>
      <c r="Q631" s="43">
        <v>4</v>
      </c>
      <c r="R631" s="43" t="s">
        <v>1867</v>
      </c>
      <c r="S631" s="43"/>
      <c r="T631" s="43">
        <v>36598</v>
      </c>
      <c r="U631" s="43" t="s">
        <v>1400</v>
      </c>
      <c r="V631" s="43" t="s">
        <v>1731</v>
      </c>
      <c r="W631" s="43" t="s">
        <v>1399</v>
      </c>
      <c r="X631" s="43" t="s">
        <v>1421</v>
      </c>
      <c r="Z631" s="322">
        <v>36</v>
      </c>
      <c r="AA631" s="322">
        <v>46</v>
      </c>
      <c r="AB631" s="21" t="s">
        <v>140</v>
      </c>
      <c r="AF631" s="21" t="s">
        <v>1332</v>
      </c>
      <c r="AG631" s="21" t="s">
        <v>1537</v>
      </c>
      <c r="AH631" s="138" t="s">
        <v>578</v>
      </c>
      <c r="AI631" s="21" t="s">
        <v>1592</v>
      </c>
      <c r="AJ631" s="141" t="s">
        <v>1617</v>
      </c>
      <c r="AK631" s="21" t="s">
        <v>442</v>
      </c>
      <c r="AL631" s="21" t="s">
        <v>442</v>
      </c>
      <c r="AM631" s="21" t="s">
        <v>178</v>
      </c>
      <c r="AQ631" s="21" t="s">
        <v>369</v>
      </c>
      <c r="AR631" s="21" t="s">
        <v>444</v>
      </c>
      <c r="AS631" s="21" t="s">
        <v>503</v>
      </c>
      <c r="AT631" s="21" t="s">
        <v>120</v>
      </c>
      <c r="AU631" s="21">
        <v>4</v>
      </c>
      <c r="AW631" s="21" t="s">
        <v>336</v>
      </c>
      <c r="BA631" s="54"/>
      <c r="BM631" s="396"/>
      <c r="BN631" s="396"/>
      <c r="BR631" s="396"/>
      <c r="BS631" s="396"/>
      <c r="EY631" s="21">
        <v>0.1988</v>
      </c>
      <c r="EZ631" s="21">
        <v>0.24709999999999999</v>
      </c>
      <c r="FC631" s="21" t="s">
        <v>445</v>
      </c>
      <c r="GM631" s="12"/>
      <c r="GQ631" s="12"/>
      <c r="IO631" s="21" t="s">
        <v>716</v>
      </c>
    </row>
    <row r="632" spans="1:249" s="33" customFormat="1" x14ac:dyDescent="0.25">
      <c r="A632" s="33">
        <v>30</v>
      </c>
      <c r="B632" s="33" t="s">
        <v>438</v>
      </c>
      <c r="C632" s="33" t="s">
        <v>439</v>
      </c>
      <c r="D632" s="33">
        <v>2002</v>
      </c>
      <c r="E632" s="33">
        <v>1998</v>
      </c>
      <c r="F632" s="33" t="s">
        <v>440</v>
      </c>
      <c r="G632" s="33" t="s">
        <v>441</v>
      </c>
      <c r="H632" s="32" t="s">
        <v>2831</v>
      </c>
      <c r="I632" s="33">
        <f t="shared" ref="I632:I663" si="197">38+32/60</f>
        <v>38.533333333333331</v>
      </c>
      <c r="J632" s="33">
        <f t="shared" ref="J632:J663" si="198">-121-47/60</f>
        <v>-121.78333333333333</v>
      </c>
      <c r="K632" s="33">
        <v>18.399999999999999</v>
      </c>
      <c r="O632" s="33">
        <v>483</v>
      </c>
      <c r="Q632" s="47">
        <v>2</v>
      </c>
      <c r="R632" s="47" t="s">
        <v>1867</v>
      </c>
      <c r="S632" s="47"/>
      <c r="T632" s="47">
        <v>36145</v>
      </c>
      <c r="U632" s="47" t="s">
        <v>1401</v>
      </c>
      <c r="V632" s="47" t="s">
        <v>1732</v>
      </c>
      <c r="W632" s="47" t="s">
        <v>1399</v>
      </c>
      <c r="X632" s="47" t="s">
        <v>1421</v>
      </c>
      <c r="Z632" s="327">
        <v>36</v>
      </c>
      <c r="AA632" s="327">
        <v>46</v>
      </c>
      <c r="AB632" s="33" t="s">
        <v>140</v>
      </c>
      <c r="AF632" s="33" t="s">
        <v>1332</v>
      </c>
      <c r="AG632" s="33" t="s">
        <v>1537</v>
      </c>
      <c r="AH632" s="138" t="s">
        <v>578</v>
      </c>
      <c r="AI632" s="33" t="s">
        <v>1592</v>
      </c>
      <c r="AJ632" s="141" t="s">
        <v>1617</v>
      </c>
      <c r="AK632" s="33" t="s">
        <v>442</v>
      </c>
      <c r="AL632" s="33" t="s">
        <v>442</v>
      </c>
      <c r="AM632" s="33" t="s">
        <v>178</v>
      </c>
      <c r="AQ632" s="33" t="s">
        <v>369</v>
      </c>
      <c r="AR632" s="33" t="s">
        <v>443</v>
      </c>
      <c r="AS632" s="33" t="s">
        <v>503</v>
      </c>
      <c r="AT632" s="33" t="s">
        <v>120</v>
      </c>
      <c r="AU632" s="33">
        <v>4</v>
      </c>
      <c r="AW632" s="33" t="s">
        <v>336</v>
      </c>
      <c r="BA632" s="54"/>
      <c r="BM632" s="402"/>
      <c r="BN632" s="402"/>
      <c r="BR632" s="402"/>
      <c r="BS632" s="402"/>
      <c r="EY632" s="33">
        <v>0.1116</v>
      </c>
      <c r="EZ632" s="33">
        <v>0.108</v>
      </c>
      <c r="FC632" s="33" t="s">
        <v>445</v>
      </c>
      <c r="GM632" s="12"/>
      <c r="GQ632" s="12"/>
      <c r="IO632" s="33" t="s">
        <v>716</v>
      </c>
    </row>
    <row r="633" spans="1:249" s="33" customFormat="1" x14ac:dyDescent="0.25">
      <c r="A633" s="33">
        <v>30</v>
      </c>
      <c r="B633" s="33" t="s">
        <v>438</v>
      </c>
      <c r="C633" s="33" t="s">
        <v>439</v>
      </c>
      <c r="D633" s="33">
        <v>2002</v>
      </c>
      <c r="E633" s="33">
        <v>1998</v>
      </c>
      <c r="F633" s="33" t="s">
        <v>440</v>
      </c>
      <c r="G633" s="33" t="s">
        <v>441</v>
      </c>
      <c r="H633" s="32" t="s">
        <v>2831</v>
      </c>
      <c r="I633" s="33">
        <f t="shared" si="197"/>
        <v>38.533333333333331</v>
      </c>
      <c r="J633" s="33">
        <f t="shared" si="198"/>
        <v>-121.78333333333333</v>
      </c>
      <c r="K633" s="33">
        <v>18.399999999999999</v>
      </c>
      <c r="O633" s="33">
        <v>483</v>
      </c>
      <c r="Q633" s="47">
        <v>2</v>
      </c>
      <c r="R633" s="47" t="s">
        <v>1867</v>
      </c>
      <c r="S633" s="47"/>
      <c r="T633" s="47">
        <v>36145</v>
      </c>
      <c r="U633" s="47" t="s">
        <v>1401</v>
      </c>
      <c r="V633" s="47" t="s">
        <v>1732</v>
      </c>
      <c r="W633" s="47" t="s">
        <v>1399</v>
      </c>
      <c r="X633" s="47" t="s">
        <v>1421</v>
      </c>
      <c r="Z633" s="327">
        <v>36</v>
      </c>
      <c r="AA633" s="327">
        <v>46</v>
      </c>
      <c r="AB633" s="33" t="s">
        <v>140</v>
      </c>
      <c r="AF633" s="33" t="s">
        <v>1332</v>
      </c>
      <c r="AG633" s="33" t="s">
        <v>1537</v>
      </c>
      <c r="AH633" s="138" t="s">
        <v>578</v>
      </c>
      <c r="AI633" s="33" t="s">
        <v>1592</v>
      </c>
      <c r="AJ633" s="141" t="s">
        <v>1617</v>
      </c>
      <c r="AK633" s="33" t="s">
        <v>442</v>
      </c>
      <c r="AL633" s="33" t="s">
        <v>442</v>
      </c>
      <c r="AM633" s="33" t="s">
        <v>178</v>
      </c>
      <c r="AQ633" s="33" t="s">
        <v>369</v>
      </c>
      <c r="AR633" s="33" t="s">
        <v>444</v>
      </c>
      <c r="AS633" s="33" t="s">
        <v>503</v>
      </c>
      <c r="AT633" s="33" t="s">
        <v>120</v>
      </c>
      <c r="AU633" s="33">
        <v>4</v>
      </c>
      <c r="AW633" s="33" t="s">
        <v>336</v>
      </c>
      <c r="BA633" s="54"/>
      <c r="BM633" s="402"/>
      <c r="BN633" s="402"/>
      <c r="BR633" s="402"/>
      <c r="BS633" s="402"/>
      <c r="EY633" s="33">
        <v>0.1116</v>
      </c>
      <c r="EZ633" s="33">
        <v>0.108</v>
      </c>
      <c r="FC633" s="33" t="s">
        <v>445</v>
      </c>
      <c r="GM633" s="12"/>
      <c r="GQ633" s="12"/>
      <c r="IO633" s="33" t="s">
        <v>716</v>
      </c>
    </row>
    <row r="634" spans="1:249" s="33" customFormat="1" x14ac:dyDescent="0.25">
      <c r="A634" s="33">
        <v>30</v>
      </c>
      <c r="B634" s="33" t="s">
        <v>438</v>
      </c>
      <c r="C634" s="33" t="s">
        <v>439</v>
      </c>
      <c r="D634" s="33">
        <v>2002</v>
      </c>
      <c r="E634" s="33">
        <v>1999</v>
      </c>
      <c r="F634" s="33" t="s">
        <v>440</v>
      </c>
      <c r="G634" s="33" t="s">
        <v>441</v>
      </c>
      <c r="H634" s="32" t="s">
        <v>2831</v>
      </c>
      <c r="I634" s="33">
        <f t="shared" si="197"/>
        <v>38.533333333333331</v>
      </c>
      <c r="J634" s="33">
        <f t="shared" si="198"/>
        <v>-121.78333333333333</v>
      </c>
      <c r="K634" s="33">
        <v>18.399999999999999</v>
      </c>
      <c r="O634" s="33">
        <v>483</v>
      </c>
      <c r="Q634" s="47">
        <v>3</v>
      </c>
      <c r="R634" s="47" t="s">
        <v>1867</v>
      </c>
      <c r="S634" s="47"/>
      <c r="T634" s="47">
        <v>36170</v>
      </c>
      <c r="U634" s="47" t="s">
        <v>1401</v>
      </c>
      <c r="V634" s="47" t="s">
        <v>1732</v>
      </c>
      <c r="W634" s="47" t="s">
        <v>1399</v>
      </c>
      <c r="X634" s="47" t="s">
        <v>1421</v>
      </c>
      <c r="Z634" s="327">
        <v>36</v>
      </c>
      <c r="AA634" s="327">
        <v>46</v>
      </c>
      <c r="AB634" s="33" t="s">
        <v>140</v>
      </c>
      <c r="AF634" s="33" t="s">
        <v>1332</v>
      </c>
      <c r="AG634" s="33" t="s">
        <v>1537</v>
      </c>
      <c r="AH634" s="138" t="s">
        <v>578</v>
      </c>
      <c r="AI634" s="33" t="s">
        <v>1592</v>
      </c>
      <c r="AJ634" s="141" t="s">
        <v>1617</v>
      </c>
      <c r="AK634" s="33" t="s">
        <v>442</v>
      </c>
      <c r="AL634" s="33" t="s">
        <v>442</v>
      </c>
      <c r="AM634" s="33" t="s">
        <v>178</v>
      </c>
      <c r="AQ634" s="33" t="s">
        <v>369</v>
      </c>
      <c r="AR634" s="33" t="s">
        <v>443</v>
      </c>
      <c r="AS634" s="33" t="s">
        <v>503</v>
      </c>
      <c r="AT634" s="33" t="s">
        <v>120</v>
      </c>
      <c r="AU634" s="33">
        <v>4</v>
      </c>
      <c r="AW634" s="33" t="s">
        <v>336</v>
      </c>
      <c r="BA634" s="54"/>
      <c r="BM634" s="402"/>
      <c r="BN634" s="402"/>
      <c r="BR634" s="402"/>
      <c r="BS634" s="402"/>
      <c r="EY634" s="33">
        <v>0.1089</v>
      </c>
      <c r="EZ634" s="33">
        <v>0.1116</v>
      </c>
      <c r="FC634" s="33" t="s">
        <v>445</v>
      </c>
      <c r="GM634" s="12"/>
      <c r="GQ634" s="12"/>
      <c r="IO634" s="33" t="s">
        <v>716</v>
      </c>
    </row>
    <row r="635" spans="1:249" s="33" customFormat="1" x14ac:dyDescent="0.25">
      <c r="A635" s="33">
        <v>30</v>
      </c>
      <c r="B635" s="33" t="s">
        <v>438</v>
      </c>
      <c r="C635" s="33" t="s">
        <v>439</v>
      </c>
      <c r="D635" s="33">
        <v>2002</v>
      </c>
      <c r="E635" s="33">
        <v>1999</v>
      </c>
      <c r="F635" s="33" t="s">
        <v>440</v>
      </c>
      <c r="G635" s="33" t="s">
        <v>441</v>
      </c>
      <c r="H635" s="32" t="s">
        <v>2831</v>
      </c>
      <c r="I635" s="33">
        <f t="shared" si="197"/>
        <v>38.533333333333331</v>
      </c>
      <c r="J635" s="33">
        <f t="shared" si="198"/>
        <v>-121.78333333333333</v>
      </c>
      <c r="K635" s="33">
        <v>18.399999999999999</v>
      </c>
      <c r="O635" s="33">
        <v>483</v>
      </c>
      <c r="Q635" s="47">
        <v>3</v>
      </c>
      <c r="R635" s="47" t="s">
        <v>1867</v>
      </c>
      <c r="S635" s="47"/>
      <c r="T635" s="47">
        <v>36170</v>
      </c>
      <c r="U635" s="47" t="s">
        <v>1401</v>
      </c>
      <c r="V635" s="47" t="s">
        <v>1732</v>
      </c>
      <c r="W635" s="47" t="s">
        <v>1399</v>
      </c>
      <c r="X635" s="47" t="s">
        <v>1421</v>
      </c>
      <c r="Z635" s="327">
        <v>36</v>
      </c>
      <c r="AA635" s="327">
        <v>46</v>
      </c>
      <c r="AB635" s="33" t="s">
        <v>140</v>
      </c>
      <c r="AF635" s="33" t="s">
        <v>1332</v>
      </c>
      <c r="AG635" s="33" t="s">
        <v>1537</v>
      </c>
      <c r="AH635" s="138" t="s">
        <v>578</v>
      </c>
      <c r="AI635" s="33" t="s">
        <v>1592</v>
      </c>
      <c r="AJ635" s="141" t="s">
        <v>1617</v>
      </c>
      <c r="AK635" s="33" t="s">
        <v>442</v>
      </c>
      <c r="AL635" s="33" t="s">
        <v>442</v>
      </c>
      <c r="AM635" s="33" t="s">
        <v>178</v>
      </c>
      <c r="AQ635" s="33" t="s">
        <v>369</v>
      </c>
      <c r="AR635" s="33" t="s">
        <v>444</v>
      </c>
      <c r="AS635" s="33" t="s">
        <v>503</v>
      </c>
      <c r="AT635" s="33" t="s">
        <v>120</v>
      </c>
      <c r="AU635" s="33">
        <v>4</v>
      </c>
      <c r="AW635" s="33" t="s">
        <v>336</v>
      </c>
      <c r="BA635" s="54"/>
      <c r="BM635" s="402"/>
      <c r="BN635" s="402"/>
      <c r="BR635" s="402"/>
      <c r="BS635" s="402"/>
      <c r="EY635" s="33">
        <v>0.1089</v>
      </c>
      <c r="EZ635" s="33">
        <v>0.10349999999999999</v>
      </c>
      <c r="FC635" s="33" t="s">
        <v>445</v>
      </c>
      <c r="GM635" s="12"/>
      <c r="GQ635" s="12"/>
      <c r="IO635" s="33" t="s">
        <v>716</v>
      </c>
    </row>
    <row r="636" spans="1:249" s="33" customFormat="1" x14ac:dyDescent="0.25">
      <c r="A636" s="33">
        <v>30</v>
      </c>
      <c r="B636" s="33" t="s">
        <v>438</v>
      </c>
      <c r="C636" s="33" t="s">
        <v>439</v>
      </c>
      <c r="D636" s="33">
        <v>2002</v>
      </c>
      <c r="E636" s="33">
        <v>1999</v>
      </c>
      <c r="F636" s="33" t="s">
        <v>440</v>
      </c>
      <c r="G636" s="33" t="s">
        <v>441</v>
      </c>
      <c r="H636" s="32" t="s">
        <v>2831</v>
      </c>
      <c r="I636" s="33">
        <f t="shared" si="197"/>
        <v>38.533333333333331</v>
      </c>
      <c r="J636" s="33">
        <f t="shared" si="198"/>
        <v>-121.78333333333333</v>
      </c>
      <c r="K636" s="33">
        <v>18.399999999999999</v>
      </c>
      <c r="O636" s="33">
        <v>483</v>
      </c>
      <c r="Q636" s="47">
        <v>3</v>
      </c>
      <c r="R636" s="47" t="s">
        <v>1867</v>
      </c>
      <c r="S636" s="47"/>
      <c r="T636" s="47">
        <v>36187</v>
      </c>
      <c r="U636" s="47" t="s">
        <v>1401</v>
      </c>
      <c r="V636" s="47" t="s">
        <v>1732</v>
      </c>
      <c r="W636" s="47" t="s">
        <v>1399</v>
      </c>
      <c r="X636" s="47" t="s">
        <v>1421</v>
      </c>
      <c r="Z636" s="327">
        <v>36</v>
      </c>
      <c r="AA636" s="327">
        <v>46</v>
      </c>
      <c r="AB636" s="33" t="s">
        <v>140</v>
      </c>
      <c r="AF636" s="33" t="s">
        <v>1332</v>
      </c>
      <c r="AG636" s="33" t="s">
        <v>1537</v>
      </c>
      <c r="AH636" s="138" t="s">
        <v>578</v>
      </c>
      <c r="AI636" s="33" t="s">
        <v>1592</v>
      </c>
      <c r="AJ636" s="141" t="s">
        <v>1617</v>
      </c>
      <c r="AK636" s="33" t="s">
        <v>442</v>
      </c>
      <c r="AL636" s="33" t="s">
        <v>442</v>
      </c>
      <c r="AM636" s="33" t="s">
        <v>178</v>
      </c>
      <c r="AQ636" s="33" t="s">
        <v>369</v>
      </c>
      <c r="AR636" s="33" t="s">
        <v>443</v>
      </c>
      <c r="AS636" s="33" t="s">
        <v>503</v>
      </c>
      <c r="AT636" s="33" t="s">
        <v>120</v>
      </c>
      <c r="AU636" s="33">
        <v>4</v>
      </c>
      <c r="AW636" s="33" t="s">
        <v>336</v>
      </c>
      <c r="BA636" s="54"/>
      <c r="BM636" s="402"/>
      <c r="BN636" s="402"/>
      <c r="BR636" s="402"/>
      <c r="BS636" s="402"/>
      <c r="EY636" s="33">
        <v>0.11070000000000001</v>
      </c>
      <c r="EZ636" s="33">
        <v>0.1133</v>
      </c>
      <c r="FC636" s="33" t="s">
        <v>445</v>
      </c>
      <c r="GM636" s="12"/>
      <c r="GQ636" s="12"/>
      <c r="IO636" s="33" t="s">
        <v>716</v>
      </c>
    </row>
    <row r="637" spans="1:249" s="33" customFormat="1" x14ac:dyDescent="0.25">
      <c r="A637" s="33">
        <v>30</v>
      </c>
      <c r="B637" s="33" t="s">
        <v>438</v>
      </c>
      <c r="C637" s="33" t="s">
        <v>439</v>
      </c>
      <c r="D637" s="33">
        <v>2002</v>
      </c>
      <c r="E637" s="33">
        <v>1999</v>
      </c>
      <c r="F637" s="33" t="s">
        <v>440</v>
      </c>
      <c r="G637" s="33" t="s">
        <v>441</v>
      </c>
      <c r="H637" s="32" t="s">
        <v>2831</v>
      </c>
      <c r="I637" s="33">
        <f t="shared" si="197"/>
        <v>38.533333333333331</v>
      </c>
      <c r="J637" s="33">
        <f t="shared" si="198"/>
        <v>-121.78333333333333</v>
      </c>
      <c r="K637" s="33">
        <v>18.399999999999999</v>
      </c>
      <c r="O637" s="33">
        <v>483</v>
      </c>
      <c r="Q637" s="47">
        <v>3</v>
      </c>
      <c r="R637" s="47" t="s">
        <v>1867</v>
      </c>
      <c r="S637" s="47"/>
      <c r="T637" s="47">
        <v>36187</v>
      </c>
      <c r="U637" s="47" t="s">
        <v>1401</v>
      </c>
      <c r="V637" s="47" t="s">
        <v>1732</v>
      </c>
      <c r="W637" s="47" t="s">
        <v>1399</v>
      </c>
      <c r="X637" s="47" t="s">
        <v>1421</v>
      </c>
      <c r="Z637" s="327">
        <v>36</v>
      </c>
      <c r="AA637" s="327">
        <v>46</v>
      </c>
      <c r="AB637" s="33" t="s">
        <v>140</v>
      </c>
      <c r="AF637" s="33" t="s">
        <v>1332</v>
      </c>
      <c r="AG637" s="33" t="s">
        <v>1537</v>
      </c>
      <c r="AH637" s="138" t="s">
        <v>578</v>
      </c>
      <c r="AI637" s="33" t="s">
        <v>1592</v>
      </c>
      <c r="AJ637" s="141" t="s">
        <v>1617</v>
      </c>
      <c r="AK637" s="33" t="s">
        <v>442</v>
      </c>
      <c r="AL637" s="33" t="s">
        <v>442</v>
      </c>
      <c r="AM637" s="33" t="s">
        <v>178</v>
      </c>
      <c r="AQ637" s="33" t="s">
        <v>369</v>
      </c>
      <c r="AR637" s="33" t="s">
        <v>444</v>
      </c>
      <c r="AS637" s="33" t="s">
        <v>503</v>
      </c>
      <c r="AT637" s="33" t="s">
        <v>120</v>
      </c>
      <c r="AU637" s="33">
        <v>4</v>
      </c>
      <c r="AW637" s="33" t="s">
        <v>336</v>
      </c>
      <c r="BA637" s="54"/>
      <c r="BM637" s="402"/>
      <c r="BN637" s="402"/>
      <c r="BR637" s="402"/>
      <c r="BS637" s="402"/>
      <c r="EY637" s="33">
        <v>0.11070000000000001</v>
      </c>
      <c r="EZ637" s="33">
        <v>0.1062</v>
      </c>
      <c r="FC637" s="33" t="s">
        <v>445</v>
      </c>
      <c r="GM637" s="12"/>
      <c r="GQ637" s="12"/>
      <c r="IO637" s="33" t="s">
        <v>716</v>
      </c>
    </row>
    <row r="638" spans="1:249" s="33" customFormat="1" x14ac:dyDescent="0.25">
      <c r="A638" s="33">
        <v>30</v>
      </c>
      <c r="B638" s="33" t="s">
        <v>438</v>
      </c>
      <c r="C638" s="33" t="s">
        <v>439</v>
      </c>
      <c r="D638" s="33">
        <v>2002</v>
      </c>
      <c r="E638" s="33">
        <v>1999</v>
      </c>
      <c r="F638" s="33" t="s">
        <v>440</v>
      </c>
      <c r="G638" s="33" t="s">
        <v>441</v>
      </c>
      <c r="H638" s="32" t="s">
        <v>2831</v>
      </c>
      <c r="I638" s="33">
        <f t="shared" si="197"/>
        <v>38.533333333333331</v>
      </c>
      <c r="J638" s="33">
        <f t="shared" si="198"/>
        <v>-121.78333333333333</v>
      </c>
      <c r="K638" s="33">
        <v>18.399999999999999</v>
      </c>
      <c r="O638" s="33">
        <v>483</v>
      </c>
      <c r="Q638" s="47">
        <v>3</v>
      </c>
      <c r="R638" s="47" t="s">
        <v>1867</v>
      </c>
      <c r="S638" s="47"/>
      <c r="T638" s="47">
        <v>36198</v>
      </c>
      <c r="U638" s="47" t="s">
        <v>1401</v>
      </c>
      <c r="V638" s="47" t="s">
        <v>1732</v>
      </c>
      <c r="W638" s="47" t="s">
        <v>1399</v>
      </c>
      <c r="X638" s="47" t="s">
        <v>1421</v>
      </c>
      <c r="Z638" s="327">
        <v>36</v>
      </c>
      <c r="AA638" s="327">
        <v>46</v>
      </c>
      <c r="AB638" s="33" t="s">
        <v>140</v>
      </c>
      <c r="AF638" s="33" t="s">
        <v>1332</v>
      </c>
      <c r="AG638" s="33" t="s">
        <v>1537</v>
      </c>
      <c r="AH638" s="138" t="s">
        <v>578</v>
      </c>
      <c r="AI638" s="33" t="s">
        <v>1592</v>
      </c>
      <c r="AJ638" s="141" t="s">
        <v>1617</v>
      </c>
      <c r="AK638" s="33" t="s">
        <v>442</v>
      </c>
      <c r="AL638" s="33" t="s">
        <v>442</v>
      </c>
      <c r="AM638" s="33" t="s">
        <v>178</v>
      </c>
      <c r="AQ638" s="33" t="s">
        <v>369</v>
      </c>
      <c r="AR638" s="33" t="s">
        <v>443</v>
      </c>
      <c r="AS638" s="33" t="s">
        <v>503</v>
      </c>
      <c r="AT638" s="33" t="s">
        <v>120</v>
      </c>
      <c r="AU638" s="33">
        <v>4</v>
      </c>
      <c r="AW638" s="33" t="s">
        <v>336</v>
      </c>
      <c r="BA638" s="54"/>
      <c r="BM638" s="402"/>
      <c r="BN638" s="402"/>
      <c r="BR638" s="402"/>
      <c r="BS638" s="402"/>
      <c r="EY638" s="33">
        <v>0.12939999999999999</v>
      </c>
      <c r="EZ638" s="33">
        <v>0.10780000000000001</v>
      </c>
      <c r="FC638" s="33" t="s">
        <v>445</v>
      </c>
      <c r="GM638" s="12"/>
      <c r="GQ638" s="12"/>
      <c r="IO638" s="33" t="s">
        <v>716</v>
      </c>
    </row>
    <row r="639" spans="1:249" s="33" customFormat="1" x14ac:dyDescent="0.25">
      <c r="A639" s="33">
        <v>30</v>
      </c>
      <c r="B639" s="33" t="s">
        <v>438</v>
      </c>
      <c r="C639" s="33" t="s">
        <v>439</v>
      </c>
      <c r="D639" s="33">
        <v>2002</v>
      </c>
      <c r="E639" s="33">
        <v>1999</v>
      </c>
      <c r="F639" s="33" t="s">
        <v>440</v>
      </c>
      <c r="G639" s="33" t="s">
        <v>441</v>
      </c>
      <c r="H639" s="32" t="s">
        <v>2831</v>
      </c>
      <c r="I639" s="33">
        <f t="shared" si="197"/>
        <v>38.533333333333331</v>
      </c>
      <c r="J639" s="33">
        <f t="shared" si="198"/>
        <v>-121.78333333333333</v>
      </c>
      <c r="K639" s="33">
        <v>18.399999999999999</v>
      </c>
      <c r="O639" s="33">
        <v>483</v>
      </c>
      <c r="Q639" s="47">
        <v>3</v>
      </c>
      <c r="R639" s="47" t="s">
        <v>1867</v>
      </c>
      <c r="S639" s="47"/>
      <c r="T639" s="47">
        <v>36198</v>
      </c>
      <c r="U639" s="47" t="s">
        <v>1401</v>
      </c>
      <c r="V639" s="47" t="s">
        <v>1732</v>
      </c>
      <c r="W639" s="47" t="s">
        <v>1399</v>
      </c>
      <c r="X639" s="47" t="s">
        <v>1421</v>
      </c>
      <c r="Z639" s="327">
        <v>36</v>
      </c>
      <c r="AA639" s="327">
        <v>46</v>
      </c>
      <c r="AB639" s="33" t="s">
        <v>140</v>
      </c>
      <c r="AF639" s="33" t="s">
        <v>1332</v>
      </c>
      <c r="AG639" s="33" t="s">
        <v>1537</v>
      </c>
      <c r="AH639" s="138" t="s">
        <v>578</v>
      </c>
      <c r="AI639" s="33" t="s">
        <v>1592</v>
      </c>
      <c r="AJ639" s="141" t="s">
        <v>1617</v>
      </c>
      <c r="AK639" s="33" t="s">
        <v>442</v>
      </c>
      <c r="AL639" s="33" t="s">
        <v>442</v>
      </c>
      <c r="AM639" s="33" t="s">
        <v>178</v>
      </c>
      <c r="AQ639" s="33" t="s">
        <v>369</v>
      </c>
      <c r="AR639" s="33" t="s">
        <v>444</v>
      </c>
      <c r="AS639" s="33" t="s">
        <v>503</v>
      </c>
      <c r="AT639" s="33" t="s">
        <v>120</v>
      </c>
      <c r="AU639" s="33">
        <v>4</v>
      </c>
      <c r="AW639" s="33" t="s">
        <v>336</v>
      </c>
      <c r="BA639" s="54"/>
      <c r="BM639" s="402"/>
      <c r="BN639" s="402"/>
      <c r="BR639" s="402"/>
      <c r="BS639" s="402"/>
      <c r="EY639" s="33">
        <v>0.12939999999999999</v>
      </c>
      <c r="EZ639" s="33">
        <v>0.10780000000000001</v>
      </c>
      <c r="FC639" s="33" t="s">
        <v>445</v>
      </c>
      <c r="GM639" s="12"/>
      <c r="GQ639" s="12"/>
      <c r="IO639" s="33" t="s">
        <v>716</v>
      </c>
    </row>
    <row r="640" spans="1:249" s="33" customFormat="1" x14ac:dyDescent="0.25">
      <c r="A640" s="33">
        <v>30</v>
      </c>
      <c r="B640" s="33" t="s">
        <v>438</v>
      </c>
      <c r="C640" s="33" t="s">
        <v>439</v>
      </c>
      <c r="D640" s="33">
        <v>2002</v>
      </c>
      <c r="E640" s="33">
        <v>1999</v>
      </c>
      <c r="F640" s="33" t="s">
        <v>440</v>
      </c>
      <c r="G640" s="33" t="s">
        <v>441</v>
      </c>
      <c r="H640" s="32" t="s">
        <v>2831</v>
      </c>
      <c r="I640" s="33">
        <f t="shared" si="197"/>
        <v>38.533333333333331</v>
      </c>
      <c r="J640" s="33">
        <f t="shared" si="198"/>
        <v>-121.78333333333333</v>
      </c>
      <c r="K640" s="33">
        <v>18.399999999999999</v>
      </c>
      <c r="O640" s="33">
        <v>483</v>
      </c>
      <c r="Q640" s="47">
        <v>3</v>
      </c>
      <c r="R640" s="47" t="s">
        <v>1867</v>
      </c>
      <c r="S640" s="47"/>
      <c r="T640" s="47">
        <v>36232</v>
      </c>
      <c r="U640" s="47" t="s">
        <v>1401</v>
      </c>
      <c r="V640" s="47" t="s">
        <v>1732</v>
      </c>
      <c r="W640" s="47" t="s">
        <v>1399</v>
      </c>
      <c r="X640" s="47" t="s">
        <v>1421</v>
      </c>
      <c r="Z640" s="327">
        <v>36</v>
      </c>
      <c r="AA640" s="327">
        <v>46</v>
      </c>
      <c r="AB640" s="33" t="s">
        <v>140</v>
      </c>
      <c r="AF640" s="33" t="s">
        <v>1332</v>
      </c>
      <c r="AG640" s="33" t="s">
        <v>1537</v>
      </c>
      <c r="AH640" s="138" t="s">
        <v>578</v>
      </c>
      <c r="AI640" s="33" t="s">
        <v>1592</v>
      </c>
      <c r="AJ640" s="141" t="s">
        <v>1617</v>
      </c>
      <c r="AK640" s="33" t="s">
        <v>442</v>
      </c>
      <c r="AL640" s="33" t="s">
        <v>442</v>
      </c>
      <c r="AM640" s="33" t="s">
        <v>178</v>
      </c>
      <c r="AQ640" s="33" t="s">
        <v>369</v>
      </c>
      <c r="AR640" s="33" t="s">
        <v>443</v>
      </c>
      <c r="AS640" s="33" t="s">
        <v>503</v>
      </c>
      <c r="AT640" s="33" t="s">
        <v>120</v>
      </c>
      <c r="AU640" s="33">
        <v>4</v>
      </c>
      <c r="AW640" s="33" t="s">
        <v>336</v>
      </c>
      <c r="BA640" s="54"/>
      <c r="BM640" s="402"/>
      <c r="BN640" s="402"/>
      <c r="BR640" s="402"/>
      <c r="BS640" s="402"/>
      <c r="EY640" s="33">
        <v>0.1303</v>
      </c>
      <c r="EZ640" s="33">
        <v>0.1133</v>
      </c>
      <c r="FC640" s="33" t="s">
        <v>445</v>
      </c>
      <c r="GM640" s="12"/>
      <c r="GQ640" s="12"/>
      <c r="IO640" s="33" t="s">
        <v>716</v>
      </c>
    </row>
    <row r="641" spans="1:249" s="33" customFormat="1" x14ac:dyDescent="0.25">
      <c r="A641" s="33">
        <v>30</v>
      </c>
      <c r="B641" s="33" t="s">
        <v>438</v>
      </c>
      <c r="C641" s="33" t="s">
        <v>439</v>
      </c>
      <c r="D641" s="33">
        <v>2002</v>
      </c>
      <c r="E641" s="33">
        <v>1999</v>
      </c>
      <c r="F641" s="33" t="s">
        <v>440</v>
      </c>
      <c r="G641" s="33" t="s">
        <v>441</v>
      </c>
      <c r="H641" s="32" t="s">
        <v>2831</v>
      </c>
      <c r="I641" s="33">
        <f t="shared" si="197"/>
        <v>38.533333333333331</v>
      </c>
      <c r="J641" s="33">
        <f t="shared" si="198"/>
        <v>-121.78333333333333</v>
      </c>
      <c r="K641" s="33">
        <v>18.399999999999999</v>
      </c>
      <c r="O641" s="33">
        <v>483</v>
      </c>
      <c r="Q641" s="47">
        <v>3</v>
      </c>
      <c r="R641" s="47" t="s">
        <v>1867</v>
      </c>
      <c r="S641" s="47"/>
      <c r="T641" s="47">
        <v>36232</v>
      </c>
      <c r="U641" s="47" t="s">
        <v>1401</v>
      </c>
      <c r="V641" s="47" t="s">
        <v>1732</v>
      </c>
      <c r="W641" s="47" t="s">
        <v>1399</v>
      </c>
      <c r="X641" s="47" t="s">
        <v>1421</v>
      </c>
      <c r="Z641" s="327">
        <v>36</v>
      </c>
      <c r="AA641" s="327">
        <v>46</v>
      </c>
      <c r="AB641" s="33" t="s">
        <v>140</v>
      </c>
      <c r="AF641" s="33" t="s">
        <v>1332</v>
      </c>
      <c r="AG641" s="33" t="s">
        <v>1537</v>
      </c>
      <c r="AH641" s="138" t="s">
        <v>578</v>
      </c>
      <c r="AI641" s="33" t="s">
        <v>1592</v>
      </c>
      <c r="AJ641" s="141" t="s">
        <v>1617</v>
      </c>
      <c r="AK641" s="33" t="s">
        <v>442</v>
      </c>
      <c r="AL641" s="33" t="s">
        <v>442</v>
      </c>
      <c r="AM641" s="33" t="s">
        <v>178</v>
      </c>
      <c r="AQ641" s="33" t="s">
        <v>369</v>
      </c>
      <c r="AR641" s="33" t="s">
        <v>444</v>
      </c>
      <c r="AS641" s="33" t="s">
        <v>503</v>
      </c>
      <c r="AT641" s="33" t="s">
        <v>120</v>
      </c>
      <c r="AU641" s="33">
        <v>4</v>
      </c>
      <c r="AW641" s="33" t="s">
        <v>336</v>
      </c>
      <c r="BA641" s="54"/>
      <c r="BM641" s="402"/>
      <c r="BN641" s="402"/>
      <c r="BR641" s="402"/>
      <c r="BS641" s="402"/>
      <c r="EY641" s="33">
        <v>0.1303</v>
      </c>
      <c r="EZ641" s="33">
        <v>0.10780000000000001</v>
      </c>
      <c r="FC641" s="33" t="s">
        <v>445</v>
      </c>
      <c r="GM641" s="12"/>
      <c r="GQ641" s="12"/>
      <c r="IO641" s="33" t="s">
        <v>716</v>
      </c>
    </row>
    <row r="642" spans="1:249" s="33" customFormat="1" x14ac:dyDescent="0.25">
      <c r="A642" s="33">
        <v>30</v>
      </c>
      <c r="B642" s="33" t="s">
        <v>438</v>
      </c>
      <c r="C642" s="33" t="s">
        <v>439</v>
      </c>
      <c r="D642" s="33">
        <v>2002</v>
      </c>
      <c r="E642" s="33">
        <v>1999</v>
      </c>
      <c r="F642" s="33" t="s">
        <v>440</v>
      </c>
      <c r="G642" s="33" t="s">
        <v>441</v>
      </c>
      <c r="H642" s="32" t="s">
        <v>2831</v>
      </c>
      <c r="I642" s="33">
        <f t="shared" si="197"/>
        <v>38.533333333333331</v>
      </c>
      <c r="J642" s="33">
        <f t="shared" si="198"/>
        <v>-121.78333333333333</v>
      </c>
      <c r="K642" s="33">
        <v>18.399999999999999</v>
      </c>
      <c r="O642" s="33">
        <v>483</v>
      </c>
      <c r="Q642" s="47">
        <v>3</v>
      </c>
      <c r="R642" s="47" t="s">
        <v>1867</v>
      </c>
      <c r="S642" s="47"/>
      <c r="T642" s="47">
        <v>36234</v>
      </c>
      <c r="U642" s="47" t="s">
        <v>1401</v>
      </c>
      <c r="V642" s="47" t="s">
        <v>1732</v>
      </c>
      <c r="W642" s="47" t="s">
        <v>1399</v>
      </c>
      <c r="X642" s="47" t="s">
        <v>1421</v>
      </c>
      <c r="Z642" s="327">
        <v>36</v>
      </c>
      <c r="AA642" s="327">
        <v>46</v>
      </c>
      <c r="AB642" s="33" t="s">
        <v>140</v>
      </c>
      <c r="AF642" s="33" t="s">
        <v>1332</v>
      </c>
      <c r="AG642" s="33" t="s">
        <v>1537</v>
      </c>
      <c r="AH642" s="138" t="s">
        <v>578</v>
      </c>
      <c r="AI642" s="33" t="s">
        <v>1592</v>
      </c>
      <c r="AJ642" s="141" t="s">
        <v>1617</v>
      </c>
      <c r="AK642" s="33" t="s">
        <v>442</v>
      </c>
      <c r="AL642" s="33" t="s">
        <v>442</v>
      </c>
      <c r="AM642" s="33" t="s">
        <v>178</v>
      </c>
      <c r="AQ642" s="33" t="s">
        <v>369</v>
      </c>
      <c r="AR642" s="33" t="s">
        <v>443</v>
      </c>
      <c r="AS642" s="33" t="s">
        <v>503</v>
      </c>
      <c r="AT642" s="33" t="s">
        <v>120</v>
      </c>
      <c r="AU642" s="33">
        <v>4</v>
      </c>
      <c r="AW642" s="33" t="s">
        <v>336</v>
      </c>
      <c r="BA642" s="54"/>
      <c r="BM642" s="402"/>
      <c r="BN642" s="402"/>
      <c r="BR642" s="402"/>
      <c r="BS642" s="402"/>
      <c r="EY642" s="33">
        <v>0.1285</v>
      </c>
      <c r="EZ642" s="33">
        <v>0.1124</v>
      </c>
      <c r="FC642" s="33" t="s">
        <v>445</v>
      </c>
      <c r="GM642" s="12"/>
      <c r="GQ642" s="12"/>
      <c r="IO642" s="33" t="s">
        <v>716</v>
      </c>
    </row>
    <row r="643" spans="1:249" s="33" customFormat="1" x14ac:dyDescent="0.25">
      <c r="A643" s="33">
        <v>30</v>
      </c>
      <c r="B643" s="33" t="s">
        <v>438</v>
      </c>
      <c r="C643" s="33" t="s">
        <v>439</v>
      </c>
      <c r="D643" s="33">
        <v>2002</v>
      </c>
      <c r="E643" s="33">
        <v>1999</v>
      </c>
      <c r="F643" s="33" t="s">
        <v>440</v>
      </c>
      <c r="G643" s="33" t="s">
        <v>441</v>
      </c>
      <c r="H643" s="32" t="s">
        <v>2831</v>
      </c>
      <c r="I643" s="33">
        <f t="shared" si="197"/>
        <v>38.533333333333331</v>
      </c>
      <c r="J643" s="33">
        <f t="shared" si="198"/>
        <v>-121.78333333333333</v>
      </c>
      <c r="K643" s="33">
        <v>18.399999999999999</v>
      </c>
      <c r="O643" s="33">
        <v>483</v>
      </c>
      <c r="Q643" s="47">
        <v>3</v>
      </c>
      <c r="R643" s="47" t="s">
        <v>1867</v>
      </c>
      <c r="S643" s="47"/>
      <c r="T643" s="47">
        <v>36234</v>
      </c>
      <c r="U643" s="47" t="s">
        <v>1401</v>
      </c>
      <c r="V643" s="47" t="s">
        <v>1732</v>
      </c>
      <c r="W643" s="47" t="s">
        <v>1399</v>
      </c>
      <c r="X643" s="47" t="s">
        <v>1421</v>
      </c>
      <c r="Z643" s="327">
        <v>36</v>
      </c>
      <c r="AA643" s="327">
        <v>46</v>
      </c>
      <c r="AB643" s="33" t="s">
        <v>140</v>
      </c>
      <c r="AF643" s="33" t="s">
        <v>1332</v>
      </c>
      <c r="AG643" s="33" t="s">
        <v>1537</v>
      </c>
      <c r="AH643" s="138" t="s">
        <v>578</v>
      </c>
      <c r="AI643" s="33" t="s">
        <v>1592</v>
      </c>
      <c r="AJ643" s="141" t="s">
        <v>1617</v>
      </c>
      <c r="AK643" s="33" t="s">
        <v>442</v>
      </c>
      <c r="AL643" s="33" t="s">
        <v>442</v>
      </c>
      <c r="AM643" s="33" t="s">
        <v>178</v>
      </c>
      <c r="AQ643" s="33" t="s">
        <v>369</v>
      </c>
      <c r="AR643" s="33" t="s">
        <v>444</v>
      </c>
      <c r="AS643" s="33" t="s">
        <v>503</v>
      </c>
      <c r="AT643" s="33" t="s">
        <v>120</v>
      </c>
      <c r="AU643" s="33">
        <v>4</v>
      </c>
      <c r="AW643" s="33" t="s">
        <v>336</v>
      </c>
      <c r="BA643" s="54"/>
      <c r="BM643" s="402"/>
      <c r="BN643" s="402"/>
      <c r="BR643" s="402"/>
      <c r="BS643" s="402"/>
      <c r="EY643" s="33">
        <v>0.1285</v>
      </c>
      <c r="EZ643" s="33">
        <v>0.1061</v>
      </c>
      <c r="FC643" s="33" t="s">
        <v>445</v>
      </c>
      <c r="GM643" s="12"/>
      <c r="GQ643" s="12"/>
      <c r="IO643" s="33" t="s">
        <v>716</v>
      </c>
    </row>
    <row r="644" spans="1:249" s="33" customFormat="1" x14ac:dyDescent="0.25">
      <c r="A644" s="33">
        <v>30</v>
      </c>
      <c r="B644" s="33" t="s">
        <v>438</v>
      </c>
      <c r="C644" s="33" t="s">
        <v>439</v>
      </c>
      <c r="D644" s="33">
        <v>2002</v>
      </c>
      <c r="E644" s="33">
        <v>1999</v>
      </c>
      <c r="F644" s="33" t="s">
        <v>440</v>
      </c>
      <c r="G644" s="33" t="s">
        <v>441</v>
      </c>
      <c r="H644" s="32" t="s">
        <v>2831</v>
      </c>
      <c r="I644" s="33">
        <f t="shared" si="197"/>
        <v>38.533333333333331</v>
      </c>
      <c r="J644" s="33">
        <f t="shared" si="198"/>
        <v>-121.78333333333333</v>
      </c>
      <c r="K644" s="33">
        <v>18.399999999999999</v>
      </c>
      <c r="O644" s="33">
        <v>483</v>
      </c>
      <c r="Q644" s="47">
        <v>3</v>
      </c>
      <c r="R644" s="47" t="s">
        <v>1867</v>
      </c>
      <c r="S644" s="47"/>
      <c r="T644" s="47">
        <v>36514</v>
      </c>
      <c r="U644" s="47" t="s">
        <v>1401</v>
      </c>
      <c r="V644" s="47" t="s">
        <v>1732</v>
      </c>
      <c r="W644" s="47" t="s">
        <v>1399</v>
      </c>
      <c r="X644" s="47" t="s">
        <v>1421</v>
      </c>
      <c r="Z644" s="327">
        <v>36</v>
      </c>
      <c r="AA644" s="327">
        <v>46</v>
      </c>
      <c r="AB644" s="33" t="s">
        <v>140</v>
      </c>
      <c r="AF644" s="33" t="s">
        <v>1332</v>
      </c>
      <c r="AG644" s="33" t="s">
        <v>1537</v>
      </c>
      <c r="AH644" s="138" t="s">
        <v>578</v>
      </c>
      <c r="AI644" s="33" t="s">
        <v>1592</v>
      </c>
      <c r="AJ644" s="141" t="s">
        <v>1617</v>
      </c>
      <c r="AK644" s="33" t="s">
        <v>442</v>
      </c>
      <c r="AL644" s="33" t="s">
        <v>442</v>
      </c>
      <c r="AM644" s="33" t="s">
        <v>178</v>
      </c>
      <c r="AQ644" s="33" t="s">
        <v>369</v>
      </c>
      <c r="AR644" s="33" t="s">
        <v>443</v>
      </c>
      <c r="AS644" s="33" t="s">
        <v>503</v>
      </c>
      <c r="AT644" s="33" t="s">
        <v>120</v>
      </c>
      <c r="AU644" s="33">
        <v>4</v>
      </c>
      <c r="AW644" s="33" t="s">
        <v>336</v>
      </c>
      <c r="BA644" s="54"/>
      <c r="BM644" s="402"/>
      <c r="BN644" s="402"/>
      <c r="BR644" s="402"/>
      <c r="BS644" s="402"/>
      <c r="EY644" s="33">
        <v>0.1051</v>
      </c>
      <c r="EZ644" s="33">
        <v>0.1069</v>
      </c>
      <c r="FC644" s="33" t="s">
        <v>445</v>
      </c>
      <c r="GM644" s="12"/>
      <c r="GQ644" s="12"/>
      <c r="IO644" s="33" t="s">
        <v>716</v>
      </c>
    </row>
    <row r="645" spans="1:249" s="33" customFormat="1" x14ac:dyDescent="0.25">
      <c r="A645" s="33">
        <v>30</v>
      </c>
      <c r="B645" s="33" t="s">
        <v>438</v>
      </c>
      <c r="C645" s="33" t="s">
        <v>439</v>
      </c>
      <c r="D645" s="33">
        <v>2002</v>
      </c>
      <c r="E645" s="33">
        <v>1999</v>
      </c>
      <c r="F645" s="33" t="s">
        <v>440</v>
      </c>
      <c r="G645" s="33" t="s">
        <v>441</v>
      </c>
      <c r="H645" s="32" t="s">
        <v>2831</v>
      </c>
      <c r="I645" s="33">
        <f t="shared" si="197"/>
        <v>38.533333333333331</v>
      </c>
      <c r="J645" s="33">
        <f t="shared" si="198"/>
        <v>-121.78333333333333</v>
      </c>
      <c r="K645" s="33">
        <v>18.399999999999999</v>
      </c>
      <c r="O645" s="33">
        <v>483</v>
      </c>
      <c r="Q645" s="47">
        <v>3</v>
      </c>
      <c r="R645" s="47" t="s">
        <v>1867</v>
      </c>
      <c r="S645" s="47"/>
      <c r="T645" s="47">
        <v>36514</v>
      </c>
      <c r="U645" s="47" t="s">
        <v>1401</v>
      </c>
      <c r="V645" s="47" t="s">
        <v>1732</v>
      </c>
      <c r="W645" s="47" t="s">
        <v>1399</v>
      </c>
      <c r="X645" s="47" t="s">
        <v>1421</v>
      </c>
      <c r="Z645" s="327">
        <v>36</v>
      </c>
      <c r="AA645" s="327">
        <v>46</v>
      </c>
      <c r="AB645" s="33" t="s">
        <v>140</v>
      </c>
      <c r="AF645" s="33" t="s">
        <v>1332</v>
      </c>
      <c r="AG645" s="33" t="s">
        <v>1537</v>
      </c>
      <c r="AH645" s="138" t="s">
        <v>578</v>
      </c>
      <c r="AI645" s="33" t="s">
        <v>1592</v>
      </c>
      <c r="AJ645" s="141" t="s">
        <v>1617</v>
      </c>
      <c r="AK645" s="33" t="s">
        <v>442</v>
      </c>
      <c r="AL645" s="33" t="s">
        <v>442</v>
      </c>
      <c r="AM645" s="33" t="s">
        <v>178</v>
      </c>
      <c r="AQ645" s="33" t="s">
        <v>369</v>
      </c>
      <c r="AR645" s="33" t="s">
        <v>444</v>
      </c>
      <c r="AS645" s="33" t="s">
        <v>503</v>
      </c>
      <c r="AT645" s="33" t="s">
        <v>120</v>
      </c>
      <c r="AU645" s="33">
        <v>4</v>
      </c>
      <c r="AW645" s="33" t="s">
        <v>336</v>
      </c>
      <c r="BA645" s="54"/>
      <c r="BM645" s="402"/>
      <c r="BN645" s="402"/>
      <c r="BR645" s="402"/>
      <c r="BS645" s="402"/>
      <c r="EY645" s="33">
        <v>0.1051</v>
      </c>
      <c r="EZ645" s="33">
        <v>0.1114</v>
      </c>
      <c r="FC645" s="33" t="s">
        <v>445</v>
      </c>
      <c r="GM645" s="12"/>
      <c r="GQ645" s="12"/>
      <c r="IO645" s="33" t="s">
        <v>716</v>
      </c>
    </row>
    <row r="646" spans="1:249" s="33" customFormat="1" x14ac:dyDescent="0.25">
      <c r="A646" s="33">
        <v>30</v>
      </c>
      <c r="B646" s="33" t="s">
        <v>438</v>
      </c>
      <c r="C646" s="33" t="s">
        <v>439</v>
      </c>
      <c r="D646" s="33">
        <v>2002</v>
      </c>
      <c r="E646" s="33">
        <v>2000</v>
      </c>
      <c r="F646" s="33" t="s">
        <v>440</v>
      </c>
      <c r="G646" s="33" t="s">
        <v>441</v>
      </c>
      <c r="H646" s="32" t="s">
        <v>2831</v>
      </c>
      <c r="I646" s="33">
        <f t="shared" si="197"/>
        <v>38.533333333333331</v>
      </c>
      <c r="J646" s="33">
        <f t="shared" si="198"/>
        <v>-121.78333333333333</v>
      </c>
      <c r="K646" s="33">
        <v>18.399999999999999</v>
      </c>
      <c r="O646" s="33">
        <v>483</v>
      </c>
      <c r="Q646" s="47">
        <v>4</v>
      </c>
      <c r="R646" s="47" t="s">
        <v>1867</v>
      </c>
      <c r="S646" s="47"/>
      <c r="T646" s="47">
        <v>36535</v>
      </c>
      <c r="U646" s="47" t="s">
        <v>1401</v>
      </c>
      <c r="V646" s="47" t="s">
        <v>1732</v>
      </c>
      <c r="W646" s="47" t="s">
        <v>1399</v>
      </c>
      <c r="X646" s="47" t="s">
        <v>1421</v>
      </c>
      <c r="Z646" s="327">
        <v>36</v>
      </c>
      <c r="AA646" s="327">
        <v>46</v>
      </c>
      <c r="AB646" s="33" t="s">
        <v>140</v>
      </c>
      <c r="AF646" s="33" t="s">
        <v>1332</v>
      </c>
      <c r="AG646" s="33" t="s">
        <v>1537</v>
      </c>
      <c r="AH646" s="138" t="s">
        <v>578</v>
      </c>
      <c r="AI646" s="33" t="s">
        <v>1592</v>
      </c>
      <c r="AJ646" s="141" t="s">
        <v>1617</v>
      </c>
      <c r="AK646" s="33" t="s">
        <v>442</v>
      </c>
      <c r="AL646" s="33" t="s">
        <v>442</v>
      </c>
      <c r="AM646" s="33" t="s">
        <v>178</v>
      </c>
      <c r="AQ646" s="33" t="s">
        <v>369</v>
      </c>
      <c r="AR646" s="33" t="s">
        <v>443</v>
      </c>
      <c r="AS646" s="33" t="s">
        <v>503</v>
      </c>
      <c r="AT646" s="33" t="s">
        <v>120</v>
      </c>
      <c r="AU646" s="33">
        <v>4</v>
      </c>
      <c r="AW646" s="33" t="s">
        <v>336</v>
      </c>
      <c r="BA646" s="54"/>
      <c r="BM646" s="402"/>
      <c r="BN646" s="402"/>
      <c r="BR646" s="402"/>
      <c r="BS646" s="402"/>
      <c r="EY646" s="33">
        <v>0.1033</v>
      </c>
      <c r="EZ646" s="33">
        <v>0.1086</v>
      </c>
      <c r="FC646" s="33" t="s">
        <v>445</v>
      </c>
      <c r="GM646" s="12"/>
      <c r="GQ646" s="12"/>
      <c r="IO646" s="33" t="s">
        <v>716</v>
      </c>
    </row>
    <row r="647" spans="1:249" s="33" customFormat="1" x14ac:dyDescent="0.25">
      <c r="A647" s="33">
        <v>30</v>
      </c>
      <c r="B647" s="33" t="s">
        <v>438</v>
      </c>
      <c r="C647" s="33" t="s">
        <v>439</v>
      </c>
      <c r="D647" s="33">
        <v>2002</v>
      </c>
      <c r="E647" s="33">
        <v>2000</v>
      </c>
      <c r="F647" s="33" t="s">
        <v>440</v>
      </c>
      <c r="G647" s="33" t="s">
        <v>441</v>
      </c>
      <c r="H647" s="32" t="s">
        <v>2831</v>
      </c>
      <c r="I647" s="33">
        <f t="shared" si="197"/>
        <v>38.533333333333331</v>
      </c>
      <c r="J647" s="33">
        <f t="shared" si="198"/>
        <v>-121.78333333333333</v>
      </c>
      <c r="K647" s="33">
        <v>18.399999999999999</v>
      </c>
      <c r="O647" s="33">
        <v>483</v>
      </c>
      <c r="Q647" s="47">
        <v>4</v>
      </c>
      <c r="R647" s="47" t="s">
        <v>1867</v>
      </c>
      <c r="S647" s="47"/>
      <c r="T647" s="47">
        <v>36535</v>
      </c>
      <c r="U647" s="47" t="s">
        <v>1401</v>
      </c>
      <c r="V647" s="47" t="s">
        <v>1732</v>
      </c>
      <c r="W647" s="47" t="s">
        <v>1399</v>
      </c>
      <c r="X647" s="47" t="s">
        <v>1421</v>
      </c>
      <c r="Z647" s="327">
        <v>36</v>
      </c>
      <c r="AA647" s="327">
        <v>46</v>
      </c>
      <c r="AB647" s="33" t="s">
        <v>140</v>
      </c>
      <c r="AF647" s="33" t="s">
        <v>1332</v>
      </c>
      <c r="AG647" s="33" t="s">
        <v>1537</v>
      </c>
      <c r="AH647" s="138" t="s">
        <v>578</v>
      </c>
      <c r="AI647" s="33" t="s">
        <v>1592</v>
      </c>
      <c r="AJ647" s="141" t="s">
        <v>1617</v>
      </c>
      <c r="AK647" s="33" t="s">
        <v>442</v>
      </c>
      <c r="AL647" s="33" t="s">
        <v>442</v>
      </c>
      <c r="AM647" s="33" t="s">
        <v>178</v>
      </c>
      <c r="AQ647" s="33" t="s">
        <v>369</v>
      </c>
      <c r="AR647" s="33" t="s">
        <v>444</v>
      </c>
      <c r="AS647" s="33" t="s">
        <v>503</v>
      </c>
      <c r="AT647" s="33" t="s">
        <v>120</v>
      </c>
      <c r="AU647" s="33">
        <v>4</v>
      </c>
      <c r="AW647" s="33" t="s">
        <v>336</v>
      </c>
      <c r="BA647" s="54"/>
      <c r="BM647" s="402"/>
      <c r="BN647" s="402"/>
      <c r="BR647" s="402"/>
      <c r="BS647" s="402"/>
      <c r="EY647" s="33">
        <v>0.1033</v>
      </c>
      <c r="EZ647" s="33">
        <v>0.11219999999999999</v>
      </c>
      <c r="FC647" s="33" t="s">
        <v>445</v>
      </c>
      <c r="GM647" s="12"/>
      <c r="GQ647" s="12"/>
      <c r="IO647" s="33" t="s">
        <v>716</v>
      </c>
    </row>
    <row r="648" spans="1:249" s="33" customFormat="1" x14ac:dyDescent="0.25">
      <c r="A648" s="33">
        <v>30</v>
      </c>
      <c r="B648" s="33" t="s">
        <v>438</v>
      </c>
      <c r="C648" s="33" t="s">
        <v>439</v>
      </c>
      <c r="D648" s="33">
        <v>2002</v>
      </c>
      <c r="E648" s="33">
        <v>2000</v>
      </c>
      <c r="F648" s="33" t="s">
        <v>440</v>
      </c>
      <c r="G648" s="33" t="s">
        <v>441</v>
      </c>
      <c r="H648" s="32" t="s">
        <v>2831</v>
      </c>
      <c r="I648" s="33">
        <f t="shared" si="197"/>
        <v>38.533333333333331</v>
      </c>
      <c r="J648" s="33">
        <f t="shared" si="198"/>
        <v>-121.78333333333333</v>
      </c>
      <c r="K648" s="33">
        <v>18.399999999999999</v>
      </c>
      <c r="O648" s="33">
        <v>483</v>
      </c>
      <c r="Q648" s="47">
        <v>4</v>
      </c>
      <c r="R648" s="47" t="s">
        <v>1867</v>
      </c>
      <c r="S648" s="47"/>
      <c r="T648" s="47">
        <v>36541</v>
      </c>
      <c r="U648" s="47" t="s">
        <v>1401</v>
      </c>
      <c r="V648" s="47" t="s">
        <v>1732</v>
      </c>
      <c r="W648" s="47" t="s">
        <v>1399</v>
      </c>
      <c r="X648" s="47" t="s">
        <v>1421</v>
      </c>
      <c r="Z648" s="327">
        <v>36</v>
      </c>
      <c r="AA648" s="327">
        <v>46</v>
      </c>
      <c r="AB648" s="33" t="s">
        <v>140</v>
      </c>
      <c r="AF648" s="33" t="s">
        <v>1332</v>
      </c>
      <c r="AG648" s="33" t="s">
        <v>1537</v>
      </c>
      <c r="AH648" s="138" t="s">
        <v>578</v>
      </c>
      <c r="AI648" s="33" t="s">
        <v>1592</v>
      </c>
      <c r="AJ648" s="141" t="s">
        <v>1617</v>
      </c>
      <c r="AK648" s="33" t="s">
        <v>442</v>
      </c>
      <c r="AL648" s="33" t="s">
        <v>442</v>
      </c>
      <c r="AM648" s="33" t="s">
        <v>178</v>
      </c>
      <c r="AQ648" s="33" t="s">
        <v>369</v>
      </c>
      <c r="AR648" s="33" t="s">
        <v>443</v>
      </c>
      <c r="AS648" s="33" t="s">
        <v>503</v>
      </c>
      <c r="AT648" s="33" t="s">
        <v>120</v>
      </c>
      <c r="AU648" s="33">
        <v>4</v>
      </c>
      <c r="AW648" s="33" t="s">
        <v>336</v>
      </c>
      <c r="BA648" s="54"/>
      <c r="BM648" s="402"/>
      <c r="BN648" s="402"/>
      <c r="BR648" s="402"/>
      <c r="BS648" s="402"/>
      <c r="EY648" s="33">
        <v>0.1024</v>
      </c>
      <c r="EZ648" s="33">
        <v>0.1095</v>
      </c>
      <c r="FC648" s="33" t="s">
        <v>445</v>
      </c>
      <c r="GM648" s="12"/>
      <c r="GQ648" s="12"/>
      <c r="IO648" s="33" t="s">
        <v>716</v>
      </c>
    </row>
    <row r="649" spans="1:249" s="33" customFormat="1" x14ac:dyDescent="0.25">
      <c r="A649" s="33">
        <v>30</v>
      </c>
      <c r="B649" s="33" t="s">
        <v>438</v>
      </c>
      <c r="C649" s="33" t="s">
        <v>439</v>
      </c>
      <c r="D649" s="33">
        <v>2002</v>
      </c>
      <c r="E649" s="33">
        <v>2000</v>
      </c>
      <c r="F649" s="33" t="s">
        <v>440</v>
      </c>
      <c r="G649" s="33" t="s">
        <v>441</v>
      </c>
      <c r="H649" s="32" t="s">
        <v>2831</v>
      </c>
      <c r="I649" s="33">
        <f t="shared" si="197"/>
        <v>38.533333333333331</v>
      </c>
      <c r="J649" s="33">
        <f t="shared" si="198"/>
        <v>-121.78333333333333</v>
      </c>
      <c r="K649" s="33">
        <v>18.399999999999999</v>
      </c>
      <c r="O649" s="33">
        <v>483</v>
      </c>
      <c r="Q649" s="47">
        <v>4</v>
      </c>
      <c r="R649" s="47" t="s">
        <v>1867</v>
      </c>
      <c r="S649" s="47"/>
      <c r="T649" s="47">
        <v>36541</v>
      </c>
      <c r="U649" s="47" t="s">
        <v>1401</v>
      </c>
      <c r="V649" s="47" t="s">
        <v>1732</v>
      </c>
      <c r="W649" s="47" t="s">
        <v>1399</v>
      </c>
      <c r="X649" s="47" t="s">
        <v>1421</v>
      </c>
      <c r="Z649" s="327">
        <v>36</v>
      </c>
      <c r="AA649" s="327">
        <v>46</v>
      </c>
      <c r="AB649" s="33" t="s">
        <v>140</v>
      </c>
      <c r="AF649" s="33" t="s">
        <v>1332</v>
      </c>
      <c r="AG649" s="33" t="s">
        <v>1537</v>
      </c>
      <c r="AH649" s="138" t="s">
        <v>578</v>
      </c>
      <c r="AI649" s="33" t="s">
        <v>1592</v>
      </c>
      <c r="AJ649" s="141" t="s">
        <v>1617</v>
      </c>
      <c r="AK649" s="33" t="s">
        <v>442</v>
      </c>
      <c r="AL649" s="33" t="s">
        <v>442</v>
      </c>
      <c r="AM649" s="33" t="s">
        <v>178</v>
      </c>
      <c r="AQ649" s="33" t="s">
        <v>369</v>
      </c>
      <c r="AR649" s="33" t="s">
        <v>444</v>
      </c>
      <c r="AS649" s="33" t="s">
        <v>503</v>
      </c>
      <c r="AT649" s="33" t="s">
        <v>120</v>
      </c>
      <c r="AU649" s="33">
        <v>4</v>
      </c>
      <c r="AW649" s="33" t="s">
        <v>336</v>
      </c>
      <c r="BA649" s="54"/>
      <c r="BM649" s="402"/>
      <c r="BN649" s="402"/>
      <c r="BR649" s="402"/>
      <c r="BS649" s="402"/>
      <c r="EY649" s="33">
        <v>0.1024</v>
      </c>
      <c r="EZ649" s="33">
        <v>0.1095</v>
      </c>
      <c r="FC649" s="33" t="s">
        <v>445</v>
      </c>
      <c r="GM649" s="12"/>
      <c r="GQ649" s="12"/>
      <c r="IO649" s="33" t="s">
        <v>716</v>
      </c>
    </row>
    <row r="650" spans="1:249" s="33" customFormat="1" x14ac:dyDescent="0.25">
      <c r="A650" s="33">
        <v>30</v>
      </c>
      <c r="B650" s="33" t="s">
        <v>438</v>
      </c>
      <c r="C650" s="33" t="s">
        <v>439</v>
      </c>
      <c r="D650" s="33">
        <v>2002</v>
      </c>
      <c r="E650" s="33">
        <v>2000</v>
      </c>
      <c r="F650" s="33" t="s">
        <v>440</v>
      </c>
      <c r="G650" s="33" t="s">
        <v>441</v>
      </c>
      <c r="H650" s="32" t="s">
        <v>2831</v>
      </c>
      <c r="I650" s="33">
        <f t="shared" si="197"/>
        <v>38.533333333333331</v>
      </c>
      <c r="J650" s="33">
        <f t="shared" si="198"/>
        <v>-121.78333333333333</v>
      </c>
      <c r="K650" s="33">
        <v>18.399999999999999</v>
      </c>
      <c r="O650" s="33">
        <v>483</v>
      </c>
      <c r="Q650" s="47">
        <v>4</v>
      </c>
      <c r="R650" s="47" t="s">
        <v>1867</v>
      </c>
      <c r="S650" s="47"/>
      <c r="T650" s="47">
        <v>36549</v>
      </c>
      <c r="U650" s="47" t="s">
        <v>1401</v>
      </c>
      <c r="V650" s="47" t="s">
        <v>1732</v>
      </c>
      <c r="W650" s="47" t="s">
        <v>1399</v>
      </c>
      <c r="X650" s="47" t="s">
        <v>1421</v>
      </c>
      <c r="Z650" s="327">
        <v>36</v>
      </c>
      <c r="AA650" s="327">
        <v>46</v>
      </c>
      <c r="AB650" s="33" t="s">
        <v>140</v>
      </c>
      <c r="AF650" s="33" t="s">
        <v>1332</v>
      </c>
      <c r="AG650" s="33" t="s">
        <v>1537</v>
      </c>
      <c r="AH650" s="138" t="s">
        <v>578</v>
      </c>
      <c r="AI650" s="33" t="s">
        <v>1592</v>
      </c>
      <c r="AJ650" s="141" t="s">
        <v>1617</v>
      </c>
      <c r="AK650" s="33" t="s">
        <v>442</v>
      </c>
      <c r="AL650" s="33" t="s">
        <v>442</v>
      </c>
      <c r="AM650" s="33" t="s">
        <v>178</v>
      </c>
      <c r="AQ650" s="33" t="s">
        <v>369</v>
      </c>
      <c r="AR650" s="33" t="s">
        <v>443</v>
      </c>
      <c r="AS650" s="33" t="s">
        <v>503</v>
      </c>
      <c r="AT650" s="33" t="s">
        <v>120</v>
      </c>
      <c r="AU650" s="33">
        <v>4</v>
      </c>
      <c r="AW650" s="33" t="s">
        <v>336</v>
      </c>
      <c r="BA650" s="54"/>
      <c r="BM650" s="402"/>
      <c r="BN650" s="402"/>
      <c r="BR650" s="402"/>
      <c r="BS650" s="402"/>
      <c r="EY650" s="33">
        <v>0.10589999999999999</v>
      </c>
      <c r="EZ650" s="33">
        <v>0.1086</v>
      </c>
      <c r="FC650" s="33" t="s">
        <v>445</v>
      </c>
      <c r="GM650" s="12"/>
      <c r="GQ650" s="12"/>
      <c r="IO650" s="33" t="s">
        <v>716</v>
      </c>
    </row>
    <row r="651" spans="1:249" s="33" customFormat="1" x14ac:dyDescent="0.25">
      <c r="A651" s="33">
        <v>30</v>
      </c>
      <c r="B651" s="33" t="s">
        <v>438</v>
      </c>
      <c r="C651" s="33" t="s">
        <v>439</v>
      </c>
      <c r="D651" s="33">
        <v>2002</v>
      </c>
      <c r="E651" s="33">
        <v>2000</v>
      </c>
      <c r="F651" s="33" t="s">
        <v>440</v>
      </c>
      <c r="G651" s="33" t="s">
        <v>441</v>
      </c>
      <c r="H651" s="32" t="s">
        <v>2831</v>
      </c>
      <c r="I651" s="33">
        <f t="shared" si="197"/>
        <v>38.533333333333331</v>
      </c>
      <c r="J651" s="33">
        <f t="shared" si="198"/>
        <v>-121.78333333333333</v>
      </c>
      <c r="K651" s="33">
        <v>18.399999999999999</v>
      </c>
      <c r="O651" s="33">
        <v>483</v>
      </c>
      <c r="Q651" s="47">
        <v>4</v>
      </c>
      <c r="R651" s="47" t="s">
        <v>1867</v>
      </c>
      <c r="S651" s="47"/>
      <c r="T651" s="47">
        <v>36549</v>
      </c>
      <c r="U651" s="47" t="s">
        <v>1401</v>
      </c>
      <c r="V651" s="47" t="s">
        <v>1732</v>
      </c>
      <c r="W651" s="47" t="s">
        <v>1399</v>
      </c>
      <c r="X651" s="47" t="s">
        <v>1421</v>
      </c>
      <c r="Z651" s="327">
        <v>36</v>
      </c>
      <c r="AA651" s="327">
        <v>46</v>
      </c>
      <c r="AB651" s="33" t="s">
        <v>140</v>
      </c>
      <c r="AF651" s="33" t="s">
        <v>1332</v>
      </c>
      <c r="AG651" s="33" t="s">
        <v>1537</v>
      </c>
      <c r="AH651" s="138" t="s">
        <v>578</v>
      </c>
      <c r="AI651" s="33" t="s">
        <v>1592</v>
      </c>
      <c r="AJ651" s="141" t="s">
        <v>1617</v>
      </c>
      <c r="AK651" s="33" t="s">
        <v>442</v>
      </c>
      <c r="AL651" s="33" t="s">
        <v>442</v>
      </c>
      <c r="AM651" s="33" t="s">
        <v>178</v>
      </c>
      <c r="AQ651" s="33" t="s">
        <v>369</v>
      </c>
      <c r="AR651" s="33" t="s">
        <v>444</v>
      </c>
      <c r="AS651" s="33" t="s">
        <v>503</v>
      </c>
      <c r="AT651" s="33" t="s">
        <v>120</v>
      </c>
      <c r="AU651" s="33">
        <v>4</v>
      </c>
      <c r="AW651" s="33" t="s">
        <v>336</v>
      </c>
      <c r="BA651" s="54"/>
      <c r="BM651" s="402"/>
      <c r="BN651" s="402"/>
      <c r="BR651" s="402"/>
      <c r="BS651" s="402"/>
      <c r="EY651" s="33">
        <v>0.10589999999999999</v>
      </c>
      <c r="EZ651" s="33">
        <v>0.1086</v>
      </c>
      <c r="FC651" s="33" t="s">
        <v>445</v>
      </c>
      <c r="GM651" s="12"/>
      <c r="GQ651" s="12"/>
      <c r="IO651" s="33" t="s">
        <v>716</v>
      </c>
    </row>
    <row r="652" spans="1:249" s="33" customFormat="1" x14ac:dyDescent="0.25">
      <c r="A652" s="33">
        <v>30</v>
      </c>
      <c r="B652" s="33" t="s">
        <v>438</v>
      </c>
      <c r="C652" s="33" t="s">
        <v>439</v>
      </c>
      <c r="D652" s="33">
        <v>2002</v>
      </c>
      <c r="E652" s="33">
        <v>2000</v>
      </c>
      <c r="F652" s="33" t="s">
        <v>440</v>
      </c>
      <c r="G652" s="33" t="s">
        <v>441</v>
      </c>
      <c r="H652" s="32" t="s">
        <v>2831</v>
      </c>
      <c r="I652" s="33">
        <f t="shared" si="197"/>
        <v>38.533333333333331</v>
      </c>
      <c r="J652" s="33">
        <f t="shared" si="198"/>
        <v>-121.78333333333333</v>
      </c>
      <c r="K652" s="33">
        <v>18.399999999999999</v>
      </c>
      <c r="O652" s="33">
        <v>483</v>
      </c>
      <c r="Q652" s="47">
        <v>4</v>
      </c>
      <c r="R652" s="47" t="s">
        <v>1867</v>
      </c>
      <c r="S652" s="47"/>
      <c r="T652" s="47">
        <v>36562</v>
      </c>
      <c r="U652" s="47" t="s">
        <v>1401</v>
      </c>
      <c r="V652" s="47" t="s">
        <v>1732</v>
      </c>
      <c r="W652" s="47" t="s">
        <v>1399</v>
      </c>
      <c r="X652" s="47" t="s">
        <v>1421</v>
      </c>
      <c r="Z652" s="327">
        <v>36</v>
      </c>
      <c r="AA652" s="327">
        <v>46</v>
      </c>
      <c r="AB652" s="33" t="s">
        <v>140</v>
      </c>
      <c r="AF652" s="33" t="s">
        <v>1332</v>
      </c>
      <c r="AG652" s="33" t="s">
        <v>1537</v>
      </c>
      <c r="AH652" s="138" t="s">
        <v>578</v>
      </c>
      <c r="AI652" s="33" t="s">
        <v>1592</v>
      </c>
      <c r="AJ652" s="141" t="s">
        <v>1617</v>
      </c>
      <c r="AK652" s="33" t="s">
        <v>442</v>
      </c>
      <c r="AL652" s="33" t="s">
        <v>442</v>
      </c>
      <c r="AM652" s="33" t="s">
        <v>178</v>
      </c>
      <c r="AQ652" s="33" t="s">
        <v>369</v>
      </c>
      <c r="AR652" s="33" t="s">
        <v>443</v>
      </c>
      <c r="AS652" s="33" t="s">
        <v>503</v>
      </c>
      <c r="AT652" s="33" t="s">
        <v>120</v>
      </c>
      <c r="AU652" s="33">
        <v>4</v>
      </c>
      <c r="AW652" s="33" t="s">
        <v>336</v>
      </c>
      <c r="BA652" s="54"/>
      <c r="BM652" s="402"/>
      <c r="BN652" s="402"/>
      <c r="BR652" s="402"/>
      <c r="BS652" s="402"/>
      <c r="EY652" s="33">
        <v>0.11310000000000001</v>
      </c>
      <c r="EZ652" s="33">
        <v>0.11310000000000001</v>
      </c>
      <c r="FC652" s="33" t="s">
        <v>445</v>
      </c>
      <c r="GM652" s="12"/>
      <c r="GQ652" s="12"/>
      <c r="IO652" s="33" t="s">
        <v>716</v>
      </c>
    </row>
    <row r="653" spans="1:249" s="33" customFormat="1" x14ac:dyDescent="0.25">
      <c r="A653" s="33">
        <v>30</v>
      </c>
      <c r="B653" s="33" t="s">
        <v>438</v>
      </c>
      <c r="C653" s="33" t="s">
        <v>439</v>
      </c>
      <c r="D653" s="33">
        <v>2002</v>
      </c>
      <c r="E653" s="33">
        <v>2000</v>
      </c>
      <c r="F653" s="33" t="s">
        <v>440</v>
      </c>
      <c r="G653" s="33" t="s">
        <v>441</v>
      </c>
      <c r="H653" s="32" t="s">
        <v>2831</v>
      </c>
      <c r="I653" s="33">
        <f t="shared" si="197"/>
        <v>38.533333333333331</v>
      </c>
      <c r="J653" s="33">
        <f t="shared" si="198"/>
        <v>-121.78333333333333</v>
      </c>
      <c r="K653" s="33">
        <v>18.399999999999999</v>
      </c>
      <c r="O653" s="33">
        <v>483</v>
      </c>
      <c r="Q653" s="47">
        <v>4</v>
      </c>
      <c r="R653" s="47" t="s">
        <v>1867</v>
      </c>
      <c r="S653" s="47"/>
      <c r="T653" s="47">
        <v>36562</v>
      </c>
      <c r="U653" s="47" t="s">
        <v>1401</v>
      </c>
      <c r="V653" s="47" t="s">
        <v>1732</v>
      </c>
      <c r="W653" s="47" t="s">
        <v>1399</v>
      </c>
      <c r="X653" s="47" t="s">
        <v>1421</v>
      </c>
      <c r="Z653" s="327">
        <v>36</v>
      </c>
      <c r="AA653" s="327">
        <v>46</v>
      </c>
      <c r="AB653" s="33" t="s">
        <v>140</v>
      </c>
      <c r="AF653" s="33" t="s">
        <v>1332</v>
      </c>
      <c r="AG653" s="33" t="s">
        <v>1537</v>
      </c>
      <c r="AH653" s="138" t="s">
        <v>578</v>
      </c>
      <c r="AI653" s="33" t="s">
        <v>1592</v>
      </c>
      <c r="AJ653" s="141" t="s">
        <v>1617</v>
      </c>
      <c r="AK653" s="33" t="s">
        <v>442</v>
      </c>
      <c r="AL653" s="33" t="s">
        <v>442</v>
      </c>
      <c r="AM653" s="33" t="s">
        <v>178</v>
      </c>
      <c r="AQ653" s="33" t="s">
        <v>369</v>
      </c>
      <c r="AR653" s="33" t="s">
        <v>444</v>
      </c>
      <c r="AS653" s="33" t="s">
        <v>503</v>
      </c>
      <c r="AT653" s="33" t="s">
        <v>120</v>
      </c>
      <c r="AU653" s="33">
        <v>4</v>
      </c>
      <c r="AW653" s="33" t="s">
        <v>336</v>
      </c>
      <c r="BA653" s="54"/>
      <c r="BM653" s="402"/>
      <c r="BN653" s="402"/>
      <c r="BR653" s="402"/>
      <c r="BS653" s="402"/>
      <c r="EY653" s="33">
        <v>0.11310000000000001</v>
      </c>
      <c r="EZ653" s="33">
        <v>0.11310000000000001</v>
      </c>
      <c r="FC653" s="33" t="s">
        <v>445</v>
      </c>
      <c r="GM653" s="12"/>
      <c r="GQ653" s="12"/>
      <c r="IO653" s="33" t="s">
        <v>716</v>
      </c>
    </row>
    <row r="654" spans="1:249" s="33" customFormat="1" x14ac:dyDescent="0.25">
      <c r="A654" s="33">
        <v>30</v>
      </c>
      <c r="B654" s="33" t="s">
        <v>438</v>
      </c>
      <c r="C654" s="33" t="s">
        <v>439</v>
      </c>
      <c r="D654" s="33">
        <v>2002</v>
      </c>
      <c r="E654" s="33">
        <v>2000</v>
      </c>
      <c r="F654" s="33" t="s">
        <v>440</v>
      </c>
      <c r="G654" s="33" t="s">
        <v>441</v>
      </c>
      <c r="H654" s="32" t="s">
        <v>2831</v>
      </c>
      <c r="I654" s="33">
        <f t="shared" si="197"/>
        <v>38.533333333333331</v>
      </c>
      <c r="J654" s="33">
        <f t="shared" si="198"/>
        <v>-121.78333333333333</v>
      </c>
      <c r="K654" s="33">
        <v>18.399999999999999</v>
      </c>
      <c r="O654" s="33">
        <v>483</v>
      </c>
      <c r="Q654" s="47">
        <v>4</v>
      </c>
      <c r="R654" s="47" t="s">
        <v>1867</v>
      </c>
      <c r="S654" s="47"/>
      <c r="T654" s="47">
        <v>36566</v>
      </c>
      <c r="U654" s="47" t="s">
        <v>1401</v>
      </c>
      <c r="V654" s="47" t="s">
        <v>1732</v>
      </c>
      <c r="W654" s="47" t="s">
        <v>1399</v>
      </c>
      <c r="X654" s="47" t="s">
        <v>1421</v>
      </c>
      <c r="Z654" s="327">
        <v>36</v>
      </c>
      <c r="AA654" s="327">
        <v>46</v>
      </c>
      <c r="AB654" s="33" t="s">
        <v>140</v>
      </c>
      <c r="AF654" s="33" t="s">
        <v>1332</v>
      </c>
      <c r="AG654" s="33" t="s">
        <v>1537</v>
      </c>
      <c r="AH654" s="138" t="s">
        <v>578</v>
      </c>
      <c r="AI654" s="33" t="s">
        <v>1592</v>
      </c>
      <c r="AJ654" s="141" t="s">
        <v>1617</v>
      </c>
      <c r="AK654" s="33" t="s">
        <v>442</v>
      </c>
      <c r="AL654" s="33" t="s">
        <v>442</v>
      </c>
      <c r="AM654" s="33" t="s">
        <v>178</v>
      </c>
      <c r="AQ654" s="33" t="s">
        <v>369</v>
      </c>
      <c r="AR654" s="33" t="s">
        <v>443</v>
      </c>
      <c r="AS654" s="33" t="s">
        <v>503</v>
      </c>
      <c r="AT654" s="33" t="s">
        <v>120</v>
      </c>
      <c r="AU654" s="33">
        <v>4</v>
      </c>
      <c r="AW654" s="33" t="s">
        <v>336</v>
      </c>
      <c r="BA654" s="54"/>
      <c r="BM654" s="402"/>
      <c r="BN654" s="402"/>
      <c r="BR654" s="402"/>
      <c r="BS654" s="402"/>
      <c r="EY654" s="33">
        <v>0.113</v>
      </c>
      <c r="EZ654" s="33">
        <v>0.114</v>
      </c>
      <c r="FC654" s="33" t="s">
        <v>445</v>
      </c>
      <c r="GM654" s="12"/>
      <c r="GQ654" s="12"/>
      <c r="IO654" s="33" t="s">
        <v>716</v>
      </c>
    </row>
    <row r="655" spans="1:249" s="33" customFormat="1" x14ac:dyDescent="0.25">
      <c r="A655" s="33">
        <v>30</v>
      </c>
      <c r="B655" s="33" t="s">
        <v>438</v>
      </c>
      <c r="C655" s="33" t="s">
        <v>439</v>
      </c>
      <c r="D655" s="33">
        <v>2002</v>
      </c>
      <c r="E655" s="33">
        <v>2000</v>
      </c>
      <c r="F655" s="33" t="s">
        <v>440</v>
      </c>
      <c r="G655" s="33" t="s">
        <v>441</v>
      </c>
      <c r="H655" s="32" t="s">
        <v>2831</v>
      </c>
      <c r="I655" s="33">
        <f t="shared" si="197"/>
        <v>38.533333333333331</v>
      </c>
      <c r="J655" s="33">
        <f t="shared" si="198"/>
        <v>-121.78333333333333</v>
      </c>
      <c r="K655" s="33">
        <v>18.399999999999999</v>
      </c>
      <c r="O655" s="33">
        <v>483</v>
      </c>
      <c r="Q655" s="47">
        <v>4</v>
      </c>
      <c r="R655" s="47" t="s">
        <v>1867</v>
      </c>
      <c r="S655" s="47"/>
      <c r="T655" s="47">
        <v>36566</v>
      </c>
      <c r="U655" s="47" t="s">
        <v>1401</v>
      </c>
      <c r="V655" s="47" t="s">
        <v>1732</v>
      </c>
      <c r="W655" s="47" t="s">
        <v>1399</v>
      </c>
      <c r="X655" s="47" t="s">
        <v>1421</v>
      </c>
      <c r="Z655" s="327">
        <v>36</v>
      </c>
      <c r="AA655" s="327">
        <v>46</v>
      </c>
      <c r="AB655" s="33" t="s">
        <v>140</v>
      </c>
      <c r="AF655" s="33" t="s">
        <v>1332</v>
      </c>
      <c r="AG655" s="33" t="s">
        <v>1537</v>
      </c>
      <c r="AH655" s="138" t="s">
        <v>578</v>
      </c>
      <c r="AI655" s="33" t="s">
        <v>1592</v>
      </c>
      <c r="AJ655" s="141" t="s">
        <v>1617</v>
      </c>
      <c r="AK655" s="33" t="s">
        <v>442</v>
      </c>
      <c r="AL655" s="33" t="s">
        <v>442</v>
      </c>
      <c r="AM655" s="33" t="s">
        <v>178</v>
      </c>
      <c r="AQ655" s="33" t="s">
        <v>369</v>
      </c>
      <c r="AR655" s="33" t="s">
        <v>444</v>
      </c>
      <c r="AS655" s="33" t="s">
        <v>503</v>
      </c>
      <c r="AT655" s="33" t="s">
        <v>120</v>
      </c>
      <c r="AU655" s="33">
        <v>4</v>
      </c>
      <c r="AW655" s="33" t="s">
        <v>336</v>
      </c>
      <c r="BA655" s="54"/>
      <c r="BM655" s="402"/>
      <c r="BN655" s="402"/>
      <c r="BR655" s="402"/>
      <c r="BS655" s="402"/>
      <c r="EY655" s="33">
        <v>0.113</v>
      </c>
      <c r="EZ655" s="33">
        <v>0.112</v>
      </c>
      <c r="FC655" s="33" t="s">
        <v>445</v>
      </c>
      <c r="GM655" s="12"/>
      <c r="GQ655" s="12"/>
      <c r="IO655" s="33" t="s">
        <v>716</v>
      </c>
    </row>
    <row r="656" spans="1:249" s="33" customFormat="1" x14ac:dyDescent="0.25">
      <c r="A656" s="33">
        <v>30</v>
      </c>
      <c r="B656" s="33" t="s">
        <v>438</v>
      </c>
      <c r="C656" s="33" t="s">
        <v>439</v>
      </c>
      <c r="D656" s="33">
        <v>2002</v>
      </c>
      <c r="E656" s="33">
        <v>2000</v>
      </c>
      <c r="F656" s="33" t="s">
        <v>440</v>
      </c>
      <c r="G656" s="33" t="s">
        <v>441</v>
      </c>
      <c r="H656" s="32" t="s">
        <v>2831</v>
      </c>
      <c r="I656" s="33">
        <f t="shared" si="197"/>
        <v>38.533333333333331</v>
      </c>
      <c r="J656" s="33">
        <f t="shared" si="198"/>
        <v>-121.78333333333333</v>
      </c>
      <c r="K656" s="33">
        <v>18.399999999999999</v>
      </c>
      <c r="O656" s="33">
        <v>483</v>
      </c>
      <c r="Q656" s="47">
        <v>4</v>
      </c>
      <c r="R656" s="47" t="s">
        <v>1867</v>
      </c>
      <c r="S656" s="47"/>
      <c r="T656" s="47">
        <v>36572</v>
      </c>
      <c r="U656" s="47" t="s">
        <v>1401</v>
      </c>
      <c r="V656" s="47" t="s">
        <v>1732</v>
      </c>
      <c r="W656" s="47" t="s">
        <v>1399</v>
      </c>
      <c r="X656" s="47" t="s">
        <v>1421</v>
      </c>
      <c r="Z656" s="327">
        <v>36</v>
      </c>
      <c r="AA656" s="327">
        <v>46</v>
      </c>
      <c r="AB656" s="33" t="s">
        <v>140</v>
      </c>
      <c r="AF656" s="33" t="s">
        <v>1332</v>
      </c>
      <c r="AG656" s="33" t="s">
        <v>1537</v>
      </c>
      <c r="AH656" s="138" t="s">
        <v>578</v>
      </c>
      <c r="AI656" s="33" t="s">
        <v>1592</v>
      </c>
      <c r="AJ656" s="141" t="s">
        <v>1617</v>
      </c>
      <c r="AK656" s="33" t="s">
        <v>442</v>
      </c>
      <c r="AL656" s="33" t="s">
        <v>442</v>
      </c>
      <c r="AM656" s="33" t="s">
        <v>178</v>
      </c>
      <c r="AQ656" s="33" t="s">
        <v>369</v>
      </c>
      <c r="AR656" s="33" t="s">
        <v>443</v>
      </c>
      <c r="AS656" s="33" t="s">
        <v>503</v>
      </c>
      <c r="AT656" s="33" t="s">
        <v>120</v>
      </c>
      <c r="AU656" s="33">
        <v>4</v>
      </c>
      <c r="AW656" s="33" t="s">
        <v>336</v>
      </c>
      <c r="BA656" s="54"/>
      <c r="BM656" s="402"/>
      <c r="BN656" s="402"/>
      <c r="BR656" s="402"/>
      <c r="BS656" s="402"/>
      <c r="EY656" s="33">
        <v>0.1318</v>
      </c>
      <c r="EZ656" s="33">
        <v>0.1318</v>
      </c>
      <c r="FC656" s="33" t="s">
        <v>445</v>
      </c>
      <c r="GM656" s="12"/>
      <c r="GQ656" s="12"/>
      <c r="IO656" s="33" t="s">
        <v>716</v>
      </c>
    </row>
    <row r="657" spans="1:249" s="33" customFormat="1" x14ac:dyDescent="0.25">
      <c r="A657" s="33">
        <v>30</v>
      </c>
      <c r="B657" s="33" t="s">
        <v>438</v>
      </c>
      <c r="C657" s="33" t="s">
        <v>439</v>
      </c>
      <c r="D657" s="33">
        <v>2002</v>
      </c>
      <c r="E657" s="33">
        <v>2000</v>
      </c>
      <c r="F657" s="33" t="s">
        <v>440</v>
      </c>
      <c r="G657" s="33" t="s">
        <v>441</v>
      </c>
      <c r="H657" s="32" t="s">
        <v>2831</v>
      </c>
      <c r="I657" s="33">
        <f t="shared" si="197"/>
        <v>38.533333333333331</v>
      </c>
      <c r="J657" s="33">
        <f t="shared" si="198"/>
        <v>-121.78333333333333</v>
      </c>
      <c r="K657" s="33">
        <v>18.399999999999999</v>
      </c>
      <c r="O657" s="33">
        <v>483</v>
      </c>
      <c r="Q657" s="47">
        <v>4</v>
      </c>
      <c r="R657" s="47" t="s">
        <v>1867</v>
      </c>
      <c r="S657" s="47"/>
      <c r="T657" s="47">
        <v>36572</v>
      </c>
      <c r="U657" s="47" t="s">
        <v>1401</v>
      </c>
      <c r="V657" s="47" t="s">
        <v>1732</v>
      </c>
      <c r="W657" s="47" t="s">
        <v>1399</v>
      </c>
      <c r="X657" s="47" t="s">
        <v>1421</v>
      </c>
      <c r="Z657" s="327">
        <v>36</v>
      </c>
      <c r="AA657" s="327">
        <v>46</v>
      </c>
      <c r="AB657" s="33" t="s">
        <v>140</v>
      </c>
      <c r="AF657" s="33" t="s">
        <v>1332</v>
      </c>
      <c r="AG657" s="33" t="s">
        <v>1537</v>
      </c>
      <c r="AH657" s="138" t="s">
        <v>578</v>
      </c>
      <c r="AI657" s="33" t="s">
        <v>1592</v>
      </c>
      <c r="AJ657" s="141" t="s">
        <v>1617</v>
      </c>
      <c r="AK657" s="33" t="s">
        <v>442</v>
      </c>
      <c r="AL657" s="33" t="s">
        <v>442</v>
      </c>
      <c r="AM657" s="33" t="s">
        <v>178</v>
      </c>
      <c r="AQ657" s="33" t="s">
        <v>369</v>
      </c>
      <c r="AR657" s="33" t="s">
        <v>444</v>
      </c>
      <c r="AS657" s="33" t="s">
        <v>503</v>
      </c>
      <c r="AT657" s="33" t="s">
        <v>120</v>
      </c>
      <c r="AU657" s="33">
        <v>4</v>
      </c>
      <c r="AW657" s="33" t="s">
        <v>336</v>
      </c>
      <c r="BA657" s="54"/>
      <c r="BM657" s="402"/>
      <c r="BN657" s="402"/>
      <c r="BR657" s="402"/>
      <c r="BS657" s="402"/>
      <c r="EY657" s="33">
        <v>0.1318</v>
      </c>
      <c r="EZ657" s="33">
        <v>0.14699999999999999</v>
      </c>
      <c r="FC657" s="33" t="s">
        <v>445</v>
      </c>
      <c r="GM657" s="12"/>
      <c r="GQ657" s="12"/>
      <c r="IO657" s="33" t="s">
        <v>716</v>
      </c>
    </row>
    <row r="658" spans="1:249" s="33" customFormat="1" x14ac:dyDescent="0.25">
      <c r="A658" s="33">
        <v>30</v>
      </c>
      <c r="B658" s="33" t="s">
        <v>438</v>
      </c>
      <c r="C658" s="33" t="s">
        <v>439</v>
      </c>
      <c r="D658" s="33">
        <v>2002</v>
      </c>
      <c r="E658" s="33">
        <v>2000</v>
      </c>
      <c r="F658" s="33" t="s">
        <v>440</v>
      </c>
      <c r="G658" s="33" t="s">
        <v>441</v>
      </c>
      <c r="H658" s="32" t="s">
        <v>2831</v>
      </c>
      <c r="I658" s="33">
        <f t="shared" si="197"/>
        <v>38.533333333333331</v>
      </c>
      <c r="J658" s="33">
        <f t="shared" si="198"/>
        <v>-121.78333333333333</v>
      </c>
      <c r="K658" s="33">
        <v>18.399999999999999</v>
      </c>
      <c r="O658" s="33">
        <v>483</v>
      </c>
      <c r="Q658" s="47">
        <v>4</v>
      </c>
      <c r="R658" s="47" t="s">
        <v>1867</v>
      </c>
      <c r="S658" s="47"/>
      <c r="T658" s="47">
        <v>36582</v>
      </c>
      <c r="U658" s="47" t="s">
        <v>1401</v>
      </c>
      <c r="V658" s="47" t="s">
        <v>1732</v>
      </c>
      <c r="W658" s="47" t="s">
        <v>1399</v>
      </c>
      <c r="X658" s="47" t="s">
        <v>1421</v>
      </c>
      <c r="Z658" s="327">
        <v>36</v>
      </c>
      <c r="AA658" s="327">
        <v>46</v>
      </c>
      <c r="AB658" s="33" t="s">
        <v>140</v>
      </c>
      <c r="AF658" s="33" t="s">
        <v>1332</v>
      </c>
      <c r="AG658" s="33" t="s">
        <v>1537</v>
      </c>
      <c r="AH658" s="138" t="s">
        <v>578</v>
      </c>
      <c r="AI658" s="33" t="s">
        <v>1592</v>
      </c>
      <c r="AJ658" s="141" t="s">
        <v>1617</v>
      </c>
      <c r="AK658" s="33" t="s">
        <v>442</v>
      </c>
      <c r="AL658" s="33" t="s">
        <v>442</v>
      </c>
      <c r="AM658" s="33" t="s">
        <v>178</v>
      </c>
      <c r="AQ658" s="33" t="s">
        <v>369</v>
      </c>
      <c r="AR658" s="33" t="s">
        <v>443</v>
      </c>
      <c r="AS658" s="33" t="s">
        <v>503</v>
      </c>
      <c r="AT658" s="33" t="s">
        <v>120</v>
      </c>
      <c r="AU658" s="33">
        <v>4</v>
      </c>
      <c r="AW658" s="33" t="s">
        <v>336</v>
      </c>
      <c r="BA658" s="54"/>
      <c r="BM658" s="402"/>
      <c r="BN658" s="402"/>
      <c r="BR658" s="402"/>
      <c r="BS658" s="402"/>
      <c r="EY658" s="33">
        <v>0.14610000000000001</v>
      </c>
      <c r="EZ658" s="33">
        <v>0.16400000000000001</v>
      </c>
      <c r="FC658" s="33" t="s">
        <v>445</v>
      </c>
      <c r="GM658" s="12"/>
      <c r="GQ658" s="12"/>
      <c r="IO658" s="33" t="s">
        <v>716</v>
      </c>
    </row>
    <row r="659" spans="1:249" s="33" customFormat="1" x14ac:dyDescent="0.25">
      <c r="A659" s="33">
        <v>30</v>
      </c>
      <c r="B659" s="33" t="s">
        <v>438</v>
      </c>
      <c r="C659" s="33" t="s">
        <v>439</v>
      </c>
      <c r="D659" s="33">
        <v>2002</v>
      </c>
      <c r="E659" s="33">
        <v>2000</v>
      </c>
      <c r="F659" s="33" t="s">
        <v>440</v>
      </c>
      <c r="G659" s="33" t="s">
        <v>441</v>
      </c>
      <c r="H659" s="32" t="s">
        <v>2831</v>
      </c>
      <c r="I659" s="33">
        <f t="shared" si="197"/>
        <v>38.533333333333331</v>
      </c>
      <c r="J659" s="33">
        <f t="shared" si="198"/>
        <v>-121.78333333333333</v>
      </c>
      <c r="K659" s="33">
        <v>18.399999999999999</v>
      </c>
      <c r="O659" s="33">
        <v>483</v>
      </c>
      <c r="Q659" s="47">
        <v>4</v>
      </c>
      <c r="R659" s="47" t="s">
        <v>1867</v>
      </c>
      <c r="S659" s="47"/>
      <c r="T659" s="47">
        <v>36582</v>
      </c>
      <c r="U659" s="47" t="s">
        <v>1401</v>
      </c>
      <c r="V659" s="47" t="s">
        <v>1732</v>
      </c>
      <c r="W659" s="47" t="s">
        <v>1399</v>
      </c>
      <c r="X659" s="47" t="s">
        <v>1421</v>
      </c>
      <c r="Z659" s="327">
        <v>36</v>
      </c>
      <c r="AA659" s="327">
        <v>46</v>
      </c>
      <c r="AB659" s="33" t="s">
        <v>140</v>
      </c>
      <c r="AF659" s="33" t="s">
        <v>1332</v>
      </c>
      <c r="AG659" s="33" t="s">
        <v>1537</v>
      </c>
      <c r="AH659" s="138" t="s">
        <v>578</v>
      </c>
      <c r="AI659" s="33" t="s">
        <v>1592</v>
      </c>
      <c r="AJ659" s="141" t="s">
        <v>1617</v>
      </c>
      <c r="AK659" s="33" t="s">
        <v>442</v>
      </c>
      <c r="AL659" s="33" t="s">
        <v>442</v>
      </c>
      <c r="AM659" s="33" t="s">
        <v>178</v>
      </c>
      <c r="AQ659" s="33" t="s">
        <v>369</v>
      </c>
      <c r="AR659" s="33" t="s">
        <v>444</v>
      </c>
      <c r="AS659" s="33" t="s">
        <v>503</v>
      </c>
      <c r="AT659" s="33" t="s">
        <v>120</v>
      </c>
      <c r="AU659" s="33">
        <v>4</v>
      </c>
      <c r="AW659" s="33" t="s">
        <v>336</v>
      </c>
      <c r="BA659" s="54"/>
      <c r="BM659" s="402"/>
      <c r="BN659" s="402"/>
      <c r="BR659" s="402"/>
      <c r="BS659" s="402"/>
      <c r="EY659" s="33">
        <v>0.14610000000000001</v>
      </c>
      <c r="EZ659" s="33">
        <v>0.1658</v>
      </c>
      <c r="FC659" s="33" t="s">
        <v>445</v>
      </c>
      <c r="GM659" s="12"/>
      <c r="GQ659" s="12"/>
      <c r="IO659" s="33" t="s">
        <v>716</v>
      </c>
    </row>
    <row r="660" spans="1:249" s="33" customFormat="1" x14ac:dyDescent="0.25">
      <c r="A660" s="33">
        <v>30</v>
      </c>
      <c r="B660" s="33" t="s">
        <v>438</v>
      </c>
      <c r="C660" s="33" t="s">
        <v>439</v>
      </c>
      <c r="D660" s="33">
        <v>2002</v>
      </c>
      <c r="E660" s="33">
        <v>2000</v>
      </c>
      <c r="F660" s="33" t="s">
        <v>440</v>
      </c>
      <c r="G660" s="33" t="s">
        <v>441</v>
      </c>
      <c r="H660" s="32" t="s">
        <v>2831</v>
      </c>
      <c r="I660" s="33">
        <f t="shared" si="197"/>
        <v>38.533333333333331</v>
      </c>
      <c r="J660" s="33">
        <f t="shared" si="198"/>
        <v>-121.78333333333333</v>
      </c>
      <c r="K660" s="33">
        <v>18.399999999999999</v>
      </c>
      <c r="O660" s="33">
        <v>483</v>
      </c>
      <c r="Q660" s="47">
        <v>4</v>
      </c>
      <c r="R660" s="47" t="s">
        <v>1867</v>
      </c>
      <c r="S660" s="47"/>
      <c r="T660" s="47">
        <v>36587</v>
      </c>
      <c r="U660" s="47" t="s">
        <v>1401</v>
      </c>
      <c r="V660" s="47" t="s">
        <v>1732</v>
      </c>
      <c r="W660" s="47" t="s">
        <v>1399</v>
      </c>
      <c r="X660" s="47" t="s">
        <v>1421</v>
      </c>
      <c r="Z660" s="327">
        <v>36</v>
      </c>
      <c r="AA660" s="327">
        <v>46</v>
      </c>
      <c r="AB660" s="33" t="s">
        <v>140</v>
      </c>
      <c r="AF660" s="33" t="s">
        <v>1332</v>
      </c>
      <c r="AG660" s="33" t="s">
        <v>1537</v>
      </c>
      <c r="AH660" s="138" t="s">
        <v>578</v>
      </c>
      <c r="AI660" s="33" t="s">
        <v>1592</v>
      </c>
      <c r="AJ660" s="141" t="s">
        <v>1617</v>
      </c>
      <c r="AK660" s="33" t="s">
        <v>442</v>
      </c>
      <c r="AL660" s="33" t="s">
        <v>442</v>
      </c>
      <c r="AM660" s="33" t="s">
        <v>178</v>
      </c>
      <c r="AQ660" s="33" t="s">
        <v>369</v>
      </c>
      <c r="AR660" s="33" t="s">
        <v>443</v>
      </c>
      <c r="AS660" s="33" t="s">
        <v>503</v>
      </c>
      <c r="AT660" s="33" t="s">
        <v>120</v>
      </c>
      <c r="AU660" s="33">
        <v>4</v>
      </c>
      <c r="AW660" s="33" t="s">
        <v>336</v>
      </c>
      <c r="BA660" s="54"/>
      <c r="BM660" s="402"/>
      <c r="BN660" s="402"/>
      <c r="BR660" s="402"/>
      <c r="BS660" s="402"/>
      <c r="EY660" s="33">
        <v>0.15140000000000001</v>
      </c>
      <c r="EZ660" s="33">
        <v>0.18720000000000001</v>
      </c>
      <c r="FC660" s="33" t="s">
        <v>445</v>
      </c>
      <c r="GM660" s="12"/>
      <c r="GQ660" s="12"/>
      <c r="IO660" s="33" t="s">
        <v>716</v>
      </c>
    </row>
    <row r="661" spans="1:249" s="33" customFormat="1" x14ac:dyDescent="0.25">
      <c r="A661" s="33">
        <v>30</v>
      </c>
      <c r="B661" s="33" t="s">
        <v>438</v>
      </c>
      <c r="C661" s="33" t="s">
        <v>439</v>
      </c>
      <c r="D661" s="33">
        <v>2002</v>
      </c>
      <c r="E661" s="33">
        <v>2000</v>
      </c>
      <c r="F661" s="33" t="s">
        <v>440</v>
      </c>
      <c r="G661" s="33" t="s">
        <v>441</v>
      </c>
      <c r="H661" s="32" t="s">
        <v>2831</v>
      </c>
      <c r="I661" s="33">
        <f t="shared" si="197"/>
        <v>38.533333333333331</v>
      </c>
      <c r="J661" s="33">
        <f t="shared" si="198"/>
        <v>-121.78333333333333</v>
      </c>
      <c r="K661" s="33">
        <v>18.399999999999999</v>
      </c>
      <c r="O661" s="33">
        <v>483</v>
      </c>
      <c r="Q661" s="47">
        <v>4</v>
      </c>
      <c r="R661" s="47" t="s">
        <v>1867</v>
      </c>
      <c r="S661" s="47"/>
      <c r="T661" s="47">
        <v>36587</v>
      </c>
      <c r="U661" s="47" t="s">
        <v>1401</v>
      </c>
      <c r="V661" s="47" t="s">
        <v>1732</v>
      </c>
      <c r="W661" s="47" t="s">
        <v>1399</v>
      </c>
      <c r="X661" s="47" t="s">
        <v>1421</v>
      </c>
      <c r="Z661" s="327">
        <v>36</v>
      </c>
      <c r="AA661" s="327">
        <v>46</v>
      </c>
      <c r="AB661" s="33" t="s">
        <v>140</v>
      </c>
      <c r="AF661" s="33" t="s">
        <v>1332</v>
      </c>
      <c r="AG661" s="33" t="s">
        <v>1537</v>
      </c>
      <c r="AH661" s="138" t="s">
        <v>578</v>
      </c>
      <c r="AI661" s="33" t="s">
        <v>1592</v>
      </c>
      <c r="AJ661" s="141" t="s">
        <v>1617</v>
      </c>
      <c r="AK661" s="33" t="s">
        <v>442</v>
      </c>
      <c r="AL661" s="33" t="s">
        <v>442</v>
      </c>
      <c r="AM661" s="33" t="s">
        <v>178</v>
      </c>
      <c r="AQ661" s="33" t="s">
        <v>369</v>
      </c>
      <c r="AR661" s="33" t="s">
        <v>444</v>
      </c>
      <c r="AS661" s="33" t="s">
        <v>503</v>
      </c>
      <c r="AT661" s="33" t="s">
        <v>120</v>
      </c>
      <c r="AU661" s="33">
        <v>4</v>
      </c>
      <c r="AW661" s="33" t="s">
        <v>336</v>
      </c>
      <c r="BA661" s="54"/>
      <c r="BM661" s="402"/>
      <c r="BN661" s="402"/>
      <c r="BR661" s="402"/>
      <c r="BS661" s="402"/>
      <c r="EY661" s="33">
        <v>0.15140000000000001</v>
      </c>
      <c r="EZ661" s="33">
        <v>0.1792</v>
      </c>
      <c r="FC661" s="33" t="s">
        <v>445</v>
      </c>
      <c r="GM661" s="12"/>
      <c r="GQ661" s="12"/>
      <c r="IO661" s="33" t="s">
        <v>716</v>
      </c>
    </row>
    <row r="662" spans="1:249" s="33" customFormat="1" x14ac:dyDescent="0.25">
      <c r="A662" s="33">
        <v>30</v>
      </c>
      <c r="B662" s="33" t="s">
        <v>438</v>
      </c>
      <c r="C662" s="33" t="s">
        <v>439</v>
      </c>
      <c r="D662" s="33">
        <v>2002</v>
      </c>
      <c r="E662" s="33">
        <v>2000</v>
      </c>
      <c r="F662" s="33" t="s">
        <v>440</v>
      </c>
      <c r="G662" s="33" t="s">
        <v>441</v>
      </c>
      <c r="H662" s="32" t="s">
        <v>2831</v>
      </c>
      <c r="I662" s="33">
        <f t="shared" si="197"/>
        <v>38.533333333333331</v>
      </c>
      <c r="J662" s="33">
        <f t="shared" si="198"/>
        <v>-121.78333333333333</v>
      </c>
      <c r="K662" s="33">
        <v>18.399999999999999</v>
      </c>
      <c r="O662" s="33">
        <v>483</v>
      </c>
      <c r="Q662" s="47">
        <v>4</v>
      </c>
      <c r="R662" s="47" t="s">
        <v>1867</v>
      </c>
      <c r="S662" s="47"/>
      <c r="T662" s="47">
        <v>36598</v>
      </c>
      <c r="U662" s="47" t="s">
        <v>1401</v>
      </c>
      <c r="V662" s="47" t="s">
        <v>1732</v>
      </c>
      <c r="W662" s="47" t="s">
        <v>1399</v>
      </c>
      <c r="X662" s="47" t="s">
        <v>1421</v>
      </c>
      <c r="Z662" s="327">
        <v>36</v>
      </c>
      <c r="AA662" s="327">
        <v>46</v>
      </c>
      <c r="AB662" s="33" t="s">
        <v>140</v>
      </c>
      <c r="AF662" s="33" t="s">
        <v>1332</v>
      </c>
      <c r="AG662" s="33" t="s">
        <v>1537</v>
      </c>
      <c r="AH662" s="138" t="s">
        <v>578</v>
      </c>
      <c r="AI662" s="33" t="s">
        <v>1592</v>
      </c>
      <c r="AJ662" s="141" t="s">
        <v>1617</v>
      </c>
      <c r="AK662" s="33" t="s">
        <v>442</v>
      </c>
      <c r="AL662" s="33" t="s">
        <v>442</v>
      </c>
      <c r="AM662" s="33" t="s">
        <v>178</v>
      </c>
      <c r="AQ662" s="33" t="s">
        <v>369</v>
      </c>
      <c r="AR662" s="33" t="s">
        <v>443</v>
      </c>
      <c r="AS662" s="33" t="s">
        <v>503</v>
      </c>
      <c r="AT662" s="33" t="s">
        <v>120</v>
      </c>
      <c r="AU662" s="33">
        <v>4</v>
      </c>
      <c r="AW662" s="33" t="s">
        <v>336</v>
      </c>
      <c r="BA662" s="54"/>
      <c r="BM662" s="402"/>
      <c r="BN662" s="402"/>
      <c r="BR662" s="402"/>
      <c r="BS662" s="402"/>
      <c r="EY662" s="33">
        <v>0.14960000000000001</v>
      </c>
      <c r="EZ662" s="33">
        <v>0.1953</v>
      </c>
      <c r="FC662" s="33" t="s">
        <v>445</v>
      </c>
      <c r="GM662" s="12"/>
      <c r="GQ662" s="12"/>
      <c r="IO662" s="33" t="s">
        <v>716</v>
      </c>
    </row>
    <row r="663" spans="1:249" s="33" customFormat="1" x14ac:dyDescent="0.25">
      <c r="A663" s="33">
        <v>30</v>
      </c>
      <c r="B663" s="33" t="s">
        <v>438</v>
      </c>
      <c r="C663" s="33" t="s">
        <v>439</v>
      </c>
      <c r="D663" s="33">
        <v>2002</v>
      </c>
      <c r="E663" s="33">
        <v>2000</v>
      </c>
      <c r="F663" s="33" t="s">
        <v>440</v>
      </c>
      <c r="G663" s="33" t="s">
        <v>441</v>
      </c>
      <c r="H663" s="32" t="s">
        <v>2831</v>
      </c>
      <c r="I663" s="33">
        <f t="shared" si="197"/>
        <v>38.533333333333331</v>
      </c>
      <c r="J663" s="33">
        <f t="shared" si="198"/>
        <v>-121.78333333333333</v>
      </c>
      <c r="K663" s="33">
        <v>18.399999999999999</v>
      </c>
      <c r="O663" s="33">
        <v>483</v>
      </c>
      <c r="Q663" s="47">
        <v>4</v>
      </c>
      <c r="R663" s="47" t="s">
        <v>1867</v>
      </c>
      <c r="S663" s="47"/>
      <c r="T663" s="47">
        <v>36598</v>
      </c>
      <c r="U663" s="47" t="s">
        <v>1401</v>
      </c>
      <c r="V663" s="47" t="s">
        <v>1732</v>
      </c>
      <c r="W663" s="47" t="s">
        <v>1399</v>
      </c>
      <c r="X663" s="47" t="s">
        <v>1421</v>
      </c>
      <c r="Z663" s="327">
        <v>36</v>
      </c>
      <c r="AA663" s="327">
        <v>46</v>
      </c>
      <c r="AB663" s="33" t="s">
        <v>140</v>
      </c>
      <c r="AF663" s="33" t="s">
        <v>1332</v>
      </c>
      <c r="AG663" s="33" t="s">
        <v>1537</v>
      </c>
      <c r="AH663" s="138" t="s">
        <v>578</v>
      </c>
      <c r="AI663" s="33" t="s">
        <v>1592</v>
      </c>
      <c r="AJ663" s="141" t="s">
        <v>1617</v>
      </c>
      <c r="AK663" s="33" t="s">
        <v>442</v>
      </c>
      <c r="AL663" s="33" t="s">
        <v>442</v>
      </c>
      <c r="AM663" s="33" t="s">
        <v>178</v>
      </c>
      <c r="AQ663" s="33" t="s">
        <v>369</v>
      </c>
      <c r="AR663" s="33" t="s">
        <v>444</v>
      </c>
      <c r="AS663" s="33" t="s">
        <v>503</v>
      </c>
      <c r="AT663" s="33" t="s">
        <v>120</v>
      </c>
      <c r="AU663" s="33">
        <v>4</v>
      </c>
      <c r="AW663" s="33" t="s">
        <v>336</v>
      </c>
      <c r="BA663" s="54"/>
      <c r="BM663" s="402"/>
      <c r="BN663" s="402"/>
      <c r="BR663" s="402"/>
      <c r="BS663" s="402"/>
      <c r="EY663" s="33">
        <v>0.14960000000000001</v>
      </c>
      <c r="EZ663" s="33">
        <v>0.18540000000000001</v>
      </c>
      <c r="FC663" s="33" t="s">
        <v>445</v>
      </c>
      <c r="GM663" s="12"/>
      <c r="GQ663" s="12"/>
      <c r="IO663" s="33" t="s">
        <v>716</v>
      </c>
    </row>
    <row r="664" spans="1:249" s="21" customFormat="1" x14ac:dyDescent="0.25">
      <c r="A664" s="21">
        <v>30</v>
      </c>
      <c r="B664" s="21" t="s">
        <v>438</v>
      </c>
      <c r="C664" s="21" t="s">
        <v>439</v>
      </c>
      <c r="D664" s="21">
        <v>2002</v>
      </c>
      <c r="E664" s="21">
        <v>1998</v>
      </c>
      <c r="F664" s="21" t="s">
        <v>440</v>
      </c>
      <c r="G664" s="21" t="s">
        <v>441</v>
      </c>
      <c r="H664" s="32" t="s">
        <v>2831</v>
      </c>
      <c r="I664" s="21">
        <f t="shared" ref="I664:I695" si="199">38+32/60</f>
        <v>38.533333333333331</v>
      </c>
      <c r="J664" s="21">
        <f t="shared" ref="J664:J695" si="200">-121-47/60</f>
        <v>-121.78333333333333</v>
      </c>
      <c r="K664" s="21">
        <v>18.399999999999999</v>
      </c>
      <c r="O664" s="21">
        <v>483</v>
      </c>
      <c r="Q664" s="43">
        <v>2</v>
      </c>
      <c r="R664" s="43" t="s">
        <v>1867</v>
      </c>
      <c r="S664" s="43"/>
      <c r="T664" s="43">
        <v>36145</v>
      </c>
      <c r="U664" s="43" t="s">
        <v>1402</v>
      </c>
      <c r="V664" s="43" t="s">
        <v>1732</v>
      </c>
      <c r="W664" s="43" t="s">
        <v>1399</v>
      </c>
      <c r="X664" s="43" t="s">
        <v>1421</v>
      </c>
      <c r="Z664" s="322">
        <v>36</v>
      </c>
      <c r="AA664" s="322">
        <v>46</v>
      </c>
      <c r="AB664" s="21" t="s">
        <v>140</v>
      </c>
      <c r="AF664" s="21" t="s">
        <v>1332</v>
      </c>
      <c r="AG664" s="21" t="s">
        <v>1537</v>
      </c>
      <c r="AH664" s="138" t="s">
        <v>578</v>
      </c>
      <c r="AI664" s="21" t="s">
        <v>1592</v>
      </c>
      <c r="AJ664" s="141" t="s">
        <v>1617</v>
      </c>
      <c r="AK664" s="21" t="s">
        <v>442</v>
      </c>
      <c r="AL664" s="21" t="s">
        <v>442</v>
      </c>
      <c r="AM664" s="21" t="s">
        <v>178</v>
      </c>
      <c r="AQ664" s="21" t="s">
        <v>369</v>
      </c>
      <c r="AR664" s="21" t="s">
        <v>443</v>
      </c>
      <c r="AS664" s="21" t="s">
        <v>503</v>
      </c>
      <c r="AT664" s="21" t="s">
        <v>120</v>
      </c>
      <c r="AU664" s="21">
        <v>4</v>
      </c>
      <c r="AW664" s="21" t="s">
        <v>336</v>
      </c>
      <c r="BA664" s="54"/>
      <c r="BM664" s="396"/>
      <c r="BN664" s="396"/>
      <c r="BR664" s="396"/>
      <c r="BS664" s="396"/>
      <c r="EY664" s="21">
        <v>0.14299999999999999</v>
      </c>
      <c r="EZ664" s="21">
        <v>0.19539999999999999</v>
      </c>
      <c r="FC664" s="21" t="s">
        <v>445</v>
      </c>
      <c r="GM664" s="12"/>
      <c r="GQ664" s="12"/>
      <c r="IO664" s="21" t="s">
        <v>716</v>
      </c>
    </row>
    <row r="665" spans="1:249" s="21" customFormat="1" x14ac:dyDescent="0.25">
      <c r="A665" s="21">
        <v>30</v>
      </c>
      <c r="B665" s="21" t="s">
        <v>438</v>
      </c>
      <c r="C665" s="21" t="s">
        <v>439</v>
      </c>
      <c r="D665" s="21">
        <v>2002</v>
      </c>
      <c r="E665" s="21">
        <v>1998</v>
      </c>
      <c r="F665" s="21" t="s">
        <v>440</v>
      </c>
      <c r="G665" s="21" t="s">
        <v>441</v>
      </c>
      <c r="H665" s="32" t="s">
        <v>2831</v>
      </c>
      <c r="I665" s="21">
        <f t="shared" si="199"/>
        <v>38.533333333333331</v>
      </c>
      <c r="J665" s="21">
        <f t="shared" si="200"/>
        <v>-121.78333333333333</v>
      </c>
      <c r="K665" s="21">
        <v>18.399999999999999</v>
      </c>
      <c r="O665" s="21">
        <v>483</v>
      </c>
      <c r="Q665" s="43">
        <v>2</v>
      </c>
      <c r="R665" s="43" t="s">
        <v>1867</v>
      </c>
      <c r="S665" s="43"/>
      <c r="T665" s="43">
        <v>36145</v>
      </c>
      <c r="U665" s="43" t="s">
        <v>1402</v>
      </c>
      <c r="V665" s="43" t="s">
        <v>1732</v>
      </c>
      <c r="W665" s="43" t="s">
        <v>1399</v>
      </c>
      <c r="X665" s="43" t="s">
        <v>1421</v>
      </c>
      <c r="Z665" s="322">
        <v>36</v>
      </c>
      <c r="AA665" s="322">
        <v>46</v>
      </c>
      <c r="AB665" s="21" t="s">
        <v>140</v>
      </c>
      <c r="AF665" s="21" t="s">
        <v>1332</v>
      </c>
      <c r="AG665" s="21" t="s">
        <v>1537</v>
      </c>
      <c r="AH665" s="138" t="s">
        <v>578</v>
      </c>
      <c r="AI665" s="21" t="s">
        <v>1592</v>
      </c>
      <c r="AJ665" s="141" t="s">
        <v>1617</v>
      </c>
      <c r="AK665" s="21" t="s">
        <v>442</v>
      </c>
      <c r="AL665" s="21" t="s">
        <v>442</v>
      </c>
      <c r="AM665" s="21" t="s">
        <v>178</v>
      </c>
      <c r="AQ665" s="21" t="s">
        <v>369</v>
      </c>
      <c r="AR665" s="21" t="s">
        <v>444</v>
      </c>
      <c r="AS665" s="21" t="s">
        <v>503</v>
      </c>
      <c r="AT665" s="21" t="s">
        <v>120</v>
      </c>
      <c r="AU665" s="21">
        <v>4</v>
      </c>
      <c r="AW665" s="21" t="s">
        <v>336</v>
      </c>
      <c r="BA665" s="54"/>
      <c r="BM665" s="396"/>
      <c r="BN665" s="396"/>
      <c r="BR665" s="396"/>
      <c r="BS665" s="396"/>
      <c r="EY665" s="21">
        <v>0.14299999999999999</v>
      </c>
      <c r="EZ665" s="21">
        <v>0.17799999999999999</v>
      </c>
      <c r="FC665" s="21" t="s">
        <v>445</v>
      </c>
      <c r="GM665" s="12"/>
      <c r="GQ665" s="12"/>
      <c r="IO665" s="21" t="s">
        <v>716</v>
      </c>
    </row>
    <row r="666" spans="1:249" s="21" customFormat="1" x14ac:dyDescent="0.25">
      <c r="A666" s="21">
        <v>30</v>
      </c>
      <c r="B666" s="21" t="s">
        <v>438</v>
      </c>
      <c r="C666" s="21" t="s">
        <v>439</v>
      </c>
      <c r="D666" s="21">
        <v>2002</v>
      </c>
      <c r="E666" s="21">
        <v>1999</v>
      </c>
      <c r="F666" s="21" t="s">
        <v>440</v>
      </c>
      <c r="G666" s="21" t="s">
        <v>441</v>
      </c>
      <c r="H666" s="32" t="s">
        <v>2831</v>
      </c>
      <c r="I666" s="21">
        <f t="shared" si="199"/>
        <v>38.533333333333331</v>
      </c>
      <c r="J666" s="21">
        <f t="shared" si="200"/>
        <v>-121.78333333333333</v>
      </c>
      <c r="K666" s="21">
        <v>18.399999999999999</v>
      </c>
      <c r="O666" s="21">
        <v>483</v>
      </c>
      <c r="Q666" s="43">
        <v>3</v>
      </c>
      <c r="R666" s="43" t="s">
        <v>1867</v>
      </c>
      <c r="S666" s="43"/>
      <c r="T666" s="43">
        <v>36170</v>
      </c>
      <c r="U666" s="43" t="s">
        <v>1402</v>
      </c>
      <c r="V666" s="43" t="s">
        <v>1732</v>
      </c>
      <c r="W666" s="43" t="s">
        <v>1399</v>
      </c>
      <c r="X666" s="43" t="s">
        <v>1421</v>
      </c>
      <c r="Z666" s="322">
        <v>36</v>
      </c>
      <c r="AA666" s="322">
        <v>46</v>
      </c>
      <c r="AB666" s="21" t="s">
        <v>140</v>
      </c>
      <c r="AF666" s="21" t="s">
        <v>1332</v>
      </c>
      <c r="AG666" s="21" t="s">
        <v>1537</v>
      </c>
      <c r="AH666" s="138" t="s">
        <v>578</v>
      </c>
      <c r="AI666" s="21" t="s">
        <v>1592</v>
      </c>
      <c r="AJ666" s="141" t="s">
        <v>1617</v>
      </c>
      <c r="AK666" s="21" t="s">
        <v>442</v>
      </c>
      <c r="AL666" s="21" t="s">
        <v>442</v>
      </c>
      <c r="AM666" s="21" t="s">
        <v>178</v>
      </c>
      <c r="AQ666" s="21" t="s">
        <v>369</v>
      </c>
      <c r="AR666" s="21" t="s">
        <v>443</v>
      </c>
      <c r="AS666" s="21" t="s">
        <v>503</v>
      </c>
      <c r="AT666" s="21" t="s">
        <v>120</v>
      </c>
      <c r="AU666" s="21">
        <v>4</v>
      </c>
      <c r="AW666" s="21" t="s">
        <v>336</v>
      </c>
      <c r="BA666" s="54"/>
      <c r="BM666" s="396"/>
      <c r="BN666" s="396"/>
      <c r="BR666" s="396"/>
      <c r="BS666" s="396"/>
      <c r="EY666" s="21">
        <v>0.13950000000000001</v>
      </c>
      <c r="EZ666" s="21">
        <v>0.1789</v>
      </c>
      <c r="FC666" s="21" t="s">
        <v>445</v>
      </c>
      <c r="GM666" s="12"/>
      <c r="GQ666" s="12"/>
      <c r="IO666" s="21" t="s">
        <v>716</v>
      </c>
    </row>
    <row r="667" spans="1:249" s="21" customFormat="1" x14ac:dyDescent="0.25">
      <c r="A667" s="21">
        <v>30</v>
      </c>
      <c r="B667" s="21" t="s">
        <v>438</v>
      </c>
      <c r="C667" s="21" t="s">
        <v>439</v>
      </c>
      <c r="D667" s="21">
        <v>2002</v>
      </c>
      <c r="E667" s="21">
        <v>1999</v>
      </c>
      <c r="F667" s="21" t="s">
        <v>440</v>
      </c>
      <c r="G667" s="21" t="s">
        <v>441</v>
      </c>
      <c r="H667" s="32" t="s">
        <v>2831</v>
      </c>
      <c r="I667" s="21">
        <f t="shared" si="199"/>
        <v>38.533333333333331</v>
      </c>
      <c r="J667" s="21">
        <f t="shared" si="200"/>
        <v>-121.78333333333333</v>
      </c>
      <c r="K667" s="21">
        <v>18.399999999999999</v>
      </c>
      <c r="O667" s="21">
        <v>483</v>
      </c>
      <c r="Q667" s="43">
        <v>3</v>
      </c>
      <c r="R667" s="43" t="s">
        <v>1867</v>
      </c>
      <c r="S667" s="43"/>
      <c r="T667" s="43">
        <v>36170</v>
      </c>
      <c r="U667" s="43" t="s">
        <v>1402</v>
      </c>
      <c r="V667" s="43" t="s">
        <v>1732</v>
      </c>
      <c r="W667" s="43" t="s">
        <v>1399</v>
      </c>
      <c r="X667" s="43" t="s">
        <v>1421</v>
      </c>
      <c r="Z667" s="322">
        <v>36</v>
      </c>
      <c r="AA667" s="322">
        <v>46</v>
      </c>
      <c r="AB667" s="21" t="s">
        <v>140</v>
      </c>
      <c r="AF667" s="21" t="s">
        <v>1332</v>
      </c>
      <c r="AG667" s="21" t="s">
        <v>1537</v>
      </c>
      <c r="AH667" s="138" t="s">
        <v>578</v>
      </c>
      <c r="AI667" s="21" t="s">
        <v>1592</v>
      </c>
      <c r="AJ667" s="141" t="s">
        <v>1617</v>
      </c>
      <c r="AK667" s="21" t="s">
        <v>442</v>
      </c>
      <c r="AL667" s="21" t="s">
        <v>442</v>
      </c>
      <c r="AM667" s="21" t="s">
        <v>178</v>
      </c>
      <c r="AQ667" s="21" t="s">
        <v>369</v>
      </c>
      <c r="AR667" s="21" t="s">
        <v>444</v>
      </c>
      <c r="AS667" s="21" t="s">
        <v>503</v>
      </c>
      <c r="AT667" s="21" t="s">
        <v>120</v>
      </c>
      <c r="AU667" s="21">
        <v>4</v>
      </c>
      <c r="AW667" s="21" t="s">
        <v>336</v>
      </c>
      <c r="BA667" s="54"/>
      <c r="BM667" s="396"/>
      <c r="BN667" s="396"/>
      <c r="BR667" s="396"/>
      <c r="BS667" s="396"/>
      <c r="EY667" s="21">
        <v>0.13950000000000001</v>
      </c>
      <c r="EZ667" s="21">
        <v>0.16889999999999999</v>
      </c>
      <c r="FC667" s="21" t="s">
        <v>445</v>
      </c>
      <c r="GM667" s="12"/>
      <c r="GQ667" s="12"/>
      <c r="IO667" s="21" t="s">
        <v>716</v>
      </c>
    </row>
    <row r="668" spans="1:249" s="21" customFormat="1" x14ac:dyDescent="0.25">
      <c r="A668" s="21">
        <v>30</v>
      </c>
      <c r="B668" s="21" t="s">
        <v>438</v>
      </c>
      <c r="C668" s="21" t="s">
        <v>439</v>
      </c>
      <c r="D668" s="21">
        <v>2002</v>
      </c>
      <c r="E668" s="21">
        <v>1999</v>
      </c>
      <c r="F668" s="21" t="s">
        <v>440</v>
      </c>
      <c r="G668" s="21" t="s">
        <v>441</v>
      </c>
      <c r="H668" s="32" t="s">
        <v>2831</v>
      </c>
      <c r="I668" s="21">
        <f t="shared" si="199"/>
        <v>38.533333333333331</v>
      </c>
      <c r="J668" s="21">
        <f t="shared" si="200"/>
        <v>-121.78333333333333</v>
      </c>
      <c r="K668" s="21">
        <v>18.399999999999999</v>
      </c>
      <c r="O668" s="21">
        <v>483</v>
      </c>
      <c r="Q668" s="43">
        <v>3</v>
      </c>
      <c r="R668" s="43" t="s">
        <v>1867</v>
      </c>
      <c r="S668" s="43"/>
      <c r="T668" s="43">
        <v>36187</v>
      </c>
      <c r="U668" s="43" t="s">
        <v>1402</v>
      </c>
      <c r="V668" s="43" t="s">
        <v>1732</v>
      </c>
      <c r="W668" s="43" t="s">
        <v>1399</v>
      </c>
      <c r="X668" s="43" t="s">
        <v>1421</v>
      </c>
      <c r="Z668" s="322">
        <v>36</v>
      </c>
      <c r="AA668" s="322">
        <v>46</v>
      </c>
      <c r="AB668" s="21" t="s">
        <v>140</v>
      </c>
      <c r="AF668" s="21" t="s">
        <v>1332</v>
      </c>
      <c r="AG668" s="21" t="s">
        <v>1537</v>
      </c>
      <c r="AH668" s="138" t="s">
        <v>578</v>
      </c>
      <c r="AI668" s="21" t="s">
        <v>1592</v>
      </c>
      <c r="AJ668" s="141" t="s">
        <v>1617</v>
      </c>
      <c r="AK668" s="21" t="s">
        <v>442</v>
      </c>
      <c r="AL668" s="21" t="s">
        <v>442</v>
      </c>
      <c r="AM668" s="21" t="s">
        <v>178</v>
      </c>
      <c r="AQ668" s="21" t="s">
        <v>369</v>
      </c>
      <c r="AR668" s="21" t="s">
        <v>443</v>
      </c>
      <c r="AS668" s="21" t="s">
        <v>503</v>
      </c>
      <c r="AT668" s="21" t="s">
        <v>120</v>
      </c>
      <c r="AU668" s="21">
        <v>4</v>
      </c>
      <c r="AW668" s="21" t="s">
        <v>336</v>
      </c>
      <c r="BA668" s="54"/>
      <c r="BM668" s="396"/>
      <c r="BN668" s="396"/>
      <c r="BR668" s="396"/>
      <c r="BS668" s="396"/>
      <c r="EY668" s="21">
        <v>0.1414</v>
      </c>
      <c r="EZ668" s="21">
        <v>0.18820000000000001</v>
      </c>
      <c r="FC668" s="21" t="s">
        <v>445</v>
      </c>
      <c r="GM668" s="12"/>
      <c r="GQ668" s="12"/>
      <c r="IO668" s="21" t="s">
        <v>716</v>
      </c>
    </row>
    <row r="669" spans="1:249" s="21" customFormat="1" x14ac:dyDescent="0.25">
      <c r="A669" s="21">
        <v>30</v>
      </c>
      <c r="B669" s="21" t="s">
        <v>438</v>
      </c>
      <c r="C669" s="21" t="s">
        <v>439</v>
      </c>
      <c r="D669" s="21">
        <v>2002</v>
      </c>
      <c r="E669" s="21">
        <v>1999</v>
      </c>
      <c r="F669" s="21" t="s">
        <v>440</v>
      </c>
      <c r="G669" s="21" t="s">
        <v>441</v>
      </c>
      <c r="H669" s="32" t="s">
        <v>2831</v>
      </c>
      <c r="I669" s="21">
        <f t="shared" si="199"/>
        <v>38.533333333333331</v>
      </c>
      <c r="J669" s="21">
        <f t="shared" si="200"/>
        <v>-121.78333333333333</v>
      </c>
      <c r="K669" s="21">
        <v>18.399999999999999</v>
      </c>
      <c r="O669" s="21">
        <v>483</v>
      </c>
      <c r="Q669" s="43">
        <v>3</v>
      </c>
      <c r="R669" s="43" t="s">
        <v>1867</v>
      </c>
      <c r="S669" s="43"/>
      <c r="T669" s="43">
        <v>36187</v>
      </c>
      <c r="U669" s="43" t="s">
        <v>1402</v>
      </c>
      <c r="V669" s="43" t="s">
        <v>1732</v>
      </c>
      <c r="W669" s="43" t="s">
        <v>1399</v>
      </c>
      <c r="X669" s="43" t="s">
        <v>1421</v>
      </c>
      <c r="Z669" s="322">
        <v>36</v>
      </c>
      <c r="AA669" s="322">
        <v>46</v>
      </c>
      <c r="AB669" s="21" t="s">
        <v>140</v>
      </c>
      <c r="AF669" s="21" t="s">
        <v>1332</v>
      </c>
      <c r="AG669" s="21" t="s">
        <v>1537</v>
      </c>
      <c r="AH669" s="138" t="s">
        <v>578</v>
      </c>
      <c r="AI669" s="21" t="s">
        <v>1592</v>
      </c>
      <c r="AJ669" s="141" t="s">
        <v>1617</v>
      </c>
      <c r="AK669" s="21" t="s">
        <v>442</v>
      </c>
      <c r="AL669" s="21" t="s">
        <v>442</v>
      </c>
      <c r="AM669" s="21" t="s">
        <v>178</v>
      </c>
      <c r="AQ669" s="21" t="s">
        <v>369</v>
      </c>
      <c r="AR669" s="21" t="s">
        <v>444</v>
      </c>
      <c r="AS669" s="21" t="s">
        <v>503</v>
      </c>
      <c r="AT669" s="21" t="s">
        <v>120</v>
      </c>
      <c r="AU669" s="21">
        <v>4</v>
      </c>
      <c r="AW669" s="21" t="s">
        <v>336</v>
      </c>
      <c r="BA669" s="54"/>
      <c r="BM669" s="396"/>
      <c r="BN669" s="396"/>
      <c r="BR669" s="396"/>
      <c r="BS669" s="396"/>
      <c r="EY669" s="21">
        <v>0.1414</v>
      </c>
      <c r="EZ669" s="21">
        <v>0.17349999999999999</v>
      </c>
      <c r="FC669" s="21" t="s">
        <v>445</v>
      </c>
      <c r="GM669" s="12"/>
      <c r="GQ669" s="12"/>
      <c r="IO669" s="21" t="s">
        <v>716</v>
      </c>
    </row>
    <row r="670" spans="1:249" s="21" customFormat="1" x14ac:dyDescent="0.25">
      <c r="A670" s="21">
        <v>30</v>
      </c>
      <c r="B670" s="21" t="s">
        <v>438</v>
      </c>
      <c r="C670" s="21" t="s">
        <v>439</v>
      </c>
      <c r="D670" s="21">
        <v>2002</v>
      </c>
      <c r="E670" s="21">
        <v>1999</v>
      </c>
      <c r="F670" s="21" t="s">
        <v>440</v>
      </c>
      <c r="G670" s="21" t="s">
        <v>441</v>
      </c>
      <c r="H670" s="32" t="s">
        <v>2831</v>
      </c>
      <c r="I670" s="21">
        <f t="shared" si="199"/>
        <v>38.533333333333331</v>
      </c>
      <c r="J670" s="21">
        <f t="shared" si="200"/>
        <v>-121.78333333333333</v>
      </c>
      <c r="K670" s="21">
        <v>18.399999999999999</v>
      </c>
      <c r="O670" s="21">
        <v>483</v>
      </c>
      <c r="Q670" s="43">
        <v>3</v>
      </c>
      <c r="R670" s="43" t="s">
        <v>1867</v>
      </c>
      <c r="S670" s="43"/>
      <c r="T670" s="43">
        <v>36198</v>
      </c>
      <c r="U670" s="43" t="s">
        <v>1402</v>
      </c>
      <c r="V670" s="43" t="s">
        <v>1732</v>
      </c>
      <c r="W670" s="43" t="s">
        <v>1399</v>
      </c>
      <c r="X670" s="43" t="s">
        <v>1421</v>
      </c>
      <c r="Z670" s="322">
        <v>36</v>
      </c>
      <c r="AA670" s="322">
        <v>46</v>
      </c>
      <c r="AB670" s="21" t="s">
        <v>140</v>
      </c>
      <c r="AF670" s="21" t="s">
        <v>1332</v>
      </c>
      <c r="AG670" s="21" t="s">
        <v>1537</v>
      </c>
      <c r="AH670" s="138" t="s">
        <v>578</v>
      </c>
      <c r="AI670" s="21" t="s">
        <v>1592</v>
      </c>
      <c r="AJ670" s="141" t="s">
        <v>1617</v>
      </c>
      <c r="AK670" s="21" t="s">
        <v>442</v>
      </c>
      <c r="AL670" s="21" t="s">
        <v>442</v>
      </c>
      <c r="AM670" s="21" t="s">
        <v>178</v>
      </c>
      <c r="AQ670" s="21" t="s">
        <v>369</v>
      </c>
      <c r="AR670" s="21" t="s">
        <v>443</v>
      </c>
      <c r="AS670" s="21" t="s">
        <v>503</v>
      </c>
      <c r="AT670" s="21" t="s">
        <v>120</v>
      </c>
      <c r="AU670" s="21">
        <v>4</v>
      </c>
      <c r="AW670" s="21" t="s">
        <v>336</v>
      </c>
      <c r="BA670" s="54"/>
      <c r="BM670" s="396"/>
      <c r="BN670" s="396"/>
      <c r="BR670" s="396"/>
      <c r="BS670" s="396"/>
      <c r="EY670" s="21">
        <v>0.17630000000000001</v>
      </c>
      <c r="EZ670" s="21">
        <v>0.1983</v>
      </c>
      <c r="FC670" s="21" t="s">
        <v>445</v>
      </c>
      <c r="GM670" s="12"/>
      <c r="GQ670" s="12"/>
      <c r="IO670" s="21" t="s">
        <v>716</v>
      </c>
    </row>
    <row r="671" spans="1:249" s="21" customFormat="1" x14ac:dyDescent="0.25">
      <c r="A671" s="21">
        <v>30</v>
      </c>
      <c r="B671" s="21" t="s">
        <v>438</v>
      </c>
      <c r="C671" s="21" t="s">
        <v>439</v>
      </c>
      <c r="D671" s="21">
        <v>2002</v>
      </c>
      <c r="E671" s="21">
        <v>1999</v>
      </c>
      <c r="F671" s="21" t="s">
        <v>440</v>
      </c>
      <c r="G671" s="21" t="s">
        <v>441</v>
      </c>
      <c r="H671" s="32" t="s">
        <v>2831</v>
      </c>
      <c r="I671" s="21">
        <f t="shared" si="199"/>
        <v>38.533333333333331</v>
      </c>
      <c r="J671" s="21">
        <f t="shared" si="200"/>
        <v>-121.78333333333333</v>
      </c>
      <c r="K671" s="21">
        <v>18.399999999999999</v>
      </c>
      <c r="O671" s="21">
        <v>483</v>
      </c>
      <c r="Q671" s="43">
        <v>3</v>
      </c>
      <c r="R671" s="43" t="s">
        <v>1867</v>
      </c>
      <c r="S671" s="43"/>
      <c r="T671" s="43">
        <v>36198</v>
      </c>
      <c r="U671" s="43" t="s">
        <v>1402</v>
      </c>
      <c r="V671" s="43" t="s">
        <v>1732</v>
      </c>
      <c r="W671" s="43" t="s">
        <v>1399</v>
      </c>
      <c r="X671" s="43" t="s">
        <v>1421</v>
      </c>
      <c r="Z671" s="322">
        <v>36</v>
      </c>
      <c r="AA671" s="322">
        <v>46</v>
      </c>
      <c r="AB671" s="21" t="s">
        <v>140</v>
      </c>
      <c r="AF671" s="21" t="s">
        <v>1332</v>
      </c>
      <c r="AG671" s="21" t="s">
        <v>1537</v>
      </c>
      <c r="AH671" s="138" t="s">
        <v>578</v>
      </c>
      <c r="AI671" s="21" t="s">
        <v>1592</v>
      </c>
      <c r="AJ671" s="141" t="s">
        <v>1617</v>
      </c>
      <c r="AK671" s="21" t="s">
        <v>442</v>
      </c>
      <c r="AL671" s="21" t="s">
        <v>442</v>
      </c>
      <c r="AM671" s="21" t="s">
        <v>178</v>
      </c>
      <c r="AQ671" s="21" t="s">
        <v>369</v>
      </c>
      <c r="AR671" s="21" t="s">
        <v>444</v>
      </c>
      <c r="AS671" s="21" t="s">
        <v>503</v>
      </c>
      <c r="AT671" s="21" t="s">
        <v>120</v>
      </c>
      <c r="AU671" s="21">
        <v>4</v>
      </c>
      <c r="AW671" s="21" t="s">
        <v>336</v>
      </c>
      <c r="BA671" s="54"/>
      <c r="BM671" s="396"/>
      <c r="BN671" s="396"/>
      <c r="BR671" s="396"/>
      <c r="BS671" s="396"/>
      <c r="EY671" s="21">
        <v>0.17630000000000001</v>
      </c>
      <c r="EZ671" s="21">
        <v>0.14599999999999999</v>
      </c>
      <c r="FC671" s="21" t="s">
        <v>445</v>
      </c>
      <c r="GM671" s="12"/>
      <c r="GQ671" s="12"/>
      <c r="IO671" s="21" t="s">
        <v>716</v>
      </c>
    </row>
    <row r="672" spans="1:249" s="21" customFormat="1" x14ac:dyDescent="0.25">
      <c r="A672" s="21">
        <v>30</v>
      </c>
      <c r="B672" s="21" t="s">
        <v>438</v>
      </c>
      <c r="C672" s="21" t="s">
        <v>439</v>
      </c>
      <c r="D672" s="21">
        <v>2002</v>
      </c>
      <c r="E672" s="21">
        <v>1999</v>
      </c>
      <c r="F672" s="21" t="s">
        <v>440</v>
      </c>
      <c r="G672" s="21" t="s">
        <v>441</v>
      </c>
      <c r="H672" s="32" t="s">
        <v>2831</v>
      </c>
      <c r="I672" s="21">
        <f t="shared" si="199"/>
        <v>38.533333333333331</v>
      </c>
      <c r="J672" s="21">
        <f t="shared" si="200"/>
        <v>-121.78333333333333</v>
      </c>
      <c r="K672" s="21">
        <v>18.399999999999999</v>
      </c>
      <c r="O672" s="21">
        <v>483</v>
      </c>
      <c r="Q672" s="43">
        <v>3</v>
      </c>
      <c r="R672" s="43" t="s">
        <v>1867</v>
      </c>
      <c r="S672" s="43"/>
      <c r="T672" s="43">
        <v>36232</v>
      </c>
      <c r="U672" s="43" t="s">
        <v>1402</v>
      </c>
      <c r="V672" s="43" t="s">
        <v>1732</v>
      </c>
      <c r="W672" s="43" t="s">
        <v>1399</v>
      </c>
      <c r="X672" s="43" t="s">
        <v>1421</v>
      </c>
      <c r="Z672" s="322">
        <v>36</v>
      </c>
      <c r="AA672" s="322">
        <v>46</v>
      </c>
      <c r="AB672" s="21" t="s">
        <v>140</v>
      </c>
      <c r="AF672" s="21" t="s">
        <v>1332</v>
      </c>
      <c r="AG672" s="21" t="s">
        <v>1537</v>
      </c>
      <c r="AH672" s="138" t="s">
        <v>578</v>
      </c>
      <c r="AI672" s="21" t="s">
        <v>1592</v>
      </c>
      <c r="AJ672" s="141" t="s">
        <v>1617</v>
      </c>
      <c r="AK672" s="21" t="s">
        <v>442</v>
      </c>
      <c r="AL672" s="21" t="s">
        <v>442</v>
      </c>
      <c r="AM672" s="21" t="s">
        <v>178</v>
      </c>
      <c r="AQ672" s="21" t="s">
        <v>369</v>
      </c>
      <c r="AR672" s="21" t="s">
        <v>443</v>
      </c>
      <c r="AS672" s="21" t="s">
        <v>503</v>
      </c>
      <c r="AT672" s="21" t="s">
        <v>120</v>
      </c>
      <c r="AU672" s="21">
        <v>4</v>
      </c>
      <c r="AW672" s="21" t="s">
        <v>336</v>
      </c>
      <c r="BA672" s="54"/>
      <c r="BM672" s="396"/>
      <c r="BN672" s="396"/>
      <c r="BR672" s="396"/>
      <c r="BS672" s="396"/>
      <c r="EY672" s="21">
        <v>0.1699</v>
      </c>
      <c r="EZ672" s="21">
        <v>0.1837</v>
      </c>
      <c r="FC672" s="21" t="s">
        <v>445</v>
      </c>
      <c r="GM672" s="12"/>
      <c r="GQ672" s="12"/>
      <c r="IO672" s="21" t="s">
        <v>716</v>
      </c>
    </row>
    <row r="673" spans="1:249" s="21" customFormat="1" x14ac:dyDescent="0.25">
      <c r="A673" s="21">
        <v>30</v>
      </c>
      <c r="B673" s="21" t="s">
        <v>438</v>
      </c>
      <c r="C673" s="21" t="s">
        <v>439</v>
      </c>
      <c r="D673" s="21">
        <v>2002</v>
      </c>
      <c r="E673" s="21">
        <v>1999</v>
      </c>
      <c r="F673" s="21" t="s">
        <v>440</v>
      </c>
      <c r="G673" s="21" t="s">
        <v>441</v>
      </c>
      <c r="H673" s="32" t="s">
        <v>2831</v>
      </c>
      <c r="I673" s="21">
        <f t="shared" si="199"/>
        <v>38.533333333333331</v>
      </c>
      <c r="J673" s="21">
        <f t="shared" si="200"/>
        <v>-121.78333333333333</v>
      </c>
      <c r="K673" s="21">
        <v>18.399999999999999</v>
      </c>
      <c r="O673" s="21">
        <v>483</v>
      </c>
      <c r="Q673" s="43">
        <v>3</v>
      </c>
      <c r="R673" s="43" t="s">
        <v>1867</v>
      </c>
      <c r="S673" s="43"/>
      <c r="T673" s="43">
        <v>36232</v>
      </c>
      <c r="U673" s="43" t="s">
        <v>1402</v>
      </c>
      <c r="V673" s="43" t="s">
        <v>1732</v>
      </c>
      <c r="W673" s="43" t="s">
        <v>1399</v>
      </c>
      <c r="X673" s="43" t="s">
        <v>1421</v>
      </c>
      <c r="Z673" s="322">
        <v>36</v>
      </c>
      <c r="AA673" s="322">
        <v>46</v>
      </c>
      <c r="AB673" s="21" t="s">
        <v>140</v>
      </c>
      <c r="AF673" s="21" t="s">
        <v>1332</v>
      </c>
      <c r="AG673" s="21" t="s">
        <v>1537</v>
      </c>
      <c r="AH673" s="138" t="s">
        <v>578</v>
      </c>
      <c r="AI673" s="21" t="s">
        <v>1592</v>
      </c>
      <c r="AJ673" s="141" t="s">
        <v>1617</v>
      </c>
      <c r="AK673" s="21" t="s">
        <v>442</v>
      </c>
      <c r="AL673" s="21" t="s">
        <v>442</v>
      </c>
      <c r="AM673" s="21" t="s">
        <v>178</v>
      </c>
      <c r="AQ673" s="21" t="s">
        <v>369</v>
      </c>
      <c r="AR673" s="21" t="s">
        <v>444</v>
      </c>
      <c r="AS673" s="21" t="s">
        <v>503</v>
      </c>
      <c r="AT673" s="21" t="s">
        <v>120</v>
      </c>
      <c r="AU673" s="21">
        <v>4</v>
      </c>
      <c r="AW673" s="21" t="s">
        <v>336</v>
      </c>
      <c r="BA673" s="54"/>
      <c r="BM673" s="396"/>
      <c r="BN673" s="396"/>
      <c r="BR673" s="396"/>
      <c r="BS673" s="396"/>
      <c r="EY673" s="21">
        <v>0.1699</v>
      </c>
      <c r="EZ673" s="21">
        <v>0.1671</v>
      </c>
      <c r="FC673" s="21" t="s">
        <v>445</v>
      </c>
      <c r="GM673" s="12"/>
      <c r="GQ673" s="12"/>
      <c r="IO673" s="21" t="s">
        <v>716</v>
      </c>
    </row>
    <row r="674" spans="1:249" s="21" customFormat="1" x14ac:dyDescent="0.25">
      <c r="A674" s="21">
        <v>30</v>
      </c>
      <c r="B674" s="21" t="s">
        <v>438</v>
      </c>
      <c r="C674" s="21" t="s">
        <v>439</v>
      </c>
      <c r="D674" s="21">
        <v>2002</v>
      </c>
      <c r="E674" s="21">
        <v>1999</v>
      </c>
      <c r="F674" s="21" t="s">
        <v>440</v>
      </c>
      <c r="G674" s="21" t="s">
        <v>441</v>
      </c>
      <c r="H674" s="32" t="s">
        <v>2831</v>
      </c>
      <c r="I674" s="21">
        <f t="shared" si="199"/>
        <v>38.533333333333331</v>
      </c>
      <c r="J674" s="21">
        <f t="shared" si="200"/>
        <v>-121.78333333333333</v>
      </c>
      <c r="K674" s="21">
        <v>18.399999999999999</v>
      </c>
      <c r="O674" s="21">
        <v>483</v>
      </c>
      <c r="Q674" s="43">
        <v>3</v>
      </c>
      <c r="R674" s="43" t="s">
        <v>1867</v>
      </c>
      <c r="S674" s="43"/>
      <c r="T674" s="43">
        <v>36234</v>
      </c>
      <c r="U674" s="43" t="s">
        <v>1402</v>
      </c>
      <c r="V674" s="43" t="s">
        <v>1732</v>
      </c>
      <c r="W674" s="43" t="s">
        <v>1399</v>
      </c>
      <c r="X674" s="43" t="s">
        <v>1421</v>
      </c>
      <c r="Z674" s="322">
        <v>36</v>
      </c>
      <c r="AA674" s="322">
        <v>46</v>
      </c>
      <c r="AB674" s="21" t="s">
        <v>140</v>
      </c>
      <c r="AF674" s="21" t="s">
        <v>1332</v>
      </c>
      <c r="AG674" s="21" t="s">
        <v>1537</v>
      </c>
      <c r="AH674" s="138" t="s">
        <v>578</v>
      </c>
      <c r="AI674" s="21" t="s">
        <v>1592</v>
      </c>
      <c r="AJ674" s="141" t="s">
        <v>1617</v>
      </c>
      <c r="AK674" s="21" t="s">
        <v>442</v>
      </c>
      <c r="AL674" s="21" t="s">
        <v>442</v>
      </c>
      <c r="AM674" s="21" t="s">
        <v>178</v>
      </c>
      <c r="AQ674" s="21" t="s">
        <v>369</v>
      </c>
      <c r="AR674" s="21" t="s">
        <v>443</v>
      </c>
      <c r="AS674" s="21" t="s">
        <v>503</v>
      </c>
      <c r="AT674" s="21" t="s">
        <v>120</v>
      </c>
      <c r="AU674" s="21">
        <v>4</v>
      </c>
      <c r="AW674" s="21" t="s">
        <v>336</v>
      </c>
      <c r="BA674" s="54"/>
      <c r="BM674" s="396"/>
      <c r="BN674" s="396"/>
      <c r="BR674" s="396"/>
      <c r="BS674" s="396"/>
      <c r="EY674" s="21">
        <v>0.16350000000000001</v>
      </c>
      <c r="EZ674" s="21">
        <v>0.17910000000000001</v>
      </c>
      <c r="FC674" s="21" t="s">
        <v>445</v>
      </c>
      <c r="GM674" s="12"/>
      <c r="GQ674" s="12"/>
      <c r="IO674" s="21" t="s">
        <v>716</v>
      </c>
    </row>
    <row r="675" spans="1:249" s="21" customFormat="1" x14ac:dyDescent="0.25">
      <c r="A675" s="21">
        <v>30</v>
      </c>
      <c r="B675" s="21" t="s">
        <v>438</v>
      </c>
      <c r="C675" s="21" t="s">
        <v>439</v>
      </c>
      <c r="D675" s="21">
        <v>2002</v>
      </c>
      <c r="E675" s="21">
        <v>1999</v>
      </c>
      <c r="F675" s="21" t="s">
        <v>440</v>
      </c>
      <c r="G675" s="21" t="s">
        <v>441</v>
      </c>
      <c r="H675" s="32" t="s">
        <v>2831</v>
      </c>
      <c r="I675" s="21">
        <f t="shared" si="199"/>
        <v>38.533333333333331</v>
      </c>
      <c r="J675" s="21">
        <f t="shared" si="200"/>
        <v>-121.78333333333333</v>
      </c>
      <c r="K675" s="21">
        <v>18.399999999999999</v>
      </c>
      <c r="O675" s="21">
        <v>483</v>
      </c>
      <c r="Q675" s="43">
        <v>3</v>
      </c>
      <c r="R675" s="43" t="s">
        <v>1867</v>
      </c>
      <c r="S675" s="43"/>
      <c r="T675" s="43">
        <v>36234</v>
      </c>
      <c r="U675" s="43" t="s">
        <v>1402</v>
      </c>
      <c r="V675" s="43" t="s">
        <v>1732</v>
      </c>
      <c r="W675" s="43" t="s">
        <v>1399</v>
      </c>
      <c r="X675" s="43" t="s">
        <v>1421</v>
      </c>
      <c r="Z675" s="322">
        <v>36</v>
      </c>
      <c r="AA675" s="322">
        <v>46</v>
      </c>
      <c r="AB675" s="21" t="s">
        <v>140</v>
      </c>
      <c r="AF675" s="21" t="s">
        <v>1332</v>
      </c>
      <c r="AG675" s="21" t="s">
        <v>1537</v>
      </c>
      <c r="AH675" s="138" t="s">
        <v>578</v>
      </c>
      <c r="AI675" s="21" t="s">
        <v>1592</v>
      </c>
      <c r="AJ675" s="141" t="s">
        <v>1617</v>
      </c>
      <c r="AK675" s="21" t="s">
        <v>442</v>
      </c>
      <c r="AL675" s="21" t="s">
        <v>442</v>
      </c>
      <c r="AM675" s="21" t="s">
        <v>178</v>
      </c>
      <c r="AQ675" s="21" t="s">
        <v>369</v>
      </c>
      <c r="AR675" s="21" t="s">
        <v>444</v>
      </c>
      <c r="AS675" s="21" t="s">
        <v>503</v>
      </c>
      <c r="AT675" s="21" t="s">
        <v>120</v>
      </c>
      <c r="AU675" s="21">
        <v>4</v>
      </c>
      <c r="AW675" s="21" t="s">
        <v>336</v>
      </c>
      <c r="BA675" s="54"/>
      <c r="BM675" s="396"/>
      <c r="BN675" s="396"/>
      <c r="BR675" s="396"/>
      <c r="BS675" s="396"/>
      <c r="EY675" s="21">
        <v>0.16350000000000001</v>
      </c>
      <c r="EZ675" s="21">
        <v>0.16259999999999999</v>
      </c>
      <c r="FC675" s="21" t="s">
        <v>445</v>
      </c>
      <c r="GM675" s="12"/>
      <c r="GQ675" s="12"/>
      <c r="IO675" s="21" t="s">
        <v>716</v>
      </c>
    </row>
    <row r="676" spans="1:249" s="21" customFormat="1" x14ac:dyDescent="0.25">
      <c r="A676" s="21">
        <v>30</v>
      </c>
      <c r="B676" s="21" t="s">
        <v>438</v>
      </c>
      <c r="C676" s="21" t="s">
        <v>439</v>
      </c>
      <c r="D676" s="21">
        <v>2002</v>
      </c>
      <c r="E676" s="21">
        <v>1999</v>
      </c>
      <c r="F676" s="21" t="s">
        <v>440</v>
      </c>
      <c r="G676" s="21" t="s">
        <v>441</v>
      </c>
      <c r="H676" s="32" t="s">
        <v>2831</v>
      </c>
      <c r="I676" s="21">
        <f t="shared" si="199"/>
        <v>38.533333333333331</v>
      </c>
      <c r="J676" s="21">
        <f t="shared" si="200"/>
        <v>-121.78333333333333</v>
      </c>
      <c r="K676" s="21">
        <v>18.399999999999999</v>
      </c>
      <c r="O676" s="21">
        <v>483</v>
      </c>
      <c r="Q676" s="43">
        <v>3</v>
      </c>
      <c r="R676" s="43" t="s">
        <v>1867</v>
      </c>
      <c r="S676" s="43"/>
      <c r="T676" s="43">
        <v>36514</v>
      </c>
      <c r="U676" s="43" t="s">
        <v>1402</v>
      </c>
      <c r="V676" s="43" t="s">
        <v>1732</v>
      </c>
      <c r="W676" s="43" t="s">
        <v>1399</v>
      </c>
      <c r="X676" s="43" t="s">
        <v>1421</v>
      </c>
      <c r="Z676" s="322">
        <v>36</v>
      </c>
      <c r="AA676" s="322">
        <v>46</v>
      </c>
      <c r="AB676" s="21" t="s">
        <v>140</v>
      </c>
      <c r="AF676" s="21" t="s">
        <v>1332</v>
      </c>
      <c r="AG676" s="21" t="s">
        <v>1537</v>
      </c>
      <c r="AH676" s="138" t="s">
        <v>578</v>
      </c>
      <c r="AI676" s="21" t="s">
        <v>1592</v>
      </c>
      <c r="AJ676" s="141" t="s">
        <v>1617</v>
      </c>
      <c r="AK676" s="21" t="s">
        <v>442</v>
      </c>
      <c r="AL676" s="21" t="s">
        <v>442</v>
      </c>
      <c r="AM676" s="21" t="s">
        <v>178</v>
      </c>
      <c r="AQ676" s="21" t="s">
        <v>369</v>
      </c>
      <c r="AR676" s="21" t="s">
        <v>443</v>
      </c>
      <c r="AS676" s="21" t="s">
        <v>503</v>
      </c>
      <c r="AT676" s="21" t="s">
        <v>120</v>
      </c>
      <c r="AU676" s="21">
        <v>4</v>
      </c>
      <c r="AW676" s="21" t="s">
        <v>336</v>
      </c>
      <c r="BA676" s="54"/>
      <c r="BM676" s="396"/>
      <c r="BN676" s="396"/>
      <c r="BR676" s="396"/>
      <c r="BS676" s="396"/>
      <c r="EY676" s="21">
        <v>0.1416</v>
      </c>
      <c r="EZ676" s="21">
        <v>0.18099999999999999</v>
      </c>
      <c r="FC676" s="21" t="s">
        <v>445</v>
      </c>
      <c r="GM676" s="12"/>
      <c r="GQ676" s="12"/>
      <c r="IO676" s="21" t="s">
        <v>716</v>
      </c>
    </row>
    <row r="677" spans="1:249" s="21" customFormat="1" x14ac:dyDescent="0.25">
      <c r="A677" s="21">
        <v>30</v>
      </c>
      <c r="B677" s="21" t="s">
        <v>438</v>
      </c>
      <c r="C677" s="21" t="s">
        <v>439</v>
      </c>
      <c r="D677" s="21">
        <v>2002</v>
      </c>
      <c r="E677" s="21">
        <v>1999</v>
      </c>
      <c r="F677" s="21" t="s">
        <v>440</v>
      </c>
      <c r="G677" s="21" t="s">
        <v>441</v>
      </c>
      <c r="H677" s="32" t="s">
        <v>2831</v>
      </c>
      <c r="I677" s="21">
        <f t="shared" si="199"/>
        <v>38.533333333333331</v>
      </c>
      <c r="J677" s="21">
        <f t="shared" si="200"/>
        <v>-121.78333333333333</v>
      </c>
      <c r="K677" s="21">
        <v>18.399999999999999</v>
      </c>
      <c r="O677" s="21">
        <v>483</v>
      </c>
      <c r="Q677" s="43">
        <v>3</v>
      </c>
      <c r="R677" s="43" t="s">
        <v>1867</v>
      </c>
      <c r="S677" s="43"/>
      <c r="T677" s="43">
        <v>36514</v>
      </c>
      <c r="U677" s="43" t="s">
        <v>1402</v>
      </c>
      <c r="V677" s="43" t="s">
        <v>1732</v>
      </c>
      <c r="W677" s="43" t="s">
        <v>1399</v>
      </c>
      <c r="X677" s="43" t="s">
        <v>1421</v>
      </c>
      <c r="Z677" s="322">
        <v>36</v>
      </c>
      <c r="AA677" s="322">
        <v>46</v>
      </c>
      <c r="AB677" s="21" t="s">
        <v>140</v>
      </c>
      <c r="AF677" s="21" t="s">
        <v>1332</v>
      </c>
      <c r="AG677" s="21" t="s">
        <v>1537</v>
      </c>
      <c r="AH677" s="138" t="s">
        <v>578</v>
      </c>
      <c r="AI677" s="21" t="s">
        <v>1592</v>
      </c>
      <c r="AJ677" s="141" t="s">
        <v>1617</v>
      </c>
      <c r="AK677" s="21" t="s">
        <v>442</v>
      </c>
      <c r="AL677" s="21" t="s">
        <v>442</v>
      </c>
      <c r="AM677" s="21" t="s">
        <v>178</v>
      </c>
      <c r="AQ677" s="21" t="s">
        <v>369</v>
      </c>
      <c r="AR677" s="21" t="s">
        <v>444</v>
      </c>
      <c r="AS677" s="21" t="s">
        <v>503</v>
      </c>
      <c r="AT677" s="21" t="s">
        <v>120</v>
      </c>
      <c r="AU677" s="21">
        <v>4</v>
      </c>
      <c r="AW677" s="21" t="s">
        <v>336</v>
      </c>
      <c r="BA677" s="54"/>
      <c r="BM677" s="396"/>
      <c r="BN677" s="396"/>
      <c r="BR677" s="396"/>
      <c r="BS677" s="396"/>
      <c r="EY677" s="21">
        <v>0.1416</v>
      </c>
      <c r="EZ677" s="21">
        <v>0.17</v>
      </c>
      <c r="FC677" s="21" t="s">
        <v>445</v>
      </c>
      <c r="GM677" s="12"/>
      <c r="GQ677" s="12"/>
      <c r="IO677" s="21" t="s">
        <v>716</v>
      </c>
    </row>
    <row r="678" spans="1:249" s="21" customFormat="1" x14ac:dyDescent="0.25">
      <c r="A678" s="21">
        <v>30</v>
      </c>
      <c r="B678" s="21" t="s">
        <v>438</v>
      </c>
      <c r="C678" s="21" t="s">
        <v>439</v>
      </c>
      <c r="D678" s="21">
        <v>2002</v>
      </c>
      <c r="E678" s="21">
        <v>2000</v>
      </c>
      <c r="F678" s="21" t="s">
        <v>440</v>
      </c>
      <c r="G678" s="21" t="s">
        <v>441</v>
      </c>
      <c r="H678" s="32" t="s">
        <v>2831</v>
      </c>
      <c r="I678" s="21">
        <f t="shared" si="199"/>
        <v>38.533333333333331</v>
      </c>
      <c r="J678" s="21">
        <f t="shared" si="200"/>
        <v>-121.78333333333333</v>
      </c>
      <c r="K678" s="21">
        <v>18.399999999999999</v>
      </c>
      <c r="O678" s="21">
        <v>483</v>
      </c>
      <c r="Q678" s="43">
        <v>4</v>
      </c>
      <c r="R678" s="43" t="s">
        <v>1867</v>
      </c>
      <c r="S678" s="43"/>
      <c r="T678" s="43">
        <v>36535</v>
      </c>
      <c r="U678" s="43" t="s">
        <v>1402</v>
      </c>
      <c r="V678" s="43" t="s">
        <v>1732</v>
      </c>
      <c r="W678" s="43" t="s">
        <v>1399</v>
      </c>
      <c r="X678" s="43" t="s">
        <v>1421</v>
      </c>
      <c r="Z678" s="322">
        <v>36</v>
      </c>
      <c r="AA678" s="322">
        <v>46</v>
      </c>
      <c r="AB678" s="21" t="s">
        <v>140</v>
      </c>
      <c r="AF678" s="21" t="s">
        <v>1332</v>
      </c>
      <c r="AG678" s="21" t="s">
        <v>1537</v>
      </c>
      <c r="AH678" s="138" t="s">
        <v>578</v>
      </c>
      <c r="AI678" s="21" t="s">
        <v>1592</v>
      </c>
      <c r="AJ678" s="141" t="s">
        <v>1617</v>
      </c>
      <c r="AK678" s="21" t="s">
        <v>442</v>
      </c>
      <c r="AL678" s="21" t="s">
        <v>442</v>
      </c>
      <c r="AM678" s="21" t="s">
        <v>178</v>
      </c>
      <c r="AQ678" s="21" t="s">
        <v>369</v>
      </c>
      <c r="AR678" s="21" t="s">
        <v>443</v>
      </c>
      <c r="AS678" s="21" t="s">
        <v>503</v>
      </c>
      <c r="AT678" s="21" t="s">
        <v>120</v>
      </c>
      <c r="AU678" s="21">
        <v>4</v>
      </c>
      <c r="AW678" s="21" t="s">
        <v>336</v>
      </c>
      <c r="BA678" s="54"/>
      <c r="BM678" s="396"/>
      <c r="BN678" s="396"/>
      <c r="BR678" s="396"/>
      <c r="BS678" s="396"/>
      <c r="EY678" s="21">
        <v>0.14069999999999999</v>
      </c>
      <c r="EZ678" s="21">
        <v>0.1865</v>
      </c>
      <c r="FC678" s="21" t="s">
        <v>445</v>
      </c>
      <c r="GM678" s="12"/>
      <c r="GQ678" s="12"/>
      <c r="IO678" s="21" t="s">
        <v>716</v>
      </c>
    </row>
    <row r="679" spans="1:249" s="21" customFormat="1" x14ac:dyDescent="0.25">
      <c r="A679" s="21">
        <v>30</v>
      </c>
      <c r="B679" s="21" t="s">
        <v>438</v>
      </c>
      <c r="C679" s="21" t="s">
        <v>439</v>
      </c>
      <c r="D679" s="21">
        <v>2002</v>
      </c>
      <c r="E679" s="21">
        <v>2000</v>
      </c>
      <c r="F679" s="21" t="s">
        <v>440</v>
      </c>
      <c r="G679" s="21" t="s">
        <v>441</v>
      </c>
      <c r="H679" s="32" t="s">
        <v>2831</v>
      </c>
      <c r="I679" s="21">
        <f t="shared" si="199"/>
        <v>38.533333333333331</v>
      </c>
      <c r="J679" s="21">
        <f t="shared" si="200"/>
        <v>-121.78333333333333</v>
      </c>
      <c r="K679" s="21">
        <v>18.399999999999999</v>
      </c>
      <c r="O679" s="21">
        <v>483</v>
      </c>
      <c r="Q679" s="43">
        <v>4</v>
      </c>
      <c r="R679" s="43" t="s">
        <v>1867</v>
      </c>
      <c r="S679" s="43"/>
      <c r="T679" s="43">
        <v>36535</v>
      </c>
      <c r="U679" s="43" t="s">
        <v>1402</v>
      </c>
      <c r="V679" s="43" t="s">
        <v>1732</v>
      </c>
      <c r="W679" s="43" t="s">
        <v>1399</v>
      </c>
      <c r="X679" s="43" t="s">
        <v>1421</v>
      </c>
      <c r="Z679" s="322">
        <v>36</v>
      </c>
      <c r="AA679" s="322">
        <v>46</v>
      </c>
      <c r="AB679" s="21" t="s">
        <v>140</v>
      </c>
      <c r="AF679" s="21" t="s">
        <v>1332</v>
      </c>
      <c r="AG679" s="21" t="s">
        <v>1537</v>
      </c>
      <c r="AH679" s="138" t="s">
        <v>578</v>
      </c>
      <c r="AI679" s="21" t="s">
        <v>1592</v>
      </c>
      <c r="AJ679" s="141" t="s">
        <v>1617</v>
      </c>
      <c r="AK679" s="21" t="s">
        <v>442</v>
      </c>
      <c r="AL679" s="21" t="s">
        <v>442</v>
      </c>
      <c r="AM679" s="21" t="s">
        <v>178</v>
      </c>
      <c r="AQ679" s="21" t="s">
        <v>369</v>
      </c>
      <c r="AR679" s="21" t="s">
        <v>444</v>
      </c>
      <c r="AS679" s="21" t="s">
        <v>503</v>
      </c>
      <c r="AT679" s="21" t="s">
        <v>120</v>
      </c>
      <c r="AU679" s="21">
        <v>4</v>
      </c>
      <c r="AW679" s="21" t="s">
        <v>336</v>
      </c>
      <c r="BA679" s="54"/>
      <c r="BM679" s="396"/>
      <c r="BN679" s="396"/>
      <c r="BR679" s="396"/>
      <c r="BS679" s="396"/>
      <c r="EY679" s="21">
        <v>0.14069999999999999</v>
      </c>
      <c r="EZ679" s="21">
        <v>0.17280000000000001</v>
      </c>
      <c r="FC679" s="21" t="s">
        <v>445</v>
      </c>
      <c r="GM679" s="12"/>
      <c r="GQ679" s="12"/>
      <c r="IO679" s="21" t="s">
        <v>716</v>
      </c>
    </row>
    <row r="680" spans="1:249" s="21" customFormat="1" x14ac:dyDescent="0.25">
      <c r="A680" s="21">
        <v>30</v>
      </c>
      <c r="B680" s="21" t="s">
        <v>438</v>
      </c>
      <c r="C680" s="21" t="s">
        <v>439</v>
      </c>
      <c r="D680" s="21">
        <v>2002</v>
      </c>
      <c r="E680" s="21">
        <v>2000</v>
      </c>
      <c r="F680" s="21" t="s">
        <v>440</v>
      </c>
      <c r="G680" s="21" t="s">
        <v>441</v>
      </c>
      <c r="H680" s="32" t="s">
        <v>2831</v>
      </c>
      <c r="I680" s="21">
        <f t="shared" si="199"/>
        <v>38.533333333333331</v>
      </c>
      <c r="J680" s="21">
        <f t="shared" si="200"/>
        <v>-121.78333333333333</v>
      </c>
      <c r="K680" s="21">
        <v>18.399999999999999</v>
      </c>
      <c r="O680" s="21">
        <v>483</v>
      </c>
      <c r="Q680" s="43">
        <v>4</v>
      </c>
      <c r="R680" s="43" t="s">
        <v>1867</v>
      </c>
      <c r="S680" s="43"/>
      <c r="T680" s="43">
        <v>36541</v>
      </c>
      <c r="U680" s="43" t="s">
        <v>1402</v>
      </c>
      <c r="V680" s="43" t="s">
        <v>1732</v>
      </c>
      <c r="W680" s="43" t="s">
        <v>1399</v>
      </c>
      <c r="X680" s="43" t="s">
        <v>1421</v>
      </c>
      <c r="Z680" s="322">
        <v>36</v>
      </c>
      <c r="AA680" s="322">
        <v>46</v>
      </c>
      <c r="AB680" s="21" t="s">
        <v>140</v>
      </c>
      <c r="AF680" s="21" t="s">
        <v>1332</v>
      </c>
      <c r="AG680" s="21" t="s">
        <v>1537</v>
      </c>
      <c r="AH680" s="138" t="s">
        <v>578</v>
      </c>
      <c r="AI680" s="21" t="s">
        <v>1592</v>
      </c>
      <c r="AJ680" s="141" t="s">
        <v>1617</v>
      </c>
      <c r="AK680" s="21" t="s">
        <v>442</v>
      </c>
      <c r="AL680" s="21" t="s">
        <v>442</v>
      </c>
      <c r="AM680" s="21" t="s">
        <v>178</v>
      </c>
      <c r="AQ680" s="21" t="s">
        <v>369</v>
      </c>
      <c r="AR680" s="21" t="s">
        <v>443</v>
      </c>
      <c r="AS680" s="21" t="s">
        <v>503</v>
      </c>
      <c r="AT680" s="21" t="s">
        <v>120</v>
      </c>
      <c r="AU680" s="21">
        <v>4</v>
      </c>
      <c r="AW680" s="21" t="s">
        <v>336</v>
      </c>
      <c r="BA680" s="54"/>
      <c r="BM680" s="396"/>
      <c r="BN680" s="396"/>
      <c r="BR680" s="396"/>
      <c r="BS680" s="396"/>
      <c r="EY680" s="21">
        <v>0.1416</v>
      </c>
      <c r="EZ680" s="21">
        <v>0.1875</v>
      </c>
      <c r="FC680" s="21" t="s">
        <v>445</v>
      </c>
      <c r="GM680" s="12"/>
      <c r="GQ680" s="12"/>
      <c r="IO680" s="21" t="s">
        <v>716</v>
      </c>
    </row>
    <row r="681" spans="1:249" s="21" customFormat="1" x14ac:dyDescent="0.25">
      <c r="A681" s="21">
        <v>30</v>
      </c>
      <c r="B681" s="21" t="s">
        <v>438</v>
      </c>
      <c r="C681" s="21" t="s">
        <v>439</v>
      </c>
      <c r="D681" s="21">
        <v>2002</v>
      </c>
      <c r="E681" s="21">
        <v>2000</v>
      </c>
      <c r="F681" s="21" t="s">
        <v>440</v>
      </c>
      <c r="G681" s="21" t="s">
        <v>441</v>
      </c>
      <c r="H681" s="32" t="s">
        <v>2831</v>
      </c>
      <c r="I681" s="21">
        <f t="shared" si="199"/>
        <v>38.533333333333331</v>
      </c>
      <c r="J681" s="21">
        <f t="shared" si="200"/>
        <v>-121.78333333333333</v>
      </c>
      <c r="K681" s="21">
        <v>18.399999999999999</v>
      </c>
      <c r="O681" s="21">
        <v>483</v>
      </c>
      <c r="Q681" s="43">
        <v>4</v>
      </c>
      <c r="R681" s="43" t="s">
        <v>1867</v>
      </c>
      <c r="S681" s="43"/>
      <c r="T681" s="43">
        <v>36541</v>
      </c>
      <c r="U681" s="43" t="s">
        <v>1402</v>
      </c>
      <c r="V681" s="43" t="s">
        <v>1732</v>
      </c>
      <c r="W681" s="43" t="s">
        <v>1399</v>
      </c>
      <c r="X681" s="43" t="s">
        <v>1421</v>
      </c>
      <c r="Z681" s="322">
        <v>36</v>
      </c>
      <c r="AA681" s="322">
        <v>46</v>
      </c>
      <c r="AB681" s="21" t="s">
        <v>140</v>
      </c>
      <c r="AF681" s="21" t="s">
        <v>1332</v>
      </c>
      <c r="AG681" s="21" t="s">
        <v>1537</v>
      </c>
      <c r="AH681" s="138" t="s">
        <v>578</v>
      </c>
      <c r="AI681" s="21" t="s">
        <v>1592</v>
      </c>
      <c r="AJ681" s="141" t="s">
        <v>1617</v>
      </c>
      <c r="AK681" s="21" t="s">
        <v>442</v>
      </c>
      <c r="AL681" s="21" t="s">
        <v>442</v>
      </c>
      <c r="AM681" s="21" t="s">
        <v>178</v>
      </c>
      <c r="AQ681" s="21" t="s">
        <v>369</v>
      </c>
      <c r="AR681" s="21" t="s">
        <v>444</v>
      </c>
      <c r="AS681" s="21" t="s">
        <v>503</v>
      </c>
      <c r="AT681" s="21" t="s">
        <v>120</v>
      </c>
      <c r="AU681" s="21">
        <v>4</v>
      </c>
      <c r="AW681" s="21" t="s">
        <v>336</v>
      </c>
      <c r="BA681" s="54"/>
      <c r="BM681" s="396"/>
      <c r="BN681" s="396"/>
      <c r="BR681" s="396"/>
      <c r="BS681" s="396"/>
      <c r="EY681" s="21">
        <v>0.1416</v>
      </c>
      <c r="EZ681" s="21">
        <v>0.17280000000000001</v>
      </c>
      <c r="FC681" s="21" t="s">
        <v>445</v>
      </c>
      <c r="GM681" s="12"/>
      <c r="GQ681" s="12"/>
      <c r="IO681" s="21" t="s">
        <v>716</v>
      </c>
    </row>
    <row r="682" spans="1:249" s="21" customFormat="1" x14ac:dyDescent="0.25">
      <c r="A682" s="21">
        <v>30</v>
      </c>
      <c r="B682" s="21" t="s">
        <v>438</v>
      </c>
      <c r="C682" s="21" t="s">
        <v>439</v>
      </c>
      <c r="D682" s="21">
        <v>2002</v>
      </c>
      <c r="E682" s="21">
        <v>2000</v>
      </c>
      <c r="F682" s="21" t="s">
        <v>440</v>
      </c>
      <c r="G682" s="21" t="s">
        <v>441</v>
      </c>
      <c r="H682" s="32" t="s">
        <v>2831</v>
      </c>
      <c r="I682" s="21">
        <f t="shared" si="199"/>
        <v>38.533333333333331</v>
      </c>
      <c r="J682" s="21">
        <f t="shared" si="200"/>
        <v>-121.78333333333333</v>
      </c>
      <c r="K682" s="21">
        <v>18.399999999999999</v>
      </c>
      <c r="O682" s="21">
        <v>483</v>
      </c>
      <c r="Q682" s="43">
        <v>4</v>
      </c>
      <c r="R682" s="43" t="s">
        <v>1867</v>
      </c>
      <c r="S682" s="43"/>
      <c r="T682" s="43">
        <v>36549</v>
      </c>
      <c r="U682" s="43" t="s">
        <v>1402</v>
      </c>
      <c r="V682" s="43" t="s">
        <v>1732</v>
      </c>
      <c r="W682" s="43" t="s">
        <v>1399</v>
      </c>
      <c r="X682" s="43" t="s">
        <v>1421</v>
      </c>
      <c r="Z682" s="322">
        <v>36</v>
      </c>
      <c r="AA682" s="322">
        <v>46</v>
      </c>
      <c r="AB682" s="21" t="s">
        <v>140</v>
      </c>
      <c r="AF682" s="21" t="s">
        <v>1332</v>
      </c>
      <c r="AG682" s="21" t="s">
        <v>1537</v>
      </c>
      <c r="AH682" s="138" t="s">
        <v>578</v>
      </c>
      <c r="AI682" s="21" t="s">
        <v>1592</v>
      </c>
      <c r="AJ682" s="141" t="s">
        <v>1617</v>
      </c>
      <c r="AK682" s="21" t="s">
        <v>442</v>
      </c>
      <c r="AL682" s="21" t="s">
        <v>442</v>
      </c>
      <c r="AM682" s="21" t="s">
        <v>178</v>
      </c>
      <c r="AQ682" s="21" t="s">
        <v>369</v>
      </c>
      <c r="AR682" s="21" t="s">
        <v>443</v>
      </c>
      <c r="AS682" s="21" t="s">
        <v>503</v>
      </c>
      <c r="AT682" s="21" t="s">
        <v>120</v>
      </c>
      <c r="AU682" s="21">
        <v>4</v>
      </c>
      <c r="AW682" s="21" t="s">
        <v>336</v>
      </c>
      <c r="BA682" s="54"/>
      <c r="BM682" s="396"/>
      <c r="BN682" s="396"/>
      <c r="BR682" s="396"/>
      <c r="BS682" s="396"/>
      <c r="EY682" s="21">
        <v>0.1389</v>
      </c>
      <c r="EZ682" s="21">
        <v>0.1875</v>
      </c>
      <c r="FC682" s="21" t="s">
        <v>445</v>
      </c>
      <c r="GM682" s="12"/>
      <c r="GQ682" s="12"/>
      <c r="IO682" s="21" t="s">
        <v>716</v>
      </c>
    </row>
    <row r="683" spans="1:249" s="21" customFormat="1" x14ac:dyDescent="0.25">
      <c r="A683" s="21">
        <v>30</v>
      </c>
      <c r="B683" s="21" t="s">
        <v>438</v>
      </c>
      <c r="C683" s="21" t="s">
        <v>439</v>
      </c>
      <c r="D683" s="21">
        <v>2002</v>
      </c>
      <c r="E683" s="21">
        <v>2000</v>
      </c>
      <c r="F683" s="21" t="s">
        <v>440</v>
      </c>
      <c r="G683" s="21" t="s">
        <v>441</v>
      </c>
      <c r="H683" s="32" t="s">
        <v>2831</v>
      </c>
      <c r="I683" s="21">
        <f t="shared" si="199"/>
        <v>38.533333333333331</v>
      </c>
      <c r="J683" s="21">
        <f t="shared" si="200"/>
        <v>-121.78333333333333</v>
      </c>
      <c r="K683" s="21">
        <v>18.399999999999999</v>
      </c>
      <c r="O683" s="21">
        <v>483</v>
      </c>
      <c r="Q683" s="43">
        <v>4</v>
      </c>
      <c r="R683" s="43" t="s">
        <v>1867</v>
      </c>
      <c r="S683" s="43"/>
      <c r="T683" s="43">
        <v>36549</v>
      </c>
      <c r="U683" s="43" t="s">
        <v>1402</v>
      </c>
      <c r="V683" s="43" t="s">
        <v>1732</v>
      </c>
      <c r="W683" s="43" t="s">
        <v>1399</v>
      </c>
      <c r="X683" s="43" t="s">
        <v>1421</v>
      </c>
      <c r="Z683" s="322">
        <v>36</v>
      </c>
      <c r="AA683" s="322">
        <v>46</v>
      </c>
      <c r="AB683" s="21" t="s">
        <v>140</v>
      </c>
      <c r="AF683" s="21" t="s">
        <v>1332</v>
      </c>
      <c r="AG683" s="21" t="s">
        <v>1537</v>
      </c>
      <c r="AH683" s="138" t="s">
        <v>578</v>
      </c>
      <c r="AI683" s="21" t="s">
        <v>1592</v>
      </c>
      <c r="AJ683" s="141" t="s">
        <v>1617</v>
      </c>
      <c r="AK683" s="21" t="s">
        <v>442</v>
      </c>
      <c r="AL683" s="21" t="s">
        <v>442</v>
      </c>
      <c r="AM683" s="21" t="s">
        <v>178</v>
      </c>
      <c r="AQ683" s="21" t="s">
        <v>369</v>
      </c>
      <c r="AR683" s="21" t="s">
        <v>444</v>
      </c>
      <c r="AS683" s="21" t="s">
        <v>503</v>
      </c>
      <c r="AT683" s="21" t="s">
        <v>120</v>
      </c>
      <c r="AU683" s="21">
        <v>4</v>
      </c>
      <c r="AW683" s="21" t="s">
        <v>336</v>
      </c>
      <c r="BA683" s="54"/>
      <c r="BM683" s="396"/>
      <c r="BN683" s="396"/>
      <c r="BR683" s="396"/>
      <c r="BS683" s="396"/>
      <c r="EY683" s="21">
        <v>0.1389</v>
      </c>
      <c r="EZ683" s="21">
        <v>0.17469999999999999</v>
      </c>
      <c r="FC683" s="21" t="s">
        <v>445</v>
      </c>
      <c r="GM683" s="12"/>
      <c r="GQ683" s="12"/>
      <c r="IO683" s="21" t="s">
        <v>716</v>
      </c>
    </row>
    <row r="684" spans="1:249" s="21" customFormat="1" x14ac:dyDescent="0.25">
      <c r="A684" s="21">
        <v>30</v>
      </c>
      <c r="B684" s="21" t="s">
        <v>438</v>
      </c>
      <c r="C684" s="21" t="s">
        <v>439</v>
      </c>
      <c r="D684" s="21">
        <v>2002</v>
      </c>
      <c r="E684" s="21">
        <v>2000</v>
      </c>
      <c r="F684" s="21" t="s">
        <v>440</v>
      </c>
      <c r="G684" s="21" t="s">
        <v>441</v>
      </c>
      <c r="H684" s="32" t="s">
        <v>2831</v>
      </c>
      <c r="I684" s="21">
        <f t="shared" si="199"/>
        <v>38.533333333333331</v>
      </c>
      <c r="J684" s="21">
        <f t="shared" si="200"/>
        <v>-121.78333333333333</v>
      </c>
      <c r="K684" s="21">
        <v>18.399999999999999</v>
      </c>
      <c r="O684" s="21">
        <v>483</v>
      </c>
      <c r="Q684" s="43">
        <v>4</v>
      </c>
      <c r="R684" s="43" t="s">
        <v>1867</v>
      </c>
      <c r="S684" s="43"/>
      <c r="T684" s="43">
        <v>36562</v>
      </c>
      <c r="U684" s="43" t="s">
        <v>1402</v>
      </c>
      <c r="V684" s="43" t="s">
        <v>1732</v>
      </c>
      <c r="W684" s="43" t="s">
        <v>1399</v>
      </c>
      <c r="X684" s="43" t="s">
        <v>1421</v>
      </c>
      <c r="Z684" s="322">
        <v>36</v>
      </c>
      <c r="AA684" s="322">
        <v>46</v>
      </c>
      <c r="AB684" s="21" t="s">
        <v>140</v>
      </c>
      <c r="AF684" s="21" t="s">
        <v>1332</v>
      </c>
      <c r="AG684" s="21" t="s">
        <v>1537</v>
      </c>
      <c r="AH684" s="138" t="s">
        <v>578</v>
      </c>
      <c r="AI684" s="21" t="s">
        <v>1592</v>
      </c>
      <c r="AJ684" s="141" t="s">
        <v>1617</v>
      </c>
      <c r="AK684" s="21" t="s">
        <v>442</v>
      </c>
      <c r="AL684" s="21" t="s">
        <v>442</v>
      </c>
      <c r="AM684" s="21" t="s">
        <v>178</v>
      </c>
      <c r="AQ684" s="21" t="s">
        <v>369</v>
      </c>
      <c r="AR684" s="21" t="s">
        <v>443</v>
      </c>
      <c r="AS684" s="21" t="s">
        <v>503</v>
      </c>
      <c r="AT684" s="21" t="s">
        <v>120</v>
      </c>
      <c r="AU684" s="21">
        <v>4</v>
      </c>
      <c r="AW684" s="21" t="s">
        <v>336</v>
      </c>
      <c r="BA684" s="54"/>
      <c r="BM684" s="396"/>
      <c r="BN684" s="396"/>
      <c r="BR684" s="396"/>
      <c r="BS684" s="396"/>
      <c r="EY684" s="21">
        <v>0.14530000000000001</v>
      </c>
      <c r="EZ684" s="21">
        <v>0.18940000000000001</v>
      </c>
      <c r="FC684" s="21" t="s">
        <v>445</v>
      </c>
      <c r="GM684" s="12"/>
      <c r="GQ684" s="12"/>
      <c r="IO684" s="21" t="s">
        <v>716</v>
      </c>
    </row>
    <row r="685" spans="1:249" s="21" customFormat="1" x14ac:dyDescent="0.25">
      <c r="A685" s="21">
        <v>30</v>
      </c>
      <c r="B685" s="21" t="s">
        <v>438</v>
      </c>
      <c r="C685" s="21" t="s">
        <v>439</v>
      </c>
      <c r="D685" s="21">
        <v>2002</v>
      </c>
      <c r="E685" s="21">
        <v>2000</v>
      </c>
      <c r="F685" s="21" t="s">
        <v>440</v>
      </c>
      <c r="G685" s="21" t="s">
        <v>441</v>
      </c>
      <c r="H685" s="32" t="s">
        <v>2831</v>
      </c>
      <c r="I685" s="21">
        <f t="shared" si="199"/>
        <v>38.533333333333331</v>
      </c>
      <c r="J685" s="21">
        <f t="shared" si="200"/>
        <v>-121.78333333333333</v>
      </c>
      <c r="K685" s="21">
        <v>18.399999999999999</v>
      </c>
      <c r="O685" s="21">
        <v>483</v>
      </c>
      <c r="Q685" s="43">
        <v>4</v>
      </c>
      <c r="R685" s="43" t="s">
        <v>1867</v>
      </c>
      <c r="S685" s="43"/>
      <c r="T685" s="43">
        <v>36562</v>
      </c>
      <c r="U685" s="43" t="s">
        <v>1402</v>
      </c>
      <c r="V685" s="43" t="s">
        <v>1732</v>
      </c>
      <c r="W685" s="43" t="s">
        <v>1399</v>
      </c>
      <c r="X685" s="43" t="s">
        <v>1421</v>
      </c>
      <c r="Z685" s="322">
        <v>36</v>
      </c>
      <c r="AA685" s="322">
        <v>46</v>
      </c>
      <c r="AB685" s="21" t="s">
        <v>140</v>
      </c>
      <c r="AF685" s="21" t="s">
        <v>1332</v>
      </c>
      <c r="AG685" s="21" t="s">
        <v>1537</v>
      </c>
      <c r="AH685" s="138" t="s">
        <v>578</v>
      </c>
      <c r="AI685" s="21" t="s">
        <v>1592</v>
      </c>
      <c r="AJ685" s="141" t="s">
        <v>1617</v>
      </c>
      <c r="AK685" s="21" t="s">
        <v>442</v>
      </c>
      <c r="AL685" s="21" t="s">
        <v>442</v>
      </c>
      <c r="AM685" s="21" t="s">
        <v>178</v>
      </c>
      <c r="AQ685" s="21" t="s">
        <v>369</v>
      </c>
      <c r="AR685" s="21" t="s">
        <v>444</v>
      </c>
      <c r="AS685" s="21" t="s">
        <v>503</v>
      </c>
      <c r="AT685" s="21" t="s">
        <v>120</v>
      </c>
      <c r="AU685" s="21">
        <v>4</v>
      </c>
      <c r="AW685" s="21" t="s">
        <v>336</v>
      </c>
      <c r="BA685" s="54"/>
      <c r="BM685" s="396"/>
      <c r="BN685" s="396"/>
      <c r="BR685" s="396"/>
      <c r="BS685" s="396"/>
      <c r="EY685" s="21">
        <v>0.14530000000000001</v>
      </c>
      <c r="EZ685" s="21">
        <v>0.1774</v>
      </c>
      <c r="FC685" s="21" t="s">
        <v>445</v>
      </c>
      <c r="GM685" s="12"/>
      <c r="GQ685" s="12"/>
      <c r="IO685" s="21" t="s">
        <v>716</v>
      </c>
    </row>
    <row r="686" spans="1:249" s="21" customFormat="1" x14ac:dyDescent="0.25">
      <c r="A686" s="21">
        <v>30</v>
      </c>
      <c r="B686" s="21" t="s">
        <v>438</v>
      </c>
      <c r="C686" s="21" t="s">
        <v>439</v>
      </c>
      <c r="D686" s="21">
        <v>2002</v>
      </c>
      <c r="E686" s="21">
        <v>2000</v>
      </c>
      <c r="F686" s="21" t="s">
        <v>440</v>
      </c>
      <c r="G686" s="21" t="s">
        <v>441</v>
      </c>
      <c r="H686" s="32" t="s">
        <v>2831</v>
      </c>
      <c r="I686" s="21">
        <f t="shared" si="199"/>
        <v>38.533333333333331</v>
      </c>
      <c r="J686" s="21">
        <f t="shared" si="200"/>
        <v>-121.78333333333333</v>
      </c>
      <c r="K686" s="21">
        <v>18.399999999999999</v>
      </c>
      <c r="O686" s="21">
        <v>483</v>
      </c>
      <c r="Q686" s="43">
        <v>4</v>
      </c>
      <c r="R686" s="43" t="s">
        <v>1867</v>
      </c>
      <c r="S686" s="43"/>
      <c r="T686" s="43">
        <v>36566</v>
      </c>
      <c r="U686" s="43" t="s">
        <v>1402</v>
      </c>
      <c r="V686" s="43" t="s">
        <v>1732</v>
      </c>
      <c r="W686" s="43" t="s">
        <v>1399</v>
      </c>
      <c r="X686" s="43" t="s">
        <v>1421</v>
      </c>
      <c r="Z686" s="322">
        <v>36</v>
      </c>
      <c r="AA686" s="322">
        <v>46</v>
      </c>
      <c r="AB686" s="21" t="s">
        <v>140</v>
      </c>
      <c r="AF686" s="21" t="s">
        <v>1332</v>
      </c>
      <c r="AG686" s="21" t="s">
        <v>1537</v>
      </c>
      <c r="AH686" s="138" t="s">
        <v>578</v>
      </c>
      <c r="AI686" s="21" t="s">
        <v>1592</v>
      </c>
      <c r="AJ686" s="141" t="s">
        <v>1617</v>
      </c>
      <c r="AK686" s="21" t="s">
        <v>442</v>
      </c>
      <c r="AL686" s="21" t="s">
        <v>442</v>
      </c>
      <c r="AM686" s="21" t="s">
        <v>178</v>
      </c>
      <c r="AQ686" s="21" t="s">
        <v>369</v>
      </c>
      <c r="AR686" s="21" t="s">
        <v>443</v>
      </c>
      <c r="AS686" s="21" t="s">
        <v>503</v>
      </c>
      <c r="AT686" s="21" t="s">
        <v>120</v>
      </c>
      <c r="AU686" s="21">
        <v>4</v>
      </c>
      <c r="AW686" s="21" t="s">
        <v>336</v>
      </c>
      <c r="BA686" s="54"/>
      <c r="BM686" s="396"/>
      <c r="BN686" s="396"/>
      <c r="BR686" s="396"/>
      <c r="BS686" s="396"/>
      <c r="EY686" s="21">
        <v>0.14630000000000001</v>
      </c>
      <c r="EZ686" s="21">
        <v>0.19489999999999999</v>
      </c>
      <c r="FC686" s="21" t="s">
        <v>445</v>
      </c>
      <c r="GM686" s="12"/>
      <c r="GQ686" s="12"/>
      <c r="IO686" s="21" t="s">
        <v>716</v>
      </c>
    </row>
    <row r="687" spans="1:249" s="21" customFormat="1" x14ac:dyDescent="0.25">
      <c r="A687" s="21">
        <v>30</v>
      </c>
      <c r="B687" s="21" t="s">
        <v>438</v>
      </c>
      <c r="C687" s="21" t="s">
        <v>439</v>
      </c>
      <c r="D687" s="21">
        <v>2002</v>
      </c>
      <c r="E687" s="21">
        <v>2000</v>
      </c>
      <c r="F687" s="21" t="s">
        <v>440</v>
      </c>
      <c r="G687" s="21" t="s">
        <v>441</v>
      </c>
      <c r="H687" s="32" t="s">
        <v>2831</v>
      </c>
      <c r="I687" s="21">
        <f t="shared" si="199"/>
        <v>38.533333333333331</v>
      </c>
      <c r="J687" s="21">
        <f t="shared" si="200"/>
        <v>-121.78333333333333</v>
      </c>
      <c r="K687" s="21">
        <v>18.399999999999999</v>
      </c>
      <c r="O687" s="21">
        <v>483</v>
      </c>
      <c r="Q687" s="43">
        <v>4</v>
      </c>
      <c r="R687" s="43" t="s">
        <v>1867</v>
      </c>
      <c r="S687" s="43"/>
      <c r="T687" s="43">
        <v>36566</v>
      </c>
      <c r="U687" s="43" t="s">
        <v>1402</v>
      </c>
      <c r="V687" s="43" t="s">
        <v>1732</v>
      </c>
      <c r="W687" s="43" t="s">
        <v>1399</v>
      </c>
      <c r="X687" s="43" t="s">
        <v>1421</v>
      </c>
      <c r="Z687" s="322">
        <v>36</v>
      </c>
      <c r="AA687" s="322">
        <v>46</v>
      </c>
      <c r="AB687" s="21" t="s">
        <v>140</v>
      </c>
      <c r="AF687" s="21" t="s">
        <v>1332</v>
      </c>
      <c r="AG687" s="21" t="s">
        <v>1537</v>
      </c>
      <c r="AH687" s="138" t="s">
        <v>578</v>
      </c>
      <c r="AI687" s="21" t="s">
        <v>1592</v>
      </c>
      <c r="AJ687" s="141" t="s">
        <v>1617</v>
      </c>
      <c r="AK687" s="21" t="s">
        <v>442</v>
      </c>
      <c r="AL687" s="21" t="s">
        <v>442</v>
      </c>
      <c r="AM687" s="21" t="s">
        <v>178</v>
      </c>
      <c r="AQ687" s="21" t="s">
        <v>369</v>
      </c>
      <c r="AR687" s="21" t="s">
        <v>444</v>
      </c>
      <c r="AS687" s="21" t="s">
        <v>503</v>
      </c>
      <c r="AT687" s="21" t="s">
        <v>120</v>
      </c>
      <c r="AU687" s="21">
        <v>4</v>
      </c>
      <c r="AW687" s="21" t="s">
        <v>336</v>
      </c>
      <c r="BA687" s="54"/>
      <c r="BM687" s="396"/>
      <c r="BN687" s="396"/>
      <c r="BR687" s="396"/>
      <c r="BS687" s="396"/>
      <c r="EY687" s="21">
        <v>0.14630000000000001</v>
      </c>
      <c r="EZ687" s="21">
        <v>0.18110000000000001</v>
      </c>
      <c r="FC687" s="21" t="s">
        <v>445</v>
      </c>
      <c r="GM687" s="12"/>
      <c r="GQ687" s="12"/>
      <c r="IO687" s="21" t="s">
        <v>716</v>
      </c>
    </row>
    <row r="688" spans="1:249" s="21" customFormat="1" x14ac:dyDescent="0.25">
      <c r="A688" s="21">
        <v>30</v>
      </c>
      <c r="B688" s="21" t="s">
        <v>438</v>
      </c>
      <c r="C688" s="21" t="s">
        <v>439</v>
      </c>
      <c r="D688" s="21">
        <v>2002</v>
      </c>
      <c r="E688" s="21">
        <v>2000</v>
      </c>
      <c r="F688" s="21" t="s">
        <v>440</v>
      </c>
      <c r="G688" s="21" t="s">
        <v>441</v>
      </c>
      <c r="H688" s="32" t="s">
        <v>2831</v>
      </c>
      <c r="I688" s="21">
        <f t="shared" si="199"/>
        <v>38.533333333333331</v>
      </c>
      <c r="J688" s="21">
        <f t="shared" si="200"/>
        <v>-121.78333333333333</v>
      </c>
      <c r="K688" s="21">
        <v>18.399999999999999</v>
      </c>
      <c r="O688" s="21">
        <v>483</v>
      </c>
      <c r="Q688" s="43">
        <v>4</v>
      </c>
      <c r="R688" s="43" t="s">
        <v>1867</v>
      </c>
      <c r="S688" s="43"/>
      <c r="T688" s="43">
        <v>36572</v>
      </c>
      <c r="U688" s="43" t="s">
        <v>1402</v>
      </c>
      <c r="V688" s="43" t="s">
        <v>1732</v>
      </c>
      <c r="W688" s="43" t="s">
        <v>1399</v>
      </c>
      <c r="X688" s="43" t="s">
        <v>1421</v>
      </c>
      <c r="Z688" s="322">
        <v>36</v>
      </c>
      <c r="AA688" s="322">
        <v>46</v>
      </c>
      <c r="AB688" s="21" t="s">
        <v>140</v>
      </c>
      <c r="AF688" s="21" t="s">
        <v>1332</v>
      </c>
      <c r="AG688" s="21" t="s">
        <v>1537</v>
      </c>
      <c r="AH688" s="138" t="s">
        <v>578</v>
      </c>
      <c r="AI688" s="21" t="s">
        <v>1592</v>
      </c>
      <c r="AJ688" s="141" t="s">
        <v>1617</v>
      </c>
      <c r="AK688" s="21" t="s">
        <v>442</v>
      </c>
      <c r="AL688" s="21" t="s">
        <v>442</v>
      </c>
      <c r="AM688" s="21" t="s">
        <v>178</v>
      </c>
      <c r="AQ688" s="21" t="s">
        <v>369</v>
      </c>
      <c r="AR688" s="21" t="s">
        <v>443</v>
      </c>
      <c r="AS688" s="21" t="s">
        <v>503</v>
      </c>
      <c r="AT688" s="21" t="s">
        <v>120</v>
      </c>
      <c r="AU688" s="21">
        <v>4</v>
      </c>
      <c r="AW688" s="21" t="s">
        <v>336</v>
      </c>
      <c r="BA688" s="54"/>
      <c r="BM688" s="396"/>
      <c r="BN688" s="396"/>
      <c r="BR688" s="396"/>
      <c r="BS688" s="396"/>
      <c r="EY688" s="21">
        <v>0.15640000000000001</v>
      </c>
      <c r="EZ688" s="21">
        <v>0.1958</v>
      </c>
      <c r="FC688" s="21" t="s">
        <v>445</v>
      </c>
      <c r="GM688" s="12"/>
      <c r="GQ688" s="12"/>
      <c r="IO688" s="21" t="s">
        <v>716</v>
      </c>
    </row>
    <row r="689" spans="1:250" s="21" customFormat="1" x14ac:dyDescent="0.25">
      <c r="A689" s="21">
        <v>30</v>
      </c>
      <c r="B689" s="21" t="s">
        <v>438</v>
      </c>
      <c r="C689" s="21" t="s">
        <v>439</v>
      </c>
      <c r="D689" s="21">
        <v>2002</v>
      </c>
      <c r="E689" s="21">
        <v>2000</v>
      </c>
      <c r="F689" s="21" t="s">
        <v>440</v>
      </c>
      <c r="G689" s="21" t="s">
        <v>441</v>
      </c>
      <c r="H689" s="32" t="s">
        <v>2831</v>
      </c>
      <c r="I689" s="21">
        <f t="shared" si="199"/>
        <v>38.533333333333331</v>
      </c>
      <c r="J689" s="21">
        <f t="shared" si="200"/>
        <v>-121.78333333333333</v>
      </c>
      <c r="K689" s="21">
        <v>18.399999999999999</v>
      </c>
      <c r="O689" s="21">
        <v>483</v>
      </c>
      <c r="Q689" s="43">
        <v>4</v>
      </c>
      <c r="R689" s="43" t="s">
        <v>1867</v>
      </c>
      <c r="S689" s="43"/>
      <c r="T689" s="43">
        <v>36572</v>
      </c>
      <c r="U689" s="43" t="s">
        <v>1402</v>
      </c>
      <c r="V689" s="43" t="s">
        <v>1732</v>
      </c>
      <c r="W689" s="43" t="s">
        <v>1399</v>
      </c>
      <c r="X689" s="43" t="s">
        <v>1421</v>
      </c>
      <c r="Z689" s="322">
        <v>36</v>
      </c>
      <c r="AA689" s="322">
        <v>46</v>
      </c>
      <c r="AB689" s="21" t="s">
        <v>140</v>
      </c>
      <c r="AF689" s="21" t="s">
        <v>1332</v>
      </c>
      <c r="AG689" s="21" t="s">
        <v>1537</v>
      </c>
      <c r="AH689" s="138" t="s">
        <v>578</v>
      </c>
      <c r="AI689" s="21" t="s">
        <v>1592</v>
      </c>
      <c r="AJ689" s="141" t="s">
        <v>1617</v>
      </c>
      <c r="AK689" s="21" t="s">
        <v>442</v>
      </c>
      <c r="AL689" s="21" t="s">
        <v>442</v>
      </c>
      <c r="AM689" s="21" t="s">
        <v>178</v>
      </c>
      <c r="AQ689" s="21" t="s">
        <v>369</v>
      </c>
      <c r="AR689" s="21" t="s">
        <v>444</v>
      </c>
      <c r="AS689" s="21" t="s">
        <v>503</v>
      </c>
      <c r="AT689" s="21" t="s">
        <v>120</v>
      </c>
      <c r="AU689" s="21">
        <v>4</v>
      </c>
      <c r="AW689" s="21" t="s">
        <v>336</v>
      </c>
      <c r="BA689" s="54"/>
      <c r="BM689" s="396"/>
      <c r="BN689" s="396"/>
      <c r="BR689" s="396"/>
      <c r="BS689" s="396"/>
      <c r="EY689" s="21">
        <v>0.15640000000000001</v>
      </c>
      <c r="EZ689" s="21">
        <v>0.1958</v>
      </c>
      <c r="FC689" s="21" t="s">
        <v>445</v>
      </c>
      <c r="GM689" s="12"/>
      <c r="GQ689" s="12"/>
      <c r="IO689" s="21" t="s">
        <v>716</v>
      </c>
    </row>
    <row r="690" spans="1:250" s="21" customFormat="1" x14ac:dyDescent="0.25">
      <c r="A690" s="21">
        <v>30</v>
      </c>
      <c r="B690" s="21" t="s">
        <v>438</v>
      </c>
      <c r="C690" s="21" t="s">
        <v>439</v>
      </c>
      <c r="D690" s="21">
        <v>2002</v>
      </c>
      <c r="E690" s="21">
        <v>2000</v>
      </c>
      <c r="F690" s="21" t="s">
        <v>440</v>
      </c>
      <c r="G690" s="21" t="s">
        <v>441</v>
      </c>
      <c r="H690" s="32" t="s">
        <v>2831</v>
      </c>
      <c r="I690" s="21">
        <f t="shared" si="199"/>
        <v>38.533333333333331</v>
      </c>
      <c r="J690" s="21">
        <f t="shared" si="200"/>
        <v>-121.78333333333333</v>
      </c>
      <c r="K690" s="21">
        <v>18.399999999999999</v>
      </c>
      <c r="O690" s="21">
        <v>483</v>
      </c>
      <c r="Q690" s="43">
        <v>4</v>
      </c>
      <c r="R690" s="43" t="s">
        <v>1867</v>
      </c>
      <c r="S690" s="43"/>
      <c r="T690" s="43">
        <v>36582</v>
      </c>
      <c r="U690" s="43" t="s">
        <v>1402</v>
      </c>
      <c r="V690" s="43" t="s">
        <v>1732</v>
      </c>
      <c r="W690" s="43" t="s">
        <v>1399</v>
      </c>
      <c r="X690" s="43" t="s">
        <v>1421</v>
      </c>
      <c r="Z690" s="322">
        <v>36</v>
      </c>
      <c r="AA690" s="322">
        <v>46</v>
      </c>
      <c r="AB690" s="21" t="s">
        <v>140</v>
      </c>
      <c r="AF690" s="21" t="s">
        <v>1332</v>
      </c>
      <c r="AG690" s="21" t="s">
        <v>1537</v>
      </c>
      <c r="AH690" s="138" t="s">
        <v>578</v>
      </c>
      <c r="AI690" s="21" t="s">
        <v>1592</v>
      </c>
      <c r="AJ690" s="141" t="s">
        <v>1617</v>
      </c>
      <c r="AK690" s="21" t="s">
        <v>442</v>
      </c>
      <c r="AL690" s="21" t="s">
        <v>442</v>
      </c>
      <c r="AM690" s="21" t="s">
        <v>178</v>
      </c>
      <c r="AQ690" s="21" t="s">
        <v>369</v>
      </c>
      <c r="AR690" s="21" t="s">
        <v>443</v>
      </c>
      <c r="AS690" s="21" t="s">
        <v>503</v>
      </c>
      <c r="AT690" s="21" t="s">
        <v>120</v>
      </c>
      <c r="AU690" s="21">
        <v>4</v>
      </c>
      <c r="AW690" s="21" t="s">
        <v>336</v>
      </c>
      <c r="BA690" s="54"/>
      <c r="BM690" s="396"/>
      <c r="BN690" s="396"/>
      <c r="BR690" s="396"/>
      <c r="BS690" s="396"/>
      <c r="EY690" s="21">
        <v>0.17100000000000001</v>
      </c>
      <c r="EZ690" s="21">
        <v>0.20399999999999999</v>
      </c>
      <c r="FC690" s="21" t="s">
        <v>445</v>
      </c>
      <c r="GM690" s="12"/>
      <c r="GQ690" s="12"/>
      <c r="IO690" s="21" t="s">
        <v>716</v>
      </c>
    </row>
    <row r="691" spans="1:250" s="21" customFormat="1" x14ac:dyDescent="0.25">
      <c r="A691" s="21">
        <v>30</v>
      </c>
      <c r="B691" s="21" t="s">
        <v>438</v>
      </c>
      <c r="C691" s="21" t="s">
        <v>439</v>
      </c>
      <c r="D691" s="21">
        <v>2002</v>
      </c>
      <c r="E691" s="21">
        <v>2000</v>
      </c>
      <c r="F691" s="21" t="s">
        <v>440</v>
      </c>
      <c r="G691" s="21" t="s">
        <v>441</v>
      </c>
      <c r="H691" s="32" t="s">
        <v>2831</v>
      </c>
      <c r="I691" s="21">
        <f t="shared" si="199"/>
        <v>38.533333333333331</v>
      </c>
      <c r="J691" s="21">
        <f t="shared" si="200"/>
        <v>-121.78333333333333</v>
      </c>
      <c r="K691" s="21">
        <v>18.399999999999999</v>
      </c>
      <c r="O691" s="21">
        <v>483</v>
      </c>
      <c r="Q691" s="43">
        <v>4</v>
      </c>
      <c r="R691" s="43" t="s">
        <v>1867</v>
      </c>
      <c r="S691" s="43"/>
      <c r="T691" s="43">
        <v>36582</v>
      </c>
      <c r="U691" s="43" t="s">
        <v>1402</v>
      </c>
      <c r="V691" s="43" t="s">
        <v>1732</v>
      </c>
      <c r="W691" s="43" t="s">
        <v>1399</v>
      </c>
      <c r="X691" s="43" t="s">
        <v>1421</v>
      </c>
      <c r="Z691" s="322">
        <v>36</v>
      </c>
      <c r="AA691" s="322">
        <v>46</v>
      </c>
      <c r="AB691" s="21" t="s">
        <v>140</v>
      </c>
      <c r="AF691" s="21" t="s">
        <v>1332</v>
      </c>
      <c r="AG691" s="21" t="s">
        <v>1537</v>
      </c>
      <c r="AH691" s="138" t="s">
        <v>578</v>
      </c>
      <c r="AI691" s="21" t="s">
        <v>1592</v>
      </c>
      <c r="AJ691" s="141" t="s">
        <v>1617</v>
      </c>
      <c r="AK691" s="21" t="s">
        <v>442</v>
      </c>
      <c r="AL691" s="21" t="s">
        <v>442</v>
      </c>
      <c r="AM691" s="21" t="s">
        <v>178</v>
      </c>
      <c r="AQ691" s="21" t="s">
        <v>369</v>
      </c>
      <c r="AR691" s="21" t="s">
        <v>444</v>
      </c>
      <c r="AS691" s="21" t="s">
        <v>503</v>
      </c>
      <c r="AT691" s="21" t="s">
        <v>120</v>
      </c>
      <c r="AU691" s="21">
        <v>4</v>
      </c>
      <c r="AW691" s="21" t="s">
        <v>336</v>
      </c>
      <c r="BA691" s="54"/>
      <c r="BM691" s="396"/>
      <c r="BN691" s="396"/>
      <c r="BR691" s="396"/>
      <c r="BS691" s="396"/>
      <c r="EY691" s="21">
        <v>0.17100000000000001</v>
      </c>
      <c r="EZ691" s="21">
        <v>0.20399999999999999</v>
      </c>
      <c r="FC691" s="21" t="s">
        <v>445</v>
      </c>
      <c r="GM691" s="12"/>
      <c r="GQ691" s="12"/>
      <c r="IO691" s="21" t="s">
        <v>716</v>
      </c>
    </row>
    <row r="692" spans="1:250" s="21" customFormat="1" x14ac:dyDescent="0.25">
      <c r="A692" s="21">
        <v>30</v>
      </c>
      <c r="B692" s="21" t="s">
        <v>438</v>
      </c>
      <c r="C692" s="21" t="s">
        <v>439</v>
      </c>
      <c r="D692" s="21">
        <v>2002</v>
      </c>
      <c r="E692" s="21">
        <v>2000</v>
      </c>
      <c r="F692" s="21" t="s">
        <v>440</v>
      </c>
      <c r="G692" s="21" t="s">
        <v>441</v>
      </c>
      <c r="H692" s="32" t="s">
        <v>2831</v>
      </c>
      <c r="I692" s="21">
        <f t="shared" si="199"/>
        <v>38.533333333333331</v>
      </c>
      <c r="J692" s="21">
        <f t="shared" si="200"/>
        <v>-121.78333333333333</v>
      </c>
      <c r="K692" s="21">
        <v>18.399999999999999</v>
      </c>
      <c r="O692" s="21">
        <v>483</v>
      </c>
      <c r="Q692" s="43">
        <v>4</v>
      </c>
      <c r="R692" s="43" t="s">
        <v>1867</v>
      </c>
      <c r="S692" s="43"/>
      <c r="T692" s="43">
        <v>36587</v>
      </c>
      <c r="U692" s="43" t="s">
        <v>1402</v>
      </c>
      <c r="V692" s="43" t="s">
        <v>1732</v>
      </c>
      <c r="W692" s="43" t="s">
        <v>1399</v>
      </c>
      <c r="X692" s="43" t="s">
        <v>1421</v>
      </c>
      <c r="Z692" s="322">
        <v>36</v>
      </c>
      <c r="AA692" s="322">
        <v>46</v>
      </c>
      <c r="AB692" s="21" t="s">
        <v>140</v>
      </c>
      <c r="AF692" s="21" t="s">
        <v>1332</v>
      </c>
      <c r="AG692" s="21" t="s">
        <v>1537</v>
      </c>
      <c r="AH692" s="138" t="s">
        <v>578</v>
      </c>
      <c r="AI692" s="21" t="s">
        <v>1592</v>
      </c>
      <c r="AJ692" s="141" t="s">
        <v>1617</v>
      </c>
      <c r="AK692" s="21" t="s">
        <v>442</v>
      </c>
      <c r="AL692" s="21" t="s">
        <v>442</v>
      </c>
      <c r="AM692" s="21" t="s">
        <v>178</v>
      </c>
      <c r="AQ692" s="21" t="s">
        <v>369</v>
      </c>
      <c r="AR692" s="21" t="s">
        <v>443</v>
      </c>
      <c r="AS692" s="21" t="s">
        <v>503</v>
      </c>
      <c r="AT692" s="21" t="s">
        <v>120</v>
      </c>
      <c r="AU692" s="21">
        <v>4</v>
      </c>
      <c r="AW692" s="21" t="s">
        <v>336</v>
      </c>
      <c r="BA692" s="54"/>
      <c r="BM692" s="396"/>
      <c r="BN692" s="396"/>
      <c r="BR692" s="396"/>
      <c r="BS692" s="396"/>
      <c r="EY692" s="21">
        <v>0.17660000000000001</v>
      </c>
      <c r="EZ692" s="21">
        <v>0.20860000000000001</v>
      </c>
      <c r="FC692" s="21" t="s">
        <v>445</v>
      </c>
      <c r="GM692" s="12"/>
      <c r="GQ692" s="12"/>
      <c r="IO692" s="21" t="s">
        <v>716</v>
      </c>
    </row>
    <row r="693" spans="1:250" s="21" customFormat="1" x14ac:dyDescent="0.25">
      <c r="A693" s="21">
        <v>30</v>
      </c>
      <c r="B693" s="21" t="s">
        <v>438</v>
      </c>
      <c r="C693" s="21" t="s">
        <v>439</v>
      </c>
      <c r="D693" s="21">
        <v>2002</v>
      </c>
      <c r="E693" s="21">
        <v>2000</v>
      </c>
      <c r="F693" s="21" t="s">
        <v>440</v>
      </c>
      <c r="G693" s="21" t="s">
        <v>441</v>
      </c>
      <c r="H693" s="32" t="s">
        <v>2831</v>
      </c>
      <c r="I693" s="21">
        <f t="shared" si="199"/>
        <v>38.533333333333331</v>
      </c>
      <c r="J693" s="21">
        <f t="shared" si="200"/>
        <v>-121.78333333333333</v>
      </c>
      <c r="K693" s="21">
        <v>18.399999999999999</v>
      </c>
      <c r="O693" s="21">
        <v>483</v>
      </c>
      <c r="Q693" s="43">
        <v>4</v>
      </c>
      <c r="R693" s="43" t="s">
        <v>1867</v>
      </c>
      <c r="S693" s="43"/>
      <c r="T693" s="43">
        <v>36587</v>
      </c>
      <c r="U693" s="43" t="s">
        <v>1402</v>
      </c>
      <c r="V693" s="43" t="s">
        <v>1732</v>
      </c>
      <c r="W693" s="43" t="s">
        <v>1399</v>
      </c>
      <c r="X693" s="43" t="s">
        <v>1421</v>
      </c>
      <c r="Z693" s="322">
        <v>36</v>
      </c>
      <c r="AA693" s="322">
        <v>46</v>
      </c>
      <c r="AB693" s="21" t="s">
        <v>140</v>
      </c>
      <c r="AF693" s="21" t="s">
        <v>1332</v>
      </c>
      <c r="AG693" s="21" t="s">
        <v>1537</v>
      </c>
      <c r="AH693" s="138" t="s">
        <v>578</v>
      </c>
      <c r="AI693" s="21" t="s">
        <v>1592</v>
      </c>
      <c r="AJ693" s="141" t="s">
        <v>1617</v>
      </c>
      <c r="AK693" s="21" t="s">
        <v>442</v>
      </c>
      <c r="AL693" s="21" t="s">
        <v>442</v>
      </c>
      <c r="AM693" s="21" t="s">
        <v>178</v>
      </c>
      <c r="AQ693" s="21" t="s">
        <v>369</v>
      </c>
      <c r="AR693" s="21" t="s">
        <v>444</v>
      </c>
      <c r="AS693" s="21" t="s">
        <v>503</v>
      </c>
      <c r="AT693" s="21" t="s">
        <v>120</v>
      </c>
      <c r="AU693" s="21">
        <v>4</v>
      </c>
      <c r="AW693" s="21" t="s">
        <v>336</v>
      </c>
      <c r="BA693" s="54"/>
      <c r="BM693" s="396"/>
      <c r="BN693" s="396"/>
      <c r="BR693" s="396"/>
      <c r="BS693" s="396"/>
      <c r="EY693" s="21">
        <v>0.17660000000000001</v>
      </c>
      <c r="EZ693" s="21">
        <v>0.20860000000000001</v>
      </c>
      <c r="FC693" s="21" t="s">
        <v>445</v>
      </c>
      <c r="GM693" s="12"/>
      <c r="GQ693" s="12"/>
      <c r="IO693" s="21" t="s">
        <v>716</v>
      </c>
    </row>
    <row r="694" spans="1:250" s="21" customFormat="1" x14ac:dyDescent="0.25">
      <c r="A694" s="21">
        <v>30</v>
      </c>
      <c r="B694" s="21" t="s">
        <v>438</v>
      </c>
      <c r="C694" s="21" t="s">
        <v>439</v>
      </c>
      <c r="D694" s="21">
        <v>2002</v>
      </c>
      <c r="E694" s="21">
        <v>2000</v>
      </c>
      <c r="F694" s="21" t="s">
        <v>440</v>
      </c>
      <c r="G694" s="21" t="s">
        <v>441</v>
      </c>
      <c r="H694" s="32" t="s">
        <v>2831</v>
      </c>
      <c r="I694" s="21">
        <f t="shared" si="199"/>
        <v>38.533333333333331</v>
      </c>
      <c r="J694" s="21">
        <f t="shared" si="200"/>
        <v>-121.78333333333333</v>
      </c>
      <c r="K694" s="21">
        <v>18.399999999999999</v>
      </c>
      <c r="O694" s="21">
        <v>483</v>
      </c>
      <c r="Q694" s="43">
        <v>4</v>
      </c>
      <c r="R694" s="43" t="s">
        <v>1867</v>
      </c>
      <c r="S694" s="43"/>
      <c r="T694" s="43">
        <v>36598</v>
      </c>
      <c r="U694" s="43" t="s">
        <v>1402</v>
      </c>
      <c r="V694" s="43" t="s">
        <v>1732</v>
      </c>
      <c r="W694" s="43" t="s">
        <v>1399</v>
      </c>
      <c r="X694" s="43" t="s">
        <v>1421</v>
      </c>
      <c r="Z694" s="322">
        <v>36</v>
      </c>
      <c r="AA694" s="322">
        <v>46</v>
      </c>
      <c r="AB694" s="21" t="s">
        <v>140</v>
      </c>
      <c r="AF694" s="21" t="s">
        <v>1332</v>
      </c>
      <c r="AG694" s="21" t="s">
        <v>1537</v>
      </c>
      <c r="AH694" s="138" t="s">
        <v>578</v>
      </c>
      <c r="AI694" s="21" t="s">
        <v>1592</v>
      </c>
      <c r="AJ694" s="141" t="s">
        <v>1617</v>
      </c>
      <c r="AK694" s="21" t="s">
        <v>442</v>
      </c>
      <c r="AL694" s="21" t="s">
        <v>442</v>
      </c>
      <c r="AM694" s="21" t="s">
        <v>178</v>
      </c>
      <c r="AQ694" s="21" t="s">
        <v>369</v>
      </c>
      <c r="AR694" s="21" t="s">
        <v>443</v>
      </c>
      <c r="AS694" s="21" t="s">
        <v>503</v>
      </c>
      <c r="AT694" s="21" t="s">
        <v>120</v>
      </c>
      <c r="AU694" s="21">
        <v>4</v>
      </c>
      <c r="AW694" s="21" t="s">
        <v>336</v>
      </c>
      <c r="BA694" s="54"/>
      <c r="BM694" s="396"/>
      <c r="BN694" s="396"/>
      <c r="BR694" s="396"/>
      <c r="BS694" s="396"/>
      <c r="EY694" s="21">
        <v>0.1757</v>
      </c>
      <c r="EZ694" s="21">
        <v>0.21790000000000001</v>
      </c>
      <c r="FC694" s="21" t="s">
        <v>445</v>
      </c>
      <c r="GM694" s="12"/>
      <c r="GQ694" s="12"/>
      <c r="IO694" s="21" t="s">
        <v>716</v>
      </c>
    </row>
    <row r="695" spans="1:250" s="21" customFormat="1" x14ac:dyDescent="0.25">
      <c r="A695" s="21">
        <v>30</v>
      </c>
      <c r="B695" s="21" t="s">
        <v>438</v>
      </c>
      <c r="C695" s="21" t="s">
        <v>439</v>
      </c>
      <c r="D695" s="21">
        <v>2002</v>
      </c>
      <c r="E695" s="21">
        <v>2000</v>
      </c>
      <c r="F695" s="21" t="s">
        <v>440</v>
      </c>
      <c r="G695" s="21" t="s">
        <v>441</v>
      </c>
      <c r="H695" s="32" t="s">
        <v>2831</v>
      </c>
      <c r="I695" s="21">
        <f t="shared" si="199"/>
        <v>38.533333333333331</v>
      </c>
      <c r="J695" s="21">
        <f t="shared" si="200"/>
        <v>-121.78333333333333</v>
      </c>
      <c r="K695" s="21">
        <v>18.399999999999999</v>
      </c>
      <c r="O695" s="21">
        <v>483</v>
      </c>
      <c r="Q695" s="43">
        <v>4</v>
      </c>
      <c r="R695" s="43" t="s">
        <v>1867</v>
      </c>
      <c r="S695" s="43"/>
      <c r="T695" s="43">
        <v>36598</v>
      </c>
      <c r="U695" s="43" t="s">
        <v>1402</v>
      </c>
      <c r="V695" s="43" t="s">
        <v>1732</v>
      </c>
      <c r="W695" s="43" t="s">
        <v>1399</v>
      </c>
      <c r="X695" s="43" t="s">
        <v>1421</v>
      </c>
      <c r="Z695" s="322">
        <v>36</v>
      </c>
      <c r="AA695" s="322">
        <v>46</v>
      </c>
      <c r="AB695" s="21" t="s">
        <v>140</v>
      </c>
      <c r="AF695" s="21" t="s">
        <v>1332</v>
      </c>
      <c r="AG695" s="21" t="s">
        <v>1537</v>
      </c>
      <c r="AH695" s="138" t="s">
        <v>578</v>
      </c>
      <c r="AI695" s="21" t="s">
        <v>1592</v>
      </c>
      <c r="AJ695" s="141" t="s">
        <v>1617</v>
      </c>
      <c r="AK695" s="21" t="s">
        <v>442</v>
      </c>
      <c r="AL695" s="21" t="s">
        <v>442</v>
      </c>
      <c r="AM695" s="21" t="s">
        <v>178</v>
      </c>
      <c r="AQ695" s="21" t="s">
        <v>369</v>
      </c>
      <c r="AR695" s="21" t="s">
        <v>444</v>
      </c>
      <c r="AS695" s="21" t="s">
        <v>503</v>
      </c>
      <c r="AT695" s="21" t="s">
        <v>120</v>
      </c>
      <c r="AU695" s="21">
        <v>4</v>
      </c>
      <c r="AW695" s="21" t="s">
        <v>336</v>
      </c>
      <c r="BA695" s="54"/>
      <c r="BM695" s="396"/>
      <c r="BN695" s="396"/>
      <c r="BR695" s="396"/>
      <c r="BS695" s="396"/>
      <c r="EY695" s="21">
        <v>0.1757</v>
      </c>
      <c r="EZ695" s="21">
        <v>0.21060000000000001</v>
      </c>
      <c r="FC695" s="21" t="s">
        <v>445</v>
      </c>
      <c r="GM695" s="12"/>
      <c r="GQ695" s="12"/>
      <c r="IO695" s="21" t="s">
        <v>716</v>
      </c>
    </row>
    <row r="696" spans="1:250" s="24" customFormat="1" x14ac:dyDescent="0.25">
      <c r="A696" s="24">
        <v>31</v>
      </c>
      <c r="B696" s="24" t="s">
        <v>448</v>
      </c>
      <c r="C696" s="24" t="s">
        <v>449</v>
      </c>
      <c r="D696" s="24">
        <v>1999</v>
      </c>
      <c r="E696" s="24">
        <v>1997</v>
      </c>
      <c r="F696" s="24" t="s">
        <v>450</v>
      </c>
      <c r="G696" s="24" t="s">
        <v>319</v>
      </c>
      <c r="H696" s="32" t="s">
        <v>2831</v>
      </c>
      <c r="I696" s="24">
        <v>40.716666666666669</v>
      </c>
      <c r="J696" s="24">
        <v>-77.916666666666671</v>
      </c>
      <c r="K696" s="24">
        <v>350</v>
      </c>
      <c r="O696" s="24">
        <v>975</v>
      </c>
      <c r="Q696" s="42">
        <v>1</v>
      </c>
      <c r="R696" s="42">
        <v>1</v>
      </c>
      <c r="S696" s="42"/>
      <c r="T696" s="42" t="s">
        <v>453</v>
      </c>
      <c r="U696" s="42" t="s">
        <v>1381</v>
      </c>
      <c r="V696" s="42" t="s">
        <v>1381</v>
      </c>
      <c r="W696" s="42" t="s">
        <v>1381</v>
      </c>
      <c r="X696" s="42" t="s">
        <v>1381</v>
      </c>
      <c r="Z696" s="321"/>
      <c r="AA696" s="321"/>
      <c r="AB696" s="24" t="s">
        <v>451</v>
      </c>
      <c r="AC696" s="24">
        <v>6.38</v>
      </c>
      <c r="AG696" s="24" t="s">
        <v>1531</v>
      </c>
      <c r="AH696" s="138" t="s">
        <v>1585</v>
      </c>
      <c r="AI696" s="24" t="s">
        <v>133</v>
      </c>
      <c r="AJ696" s="140" t="s">
        <v>133</v>
      </c>
      <c r="AN696" s="24" t="s">
        <v>298</v>
      </c>
      <c r="AO696" s="24" t="s">
        <v>298</v>
      </c>
      <c r="AP696" s="24" t="s">
        <v>178</v>
      </c>
      <c r="AQ696" s="24" t="s">
        <v>458</v>
      </c>
      <c r="AR696" s="24" t="s">
        <v>458</v>
      </c>
      <c r="AT696" s="24" t="s">
        <v>120</v>
      </c>
      <c r="AU696" s="24">
        <v>5</v>
      </c>
      <c r="AW696" s="24" t="s">
        <v>142</v>
      </c>
      <c r="BA696" s="53" t="s">
        <v>298</v>
      </c>
      <c r="BB696" s="24" t="s">
        <v>457</v>
      </c>
      <c r="BC696" s="24">
        <v>0.44500000000000001</v>
      </c>
      <c r="BD696" s="24">
        <v>0.36470000000000002</v>
      </c>
      <c r="BG696" s="24" t="s">
        <v>835</v>
      </c>
      <c r="BH696" s="24">
        <f>(29.13*48545)/1000</f>
        <v>1414.1158499999999</v>
      </c>
      <c r="BI696" s="24">
        <f>(28.93*31255)/1000</f>
        <v>904.20715000000007</v>
      </c>
      <c r="BM696" s="395"/>
      <c r="BN696" s="395"/>
      <c r="BR696" s="395"/>
      <c r="BS696" s="395"/>
      <c r="DF696" s="24">
        <v>131.69999999999999</v>
      </c>
      <c r="DG696" s="24">
        <v>244.89</v>
      </c>
      <c r="GC696" s="24">
        <v>3.54</v>
      </c>
      <c r="GD696" s="24">
        <v>18.39</v>
      </c>
      <c r="GG696" s="24" t="s">
        <v>456</v>
      </c>
      <c r="IO696" s="24" t="s">
        <v>465</v>
      </c>
      <c r="IP696" s="24" t="s">
        <v>456</v>
      </c>
    </row>
    <row r="697" spans="1:250" s="24" customFormat="1" x14ac:dyDescent="0.25">
      <c r="A697" s="24">
        <v>31</v>
      </c>
      <c r="B697" s="24" t="s">
        <v>448</v>
      </c>
      <c r="C697" s="24" t="s">
        <v>449</v>
      </c>
      <c r="D697" s="24">
        <v>1999</v>
      </c>
      <c r="E697" s="24">
        <v>1997</v>
      </c>
      <c r="F697" s="24" t="s">
        <v>450</v>
      </c>
      <c r="G697" s="24" t="s">
        <v>319</v>
      </c>
      <c r="H697" s="32" t="s">
        <v>2831</v>
      </c>
      <c r="I697" s="24">
        <v>40.716666666666669</v>
      </c>
      <c r="J697" s="24">
        <v>-77.916666666666671</v>
      </c>
      <c r="K697" s="24">
        <v>350</v>
      </c>
      <c r="O697" s="24">
        <v>975</v>
      </c>
      <c r="Q697" s="42">
        <v>1</v>
      </c>
      <c r="R697" s="42">
        <v>1</v>
      </c>
      <c r="S697" s="42"/>
      <c r="T697" s="42" t="s">
        <v>453</v>
      </c>
      <c r="U697" s="42" t="s">
        <v>1381</v>
      </c>
      <c r="V697" s="42" t="s">
        <v>1381</v>
      </c>
      <c r="W697" s="42" t="s">
        <v>1381</v>
      </c>
      <c r="X697" s="42" t="s">
        <v>1381</v>
      </c>
      <c r="Z697" s="321"/>
      <c r="AA697" s="321"/>
      <c r="AB697" s="24" t="s">
        <v>451</v>
      </c>
      <c r="AC697" s="24">
        <v>6.38</v>
      </c>
      <c r="AG697" s="24" t="s">
        <v>452</v>
      </c>
      <c r="AH697" s="138" t="s">
        <v>1588</v>
      </c>
      <c r="AI697" s="24" t="s">
        <v>133</v>
      </c>
      <c r="AJ697" s="140" t="s">
        <v>133</v>
      </c>
      <c r="AN697" s="24" t="s">
        <v>298</v>
      </c>
      <c r="AO697" s="24" t="s">
        <v>298</v>
      </c>
      <c r="AP697" s="24" t="s">
        <v>178</v>
      </c>
      <c r="AQ697" s="24" t="s">
        <v>458</v>
      </c>
      <c r="AR697" s="24" t="s">
        <v>458</v>
      </c>
      <c r="AT697" s="24" t="s">
        <v>120</v>
      </c>
      <c r="AU697" s="24">
        <v>5</v>
      </c>
      <c r="AW697" s="24" t="s">
        <v>142</v>
      </c>
      <c r="BA697" s="53" t="s">
        <v>298</v>
      </c>
      <c r="BB697" s="24" t="s">
        <v>457</v>
      </c>
      <c r="BC697" s="24">
        <v>0.44500000000000001</v>
      </c>
      <c r="BD697" s="24">
        <v>0.48680000000000001</v>
      </c>
      <c r="BG697" s="24" t="s">
        <v>835</v>
      </c>
      <c r="BH697" s="24">
        <f>(29.13*48545)/1000</f>
        <v>1414.1158499999999</v>
      </c>
      <c r="BI697" s="24">
        <f>(35.33*45885)/1000</f>
        <v>1621.1170499999998</v>
      </c>
      <c r="BM697" s="395"/>
      <c r="BN697" s="395"/>
      <c r="BR697" s="395"/>
      <c r="BS697" s="395"/>
      <c r="DF697" s="24">
        <v>131.69999999999999</v>
      </c>
      <c r="DG697" s="24">
        <v>271.95999999999998</v>
      </c>
      <c r="GC697" s="24">
        <v>3.54</v>
      </c>
      <c r="GD697" s="24">
        <v>16.77</v>
      </c>
      <c r="GG697" s="24" t="s">
        <v>456</v>
      </c>
      <c r="IO697" s="24" t="s">
        <v>465</v>
      </c>
      <c r="IP697" s="24" t="s">
        <v>456</v>
      </c>
    </row>
    <row r="698" spans="1:250" s="24" customFormat="1" x14ac:dyDescent="0.25">
      <c r="A698" s="24">
        <v>31</v>
      </c>
      <c r="B698" s="24" t="s">
        <v>448</v>
      </c>
      <c r="C698" s="24" t="s">
        <v>449</v>
      </c>
      <c r="D698" s="24">
        <v>1999</v>
      </c>
      <c r="E698" s="24">
        <v>1997</v>
      </c>
      <c r="F698" s="24" t="s">
        <v>450</v>
      </c>
      <c r="G698" s="24" t="s">
        <v>319</v>
      </c>
      <c r="H698" s="32" t="s">
        <v>2831</v>
      </c>
      <c r="I698" s="24">
        <v>40.716666666666669</v>
      </c>
      <c r="J698" s="24">
        <v>-77.916666666666671</v>
      </c>
      <c r="K698" s="24">
        <v>350</v>
      </c>
      <c r="O698" s="24">
        <v>975</v>
      </c>
      <c r="Q698" s="42">
        <v>1</v>
      </c>
      <c r="R698" s="42">
        <v>1</v>
      </c>
      <c r="S698" s="42"/>
      <c r="T698" s="42" t="s">
        <v>454</v>
      </c>
      <c r="U698" s="42" t="s">
        <v>1381</v>
      </c>
      <c r="V698" s="42" t="s">
        <v>1381</v>
      </c>
      <c r="W698" s="42" t="s">
        <v>1381</v>
      </c>
      <c r="X698" s="42" t="s">
        <v>1381</v>
      </c>
      <c r="Z698" s="321"/>
      <c r="AA698" s="321"/>
      <c r="AB698" s="24" t="s">
        <v>451</v>
      </c>
      <c r="AC698" s="24">
        <v>6.38</v>
      </c>
      <c r="AG698" s="24" t="s">
        <v>1531</v>
      </c>
      <c r="AH698" s="138" t="s">
        <v>1585</v>
      </c>
      <c r="AI698" s="24" t="s">
        <v>133</v>
      </c>
      <c r="AJ698" s="140" t="s">
        <v>133</v>
      </c>
      <c r="AN698" s="24" t="s">
        <v>298</v>
      </c>
      <c r="AO698" s="24" t="s">
        <v>298</v>
      </c>
      <c r="AP698" s="24" t="s">
        <v>178</v>
      </c>
      <c r="AQ698" s="24" t="s">
        <v>458</v>
      </c>
      <c r="AR698" s="24" t="s">
        <v>458</v>
      </c>
      <c r="AT698" s="24" t="s">
        <v>120</v>
      </c>
      <c r="AU698" s="24">
        <v>5</v>
      </c>
      <c r="AW698" s="24" t="s">
        <v>142</v>
      </c>
      <c r="BA698" s="53" t="s">
        <v>298</v>
      </c>
      <c r="BB698" s="24" t="s">
        <v>457</v>
      </c>
      <c r="BC698" s="24">
        <v>2.3849999999999998</v>
      </c>
      <c r="BD698" s="24">
        <v>2.7770000000000001</v>
      </c>
      <c r="BG698" s="24" t="s">
        <v>835</v>
      </c>
      <c r="BM698" s="395"/>
      <c r="BN698" s="395"/>
      <c r="BR698" s="395"/>
      <c r="BS698" s="395"/>
      <c r="GC698" s="24">
        <v>16.531400000000001</v>
      </c>
      <c r="GD698" s="24">
        <v>26.787500000000001</v>
      </c>
      <c r="GG698" s="24" t="s">
        <v>456</v>
      </c>
      <c r="IO698" s="24" t="s">
        <v>465</v>
      </c>
      <c r="IP698" s="24" t="s">
        <v>456</v>
      </c>
    </row>
    <row r="699" spans="1:250" s="24" customFormat="1" x14ac:dyDescent="0.25">
      <c r="A699" s="24">
        <v>31</v>
      </c>
      <c r="B699" s="24" t="s">
        <v>448</v>
      </c>
      <c r="C699" s="24" t="s">
        <v>449</v>
      </c>
      <c r="D699" s="24">
        <v>1999</v>
      </c>
      <c r="E699" s="24">
        <v>1997</v>
      </c>
      <c r="F699" s="24" t="s">
        <v>450</v>
      </c>
      <c r="G699" s="24" t="s">
        <v>319</v>
      </c>
      <c r="H699" s="32" t="s">
        <v>2831</v>
      </c>
      <c r="I699" s="24">
        <v>40.716666666666669</v>
      </c>
      <c r="J699" s="24">
        <v>-77.916666666666671</v>
      </c>
      <c r="K699" s="24">
        <v>350</v>
      </c>
      <c r="O699" s="24">
        <v>975</v>
      </c>
      <c r="Q699" s="42">
        <v>1</v>
      </c>
      <c r="R699" s="42">
        <v>1</v>
      </c>
      <c r="S699" s="42"/>
      <c r="T699" s="42" t="s">
        <v>454</v>
      </c>
      <c r="U699" s="42" t="s">
        <v>1381</v>
      </c>
      <c r="V699" s="42" t="s">
        <v>1381</v>
      </c>
      <c r="W699" s="42" t="s">
        <v>1381</v>
      </c>
      <c r="X699" s="42" t="s">
        <v>1381</v>
      </c>
      <c r="Z699" s="321"/>
      <c r="AA699" s="321"/>
      <c r="AB699" s="24" t="s">
        <v>451</v>
      </c>
      <c r="AC699" s="24">
        <v>6.38</v>
      </c>
      <c r="AG699" s="24" t="s">
        <v>452</v>
      </c>
      <c r="AH699" s="138" t="s">
        <v>1588</v>
      </c>
      <c r="AI699" s="24" t="s">
        <v>133</v>
      </c>
      <c r="AJ699" s="140" t="s">
        <v>133</v>
      </c>
      <c r="AN699" s="24" t="s">
        <v>298</v>
      </c>
      <c r="AO699" s="24" t="s">
        <v>298</v>
      </c>
      <c r="AP699" s="24" t="s">
        <v>178</v>
      </c>
      <c r="AQ699" s="24" t="s">
        <v>458</v>
      </c>
      <c r="AR699" s="24" t="s">
        <v>458</v>
      </c>
      <c r="AT699" s="24" t="s">
        <v>120</v>
      </c>
      <c r="AU699" s="24">
        <v>5</v>
      </c>
      <c r="AW699" s="24" t="s">
        <v>142</v>
      </c>
      <c r="BA699" s="53" t="s">
        <v>298</v>
      </c>
      <c r="BB699" s="24" t="s">
        <v>457</v>
      </c>
      <c r="BC699" s="24">
        <v>2.3849999999999998</v>
      </c>
      <c r="BD699" s="24">
        <v>3.3530000000000002</v>
      </c>
      <c r="BG699" s="24" t="s">
        <v>835</v>
      </c>
      <c r="BM699" s="395"/>
      <c r="BN699" s="395"/>
      <c r="BR699" s="395"/>
      <c r="BS699" s="395"/>
      <c r="GC699" s="24">
        <v>16.531400000000001</v>
      </c>
      <c r="GD699" s="24">
        <v>39.47</v>
      </c>
      <c r="GG699" s="24" t="s">
        <v>456</v>
      </c>
      <c r="IO699" s="24" t="s">
        <v>465</v>
      </c>
      <c r="IP699" s="24" t="s">
        <v>456</v>
      </c>
    </row>
    <row r="700" spans="1:250" s="24" customFormat="1" x14ac:dyDescent="0.25">
      <c r="A700" s="24">
        <v>31</v>
      </c>
      <c r="B700" s="24" t="s">
        <v>448</v>
      </c>
      <c r="C700" s="24" t="s">
        <v>449</v>
      </c>
      <c r="D700" s="24">
        <v>1999</v>
      </c>
      <c r="E700" s="24">
        <v>1997</v>
      </c>
      <c r="F700" s="24" t="s">
        <v>450</v>
      </c>
      <c r="G700" s="24" t="s">
        <v>319</v>
      </c>
      <c r="H700" s="32" t="s">
        <v>2831</v>
      </c>
      <c r="I700" s="24">
        <v>40.716666666666669</v>
      </c>
      <c r="J700" s="24">
        <v>-77.916666666666671</v>
      </c>
      <c r="K700" s="24">
        <v>350</v>
      </c>
      <c r="O700" s="24">
        <v>975</v>
      </c>
      <c r="Q700" s="42">
        <v>1</v>
      </c>
      <c r="R700" s="42">
        <v>1</v>
      </c>
      <c r="S700" s="42"/>
      <c r="T700" s="42" t="s">
        <v>455</v>
      </c>
      <c r="U700" s="42" t="s">
        <v>1381</v>
      </c>
      <c r="V700" s="42" t="s">
        <v>1381</v>
      </c>
      <c r="W700" s="42" t="s">
        <v>1381</v>
      </c>
      <c r="X700" s="42" t="s">
        <v>1381</v>
      </c>
      <c r="Z700" s="321"/>
      <c r="AA700" s="321"/>
      <c r="AB700" s="24" t="s">
        <v>451</v>
      </c>
      <c r="AC700" s="24">
        <v>6.38</v>
      </c>
      <c r="AG700" s="24" t="s">
        <v>1531</v>
      </c>
      <c r="AH700" s="138" t="s">
        <v>1585</v>
      </c>
      <c r="AI700" s="24" t="s">
        <v>133</v>
      </c>
      <c r="AJ700" s="140" t="s">
        <v>133</v>
      </c>
      <c r="AN700" s="24" t="s">
        <v>298</v>
      </c>
      <c r="AO700" s="24" t="s">
        <v>298</v>
      </c>
      <c r="AP700" s="24" t="s">
        <v>178</v>
      </c>
      <c r="AQ700" s="24" t="s">
        <v>458</v>
      </c>
      <c r="AR700" s="24" t="s">
        <v>458</v>
      </c>
      <c r="AT700" s="24" t="s">
        <v>120</v>
      </c>
      <c r="AU700" s="24">
        <v>5</v>
      </c>
      <c r="AW700" s="24" t="s">
        <v>142</v>
      </c>
      <c r="BA700" s="53" t="s">
        <v>298</v>
      </c>
      <c r="BM700" s="395"/>
      <c r="BN700" s="395"/>
      <c r="BR700" s="395"/>
      <c r="BS700" s="395"/>
      <c r="GC700" s="24">
        <v>45.444699999999997</v>
      </c>
      <c r="GD700" s="24">
        <v>61.37</v>
      </c>
      <c r="GG700" s="24" t="s">
        <v>456</v>
      </c>
      <c r="IO700" s="24" t="s">
        <v>465</v>
      </c>
      <c r="IP700" s="24" t="s">
        <v>456</v>
      </c>
    </row>
    <row r="701" spans="1:250" s="24" customFormat="1" x14ac:dyDescent="0.25">
      <c r="A701" s="24">
        <v>31</v>
      </c>
      <c r="B701" s="24" t="s">
        <v>448</v>
      </c>
      <c r="C701" s="24" t="s">
        <v>449</v>
      </c>
      <c r="D701" s="24">
        <v>1999</v>
      </c>
      <c r="E701" s="24">
        <v>1997</v>
      </c>
      <c r="F701" s="24" t="s">
        <v>450</v>
      </c>
      <c r="G701" s="24" t="s">
        <v>319</v>
      </c>
      <c r="H701" s="32" t="s">
        <v>2831</v>
      </c>
      <c r="I701" s="24">
        <v>40.716666666666669</v>
      </c>
      <c r="J701" s="24">
        <v>-77.916666666666671</v>
      </c>
      <c r="K701" s="24">
        <v>350</v>
      </c>
      <c r="O701" s="24">
        <v>975</v>
      </c>
      <c r="Q701" s="42">
        <v>1</v>
      </c>
      <c r="R701" s="42">
        <v>1</v>
      </c>
      <c r="S701" s="42"/>
      <c r="T701" s="42" t="s">
        <v>455</v>
      </c>
      <c r="U701" s="42" t="s">
        <v>1381</v>
      </c>
      <c r="V701" s="42" t="s">
        <v>1381</v>
      </c>
      <c r="W701" s="42" t="s">
        <v>1381</v>
      </c>
      <c r="X701" s="42" t="s">
        <v>1381</v>
      </c>
      <c r="Z701" s="321"/>
      <c r="AA701" s="321"/>
      <c r="AB701" s="24" t="s">
        <v>451</v>
      </c>
      <c r="AC701" s="24">
        <v>6.38</v>
      </c>
      <c r="AG701" s="24" t="s">
        <v>452</v>
      </c>
      <c r="AH701" s="138" t="s">
        <v>1588</v>
      </c>
      <c r="AI701" s="24" t="s">
        <v>133</v>
      </c>
      <c r="AJ701" s="140" t="s">
        <v>133</v>
      </c>
      <c r="AN701" s="24" t="s">
        <v>298</v>
      </c>
      <c r="AO701" s="24" t="s">
        <v>298</v>
      </c>
      <c r="AP701" s="24" t="s">
        <v>178</v>
      </c>
      <c r="AQ701" s="24" t="s">
        <v>458</v>
      </c>
      <c r="AR701" s="24" t="s">
        <v>458</v>
      </c>
      <c r="AT701" s="24" t="s">
        <v>120</v>
      </c>
      <c r="AU701" s="24">
        <v>5</v>
      </c>
      <c r="AW701" s="24" t="s">
        <v>142</v>
      </c>
      <c r="BA701" s="53" t="s">
        <v>298</v>
      </c>
      <c r="BM701" s="395"/>
      <c r="BN701" s="395"/>
      <c r="BR701" s="395"/>
      <c r="BS701" s="395"/>
      <c r="GC701" s="24">
        <v>45.444699999999997</v>
      </c>
      <c r="GD701" s="24">
        <v>82.69</v>
      </c>
      <c r="GG701" s="24" t="s">
        <v>456</v>
      </c>
      <c r="IO701" s="24" t="s">
        <v>465</v>
      </c>
      <c r="IP701" s="24" t="s">
        <v>456</v>
      </c>
    </row>
    <row r="702" spans="1:250" s="33" customFormat="1" x14ac:dyDescent="0.25">
      <c r="A702" s="33">
        <v>32</v>
      </c>
      <c r="B702" s="33" t="s">
        <v>459</v>
      </c>
      <c r="C702" s="33" t="s">
        <v>460</v>
      </c>
      <c r="D702" s="33">
        <v>2007</v>
      </c>
      <c r="E702" s="33">
        <v>2001</v>
      </c>
      <c r="F702" s="33" t="s">
        <v>419</v>
      </c>
      <c r="G702" s="33" t="s">
        <v>461</v>
      </c>
      <c r="H702" s="32" t="s">
        <v>2831</v>
      </c>
      <c r="I702" s="33">
        <f t="shared" ref="I702:I711" si="201">42.05</f>
        <v>42.05</v>
      </c>
      <c r="J702" s="33">
        <f t="shared" ref="J702:J711" si="202">-93.71</f>
        <v>-93.71</v>
      </c>
      <c r="K702" s="33">
        <v>307.8</v>
      </c>
      <c r="L702" s="33">
        <v>10.1</v>
      </c>
      <c r="M702" s="33">
        <v>9.1999999999999993</v>
      </c>
      <c r="N702" s="33">
        <v>807</v>
      </c>
      <c r="O702" s="33">
        <v>837</v>
      </c>
      <c r="Q702" s="47">
        <v>1</v>
      </c>
      <c r="R702" s="47" t="s">
        <v>1741</v>
      </c>
      <c r="S702" s="47"/>
      <c r="T702" s="47" t="s">
        <v>1918</v>
      </c>
      <c r="U702" s="47" t="s">
        <v>1403</v>
      </c>
      <c r="V702" s="47" t="s">
        <v>1733</v>
      </c>
      <c r="W702" s="47" t="s">
        <v>1403</v>
      </c>
      <c r="X702" s="47" t="s">
        <v>1421</v>
      </c>
      <c r="Y702" s="33">
        <v>1.25</v>
      </c>
      <c r="Z702" s="327"/>
      <c r="AA702" s="327"/>
      <c r="AB702" s="33" t="s">
        <v>140</v>
      </c>
      <c r="AF702" s="33" t="s">
        <v>1333</v>
      </c>
      <c r="AG702" s="33" t="s">
        <v>464</v>
      </c>
      <c r="AH702" s="138" t="s">
        <v>1585</v>
      </c>
      <c r="AI702" s="33" t="s">
        <v>159</v>
      </c>
      <c r="AJ702" s="141" t="s">
        <v>1615</v>
      </c>
      <c r="AK702" s="33" t="s">
        <v>462</v>
      </c>
      <c r="AL702" s="33" t="s">
        <v>462</v>
      </c>
      <c r="AM702" s="33" t="s">
        <v>178</v>
      </c>
      <c r="AN702" s="33" t="s">
        <v>463</v>
      </c>
      <c r="AO702" s="33" t="s">
        <v>463</v>
      </c>
      <c r="AP702" s="33" t="s">
        <v>178</v>
      </c>
      <c r="AT702" s="33" t="s">
        <v>120</v>
      </c>
      <c r="AU702" s="33">
        <v>4</v>
      </c>
      <c r="AW702" s="33" t="s">
        <v>142</v>
      </c>
      <c r="BA702" s="54"/>
      <c r="BM702" s="402"/>
      <c r="BN702" s="402"/>
      <c r="BR702" s="402"/>
      <c r="BS702" s="402"/>
      <c r="BW702" s="33">
        <f>27.6*0.067</f>
        <v>1.8492000000000002</v>
      </c>
      <c r="BX702" s="33">
        <f>27.8*0.067</f>
        <v>1.8626000000000003</v>
      </c>
      <c r="CA702" s="33" t="s">
        <v>466</v>
      </c>
      <c r="GM702" s="12"/>
      <c r="GQ702" s="12"/>
    </row>
    <row r="703" spans="1:250" s="33" customFormat="1" x14ac:dyDescent="0.25">
      <c r="A703" s="33">
        <v>32</v>
      </c>
      <c r="B703" s="33" t="s">
        <v>459</v>
      </c>
      <c r="C703" s="33" t="s">
        <v>460</v>
      </c>
      <c r="D703" s="33">
        <v>2007</v>
      </c>
      <c r="E703" s="33">
        <v>2001</v>
      </c>
      <c r="F703" s="33" t="s">
        <v>419</v>
      </c>
      <c r="G703" s="33" t="s">
        <v>461</v>
      </c>
      <c r="H703" s="32" t="s">
        <v>2831</v>
      </c>
      <c r="I703" s="33">
        <f t="shared" si="201"/>
        <v>42.05</v>
      </c>
      <c r="J703" s="33">
        <f t="shared" si="202"/>
        <v>-93.71</v>
      </c>
      <c r="K703" s="33">
        <v>307.8</v>
      </c>
      <c r="L703" s="33">
        <v>10.1</v>
      </c>
      <c r="M703" s="33">
        <v>9.1999999999999993</v>
      </c>
      <c r="N703" s="33">
        <v>807</v>
      </c>
      <c r="O703" s="33">
        <v>837</v>
      </c>
      <c r="Q703" s="47">
        <v>1</v>
      </c>
      <c r="R703" s="47" t="s">
        <v>1741</v>
      </c>
      <c r="S703" s="47"/>
      <c r="T703" s="47" t="s">
        <v>1918</v>
      </c>
      <c r="U703" s="47" t="s">
        <v>1403</v>
      </c>
      <c r="V703" s="47" t="s">
        <v>1733</v>
      </c>
      <c r="W703" s="47" t="s">
        <v>1403</v>
      </c>
      <c r="X703" s="47" t="s">
        <v>1421</v>
      </c>
      <c r="Y703" s="33">
        <v>1.25</v>
      </c>
      <c r="Z703" s="327"/>
      <c r="AA703" s="327"/>
      <c r="AB703" s="33" t="s">
        <v>140</v>
      </c>
      <c r="AF703" s="33" t="s">
        <v>1333</v>
      </c>
      <c r="AG703" s="33" t="s">
        <v>132</v>
      </c>
      <c r="AH703" s="138" t="s">
        <v>132</v>
      </c>
      <c r="AI703" s="33" t="s">
        <v>133</v>
      </c>
      <c r="AJ703" s="141" t="s">
        <v>1615</v>
      </c>
      <c r="AK703" s="33" t="s">
        <v>462</v>
      </c>
      <c r="AL703" s="33" t="s">
        <v>462</v>
      </c>
      <c r="AM703" s="33" t="s">
        <v>178</v>
      </c>
      <c r="AN703" s="33" t="s">
        <v>463</v>
      </c>
      <c r="AO703" s="33" t="s">
        <v>463</v>
      </c>
      <c r="AP703" s="33" t="s">
        <v>178</v>
      </c>
      <c r="AT703" s="33" t="s">
        <v>120</v>
      </c>
      <c r="AU703" s="33">
        <v>4</v>
      </c>
      <c r="AW703" s="33" t="s">
        <v>142</v>
      </c>
      <c r="BA703" s="54"/>
      <c r="BM703" s="402"/>
      <c r="BN703" s="402"/>
      <c r="BR703" s="402"/>
      <c r="BS703" s="402"/>
      <c r="BW703" s="33">
        <f>27.6*0.067</f>
        <v>1.8492000000000002</v>
      </c>
      <c r="BX703" s="33">
        <f>13.7*0.067</f>
        <v>0.91790000000000005</v>
      </c>
      <c r="CA703" s="33" t="s">
        <v>466</v>
      </c>
      <c r="GM703" s="12"/>
      <c r="GQ703" s="12"/>
    </row>
    <row r="704" spans="1:250" s="33" customFormat="1" x14ac:dyDescent="0.25">
      <c r="A704" s="33">
        <v>32</v>
      </c>
      <c r="B704" s="33" t="s">
        <v>459</v>
      </c>
      <c r="C704" s="33" t="s">
        <v>460</v>
      </c>
      <c r="D704" s="33">
        <v>2007</v>
      </c>
      <c r="E704" s="33">
        <v>2002</v>
      </c>
      <c r="F704" s="33" t="s">
        <v>419</v>
      </c>
      <c r="G704" s="33" t="s">
        <v>461</v>
      </c>
      <c r="H704" s="32" t="s">
        <v>2831</v>
      </c>
      <c r="I704" s="33">
        <f t="shared" si="201"/>
        <v>42.05</v>
      </c>
      <c r="J704" s="33">
        <f t="shared" si="202"/>
        <v>-93.71</v>
      </c>
      <c r="K704" s="33">
        <v>307.8</v>
      </c>
      <c r="L704" s="33">
        <v>10.199999999999999</v>
      </c>
      <c r="M704" s="33">
        <v>9.1999999999999993</v>
      </c>
      <c r="N704" s="33">
        <v>831</v>
      </c>
      <c r="O704" s="33">
        <v>837</v>
      </c>
      <c r="Q704" s="47">
        <v>2</v>
      </c>
      <c r="R704" s="47" t="s">
        <v>1741</v>
      </c>
      <c r="S704" s="47"/>
      <c r="T704" s="47" t="s">
        <v>1918</v>
      </c>
      <c r="U704" s="47" t="s">
        <v>1403</v>
      </c>
      <c r="V704" s="47" t="s">
        <v>1733</v>
      </c>
      <c r="W704" s="47" t="s">
        <v>1403</v>
      </c>
      <c r="X704" s="47" t="s">
        <v>1421</v>
      </c>
      <c r="Y704" s="33">
        <v>1.25</v>
      </c>
      <c r="Z704" s="327"/>
      <c r="AA704" s="327"/>
      <c r="AB704" s="33" t="s">
        <v>140</v>
      </c>
      <c r="AF704" s="33" t="s">
        <v>1333</v>
      </c>
      <c r="AG704" s="33" t="s">
        <v>464</v>
      </c>
      <c r="AH704" s="138" t="s">
        <v>1585</v>
      </c>
      <c r="AI704" s="33" t="s">
        <v>159</v>
      </c>
      <c r="AJ704" s="141" t="s">
        <v>1615</v>
      </c>
      <c r="AK704" s="33" t="s">
        <v>462</v>
      </c>
      <c r="AL704" s="33" t="s">
        <v>462</v>
      </c>
      <c r="AM704" s="33" t="s">
        <v>178</v>
      </c>
      <c r="AN704" s="33" t="s">
        <v>463</v>
      </c>
      <c r="AO704" s="33" t="s">
        <v>463</v>
      </c>
      <c r="AP704" s="33" t="s">
        <v>178</v>
      </c>
      <c r="AT704" s="33" t="s">
        <v>120</v>
      </c>
      <c r="AU704" s="33">
        <v>4</v>
      </c>
      <c r="AW704" s="33" t="s">
        <v>142</v>
      </c>
      <c r="BA704" s="54"/>
      <c r="BH704" s="33">
        <f>12.4*1000</f>
        <v>12400</v>
      </c>
      <c r="BI704" s="33">
        <f>12.1*1000</f>
        <v>12100</v>
      </c>
      <c r="BM704" s="402"/>
      <c r="BN704" s="402"/>
      <c r="BR704" s="402"/>
      <c r="BS704" s="402"/>
      <c r="BW704" s="33">
        <f>61.7*0.067</f>
        <v>4.1339000000000006</v>
      </c>
      <c r="BX704" s="33">
        <f>49.3*0.067</f>
        <v>3.3031000000000001</v>
      </c>
      <c r="CA704" s="33" t="s">
        <v>466</v>
      </c>
      <c r="EO704" s="33">
        <v>19.100000000000001</v>
      </c>
      <c r="EP704" s="33">
        <v>23.4</v>
      </c>
      <c r="ES704" s="33" t="s">
        <v>467</v>
      </c>
      <c r="GM704" s="12"/>
      <c r="GQ704" s="12"/>
    </row>
    <row r="705" spans="1:199" s="33" customFormat="1" x14ac:dyDescent="0.25">
      <c r="A705" s="33">
        <v>32</v>
      </c>
      <c r="B705" s="33" t="s">
        <v>459</v>
      </c>
      <c r="C705" s="33" t="s">
        <v>460</v>
      </c>
      <c r="D705" s="33">
        <v>2007</v>
      </c>
      <c r="E705" s="33">
        <v>2002</v>
      </c>
      <c r="F705" s="33" t="s">
        <v>419</v>
      </c>
      <c r="G705" s="33" t="s">
        <v>461</v>
      </c>
      <c r="H705" s="32" t="s">
        <v>2831</v>
      </c>
      <c r="I705" s="33">
        <f t="shared" si="201"/>
        <v>42.05</v>
      </c>
      <c r="J705" s="33">
        <f t="shared" si="202"/>
        <v>-93.71</v>
      </c>
      <c r="K705" s="33">
        <v>307.8</v>
      </c>
      <c r="L705" s="33">
        <v>10.199999999999999</v>
      </c>
      <c r="M705" s="33">
        <v>9.1999999999999993</v>
      </c>
      <c r="N705" s="33">
        <v>831</v>
      </c>
      <c r="O705" s="33">
        <v>837</v>
      </c>
      <c r="Q705" s="47">
        <v>2</v>
      </c>
      <c r="R705" s="47" t="s">
        <v>1741</v>
      </c>
      <c r="S705" s="47"/>
      <c r="T705" s="47" t="s">
        <v>1918</v>
      </c>
      <c r="U705" s="47" t="s">
        <v>1403</v>
      </c>
      <c r="V705" s="47" t="s">
        <v>1733</v>
      </c>
      <c r="W705" s="47" t="s">
        <v>1403</v>
      </c>
      <c r="X705" s="47" t="s">
        <v>1421</v>
      </c>
      <c r="Y705" s="33">
        <v>1.25</v>
      </c>
      <c r="Z705" s="327"/>
      <c r="AA705" s="327"/>
      <c r="AB705" s="33" t="s">
        <v>140</v>
      </c>
      <c r="AF705" s="33" t="s">
        <v>1333</v>
      </c>
      <c r="AG705" s="33" t="s">
        <v>132</v>
      </c>
      <c r="AH705" s="138" t="s">
        <v>132</v>
      </c>
      <c r="AI705" s="33" t="s">
        <v>133</v>
      </c>
      <c r="AJ705" s="141" t="s">
        <v>1615</v>
      </c>
      <c r="AK705" s="33" t="s">
        <v>462</v>
      </c>
      <c r="AL705" s="33" t="s">
        <v>462</v>
      </c>
      <c r="AM705" s="33" t="s">
        <v>178</v>
      </c>
      <c r="AN705" s="33" t="s">
        <v>463</v>
      </c>
      <c r="AO705" s="33" t="s">
        <v>463</v>
      </c>
      <c r="AP705" s="33" t="s">
        <v>178</v>
      </c>
      <c r="AT705" s="33" t="s">
        <v>120</v>
      </c>
      <c r="AU705" s="33">
        <v>4</v>
      </c>
      <c r="AW705" s="33" t="s">
        <v>142</v>
      </c>
      <c r="AY705" s="33">
        <f>2.43*1000</f>
        <v>2430</v>
      </c>
      <c r="AZ705" s="33">
        <f>AY705/55.88</f>
        <v>43.486041517537579</v>
      </c>
      <c r="BA705" s="54"/>
      <c r="BH705" s="33">
        <f>12.4*1000</f>
        <v>12400</v>
      </c>
      <c r="BI705" s="33">
        <f>11.2*1000</f>
        <v>11200</v>
      </c>
      <c r="BM705" s="402"/>
      <c r="BN705" s="402"/>
      <c r="BR705" s="402"/>
      <c r="BS705" s="402"/>
      <c r="BW705" s="33">
        <f>61.7*0.067</f>
        <v>4.1339000000000006</v>
      </c>
      <c r="BX705" s="33">
        <f>26.5*0.067</f>
        <v>1.7755000000000001</v>
      </c>
      <c r="CA705" s="33" t="s">
        <v>466</v>
      </c>
      <c r="EO705" s="33">
        <v>19.100000000000001</v>
      </c>
      <c r="EP705" s="33">
        <v>5.8</v>
      </c>
      <c r="ES705" s="33" t="s">
        <v>467</v>
      </c>
      <c r="GM705" s="12"/>
      <c r="GQ705" s="12"/>
    </row>
    <row r="706" spans="1:199" s="33" customFormat="1" x14ac:dyDescent="0.25">
      <c r="A706" s="33">
        <v>32</v>
      </c>
      <c r="B706" s="33" t="s">
        <v>459</v>
      </c>
      <c r="C706" s="33" t="s">
        <v>460</v>
      </c>
      <c r="D706" s="33">
        <v>2007</v>
      </c>
      <c r="E706" s="33">
        <v>2003</v>
      </c>
      <c r="F706" s="33" t="s">
        <v>419</v>
      </c>
      <c r="G706" s="33" t="s">
        <v>461</v>
      </c>
      <c r="H706" s="32" t="s">
        <v>2831</v>
      </c>
      <c r="I706" s="33">
        <f t="shared" si="201"/>
        <v>42.05</v>
      </c>
      <c r="J706" s="33">
        <f t="shared" si="202"/>
        <v>-93.71</v>
      </c>
      <c r="K706" s="33">
        <v>307.8</v>
      </c>
      <c r="L706" s="33">
        <v>9.4</v>
      </c>
      <c r="M706" s="33">
        <v>9.1999999999999993</v>
      </c>
      <c r="N706" s="33">
        <v>891</v>
      </c>
      <c r="O706" s="33">
        <v>837</v>
      </c>
      <c r="Q706" s="47">
        <v>3</v>
      </c>
      <c r="R706" s="47" t="s">
        <v>1741</v>
      </c>
      <c r="S706" s="47"/>
      <c r="T706" s="47" t="s">
        <v>1918</v>
      </c>
      <c r="U706" s="47" t="s">
        <v>1403</v>
      </c>
      <c r="V706" s="47" t="s">
        <v>1733</v>
      </c>
      <c r="W706" s="47" t="s">
        <v>1403</v>
      </c>
      <c r="X706" s="47" t="s">
        <v>1421</v>
      </c>
      <c r="Y706" s="33">
        <v>1.25</v>
      </c>
      <c r="Z706" s="327"/>
      <c r="AA706" s="327"/>
      <c r="AB706" s="33" t="s">
        <v>140</v>
      </c>
      <c r="AF706" s="33" t="s">
        <v>1333</v>
      </c>
      <c r="AG706" s="33" t="s">
        <v>464</v>
      </c>
      <c r="AH706" s="138" t="s">
        <v>1585</v>
      </c>
      <c r="AI706" s="33" t="s">
        <v>159</v>
      </c>
      <c r="AJ706" s="141" t="s">
        <v>1615</v>
      </c>
      <c r="AK706" s="33" t="s">
        <v>462</v>
      </c>
      <c r="AL706" s="33" t="s">
        <v>462</v>
      </c>
      <c r="AM706" s="33" t="s">
        <v>178</v>
      </c>
      <c r="AN706" s="33" t="s">
        <v>463</v>
      </c>
      <c r="AO706" s="33" t="s">
        <v>463</v>
      </c>
      <c r="AP706" s="33" t="s">
        <v>178</v>
      </c>
      <c r="AT706" s="33" t="s">
        <v>120</v>
      </c>
      <c r="AU706" s="33">
        <v>4</v>
      </c>
      <c r="AW706" s="33" t="s">
        <v>142</v>
      </c>
      <c r="AY706" s="33">
        <f>1.46*1000</f>
        <v>1460</v>
      </c>
      <c r="AZ706" s="33">
        <f>AY706/18.8</f>
        <v>77.659574468085097</v>
      </c>
      <c r="BA706" s="54"/>
      <c r="BH706" s="33">
        <f>2.7*1000</f>
        <v>2700</v>
      </c>
      <c r="BI706" s="33">
        <f>2.4*1000</f>
        <v>2400</v>
      </c>
      <c r="BM706" s="402"/>
      <c r="BN706" s="402"/>
      <c r="BR706" s="402"/>
      <c r="BS706" s="402"/>
      <c r="BW706" s="33">
        <f>52.9*0.067</f>
        <v>3.5443000000000002</v>
      </c>
      <c r="BX706" s="33">
        <f>54.6*0.067</f>
        <v>3.6582000000000003</v>
      </c>
      <c r="CA706" s="33" t="s">
        <v>466</v>
      </c>
      <c r="EO706" s="33">
        <v>24.7</v>
      </c>
      <c r="EP706" s="33">
        <v>24.8</v>
      </c>
      <c r="ES706" s="33" t="s">
        <v>467</v>
      </c>
      <c r="GM706" s="12"/>
      <c r="GQ706" s="12"/>
    </row>
    <row r="707" spans="1:199" s="33" customFormat="1" x14ac:dyDescent="0.25">
      <c r="A707" s="33">
        <v>32</v>
      </c>
      <c r="B707" s="33" t="s">
        <v>459</v>
      </c>
      <c r="C707" s="33" t="s">
        <v>460</v>
      </c>
      <c r="D707" s="33">
        <v>2007</v>
      </c>
      <c r="E707" s="33">
        <v>2003</v>
      </c>
      <c r="F707" s="33" t="s">
        <v>419</v>
      </c>
      <c r="G707" s="33" t="s">
        <v>461</v>
      </c>
      <c r="H707" s="32" t="s">
        <v>2831</v>
      </c>
      <c r="I707" s="33">
        <f t="shared" si="201"/>
        <v>42.05</v>
      </c>
      <c r="J707" s="33">
        <f t="shared" si="202"/>
        <v>-93.71</v>
      </c>
      <c r="K707" s="33">
        <v>307.8</v>
      </c>
      <c r="L707" s="33">
        <v>9.4</v>
      </c>
      <c r="M707" s="33">
        <v>9.1999999999999993</v>
      </c>
      <c r="N707" s="33">
        <v>891</v>
      </c>
      <c r="O707" s="33">
        <v>837</v>
      </c>
      <c r="Q707" s="47">
        <v>3</v>
      </c>
      <c r="R707" s="47" t="s">
        <v>1741</v>
      </c>
      <c r="S707" s="47"/>
      <c r="T707" s="47" t="s">
        <v>1918</v>
      </c>
      <c r="U707" s="47" t="s">
        <v>1403</v>
      </c>
      <c r="V707" s="47" t="s">
        <v>1733</v>
      </c>
      <c r="W707" s="47" t="s">
        <v>1403</v>
      </c>
      <c r="X707" s="47" t="s">
        <v>1421</v>
      </c>
      <c r="Y707" s="33">
        <v>1.25</v>
      </c>
      <c r="Z707" s="327"/>
      <c r="AA707" s="327"/>
      <c r="AB707" s="33" t="s">
        <v>140</v>
      </c>
      <c r="AF707" s="33" t="s">
        <v>1333</v>
      </c>
      <c r="AG707" s="33" t="s">
        <v>132</v>
      </c>
      <c r="AH707" s="138" t="s">
        <v>132</v>
      </c>
      <c r="AI707" s="33" t="s">
        <v>133</v>
      </c>
      <c r="AJ707" s="141" t="s">
        <v>1615</v>
      </c>
      <c r="AK707" s="33" t="s">
        <v>462</v>
      </c>
      <c r="AL707" s="33" t="s">
        <v>462</v>
      </c>
      <c r="AM707" s="33" t="s">
        <v>178</v>
      </c>
      <c r="AN707" s="33" t="s">
        <v>463</v>
      </c>
      <c r="AO707" s="33" t="s">
        <v>463</v>
      </c>
      <c r="AP707" s="33" t="s">
        <v>178</v>
      </c>
      <c r="AT707" s="33" t="s">
        <v>120</v>
      </c>
      <c r="AU707" s="33">
        <v>4</v>
      </c>
      <c r="AW707" s="33" t="s">
        <v>142</v>
      </c>
      <c r="AY707" s="33">
        <f>0.25*1000</f>
        <v>250</v>
      </c>
      <c r="AZ707" s="33">
        <f>AY707/9.3</f>
        <v>26.881720430107524</v>
      </c>
      <c r="BA707" s="54"/>
      <c r="BH707" s="33">
        <f>2.7*1000</f>
        <v>2700</v>
      </c>
      <c r="BI707" s="33">
        <f>2.7*1000</f>
        <v>2700</v>
      </c>
      <c r="BM707" s="402"/>
      <c r="BN707" s="402"/>
      <c r="BR707" s="402"/>
      <c r="BS707" s="402"/>
      <c r="BW707" s="33">
        <f>52.9*0.067</f>
        <v>3.5443000000000002</v>
      </c>
      <c r="BX707" s="33">
        <f>44.2*0.067</f>
        <v>2.9614000000000003</v>
      </c>
      <c r="CA707" s="33" t="s">
        <v>466</v>
      </c>
      <c r="EO707" s="33">
        <v>24.7</v>
      </c>
      <c r="EP707" s="33">
        <v>11.8</v>
      </c>
      <c r="ES707" s="33" t="s">
        <v>467</v>
      </c>
      <c r="GM707" s="12"/>
      <c r="GQ707" s="12"/>
    </row>
    <row r="708" spans="1:199" s="33" customFormat="1" x14ac:dyDescent="0.25">
      <c r="A708" s="33">
        <v>32</v>
      </c>
      <c r="B708" s="33" t="s">
        <v>459</v>
      </c>
      <c r="C708" s="33" t="s">
        <v>460</v>
      </c>
      <c r="D708" s="33">
        <v>2007</v>
      </c>
      <c r="E708" s="33">
        <v>2004</v>
      </c>
      <c r="F708" s="33" t="s">
        <v>419</v>
      </c>
      <c r="G708" s="33" t="s">
        <v>461</v>
      </c>
      <c r="H708" s="32" t="s">
        <v>2831</v>
      </c>
      <c r="I708" s="33">
        <f t="shared" si="201"/>
        <v>42.05</v>
      </c>
      <c r="J708" s="33">
        <f t="shared" si="202"/>
        <v>-93.71</v>
      </c>
      <c r="K708" s="33">
        <v>307.8</v>
      </c>
      <c r="L708" s="33">
        <v>9.9</v>
      </c>
      <c r="M708" s="33">
        <v>9.1999999999999993</v>
      </c>
      <c r="N708" s="33">
        <v>865</v>
      </c>
      <c r="O708" s="33">
        <v>837</v>
      </c>
      <c r="Q708" s="47">
        <v>4</v>
      </c>
      <c r="R708" s="47" t="s">
        <v>1741</v>
      </c>
      <c r="S708" s="47"/>
      <c r="T708" s="47" t="s">
        <v>1918</v>
      </c>
      <c r="U708" s="47" t="s">
        <v>1403</v>
      </c>
      <c r="V708" s="47" t="s">
        <v>1733</v>
      </c>
      <c r="W708" s="47" t="s">
        <v>1403</v>
      </c>
      <c r="X708" s="47" t="s">
        <v>1421</v>
      </c>
      <c r="Y708" s="33">
        <v>1.25</v>
      </c>
      <c r="Z708" s="327"/>
      <c r="AA708" s="327"/>
      <c r="AB708" s="33" t="s">
        <v>140</v>
      </c>
      <c r="AF708" s="33" t="s">
        <v>1333</v>
      </c>
      <c r="AG708" s="33" t="s">
        <v>464</v>
      </c>
      <c r="AH708" s="138" t="s">
        <v>1585</v>
      </c>
      <c r="AI708" s="33" t="s">
        <v>159</v>
      </c>
      <c r="AJ708" s="141" t="s">
        <v>1615</v>
      </c>
      <c r="AK708" s="33" t="s">
        <v>462</v>
      </c>
      <c r="AL708" s="33" t="s">
        <v>462</v>
      </c>
      <c r="AM708" s="33" t="s">
        <v>178</v>
      </c>
      <c r="AN708" s="33" t="s">
        <v>463</v>
      </c>
      <c r="AO708" s="33" t="s">
        <v>463</v>
      </c>
      <c r="AP708" s="33" t="s">
        <v>178</v>
      </c>
      <c r="AT708" s="33" t="s">
        <v>120</v>
      </c>
      <c r="AU708" s="33">
        <v>4</v>
      </c>
      <c r="AW708" s="33" t="s">
        <v>142</v>
      </c>
      <c r="AY708" s="33">
        <f>2.02*1000</f>
        <v>2020</v>
      </c>
      <c r="AZ708" s="33">
        <f>AY708/25.5</f>
        <v>79.215686274509807</v>
      </c>
      <c r="BA708" s="54"/>
      <c r="BH708" s="33">
        <f>13.3*1000</f>
        <v>13300</v>
      </c>
      <c r="BI708" s="33">
        <f>13.1*1000</f>
        <v>13100</v>
      </c>
      <c r="BM708" s="402"/>
      <c r="BN708" s="402"/>
      <c r="BR708" s="402"/>
      <c r="BS708" s="402"/>
      <c r="BW708" s="33">
        <f>94.6*0.067</f>
        <v>6.3381999999999996</v>
      </c>
      <c r="BX708" s="33">
        <f>59.6*0.067</f>
        <v>3.9932000000000003</v>
      </c>
      <c r="CA708" s="33" t="s">
        <v>466</v>
      </c>
      <c r="EO708" s="33">
        <v>19.8</v>
      </c>
      <c r="EP708" s="33">
        <v>17.399999999999999</v>
      </c>
      <c r="ES708" s="33" t="s">
        <v>467</v>
      </c>
      <c r="GM708" s="12"/>
      <c r="GQ708" s="12"/>
    </row>
    <row r="709" spans="1:199" s="33" customFormat="1" x14ac:dyDescent="0.25">
      <c r="A709" s="33">
        <v>32</v>
      </c>
      <c r="B709" s="33" t="s">
        <v>459</v>
      </c>
      <c r="C709" s="33" t="s">
        <v>460</v>
      </c>
      <c r="D709" s="33">
        <v>2007</v>
      </c>
      <c r="E709" s="33">
        <v>2004</v>
      </c>
      <c r="F709" s="33" t="s">
        <v>419</v>
      </c>
      <c r="G709" s="33" t="s">
        <v>461</v>
      </c>
      <c r="H709" s="32" t="s">
        <v>2831</v>
      </c>
      <c r="I709" s="33">
        <f t="shared" si="201"/>
        <v>42.05</v>
      </c>
      <c r="J709" s="33">
        <f t="shared" si="202"/>
        <v>-93.71</v>
      </c>
      <c r="K709" s="33">
        <v>307.8</v>
      </c>
      <c r="L709" s="33">
        <v>9.9</v>
      </c>
      <c r="M709" s="33">
        <v>9.1999999999999993</v>
      </c>
      <c r="N709" s="33">
        <v>865</v>
      </c>
      <c r="O709" s="33">
        <v>837</v>
      </c>
      <c r="Q709" s="47">
        <v>4</v>
      </c>
      <c r="R709" s="47" t="s">
        <v>1741</v>
      </c>
      <c r="S709" s="47"/>
      <c r="T709" s="47" t="s">
        <v>1918</v>
      </c>
      <c r="U709" s="47" t="s">
        <v>1403</v>
      </c>
      <c r="V709" s="47" t="s">
        <v>1733</v>
      </c>
      <c r="W709" s="47" t="s">
        <v>1403</v>
      </c>
      <c r="X709" s="47" t="s">
        <v>1421</v>
      </c>
      <c r="Y709" s="33">
        <v>1.25</v>
      </c>
      <c r="Z709" s="327"/>
      <c r="AA709" s="327"/>
      <c r="AB709" s="33" t="s">
        <v>140</v>
      </c>
      <c r="AF709" s="33" t="s">
        <v>1333</v>
      </c>
      <c r="AG709" s="33" t="s">
        <v>132</v>
      </c>
      <c r="AH709" s="138" t="s">
        <v>132</v>
      </c>
      <c r="AI709" s="33" t="s">
        <v>133</v>
      </c>
      <c r="AJ709" s="141" t="s">
        <v>1615</v>
      </c>
      <c r="AK709" s="33" t="s">
        <v>462</v>
      </c>
      <c r="AL709" s="33" t="s">
        <v>462</v>
      </c>
      <c r="AM709" s="33" t="s">
        <v>178</v>
      </c>
      <c r="AN709" s="33" t="s">
        <v>463</v>
      </c>
      <c r="AO709" s="33" t="s">
        <v>463</v>
      </c>
      <c r="AP709" s="33" t="s">
        <v>178</v>
      </c>
      <c r="AT709" s="33" t="s">
        <v>120</v>
      </c>
      <c r="AU709" s="33">
        <v>4</v>
      </c>
      <c r="AW709" s="33" t="s">
        <v>142</v>
      </c>
      <c r="AY709" s="33">
        <f>1.48*1000</f>
        <v>1480</v>
      </c>
      <c r="AZ709" s="33">
        <f>AY709/48.5</f>
        <v>30.515463917525775</v>
      </c>
      <c r="BA709" s="54"/>
      <c r="BH709" s="33">
        <f>13.3*1000</f>
        <v>13300</v>
      </c>
      <c r="BI709" s="33">
        <f>13.3*1000</f>
        <v>13300</v>
      </c>
      <c r="BM709" s="402"/>
      <c r="BN709" s="402"/>
      <c r="BR709" s="402"/>
      <c r="BS709" s="402"/>
      <c r="BW709" s="33">
        <f>94.6*0.067</f>
        <v>6.3381999999999996</v>
      </c>
      <c r="BX709" s="33">
        <f>70.4*0.067</f>
        <v>4.716800000000001</v>
      </c>
      <c r="CA709" s="33" t="s">
        <v>466</v>
      </c>
      <c r="EO709" s="33">
        <v>19.8</v>
      </c>
      <c r="EP709" s="33">
        <v>9.3000000000000007</v>
      </c>
      <c r="ES709" s="33" t="s">
        <v>467</v>
      </c>
      <c r="GM709" s="12"/>
      <c r="GQ709" s="12"/>
    </row>
    <row r="710" spans="1:199" s="33" customFormat="1" x14ac:dyDescent="0.25">
      <c r="A710" s="33">
        <v>32</v>
      </c>
      <c r="B710" s="33" t="s">
        <v>459</v>
      </c>
      <c r="C710" s="33" t="s">
        <v>460</v>
      </c>
      <c r="D710" s="33">
        <v>2007</v>
      </c>
      <c r="E710" s="33">
        <v>2005</v>
      </c>
      <c r="F710" s="33" t="s">
        <v>419</v>
      </c>
      <c r="G710" s="33" t="s">
        <v>461</v>
      </c>
      <c r="H710" s="32" t="s">
        <v>2831</v>
      </c>
      <c r="I710" s="33">
        <f t="shared" si="201"/>
        <v>42.05</v>
      </c>
      <c r="J710" s="33">
        <f t="shared" si="202"/>
        <v>-93.71</v>
      </c>
      <c r="K710" s="33">
        <v>307.8</v>
      </c>
      <c r="L710" s="33">
        <v>10.6</v>
      </c>
      <c r="M710" s="33">
        <v>9.1999999999999993</v>
      </c>
      <c r="N710" s="33">
        <v>893</v>
      </c>
      <c r="O710" s="33">
        <v>837</v>
      </c>
      <c r="Q710" s="47">
        <v>5</v>
      </c>
      <c r="R710" s="47" t="s">
        <v>1741</v>
      </c>
      <c r="S710" s="47"/>
      <c r="T710" s="47" t="s">
        <v>1918</v>
      </c>
      <c r="U710" s="47" t="s">
        <v>1403</v>
      </c>
      <c r="V710" s="47" t="s">
        <v>1733</v>
      </c>
      <c r="W710" s="47" t="s">
        <v>1403</v>
      </c>
      <c r="X710" s="47" t="s">
        <v>1421</v>
      </c>
      <c r="Y710" s="33">
        <v>1.25</v>
      </c>
      <c r="Z710" s="327"/>
      <c r="AA710" s="327"/>
      <c r="AB710" s="33" t="s">
        <v>140</v>
      </c>
      <c r="AF710" s="33" t="s">
        <v>1333</v>
      </c>
      <c r="AG710" s="33" t="s">
        <v>464</v>
      </c>
      <c r="AH710" s="138" t="s">
        <v>1585</v>
      </c>
      <c r="AI710" s="33" t="s">
        <v>159</v>
      </c>
      <c r="AJ710" s="141" t="s">
        <v>1615</v>
      </c>
      <c r="AK710" s="33" t="s">
        <v>462</v>
      </c>
      <c r="AL710" s="33" t="s">
        <v>462</v>
      </c>
      <c r="AM710" s="33" t="s">
        <v>178</v>
      </c>
      <c r="AN710" s="33" t="s">
        <v>463</v>
      </c>
      <c r="AO710" s="33" t="s">
        <v>463</v>
      </c>
      <c r="AP710" s="33" t="s">
        <v>178</v>
      </c>
      <c r="AT710" s="33" t="s">
        <v>120</v>
      </c>
      <c r="AU710" s="33">
        <v>4</v>
      </c>
      <c r="AW710" s="33" t="s">
        <v>142</v>
      </c>
      <c r="AY710" s="33">
        <f>1.48*1000</f>
        <v>1480</v>
      </c>
      <c r="AZ710" s="33">
        <f>AY710/16</f>
        <v>92.5</v>
      </c>
      <c r="BA710" s="54"/>
      <c r="BH710" s="33">
        <f>4.5*1000</f>
        <v>4500</v>
      </c>
      <c r="BI710" s="33">
        <f>4.2*1000</f>
        <v>4200</v>
      </c>
      <c r="BM710" s="402"/>
      <c r="BN710" s="402"/>
      <c r="BR710" s="402"/>
      <c r="BS710" s="402"/>
      <c r="BW710" s="33">
        <f>65.3*0.067</f>
        <v>4.3750999999999998</v>
      </c>
      <c r="BX710" s="33">
        <f>46.2*0.067</f>
        <v>3.0954000000000006</v>
      </c>
      <c r="CA710" s="33" t="s">
        <v>466</v>
      </c>
      <c r="EO710" s="33">
        <v>21.6</v>
      </c>
      <c r="EP710" s="33">
        <v>17.7</v>
      </c>
      <c r="ES710" s="33" t="s">
        <v>467</v>
      </c>
      <c r="GM710" s="12"/>
      <c r="GQ710" s="12"/>
    </row>
    <row r="711" spans="1:199" s="33" customFormat="1" x14ac:dyDescent="0.25">
      <c r="A711" s="33">
        <v>32</v>
      </c>
      <c r="B711" s="33" t="s">
        <v>459</v>
      </c>
      <c r="C711" s="33" t="s">
        <v>460</v>
      </c>
      <c r="D711" s="33">
        <v>2007</v>
      </c>
      <c r="E711" s="33">
        <v>2005</v>
      </c>
      <c r="F711" s="33" t="s">
        <v>419</v>
      </c>
      <c r="G711" s="33" t="s">
        <v>461</v>
      </c>
      <c r="H711" s="32" t="s">
        <v>2831</v>
      </c>
      <c r="I711" s="33">
        <f t="shared" si="201"/>
        <v>42.05</v>
      </c>
      <c r="J711" s="33">
        <f t="shared" si="202"/>
        <v>-93.71</v>
      </c>
      <c r="K711" s="33">
        <v>307.8</v>
      </c>
      <c r="L711" s="33">
        <v>10.6</v>
      </c>
      <c r="M711" s="33">
        <v>9.1999999999999993</v>
      </c>
      <c r="N711" s="33">
        <v>893</v>
      </c>
      <c r="O711" s="33">
        <v>837</v>
      </c>
      <c r="Q711" s="47">
        <v>5</v>
      </c>
      <c r="R711" s="47" t="s">
        <v>1741</v>
      </c>
      <c r="S711" s="47"/>
      <c r="T711" s="47" t="s">
        <v>1918</v>
      </c>
      <c r="U711" s="47" t="s">
        <v>1403</v>
      </c>
      <c r="V711" s="47" t="s">
        <v>1733</v>
      </c>
      <c r="W711" s="47" t="s">
        <v>1403</v>
      </c>
      <c r="X711" s="47" t="s">
        <v>1421</v>
      </c>
      <c r="Y711" s="33">
        <v>1.25</v>
      </c>
      <c r="Z711" s="327"/>
      <c r="AA711" s="327"/>
      <c r="AB711" s="33" t="s">
        <v>140</v>
      </c>
      <c r="AF711" s="33" t="s">
        <v>1333</v>
      </c>
      <c r="AG711" s="33" t="s">
        <v>132</v>
      </c>
      <c r="AH711" s="138" t="s">
        <v>132</v>
      </c>
      <c r="AI711" s="33" t="s">
        <v>133</v>
      </c>
      <c r="AJ711" s="141" t="s">
        <v>1615</v>
      </c>
      <c r="AK711" s="33" t="s">
        <v>462</v>
      </c>
      <c r="AL711" s="33" t="s">
        <v>462</v>
      </c>
      <c r="AM711" s="33" t="s">
        <v>178</v>
      </c>
      <c r="AN711" s="33" t="s">
        <v>463</v>
      </c>
      <c r="AO711" s="33" t="s">
        <v>463</v>
      </c>
      <c r="AP711" s="33" t="s">
        <v>178</v>
      </c>
      <c r="AT711" s="33" t="s">
        <v>120</v>
      </c>
      <c r="AU711" s="33">
        <v>4</v>
      </c>
      <c r="AW711" s="33" t="s">
        <v>142</v>
      </c>
      <c r="AY711" s="33">
        <f>2.74*1000</f>
        <v>2740</v>
      </c>
      <c r="AZ711" s="33">
        <f>AY711/76.5</f>
        <v>35.816993464052288</v>
      </c>
      <c r="BA711" s="54"/>
      <c r="BH711" s="33">
        <f>4.5*1000</f>
        <v>4500</v>
      </c>
      <c r="BI711" s="33">
        <f>4.2*1000</f>
        <v>4200</v>
      </c>
      <c r="BM711" s="402"/>
      <c r="BN711" s="402"/>
      <c r="BR711" s="402"/>
      <c r="BS711" s="402"/>
      <c r="BW711" s="33">
        <f>65.3*0.067</f>
        <v>4.3750999999999998</v>
      </c>
      <c r="BX711" s="33">
        <f>82.9*0.067</f>
        <v>5.5543000000000005</v>
      </c>
      <c r="CA711" s="33" t="s">
        <v>466</v>
      </c>
      <c r="EO711" s="33">
        <v>21.6</v>
      </c>
      <c r="EP711" s="33">
        <v>8</v>
      </c>
      <c r="ES711" s="33" t="s">
        <v>467</v>
      </c>
      <c r="GM711" s="12"/>
      <c r="GQ711" s="12"/>
    </row>
    <row r="712" spans="1:199" s="34" customFormat="1" x14ac:dyDescent="0.25">
      <c r="A712" s="34">
        <v>33</v>
      </c>
      <c r="B712" s="34" t="s">
        <v>468</v>
      </c>
      <c r="C712" s="34" t="s">
        <v>469</v>
      </c>
      <c r="D712" s="34">
        <v>2016</v>
      </c>
      <c r="E712" s="34">
        <v>2011</v>
      </c>
      <c r="F712" s="34" t="s">
        <v>470</v>
      </c>
      <c r="G712" s="34" t="s">
        <v>319</v>
      </c>
      <c r="H712" s="32" t="s">
        <v>2831</v>
      </c>
      <c r="I712" s="34">
        <v>40.72</v>
      </c>
      <c r="J712" s="34">
        <v>-77.92</v>
      </c>
      <c r="K712" s="34">
        <v>350</v>
      </c>
      <c r="Q712" s="48">
        <v>1</v>
      </c>
      <c r="R712" s="48" t="s">
        <v>1867</v>
      </c>
      <c r="S712" s="48"/>
      <c r="T712" s="48" t="s">
        <v>1919</v>
      </c>
      <c r="U712" s="48" t="s">
        <v>1381</v>
      </c>
      <c r="V712" s="48" t="s">
        <v>1381</v>
      </c>
      <c r="W712" s="48" t="s">
        <v>1381</v>
      </c>
      <c r="X712" s="48" t="s">
        <v>1381</v>
      </c>
      <c r="Z712" s="328"/>
      <c r="AA712" s="328"/>
      <c r="AB712" s="34" t="s">
        <v>451</v>
      </c>
      <c r="AF712" s="34" t="s">
        <v>1334</v>
      </c>
      <c r="AG712" s="34" t="s">
        <v>132</v>
      </c>
      <c r="AH712" s="138" t="s">
        <v>132</v>
      </c>
      <c r="AI712" s="34" t="s">
        <v>159</v>
      </c>
      <c r="AJ712" s="140" t="s">
        <v>159</v>
      </c>
      <c r="AN712" s="34" t="s">
        <v>471</v>
      </c>
      <c r="AO712" s="34" t="s">
        <v>471</v>
      </c>
      <c r="AP712" s="34" t="s">
        <v>178</v>
      </c>
      <c r="AT712" s="34" t="s">
        <v>161</v>
      </c>
      <c r="AU712" s="34">
        <v>4</v>
      </c>
      <c r="AW712" s="34" t="s">
        <v>336</v>
      </c>
      <c r="BA712" s="53"/>
      <c r="BH712" s="34">
        <f>2.4*1000</f>
        <v>2400</v>
      </c>
      <c r="BI712" s="34">
        <f>2.8*1000</f>
        <v>2800</v>
      </c>
      <c r="BM712" s="404"/>
      <c r="BN712" s="404"/>
      <c r="BR712" s="404"/>
      <c r="BS712" s="404"/>
      <c r="FI712" s="34">
        <v>1800</v>
      </c>
      <c r="FJ712" s="34">
        <v>1770</v>
      </c>
      <c r="GM712" s="12"/>
      <c r="GQ712" s="12"/>
    </row>
    <row r="713" spans="1:199" s="34" customFormat="1" x14ac:dyDescent="0.25">
      <c r="A713" s="34">
        <v>33</v>
      </c>
      <c r="B713" s="34" t="s">
        <v>468</v>
      </c>
      <c r="C713" s="34" t="s">
        <v>469</v>
      </c>
      <c r="D713" s="34">
        <v>2016</v>
      </c>
      <c r="E713" s="34">
        <v>2011</v>
      </c>
      <c r="F713" s="34" t="s">
        <v>470</v>
      </c>
      <c r="G713" s="34" t="s">
        <v>319</v>
      </c>
      <c r="H713" s="32" t="s">
        <v>2831</v>
      </c>
      <c r="I713" s="34">
        <v>40.72</v>
      </c>
      <c r="J713" s="34">
        <v>-77.92</v>
      </c>
      <c r="K713" s="34">
        <v>350</v>
      </c>
      <c r="Q713" s="48">
        <v>1</v>
      </c>
      <c r="R713" s="48" t="s">
        <v>1867</v>
      </c>
      <c r="S713" s="48"/>
      <c r="T713" s="48" t="s">
        <v>1920</v>
      </c>
      <c r="U713" s="48" t="s">
        <v>1381</v>
      </c>
      <c r="V713" s="48" t="s">
        <v>1381</v>
      </c>
      <c r="W713" s="48" t="s">
        <v>1381</v>
      </c>
      <c r="X713" s="48" t="s">
        <v>1381</v>
      </c>
      <c r="Z713" s="328"/>
      <c r="AA713" s="328"/>
      <c r="AB713" s="34" t="s">
        <v>451</v>
      </c>
      <c r="AF713" s="34" t="s">
        <v>1334</v>
      </c>
      <c r="AG713" s="34" t="s">
        <v>132</v>
      </c>
      <c r="AH713" s="138" t="s">
        <v>132</v>
      </c>
      <c r="AI713" s="34" t="s">
        <v>159</v>
      </c>
      <c r="AJ713" s="140" t="s">
        <v>159</v>
      </c>
      <c r="AN713" s="34" t="s">
        <v>471</v>
      </c>
      <c r="AO713" s="34" t="s">
        <v>471</v>
      </c>
      <c r="AP713" s="34" t="s">
        <v>178</v>
      </c>
      <c r="AT713" s="34" t="s">
        <v>161</v>
      </c>
      <c r="AU713" s="34">
        <v>4</v>
      </c>
      <c r="AW713" s="34" t="s">
        <v>336</v>
      </c>
      <c r="BA713" s="53"/>
      <c r="BH713" s="34">
        <f>2.8*1000</f>
        <v>2800</v>
      </c>
      <c r="BI713" s="34">
        <f>3.2*1000</f>
        <v>3200</v>
      </c>
      <c r="BM713" s="404"/>
      <c r="BN713" s="404"/>
      <c r="BR713" s="404"/>
      <c r="BS713" s="404"/>
      <c r="FI713" s="34">
        <v>340</v>
      </c>
      <c r="FJ713" s="34">
        <v>260</v>
      </c>
      <c r="GM713" s="12"/>
      <c r="GQ713" s="12"/>
    </row>
    <row r="714" spans="1:199" s="34" customFormat="1" x14ac:dyDescent="0.25">
      <c r="A714" s="34">
        <v>33</v>
      </c>
      <c r="B714" s="34" t="s">
        <v>468</v>
      </c>
      <c r="C714" s="34" t="s">
        <v>469</v>
      </c>
      <c r="D714" s="34">
        <v>2016</v>
      </c>
      <c r="E714" s="34">
        <v>2011</v>
      </c>
      <c r="F714" s="34" t="s">
        <v>470</v>
      </c>
      <c r="G714" s="34" t="s">
        <v>319</v>
      </c>
      <c r="H714" s="32" t="s">
        <v>2831</v>
      </c>
      <c r="I714" s="34">
        <v>40.72</v>
      </c>
      <c r="J714" s="34">
        <v>-77.92</v>
      </c>
      <c r="K714" s="34">
        <v>350</v>
      </c>
      <c r="Q714" s="48">
        <v>1</v>
      </c>
      <c r="R714" s="48" t="s">
        <v>1867</v>
      </c>
      <c r="S714" s="48"/>
      <c r="T714" s="48" t="s">
        <v>1921</v>
      </c>
      <c r="U714" s="48" t="s">
        <v>1381</v>
      </c>
      <c r="V714" s="48" t="s">
        <v>1381</v>
      </c>
      <c r="W714" s="48" t="s">
        <v>1381</v>
      </c>
      <c r="X714" s="48" t="s">
        <v>1381</v>
      </c>
      <c r="Z714" s="328"/>
      <c r="AA714" s="328"/>
      <c r="AB714" s="34" t="s">
        <v>451</v>
      </c>
      <c r="AF714" s="34" t="s">
        <v>1334</v>
      </c>
      <c r="AG714" s="34" t="s">
        <v>132</v>
      </c>
      <c r="AH714" s="138" t="s">
        <v>132</v>
      </c>
      <c r="AI714" s="34" t="s">
        <v>159</v>
      </c>
      <c r="AJ714" s="140" t="s">
        <v>159</v>
      </c>
      <c r="AN714" s="34" t="s">
        <v>471</v>
      </c>
      <c r="AO714" s="34" t="s">
        <v>471</v>
      </c>
      <c r="AP714" s="34" t="s">
        <v>178</v>
      </c>
      <c r="AT714" s="34" t="s">
        <v>161</v>
      </c>
      <c r="AU714" s="34">
        <v>4</v>
      </c>
      <c r="AW714" s="34" t="s">
        <v>336</v>
      </c>
      <c r="BA714" s="53"/>
      <c r="BH714" s="34">
        <f>2.3*1000</f>
        <v>2300</v>
      </c>
      <c r="BI714" s="34">
        <f>2.8*1000</f>
        <v>2800</v>
      </c>
      <c r="BM714" s="404"/>
      <c r="BN714" s="404"/>
      <c r="BR714" s="404"/>
      <c r="BS714" s="404"/>
      <c r="FI714" s="34">
        <v>600</v>
      </c>
      <c r="FJ714" s="34">
        <v>670</v>
      </c>
      <c r="GM714" s="12"/>
      <c r="GQ714" s="12"/>
    </row>
    <row r="715" spans="1:199" s="34" customFormat="1" x14ac:dyDescent="0.25">
      <c r="A715" s="34">
        <v>33</v>
      </c>
      <c r="B715" s="34" t="s">
        <v>468</v>
      </c>
      <c r="C715" s="34" t="s">
        <v>469</v>
      </c>
      <c r="D715" s="34">
        <v>2016</v>
      </c>
      <c r="E715" s="34">
        <v>2011</v>
      </c>
      <c r="F715" s="34" t="s">
        <v>470</v>
      </c>
      <c r="G715" s="34" t="s">
        <v>319</v>
      </c>
      <c r="H715" s="32" t="s">
        <v>2831</v>
      </c>
      <c r="I715" s="34">
        <v>40.72</v>
      </c>
      <c r="J715" s="34">
        <v>-77.92</v>
      </c>
      <c r="K715" s="34">
        <v>350</v>
      </c>
      <c r="Q715" s="48">
        <v>1</v>
      </c>
      <c r="R715" s="48" t="s">
        <v>1867</v>
      </c>
      <c r="S715" s="48"/>
      <c r="T715" s="48" t="s">
        <v>1922</v>
      </c>
      <c r="U715" s="48" t="s">
        <v>1381</v>
      </c>
      <c r="V715" s="48" t="s">
        <v>1381</v>
      </c>
      <c r="W715" s="48" t="s">
        <v>1381</v>
      </c>
      <c r="X715" s="48" t="s">
        <v>1381</v>
      </c>
      <c r="Z715" s="328"/>
      <c r="AA715" s="328"/>
      <c r="AB715" s="34" t="s">
        <v>451</v>
      </c>
      <c r="AF715" s="34" t="s">
        <v>1334</v>
      </c>
      <c r="AG715" s="34" t="s">
        <v>132</v>
      </c>
      <c r="AH715" s="138" t="s">
        <v>132</v>
      </c>
      <c r="AI715" s="34" t="s">
        <v>159</v>
      </c>
      <c r="AJ715" s="140" t="s">
        <v>159</v>
      </c>
      <c r="AN715" s="34" t="s">
        <v>471</v>
      </c>
      <c r="AO715" s="34" t="s">
        <v>471</v>
      </c>
      <c r="AP715" s="34" t="s">
        <v>178</v>
      </c>
      <c r="AT715" s="34" t="s">
        <v>161</v>
      </c>
      <c r="AU715" s="34">
        <v>4</v>
      </c>
      <c r="AW715" s="34" t="s">
        <v>336</v>
      </c>
      <c r="BA715" s="53"/>
      <c r="BH715" s="34">
        <f>3*1000</f>
        <v>3000</v>
      </c>
      <c r="BI715" s="34">
        <f>3.8*1000</f>
        <v>3800</v>
      </c>
      <c r="BM715" s="404"/>
      <c r="BN715" s="404"/>
      <c r="BR715" s="404"/>
      <c r="BS715" s="404"/>
      <c r="FI715" s="34">
        <v>160</v>
      </c>
      <c r="FJ715" s="34">
        <v>110</v>
      </c>
      <c r="GM715" s="12"/>
      <c r="GQ715" s="12"/>
    </row>
    <row r="716" spans="1:199" s="34" customFormat="1" x14ac:dyDescent="0.25">
      <c r="A716" s="34">
        <v>33</v>
      </c>
      <c r="B716" s="34" t="s">
        <v>468</v>
      </c>
      <c r="C716" s="34" t="s">
        <v>469</v>
      </c>
      <c r="D716" s="34">
        <v>2016</v>
      </c>
      <c r="E716" s="34">
        <v>2012</v>
      </c>
      <c r="F716" s="34" t="s">
        <v>470</v>
      </c>
      <c r="G716" s="34" t="s">
        <v>319</v>
      </c>
      <c r="H716" s="32" t="s">
        <v>2831</v>
      </c>
      <c r="I716" s="34">
        <v>40.72</v>
      </c>
      <c r="J716" s="34">
        <v>-77.92</v>
      </c>
      <c r="K716" s="34">
        <v>350</v>
      </c>
      <c r="Q716" s="48">
        <v>2</v>
      </c>
      <c r="R716" s="48" t="s">
        <v>1867</v>
      </c>
      <c r="S716" s="48"/>
      <c r="T716" s="48" t="s">
        <v>1919</v>
      </c>
      <c r="U716" s="48" t="s">
        <v>1381</v>
      </c>
      <c r="V716" s="48" t="s">
        <v>1381</v>
      </c>
      <c r="W716" s="48" t="s">
        <v>1381</v>
      </c>
      <c r="X716" s="48" t="s">
        <v>1381</v>
      </c>
      <c r="Z716" s="328"/>
      <c r="AA716" s="328"/>
      <c r="AB716" s="34" t="s">
        <v>451</v>
      </c>
      <c r="AF716" s="34" t="s">
        <v>1334</v>
      </c>
      <c r="AG716" s="34" t="s">
        <v>132</v>
      </c>
      <c r="AH716" s="138" t="s">
        <v>132</v>
      </c>
      <c r="AI716" s="34" t="s">
        <v>159</v>
      </c>
      <c r="AJ716" s="140" t="s">
        <v>159</v>
      </c>
      <c r="AN716" s="34" t="s">
        <v>471</v>
      </c>
      <c r="AO716" s="34" t="s">
        <v>471</v>
      </c>
      <c r="AP716" s="34" t="s">
        <v>178</v>
      </c>
      <c r="AT716" s="34" t="s">
        <v>161</v>
      </c>
      <c r="AU716" s="34">
        <v>4</v>
      </c>
      <c r="AW716" s="34" t="s">
        <v>336</v>
      </c>
      <c r="BA716" s="53"/>
      <c r="BH716" s="34">
        <f>3.6*1000</f>
        <v>3600</v>
      </c>
      <c r="BI716" s="34">
        <f>3.5*1000</f>
        <v>3500</v>
      </c>
      <c r="BM716" s="404"/>
      <c r="BN716" s="404"/>
      <c r="BR716" s="404"/>
      <c r="BS716" s="404"/>
      <c r="FI716" s="34">
        <v>30</v>
      </c>
      <c r="FJ716" s="34">
        <v>910</v>
      </c>
      <c r="GM716" s="12"/>
      <c r="GQ716" s="12"/>
    </row>
    <row r="717" spans="1:199" s="34" customFormat="1" x14ac:dyDescent="0.25">
      <c r="A717" s="34">
        <v>33</v>
      </c>
      <c r="B717" s="34" t="s">
        <v>468</v>
      </c>
      <c r="C717" s="34" t="s">
        <v>469</v>
      </c>
      <c r="D717" s="34">
        <v>2016</v>
      </c>
      <c r="E717" s="34">
        <v>2012</v>
      </c>
      <c r="F717" s="34" t="s">
        <v>470</v>
      </c>
      <c r="G717" s="34" t="s">
        <v>319</v>
      </c>
      <c r="H717" s="32" t="s">
        <v>2831</v>
      </c>
      <c r="I717" s="34">
        <v>40.72</v>
      </c>
      <c r="J717" s="34">
        <v>-77.92</v>
      </c>
      <c r="K717" s="34">
        <v>350</v>
      </c>
      <c r="Q717" s="48">
        <v>2</v>
      </c>
      <c r="R717" s="48" t="s">
        <v>1867</v>
      </c>
      <c r="S717" s="48"/>
      <c r="T717" s="48" t="s">
        <v>1920</v>
      </c>
      <c r="U717" s="48" t="s">
        <v>1381</v>
      </c>
      <c r="V717" s="48" t="s">
        <v>1381</v>
      </c>
      <c r="W717" s="48" t="s">
        <v>1381</v>
      </c>
      <c r="X717" s="48" t="s">
        <v>1381</v>
      </c>
      <c r="Z717" s="328"/>
      <c r="AA717" s="328"/>
      <c r="AB717" s="34" t="s">
        <v>451</v>
      </c>
      <c r="AF717" s="34" t="s">
        <v>1334</v>
      </c>
      <c r="AG717" s="34" t="s">
        <v>132</v>
      </c>
      <c r="AH717" s="138" t="s">
        <v>132</v>
      </c>
      <c r="AI717" s="34" t="s">
        <v>159</v>
      </c>
      <c r="AJ717" s="140" t="s">
        <v>159</v>
      </c>
      <c r="AN717" s="34" t="s">
        <v>471</v>
      </c>
      <c r="AO717" s="34" t="s">
        <v>471</v>
      </c>
      <c r="AP717" s="34" t="s">
        <v>178</v>
      </c>
      <c r="AT717" s="34" t="s">
        <v>161</v>
      </c>
      <c r="AU717" s="34">
        <v>4</v>
      </c>
      <c r="AW717" s="34" t="s">
        <v>336</v>
      </c>
      <c r="BA717" s="53"/>
      <c r="BH717" s="34">
        <f>3.5*1000</f>
        <v>3500</v>
      </c>
      <c r="BI717" s="34">
        <f>3.7*1000</f>
        <v>3700</v>
      </c>
      <c r="BM717" s="404"/>
      <c r="BN717" s="404"/>
      <c r="BR717" s="404"/>
      <c r="BS717" s="404"/>
      <c r="FI717" s="34">
        <v>90</v>
      </c>
      <c r="FJ717" s="34">
        <v>510</v>
      </c>
      <c r="GM717" s="12"/>
      <c r="GQ717" s="12"/>
    </row>
    <row r="718" spans="1:199" s="34" customFormat="1" x14ac:dyDescent="0.25">
      <c r="A718" s="34">
        <v>33</v>
      </c>
      <c r="B718" s="34" t="s">
        <v>468</v>
      </c>
      <c r="C718" s="34" t="s">
        <v>469</v>
      </c>
      <c r="D718" s="34">
        <v>2016</v>
      </c>
      <c r="E718" s="34">
        <v>2012</v>
      </c>
      <c r="F718" s="34" t="s">
        <v>470</v>
      </c>
      <c r="G718" s="34" t="s">
        <v>319</v>
      </c>
      <c r="H718" s="32" t="s">
        <v>2831</v>
      </c>
      <c r="I718" s="34">
        <v>40.72</v>
      </c>
      <c r="J718" s="34">
        <v>-77.92</v>
      </c>
      <c r="K718" s="34">
        <v>350</v>
      </c>
      <c r="Q718" s="48">
        <v>2</v>
      </c>
      <c r="R718" s="48" t="s">
        <v>1867</v>
      </c>
      <c r="S718" s="48"/>
      <c r="T718" s="48" t="s">
        <v>1921</v>
      </c>
      <c r="U718" s="48" t="s">
        <v>1381</v>
      </c>
      <c r="V718" s="48" t="s">
        <v>1381</v>
      </c>
      <c r="W718" s="48" t="s">
        <v>1381</v>
      </c>
      <c r="X718" s="48" t="s">
        <v>1381</v>
      </c>
      <c r="Z718" s="328"/>
      <c r="AA718" s="328"/>
      <c r="AB718" s="34" t="s">
        <v>451</v>
      </c>
      <c r="AF718" s="34" t="s">
        <v>1334</v>
      </c>
      <c r="AG718" s="34" t="s">
        <v>132</v>
      </c>
      <c r="AH718" s="138" t="s">
        <v>132</v>
      </c>
      <c r="AI718" s="34" t="s">
        <v>159</v>
      </c>
      <c r="AJ718" s="140" t="s">
        <v>159</v>
      </c>
      <c r="AN718" s="34" t="s">
        <v>471</v>
      </c>
      <c r="AO718" s="34" t="s">
        <v>471</v>
      </c>
      <c r="AP718" s="34" t="s">
        <v>178</v>
      </c>
      <c r="AT718" s="34" t="s">
        <v>161</v>
      </c>
      <c r="AU718" s="34">
        <v>4</v>
      </c>
      <c r="AW718" s="34" t="s">
        <v>336</v>
      </c>
      <c r="BA718" s="53"/>
      <c r="BH718" s="34">
        <f>3*1000</f>
        <v>3000</v>
      </c>
      <c r="BI718" s="34">
        <f>3.5*1000</f>
        <v>3500</v>
      </c>
      <c r="BM718" s="404"/>
      <c r="BN718" s="404"/>
      <c r="BR718" s="404"/>
      <c r="BS718" s="404"/>
      <c r="FI718" s="34">
        <v>490</v>
      </c>
      <c r="FJ718" s="34">
        <v>470</v>
      </c>
      <c r="GM718" s="12"/>
      <c r="GQ718" s="12"/>
    </row>
    <row r="719" spans="1:199" s="34" customFormat="1" x14ac:dyDescent="0.25">
      <c r="A719" s="34">
        <v>33</v>
      </c>
      <c r="B719" s="34" t="s">
        <v>468</v>
      </c>
      <c r="C719" s="34" t="s">
        <v>469</v>
      </c>
      <c r="D719" s="34">
        <v>2016</v>
      </c>
      <c r="E719" s="34">
        <v>2012</v>
      </c>
      <c r="F719" s="34" t="s">
        <v>470</v>
      </c>
      <c r="G719" s="34" t="s">
        <v>319</v>
      </c>
      <c r="H719" s="32" t="s">
        <v>2831</v>
      </c>
      <c r="I719" s="34">
        <v>40.72</v>
      </c>
      <c r="J719" s="34">
        <v>-77.92</v>
      </c>
      <c r="K719" s="34">
        <v>350</v>
      </c>
      <c r="Q719" s="48">
        <v>2</v>
      </c>
      <c r="R719" s="48" t="s">
        <v>1867</v>
      </c>
      <c r="S719" s="48"/>
      <c r="T719" s="48" t="s">
        <v>1922</v>
      </c>
      <c r="U719" s="48" t="s">
        <v>1381</v>
      </c>
      <c r="V719" s="48" t="s">
        <v>1381</v>
      </c>
      <c r="W719" s="48" t="s">
        <v>1381</v>
      </c>
      <c r="X719" s="48" t="s">
        <v>1381</v>
      </c>
      <c r="Z719" s="328"/>
      <c r="AA719" s="328"/>
      <c r="AB719" s="34" t="s">
        <v>451</v>
      </c>
      <c r="AF719" s="34" t="s">
        <v>1334</v>
      </c>
      <c r="AG719" s="34" t="s">
        <v>132</v>
      </c>
      <c r="AH719" s="138" t="s">
        <v>132</v>
      </c>
      <c r="AI719" s="34" t="s">
        <v>159</v>
      </c>
      <c r="AJ719" s="140" t="s">
        <v>159</v>
      </c>
      <c r="AN719" s="34" t="s">
        <v>471</v>
      </c>
      <c r="AO719" s="34" t="s">
        <v>471</v>
      </c>
      <c r="AP719" s="34" t="s">
        <v>178</v>
      </c>
      <c r="AT719" s="34" t="s">
        <v>161</v>
      </c>
      <c r="AU719" s="34">
        <v>4</v>
      </c>
      <c r="AW719" s="34" t="s">
        <v>336</v>
      </c>
      <c r="BA719" s="53"/>
      <c r="BH719" s="34">
        <f>3.6*1000</f>
        <v>3600</v>
      </c>
      <c r="BI719" s="34">
        <f>3.8*1000</f>
        <v>3800</v>
      </c>
      <c r="BM719" s="404"/>
      <c r="BN719" s="404"/>
      <c r="BR719" s="404"/>
      <c r="BS719" s="404"/>
      <c r="FI719" s="34">
        <v>80</v>
      </c>
      <c r="FJ719" s="34">
        <v>130</v>
      </c>
      <c r="GM719" s="12"/>
      <c r="GQ719" s="12"/>
    </row>
    <row r="720" spans="1:199" s="34" customFormat="1" x14ac:dyDescent="0.25">
      <c r="A720" s="34">
        <v>33</v>
      </c>
      <c r="B720" s="34" t="s">
        <v>468</v>
      </c>
      <c r="C720" s="34" t="s">
        <v>469</v>
      </c>
      <c r="D720" s="34">
        <v>2016</v>
      </c>
      <c r="E720" s="34">
        <v>2013</v>
      </c>
      <c r="F720" s="34" t="s">
        <v>470</v>
      </c>
      <c r="G720" s="34" t="s">
        <v>319</v>
      </c>
      <c r="H720" s="32" t="s">
        <v>2831</v>
      </c>
      <c r="I720" s="34">
        <v>40.72</v>
      </c>
      <c r="J720" s="34">
        <v>-77.92</v>
      </c>
      <c r="K720" s="34">
        <v>350</v>
      </c>
      <c r="Q720" s="48">
        <v>3</v>
      </c>
      <c r="R720" s="48" t="s">
        <v>1867</v>
      </c>
      <c r="S720" s="48"/>
      <c r="T720" s="48" t="s">
        <v>1919</v>
      </c>
      <c r="U720" s="48" t="s">
        <v>1381</v>
      </c>
      <c r="V720" s="48" t="s">
        <v>1381</v>
      </c>
      <c r="W720" s="48" t="s">
        <v>1381</v>
      </c>
      <c r="X720" s="48" t="s">
        <v>1381</v>
      </c>
      <c r="Z720" s="328"/>
      <c r="AA720" s="328"/>
      <c r="AB720" s="34" t="s">
        <v>451</v>
      </c>
      <c r="AF720" s="34" t="s">
        <v>1334</v>
      </c>
      <c r="AG720" s="34" t="s">
        <v>132</v>
      </c>
      <c r="AH720" s="138" t="s">
        <v>132</v>
      </c>
      <c r="AI720" s="34" t="s">
        <v>159</v>
      </c>
      <c r="AJ720" s="140" t="s">
        <v>159</v>
      </c>
      <c r="AN720" s="34" t="s">
        <v>471</v>
      </c>
      <c r="AO720" s="34" t="s">
        <v>471</v>
      </c>
      <c r="AP720" s="34" t="s">
        <v>178</v>
      </c>
      <c r="AT720" s="34" t="s">
        <v>161</v>
      </c>
      <c r="AU720" s="34">
        <v>4</v>
      </c>
      <c r="AW720" s="34" t="s">
        <v>336</v>
      </c>
      <c r="BA720" s="53"/>
      <c r="BH720" s="34">
        <f>3.6*1000</f>
        <v>3600</v>
      </c>
      <c r="BI720" s="34">
        <f>3.7*1000</f>
        <v>3700</v>
      </c>
      <c r="BM720" s="404"/>
      <c r="BN720" s="404"/>
      <c r="BR720" s="404"/>
      <c r="BS720" s="404"/>
      <c r="FI720" s="34">
        <v>1050</v>
      </c>
      <c r="FJ720" s="34">
        <v>550</v>
      </c>
      <c r="GM720" s="12"/>
      <c r="GQ720" s="12"/>
    </row>
    <row r="721" spans="1:249" s="34" customFormat="1" x14ac:dyDescent="0.25">
      <c r="A721" s="34">
        <v>33</v>
      </c>
      <c r="B721" s="34" t="s">
        <v>468</v>
      </c>
      <c r="C721" s="34" t="s">
        <v>469</v>
      </c>
      <c r="D721" s="34">
        <v>2016</v>
      </c>
      <c r="E721" s="34">
        <v>2013</v>
      </c>
      <c r="F721" s="34" t="s">
        <v>470</v>
      </c>
      <c r="G721" s="34" t="s">
        <v>319</v>
      </c>
      <c r="H721" s="32" t="s">
        <v>2831</v>
      </c>
      <c r="I721" s="34">
        <v>40.72</v>
      </c>
      <c r="J721" s="34">
        <v>-77.92</v>
      </c>
      <c r="K721" s="34">
        <v>350</v>
      </c>
      <c r="Q721" s="48">
        <v>3</v>
      </c>
      <c r="R721" s="48" t="s">
        <v>1867</v>
      </c>
      <c r="S721" s="48"/>
      <c r="T721" s="48" t="s">
        <v>1920</v>
      </c>
      <c r="U721" s="48" t="s">
        <v>1381</v>
      </c>
      <c r="V721" s="48" t="s">
        <v>1381</v>
      </c>
      <c r="W721" s="48" t="s">
        <v>1381</v>
      </c>
      <c r="X721" s="48" t="s">
        <v>1381</v>
      </c>
      <c r="Z721" s="328"/>
      <c r="AA721" s="328"/>
      <c r="AB721" s="34" t="s">
        <v>451</v>
      </c>
      <c r="AF721" s="34" t="s">
        <v>1334</v>
      </c>
      <c r="AG721" s="34" t="s">
        <v>132</v>
      </c>
      <c r="AH721" s="138" t="s">
        <v>132</v>
      </c>
      <c r="AI721" s="34" t="s">
        <v>159</v>
      </c>
      <c r="AJ721" s="140" t="s">
        <v>159</v>
      </c>
      <c r="AN721" s="34" t="s">
        <v>471</v>
      </c>
      <c r="AO721" s="34" t="s">
        <v>471</v>
      </c>
      <c r="AP721" s="34" t="s">
        <v>178</v>
      </c>
      <c r="AT721" s="34" t="s">
        <v>161</v>
      </c>
      <c r="AU721" s="34">
        <v>4</v>
      </c>
      <c r="AW721" s="34" t="s">
        <v>336</v>
      </c>
      <c r="BA721" s="53"/>
      <c r="BH721" s="34">
        <f>3.4*1000</f>
        <v>3400</v>
      </c>
      <c r="BI721" s="34">
        <f>2.9*1000</f>
        <v>2900</v>
      </c>
      <c r="BM721" s="404"/>
      <c r="BN721" s="404"/>
      <c r="BR721" s="404"/>
      <c r="BS721" s="404"/>
      <c r="FI721" s="34">
        <v>1460</v>
      </c>
      <c r="FJ721" s="34">
        <v>660</v>
      </c>
      <c r="GM721" s="12"/>
      <c r="GQ721" s="12"/>
    </row>
    <row r="722" spans="1:249" s="34" customFormat="1" x14ac:dyDescent="0.25">
      <c r="A722" s="34">
        <v>33</v>
      </c>
      <c r="B722" s="34" t="s">
        <v>468</v>
      </c>
      <c r="C722" s="34" t="s">
        <v>469</v>
      </c>
      <c r="D722" s="34">
        <v>2016</v>
      </c>
      <c r="E722" s="34">
        <v>2013</v>
      </c>
      <c r="F722" s="34" t="s">
        <v>470</v>
      </c>
      <c r="G722" s="34" t="s">
        <v>319</v>
      </c>
      <c r="H722" s="32" t="s">
        <v>2831</v>
      </c>
      <c r="I722" s="34">
        <v>40.72</v>
      </c>
      <c r="J722" s="34">
        <v>-77.92</v>
      </c>
      <c r="K722" s="34">
        <v>350</v>
      </c>
      <c r="Q722" s="48">
        <v>3</v>
      </c>
      <c r="R722" s="48" t="s">
        <v>1867</v>
      </c>
      <c r="S722" s="48"/>
      <c r="T722" s="48" t="s">
        <v>1921</v>
      </c>
      <c r="U722" s="48" t="s">
        <v>1381</v>
      </c>
      <c r="V722" s="48" t="s">
        <v>1381</v>
      </c>
      <c r="W722" s="48" t="s">
        <v>1381</v>
      </c>
      <c r="X722" s="48" t="s">
        <v>1381</v>
      </c>
      <c r="Z722" s="328"/>
      <c r="AA722" s="328"/>
      <c r="AB722" s="34" t="s">
        <v>451</v>
      </c>
      <c r="AF722" s="34" t="s">
        <v>1334</v>
      </c>
      <c r="AG722" s="34" t="s">
        <v>132</v>
      </c>
      <c r="AH722" s="138" t="s">
        <v>132</v>
      </c>
      <c r="AI722" s="34" t="s">
        <v>159</v>
      </c>
      <c r="AJ722" s="140" t="s">
        <v>159</v>
      </c>
      <c r="AN722" s="34" t="s">
        <v>471</v>
      </c>
      <c r="AO722" s="34" t="s">
        <v>471</v>
      </c>
      <c r="AP722" s="34" t="s">
        <v>178</v>
      </c>
      <c r="AT722" s="34" t="s">
        <v>161</v>
      </c>
      <c r="AU722" s="34">
        <v>4</v>
      </c>
      <c r="AW722" s="34" t="s">
        <v>336</v>
      </c>
      <c r="BA722" s="53"/>
      <c r="BH722" s="34">
        <f>3.4*1000</f>
        <v>3400</v>
      </c>
      <c r="BI722" s="34">
        <f>2.9*1000</f>
        <v>2900</v>
      </c>
      <c r="BM722" s="404"/>
      <c r="BN722" s="404"/>
      <c r="BR722" s="404"/>
      <c r="BS722" s="404"/>
      <c r="FI722" s="34">
        <v>1130</v>
      </c>
      <c r="FJ722" s="34">
        <v>540</v>
      </c>
      <c r="GM722" s="12"/>
      <c r="GQ722" s="12"/>
    </row>
    <row r="723" spans="1:249" s="34" customFormat="1" x14ac:dyDescent="0.25">
      <c r="A723" s="34">
        <v>33</v>
      </c>
      <c r="B723" s="34" t="s">
        <v>468</v>
      </c>
      <c r="C723" s="34" t="s">
        <v>469</v>
      </c>
      <c r="D723" s="34">
        <v>2016</v>
      </c>
      <c r="E723" s="34">
        <v>2013</v>
      </c>
      <c r="F723" s="34" t="s">
        <v>470</v>
      </c>
      <c r="G723" s="34" t="s">
        <v>319</v>
      </c>
      <c r="H723" s="32" t="s">
        <v>2831</v>
      </c>
      <c r="I723" s="34">
        <v>40.72</v>
      </c>
      <c r="J723" s="34">
        <v>-77.92</v>
      </c>
      <c r="K723" s="34">
        <v>350</v>
      </c>
      <c r="Q723" s="48">
        <v>3</v>
      </c>
      <c r="R723" s="48" t="s">
        <v>1867</v>
      </c>
      <c r="S723" s="48"/>
      <c r="T723" s="48" t="s">
        <v>1922</v>
      </c>
      <c r="U723" s="48" t="s">
        <v>1381</v>
      </c>
      <c r="V723" s="48" t="s">
        <v>1381</v>
      </c>
      <c r="W723" s="48" t="s">
        <v>1381</v>
      </c>
      <c r="X723" s="48" t="s">
        <v>1381</v>
      </c>
      <c r="Z723" s="328"/>
      <c r="AA723" s="328"/>
      <c r="AB723" s="34" t="s">
        <v>451</v>
      </c>
      <c r="AF723" s="34" t="s">
        <v>1334</v>
      </c>
      <c r="AG723" s="34" t="s">
        <v>132</v>
      </c>
      <c r="AH723" s="138" t="s">
        <v>132</v>
      </c>
      <c r="AI723" s="34" t="s">
        <v>159</v>
      </c>
      <c r="AJ723" s="140" t="s">
        <v>159</v>
      </c>
      <c r="AN723" s="34" t="s">
        <v>471</v>
      </c>
      <c r="AO723" s="34" t="s">
        <v>471</v>
      </c>
      <c r="AP723" s="34" t="s">
        <v>178</v>
      </c>
      <c r="AT723" s="34" t="s">
        <v>161</v>
      </c>
      <c r="AU723" s="34">
        <v>4</v>
      </c>
      <c r="AW723" s="34" t="s">
        <v>336</v>
      </c>
      <c r="BA723" s="53"/>
      <c r="BH723" s="34">
        <f>3.6*1000</f>
        <v>3600</v>
      </c>
      <c r="BI723" s="34">
        <f>3.7*1000</f>
        <v>3700</v>
      </c>
      <c r="BM723" s="404"/>
      <c r="BN723" s="404"/>
      <c r="BR723" s="404"/>
      <c r="BS723" s="404"/>
      <c r="FI723" s="34">
        <v>510</v>
      </c>
      <c r="FJ723" s="34">
        <v>200</v>
      </c>
      <c r="GM723" s="12"/>
      <c r="GQ723" s="12"/>
    </row>
    <row r="724" spans="1:249" s="32" customFormat="1" x14ac:dyDescent="0.25">
      <c r="A724" s="32">
        <v>33</v>
      </c>
      <c r="B724" s="32" t="s">
        <v>468</v>
      </c>
      <c r="C724" s="32" t="s">
        <v>469</v>
      </c>
      <c r="D724" s="32">
        <v>2016</v>
      </c>
      <c r="E724" s="32">
        <v>2012</v>
      </c>
      <c r="F724" s="32" t="s">
        <v>470</v>
      </c>
      <c r="G724" s="32" t="s">
        <v>319</v>
      </c>
      <c r="H724" s="32" t="s">
        <v>2831</v>
      </c>
      <c r="I724" s="32">
        <v>40.72</v>
      </c>
      <c r="J724" s="32">
        <v>-77.92</v>
      </c>
      <c r="K724" s="32">
        <v>350</v>
      </c>
      <c r="Q724" s="44">
        <v>2</v>
      </c>
      <c r="R724" s="44" t="s">
        <v>1867</v>
      </c>
      <c r="S724" s="44"/>
      <c r="T724" s="44" t="s">
        <v>1919</v>
      </c>
      <c r="U724" s="44" t="s">
        <v>1381</v>
      </c>
      <c r="V724" s="44" t="s">
        <v>1381</v>
      </c>
      <c r="W724" s="44" t="s">
        <v>1381</v>
      </c>
      <c r="X724" s="44" t="s">
        <v>1381</v>
      </c>
      <c r="Z724" s="323"/>
      <c r="AA724" s="323"/>
      <c r="AB724" s="32" t="s">
        <v>451</v>
      </c>
      <c r="AF724" s="32" t="s">
        <v>1334</v>
      </c>
      <c r="AG724" s="32" t="s">
        <v>244</v>
      </c>
      <c r="AH724" s="138" t="s">
        <v>578</v>
      </c>
      <c r="AI724" s="32" t="s">
        <v>133</v>
      </c>
      <c r="AJ724" s="140" t="s">
        <v>133</v>
      </c>
      <c r="AN724" s="32" t="s">
        <v>471</v>
      </c>
      <c r="AO724" s="32" t="s">
        <v>471</v>
      </c>
      <c r="AP724" s="32" t="s">
        <v>178</v>
      </c>
      <c r="AT724" s="32" t="s">
        <v>161</v>
      </c>
      <c r="AU724" s="32">
        <v>4</v>
      </c>
      <c r="AW724" s="32" t="s">
        <v>336</v>
      </c>
      <c r="BA724" s="53"/>
      <c r="BH724" s="32">
        <f>10.3*1000</f>
        <v>10300</v>
      </c>
      <c r="BI724" s="32">
        <f>11.9*1000</f>
        <v>11900</v>
      </c>
      <c r="BM724" s="397"/>
      <c r="BN724" s="397"/>
      <c r="BR724" s="397"/>
      <c r="BS724" s="397"/>
      <c r="FI724" s="32">
        <v>700</v>
      </c>
      <c r="FJ724" s="32">
        <v>430</v>
      </c>
      <c r="GM724" s="12"/>
      <c r="GQ724" s="12"/>
    </row>
    <row r="725" spans="1:249" s="32" customFormat="1" x14ac:dyDescent="0.25">
      <c r="A725" s="32">
        <v>33</v>
      </c>
      <c r="B725" s="32" t="s">
        <v>468</v>
      </c>
      <c r="C725" s="32" t="s">
        <v>469</v>
      </c>
      <c r="D725" s="32">
        <v>2016</v>
      </c>
      <c r="E725" s="32">
        <v>2012</v>
      </c>
      <c r="F725" s="32" t="s">
        <v>470</v>
      </c>
      <c r="G725" s="32" t="s">
        <v>319</v>
      </c>
      <c r="H725" s="32" t="s">
        <v>2831</v>
      </c>
      <c r="I725" s="32">
        <v>40.72</v>
      </c>
      <c r="J725" s="32">
        <v>-77.92</v>
      </c>
      <c r="K725" s="32">
        <v>350</v>
      </c>
      <c r="Q725" s="44">
        <v>2</v>
      </c>
      <c r="R725" s="44" t="s">
        <v>1867</v>
      </c>
      <c r="S725" s="44"/>
      <c r="T725" s="44" t="s">
        <v>1920</v>
      </c>
      <c r="U725" s="44" t="s">
        <v>1381</v>
      </c>
      <c r="V725" s="44" t="s">
        <v>1381</v>
      </c>
      <c r="W725" s="44" t="s">
        <v>1381</v>
      </c>
      <c r="X725" s="44" t="s">
        <v>1381</v>
      </c>
      <c r="Z725" s="323"/>
      <c r="AA725" s="323"/>
      <c r="AB725" s="32" t="s">
        <v>451</v>
      </c>
      <c r="AF725" s="32" t="s">
        <v>1334</v>
      </c>
      <c r="AG725" s="32" t="s">
        <v>244</v>
      </c>
      <c r="AH725" s="138" t="s">
        <v>578</v>
      </c>
      <c r="AI725" s="32" t="s">
        <v>133</v>
      </c>
      <c r="AJ725" s="140" t="s">
        <v>133</v>
      </c>
      <c r="AN725" s="32" t="s">
        <v>471</v>
      </c>
      <c r="AO725" s="32" t="s">
        <v>471</v>
      </c>
      <c r="AP725" s="32" t="s">
        <v>178</v>
      </c>
      <c r="AT725" s="32" t="s">
        <v>161</v>
      </c>
      <c r="AU725" s="32">
        <v>4</v>
      </c>
      <c r="AW725" s="32" t="s">
        <v>336</v>
      </c>
      <c r="BA725" s="53"/>
      <c r="BH725" s="32">
        <f>10.1*1000</f>
        <v>10100</v>
      </c>
      <c r="BI725" s="32">
        <f>10.9*1000</f>
        <v>10900</v>
      </c>
      <c r="BM725" s="397"/>
      <c r="BN725" s="397"/>
      <c r="BR725" s="397"/>
      <c r="BS725" s="397"/>
      <c r="FI725" s="32">
        <v>150</v>
      </c>
      <c r="FJ725" s="32">
        <v>530</v>
      </c>
      <c r="GM725" s="12"/>
      <c r="GQ725" s="12"/>
    </row>
    <row r="726" spans="1:249" s="32" customFormat="1" x14ac:dyDescent="0.25">
      <c r="A726" s="32">
        <v>33</v>
      </c>
      <c r="B726" s="32" t="s">
        <v>468</v>
      </c>
      <c r="C726" s="32" t="s">
        <v>469</v>
      </c>
      <c r="D726" s="32">
        <v>2016</v>
      </c>
      <c r="E726" s="32">
        <v>2012</v>
      </c>
      <c r="F726" s="32" t="s">
        <v>470</v>
      </c>
      <c r="G726" s="32" t="s">
        <v>319</v>
      </c>
      <c r="H726" s="32" t="s">
        <v>2831</v>
      </c>
      <c r="I726" s="32">
        <v>40.72</v>
      </c>
      <c r="J726" s="32">
        <v>-77.92</v>
      </c>
      <c r="K726" s="32">
        <v>350</v>
      </c>
      <c r="Q726" s="44">
        <v>2</v>
      </c>
      <c r="R726" s="44" t="s">
        <v>1867</v>
      </c>
      <c r="S726" s="44"/>
      <c r="T726" s="44" t="s">
        <v>1921</v>
      </c>
      <c r="U726" s="44" t="s">
        <v>1381</v>
      </c>
      <c r="V726" s="44" t="s">
        <v>1381</v>
      </c>
      <c r="W726" s="44" t="s">
        <v>1381</v>
      </c>
      <c r="X726" s="44" t="s">
        <v>1381</v>
      </c>
      <c r="Z726" s="323"/>
      <c r="AA726" s="323"/>
      <c r="AB726" s="32" t="s">
        <v>451</v>
      </c>
      <c r="AF726" s="32" t="s">
        <v>1334</v>
      </c>
      <c r="AG726" s="32" t="s">
        <v>244</v>
      </c>
      <c r="AH726" s="138" t="s">
        <v>578</v>
      </c>
      <c r="AI726" s="32" t="s">
        <v>133</v>
      </c>
      <c r="AJ726" s="140" t="s">
        <v>133</v>
      </c>
      <c r="AN726" s="32" t="s">
        <v>471</v>
      </c>
      <c r="AO726" s="32" t="s">
        <v>471</v>
      </c>
      <c r="AP726" s="32" t="s">
        <v>178</v>
      </c>
      <c r="AT726" s="32" t="s">
        <v>161</v>
      </c>
      <c r="AU726" s="32">
        <v>4</v>
      </c>
      <c r="AW726" s="32" t="s">
        <v>336</v>
      </c>
      <c r="BA726" s="53"/>
      <c r="BH726" s="32">
        <f>9.8*1000</f>
        <v>9800</v>
      </c>
      <c r="BI726" s="32">
        <f>10.1*1000</f>
        <v>10100</v>
      </c>
      <c r="BM726" s="397"/>
      <c r="BN726" s="397"/>
      <c r="BR726" s="397"/>
      <c r="BS726" s="397"/>
      <c r="FI726" s="32">
        <v>120</v>
      </c>
      <c r="FJ726" s="32">
        <v>680</v>
      </c>
      <c r="GM726" s="12"/>
      <c r="GQ726" s="12"/>
    </row>
    <row r="727" spans="1:249" s="32" customFormat="1" x14ac:dyDescent="0.25">
      <c r="A727" s="32">
        <v>33</v>
      </c>
      <c r="B727" s="32" t="s">
        <v>468</v>
      </c>
      <c r="C727" s="32" t="s">
        <v>469</v>
      </c>
      <c r="D727" s="32">
        <v>2016</v>
      </c>
      <c r="E727" s="32">
        <v>2012</v>
      </c>
      <c r="F727" s="32" t="s">
        <v>470</v>
      </c>
      <c r="G727" s="32" t="s">
        <v>319</v>
      </c>
      <c r="H727" s="32" t="s">
        <v>2831</v>
      </c>
      <c r="I727" s="32">
        <v>40.72</v>
      </c>
      <c r="J727" s="32">
        <v>-77.92</v>
      </c>
      <c r="K727" s="32">
        <v>350</v>
      </c>
      <c r="Q727" s="44">
        <v>2</v>
      </c>
      <c r="R727" s="44" t="s">
        <v>1867</v>
      </c>
      <c r="S727" s="44"/>
      <c r="T727" s="44" t="s">
        <v>1922</v>
      </c>
      <c r="U727" s="44" t="s">
        <v>1381</v>
      </c>
      <c r="V727" s="44" t="s">
        <v>1381</v>
      </c>
      <c r="W727" s="44" t="s">
        <v>1381</v>
      </c>
      <c r="X727" s="44" t="s">
        <v>1381</v>
      </c>
      <c r="Z727" s="323"/>
      <c r="AA727" s="323"/>
      <c r="AB727" s="32" t="s">
        <v>451</v>
      </c>
      <c r="AF727" s="32" t="s">
        <v>1334</v>
      </c>
      <c r="AG727" s="32" t="s">
        <v>244</v>
      </c>
      <c r="AH727" s="138" t="s">
        <v>578</v>
      </c>
      <c r="AI727" s="32" t="s">
        <v>133</v>
      </c>
      <c r="AJ727" s="140" t="s">
        <v>133</v>
      </c>
      <c r="AN727" s="32" t="s">
        <v>471</v>
      </c>
      <c r="AO727" s="32" t="s">
        <v>471</v>
      </c>
      <c r="AP727" s="32" t="s">
        <v>178</v>
      </c>
      <c r="AT727" s="32" t="s">
        <v>161</v>
      </c>
      <c r="AU727" s="32">
        <v>4</v>
      </c>
      <c r="AW727" s="32" t="s">
        <v>336</v>
      </c>
      <c r="BA727" s="53"/>
      <c r="BH727" s="32">
        <f>10.6*1000</f>
        <v>10600</v>
      </c>
      <c r="BI727" s="32">
        <f>11.7*1000</f>
        <v>11700</v>
      </c>
      <c r="BM727" s="397"/>
      <c r="BN727" s="397"/>
      <c r="BR727" s="397"/>
      <c r="BS727" s="397"/>
      <c r="FI727" s="32">
        <v>50</v>
      </c>
      <c r="FJ727" s="32">
        <v>290</v>
      </c>
      <c r="GM727" s="12"/>
      <c r="GQ727" s="12"/>
    </row>
    <row r="728" spans="1:249" s="32" customFormat="1" x14ac:dyDescent="0.25">
      <c r="A728" s="32">
        <v>33</v>
      </c>
      <c r="B728" s="32" t="s">
        <v>468</v>
      </c>
      <c r="C728" s="32" t="s">
        <v>469</v>
      </c>
      <c r="D728" s="32">
        <v>2016</v>
      </c>
      <c r="E728" s="32">
        <v>2013</v>
      </c>
      <c r="F728" s="32" t="s">
        <v>470</v>
      </c>
      <c r="G728" s="32" t="s">
        <v>319</v>
      </c>
      <c r="H728" s="32" t="s">
        <v>2831</v>
      </c>
      <c r="I728" s="32">
        <v>40.72</v>
      </c>
      <c r="J728" s="32">
        <v>-77.92</v>
      </c>
      <c r="K728" s="32">
        <v>350</v>
      </c>
      <c r="Q728" s="44">
        <v>3</v>
      </c>
      <c r="R728" s="44" t="s">
        <v>1867</v>
      </c>
      <c r="S728" s="44"/>
      <c r="T728" s="44" t="s">
        <v>1919</v>
      </c>
      <c r="U728" s="44" t="s">
        <v>1381</v>
      </c>
      <c r="V728" s="44" t="s">
        <v>1381</v>
      </c>
      <c r="W728" s="44" t="s">
        <v>1381</v>
      </c>
      <c r="X728" s="44" t="s">
        <v>1381</v>
      </c>
      <c r="Z728" s="323"/>
      <c r="AA728" s="323"/>
      <c r="AB728" s="32" t="s">
        <v>451</v>
      </c>
      <c r="AF728" s="32" t="s">
        <v>1334</v>
      </c>
      <c r="AG728" s="32" t="s">
        <v>244</v>
      </c>
      <c r="AH728" s="138" t="s">
        <v>578</v>
      </c>
      <c r="AI728" s="32" t="s">
        <v>133</v>
      </c>
      <c r="AJ728" s="140" t="s">
        <v>133</v>
      </c>
      <c r="AN728" s="32" t="s">
        <v>471</v>
      </c>
      <c r="AO728" s="32" t="s">
        <v>471</v>
      </c>
      <c r="AP728" s="32" t="s">
        <v>178</v>
      </c>
      <c r="AT728" s="32" t="s">
        <v>161</v>
      </c>
      <c r="AU728" s="32">
        <v>4</v>
      </c>
      <c r="AW728" s="32" t="s">
        <v>336</v>
      </c>
      <c r="BA728" s="53"/>
      <c r="BH728" s="32">
        <f>11.2*1000</f>
        <v>11200</v>
      </c>
      <c r="BI728" s="32">
        <f>11*1000</f>
        <v>11000</v>
      </c>
      <c r="BM728" s="397"/>
      <c r="BN728" s="397"/>
      <c r="BR728" s="397"/>
      <c r="BS728" s="397"/>
      <c r="FI728" s="32">
        <v>220</v>
      </c>
      <c r="FJ728" s="32">
        <v>240</v>
      </c>
      <c r="GM728" s="12"/>
      <c r="GQ728" s="12"/>
    </row>
    <row r="729" spans="1:249" s="32" customFormat="1" x14ac:dyDescent="0.25">
      <c r="A729" s="32">
        <v>33</v>
      </c>
      <c r="B729" s="32" t="s">
        <v>468</v>
      </c>
      <c r="C729" s="32" t="s">
        <v>469</v>
      </c>
      <c r="D729" s="32">
        <v>2016</v>
      </c>
      <c r="E729" s="32">
        <v>2013</v>
      </c>
      <c r="F729" s="32" t="s">
        <v>470</v>
      </c>
      <c r="G729" s="32" t="s">
        <v>319</v>
      </c>
      <c r="H729" s="32" t="s">
        <v>2831</v>
      </c>
      <c r="I729" s="32">
        <v>40.72</v>
      </c>
      <c r="J729" s="32">
        <v>-77.92</v>
      </c>
      <c r="K729" s="32">
        <v>350</v>
      </c>
      <c r="Q729" s="44">
        <v>3</v>
      </c>
      <c r="R729" s="44" t="s">
        <v>1867</v>
      </c>
      <c r="S729" s="44"/>
      <c r="T729" s="44" t="s">
        <v>1920</v>
      </c>
      <c r="U729" s="44" t="s">
        <v>1381</v>
      </c>
      <c r="V729" s="44" t="s">
        <v>1381</v>
      </c>
      <c r="W729" s="44" t="s">
        <v>1381</v>
      </c>
      <c r="X729" s="44" t="s">
        <v>1381</v>
      </c>
      <c r="Z729" s="323"/>
      <c r="AA729" s="323"/>
      <c r="AB729" s="32" t="s">
        <v>451</v>
      </c>
      <c r="AF729" s="32" t="s">
        <v>1334</v>
      </c>
      <c r="AG729" s="32" t="s">
        <v>244</v>
      </c>
      <c r="AH729" s="138" t="s">
        <v>578</v>
      </c>
      <c r="AI729" s="32" t="s">
        <v>133</v>
      </c>
      <c r="AJ729" s="140" t="s">
        <v>133</v>
      </c>
      <c r="AN729" s="32" t="s">
        <v>471</v>
      </c>
      <c r="AO729" s="32" t="s">
        <v>471</v>
      </c>
      <c r="AP729" s="32" t="s">
        <v>178</v>
      </c>
      <c r="AT729" s="32" t="s">
        <v>161</v>
      </c>
      <c r="AU729" s="32">
        <v>4</v>
      </c>
      <c r="AW729" s="32" t="s">
        <v>336</v>
      </c>
      <c r="BA729" s="53"/>
      <c r="BH729" s="32">
        <f>11.2*1000</f>
        <v>11200</v>
      </c>
      <c r="BI729" s="32">
        <f>11.1*1000</f>
        <v>11100</v>
      </c>
      <c r="BM729" s="397"/>
      <c r="BN729" s="397"/>
      <c r="BR729" s="397"/>
      <c r="BS729" s="397"/>
      <c r="FI729" s="32">
        <v>230</v>
      </c>
      <c r="FJ729" s="32">
        <v>140</v>
      </c>
      <c r="GM729" s="12"/>
      <c r="GQ729" s="12"/>
    </row>
    <row r="730" spans="1:249" s="32" customFormat="1" x14ac:dyDescent="0.25">
      <c r="A730" s="32">
        <v>33</v>
      </c>
      <c r="B730" s="32" t="s">
        <v>468</v>
      </c>
      <c r="C730" s="32" t="s">
        <v>469</v>
      </c>
      <c r="D730" s="32">
        <v>2016</v>
      </c>
      <c r="E730" s="32">
        <v>2013</v>
      </c>
      <c r="F730" s="32" t="s">
        <v>470</v>
      </c>
      <c r="G730" s="32" t="s">
        <v>319</v>
      </c>
      <c r="H730" s="32" t="s">
        <v>2831</v>
      </c>
      <c r="I730" s="32">
        <v>40.72</v>
      </c>
      <c r="J730" s="32">
        <v>-77.92</v>
      </c>
      <c r="K730" s="32">
        <v>350</v>
      </c>
      <c r="Q730" s="44">
        <v>3</v>
      </c>
      <c r="R730" s="44" t="s">
        <v>1867</v>
      </c>
      <c r="S730" s="44"/>
      <c r="T730" s="44" t="s">
        <v>1921</v>
      </c>
      <c r="U730" s="44" t="s">
        <v>1381</v>
      </c>
      <c r="V730" s="44" t="s">
        <v>1381</v>
      </c>
      <c r="W730" s="44" t="s">
        <v>1381</v>
      </c>
      <c r="X730" s="44" t="s">
        <v>1381</v>
      </c>
      <c r="Z730" s="323"/>
      <c r="AA730" s="323"/>
      <c r="AB730" s="32" t="s">
        <v>451</v>
      </c>
      <c r="AF730" s="32" t="s">
        <v>1334</v>
      </c>
      <c r="AG730" s="32" t="s">
        <v>244</v>
      </c>
      <c r="AH730" s="138" t="s">
        <v>578</v>
      </c>
      <c r="AI730" s="32" t="s">
        <v>133</v>
      </c>
      <c r="AJ730" s="140" t="s">
        <v>133</v>
      </c>
      <c r="AN730" s="32" t="s">
        <v>471</v>
      </c>
      <c r="AO730" s="32" t="s">
        <v>471</v>
      </c>
      <c r="AP730" s="32" t="s">
        <v>178</v>
      </c>
      <c r="AT730" s="32" t="s">
        <v>161</v>
      </c>
      <c r="AU730" s="32">
        <v>4</v>
      </c>
      <c r="AW730" s="32" t="s">
        <v>336</v>
      </c>
      <c r="BA730" s="53"/>
      <c r="BM730" s="397"/>
      <c r="BN730" s="397"/>
      <c r="BR730" s="397"/>
      <c r="BS730" s="397"/>
      <c r="FI730" s="32">
        <v>100</v>
      </c>
      <c r="FJ730" s="32">
        <v>130</v>
      </c>
      <c r="GM730" s="12"/>
      <c r="GQ730" s="12"/>
    </row>
    <row r="731" spans="1:249" s="32" customFormat="1" x14ac:dyDescent="0.25">
      <c r="A731" s="32">
        <v>33</v>
      </c>
      <c r="B731" s="32" t="s">
        <v>468</v>
      </c>
      <c r="C731" s="32" t="s">
        <v>469</v>
      </c>
      <c r="D731" s="32">
        <v>2016</v>
      </c>
      <c r="E731" s="32">
        <v>2013</v>
      </c>
      <c r="F731" s="32" t="s">
        <v>470</v>
      </c>
      <c r="G731" s="32" t="s">
        <v>319</v>
      </c>
      <c r="H731" s="32" t="s">
        <v>2831</v>
      </c>
      <c r="I731" s="32">
        <v>40.72</v>
      </c>
      <c r="J731" s="32">
        <v>-77.92</v>
      </c>
      <c r="K731" s="32">
        <v>350</v>
      </c>
      <c r="Q731" s="44">
        <v>3</v>
      </c>
      <c r="R731" s="44" t="s">
        <v>1867</v>
      </c>
      <c r="S731" s="44"/>
      <c r="T731" s="44" t="s">
        <v>1922</v>
      </c>
      <c r="U731" s="44" t="s">
        <v>1381</v>
      </c>
      <c r="V731" s="44" t="s">
        <v>1381</v>
      </c>
      <c r="W731" s="44" t="s">
        <v>1381</v>
      </c>
      <c r="X731" s="44" t="s">
        <v>1381</v>
      </c>
      <c r="Z731" s="323"/>
      <c r="AA731" s="323"/>
      <c r="AB731" s="32" t="s">
        <v>451</v>
      </c>
      <c r="AF731" s="32" t="s">
        <v>1334</v>
      </c>
      <c r="AG731" s="32" t="s">
        <v>244</v>
      </c>
      <c r="AH731" s="138" t="s">
        <v>578</v>
      </c>
      <c r="AI731" s="32" t="s">
        <v>133</v>
      </c>
      <c r="AJ731" s="140" t="s">
        <v>133</v>
      </c>
      <c r="AN731" s="32" t="s">
        <v>471</v>
      </c>
      <c r="AO731" s="32" t="s">
        <v>471</v>
      </c>
      <c r="AP731" s="32" t="s">
        <v>178</v>
      </c>
      <c r="AT731" s="32" t="s">
        <v>161</v>
      </c>
      <c r="AU731" s="32">
        <v>4</v>
      </c>
      <c r="AW731" s="32" t="s">
        <v>336</v>
      </c>
      <c r="BA731" s="53"/>
      <c r="BH731" s="32">
        <f>12.4*1000</f>
        <v>12400</v>
      </c>
      <c r="BI731" s="32">
        <f>12.1*1000</f>
        <v>12100</v>
      </c>
      <c r="BM731" s="397"/>
      <c r="BN731" s="397"/>
      <c r="BR731" s="397"/>
      <c r="BS731" s="397"/>
      <c r="GM731" s="12"/>
      <c r="GQ731" s="12"/>
    </row>
    <row r="732" spans="1:249" s="32" customFormat="1" x14ac:dyDescent="0.25">
      <c r="A732" s="32">
        <v>33</v>
      </c>
      <c r="B732" s="32" t="s">
        <v>468</v>
      </c>
      <c r="C732" s="32" t="s">
        <v>469</v>
      </c>
      <c r="D732" s="32">
        <v>2016</v>
      </c>
      <c r="E732" s="32">
        <v>2014</v>
      </c>
      <c r="F732" s="32" t="s">
        <v>470</v>
      </c>
      <c r="G732" s="32" t="s">
        <v>319</v>
      </c>
      <c r="H732" s="32" t="s">
        <v>2831</v>
      </c>
      <c r="I732" s="32">
        <v>40.72</v>
      </c>
      <c r="J732" s="32">
        <v>-77.92</v>
      </c>
      <c r="K732" s="32">
        <v>350</v>
      </c>
      <c r="Q732" s="44">
        <v>4</v>
      </c>
      <c r="R732" s="44" t="s">
        <v>1867</v>
      </c>
      <c r="S732" s="44"/>
      <c r="T732" s="44" t="s">
        <v>1919</v>
      </c>
      <c r="U732" s="44" t="s">
        <v>1381</v>
      </c>
      <c r="V732" s="44" t="s">
        <v>1381</v>
      </c>
      <c r="W732" s="44" t="s">
        <v>1381</v>
      </c>
      <c r="X732" s="44" t="s">
        <v>1381</v>
      </c>
      <c r="Z732" s="323"/>
      <c r="AA732" s="323"/>
      <c r="AB732" s="32" t="s">
        <v>451</v>
      </c>
      <c r="AF732" s="32" t="s">
        <v>1334</v>
      </c>
      <c r="AG732" s="32" t="s">
        <v>244</v>
      </c>
      <c r="AH732" s="138" t="s">
        <v>578</v>
      </c>
      <c r="AI732" s="32" t="s">
        <v>133</v>
      </c>
      <c r="AJ732" s="140" t="s">
        <v>133</v>
      </c>
      <c r="AN732" s="32" t="s">
        <v>471</v>
      </c>
      <c r="AO732" s="32" t="s">
        <v>471</v>
      </c>
      <c r="AP732" s="32" t="s">
        <v>178</v>
      </c>
      <c r="AT732" s="32" t="s">
        <v>161</v>
      </c>
      <c r="AU732" s="32">
        <v>4</v>
      </c>
      <c r="AW732" s="32" t="s">
        <v>336</v>
      </c>
      <c r="BA732" s="53"/>
      <c r="BM732" s="397"/>
      <c r="BN732" s="397"/>
      <c r="BR732" s="397"/>
      <c r="BS732" s="397"/>
      <c r="FI732" s="32">
        <v>240</v>
      </c>
      <c r="FJ732" s="32">
        <v>660</v>
      </c>
      <c r="GM732" s="12"/>
      <c r="GQ732" s="12"/>
    </row>
    <row r="733" spans="1:249" s="32" customFormat="1" x14ac:dyDescent="0.25">
      <c r="A733" s="32">
        <v>33</v>
      </c>
      <c r="B733" s="32" t="s">
        <v>468</v>
      </c>
      <c r="C733" s="32" t="s">
        <v>469</v>
      </c>
      <c r="D733" s="32">
        <v>2016</v>
      </c>
      <c r="E733" s="32">
        <v>2014</v>
      </c>
      <c r="F733" s="32" t="s">
        <v>470</v>
      </c>
      <c r="G733" s="32" t="s">
        <v>319</v>
      </c>
      <c r="H733" s="32" t="s">
        <v>2831</v>
      </c>
      <c r="I733" s="32">
        <v>40.72</v>
      </c>
      <c r="J733" s="32">
        <v>-77.92</v>
      </c>
      <c r="K733" s="32">
        <v>350</v>
      </c>
      <c r="Q733" s="44">
        <v>4</v>
      </c>
      <c r="R733" s="44" t="s">
        <v>1867</v>
      </c>
      <c r="S733" s="44"/>
      <c r="T733" s="44" t="s">
        <v>1920</v>
      </c>
      <c r="U733" s="44" t="s">
        <v>1381</v>
      </c>
      <c r="V733" s="44" t="s">
        <v>1381</v>
      </c>
      <c r="W733" s="44" t="s">
        <v>1381</v>
      </c>
      <c r="X733" s="44" t="s">
        <v>1381</v>
      </c>
      <c r="Z733" s="323"/>
      <c r="AA733" s="323"/>
      <c r="AB733" s="32" t="s">
        <v>451</v>
      </c>
      <c r="AF733" s="32" t="s">
        <v>1334</v>
      </c>
      <c r="AG733" s="32" t="s">
        <v>244</v>
      </c>
      <c r="AH733" s="138" t="s">
        <v>578</v>
      </c>
      <c r="AI733" s="32" t="s">
        <v>133</v>
      </c>
      <c r="AJ733" s="140" t="s">
        <v>133</v>
      </c>
      <c r="AN733" s="32" t="s">
        <v>471</v>
      </c>
      <c r="AO733" s="32" t="s">
        <v>471</v>
      </c>
      <c r="AP733" s="32" t="s">
        <v>178</v>
      </c>
      <c r="AT733" s="32" t="s">
        <v>161</v>
      </c>
      <c r="AU733" s="32">
        <v>4</v>
      </c>
      <c r="AW733" s="32" t="s">
        <v>336</v>
      </c>
      <c r="BA733" s="53"/>
      <c r="BM733" s="397"/>
      <c r="BN733" s="397"/>
      <c r="BR733" s="397"/>
      <c r="BS733" s="397"/>
      <c r="FI733" s="32">
        <v>30</v>
      </c>
      <c r="FJ733" s="32">
        <v>250</v>
      </c>
      <c r="GM733" s="12"/>
      <c r="GQ733" s="12"/>
    </row>
    <row r="734" spans="1:249" s="32" customFormat="1" x14ac:dyDescent="0.25">
      <c r="A734" s="32">
        <v>33</v>
      </c>
      <c r="B734" s="32" t="s">
        <v>468</v>
      </c>
      <c r="C734" s="32" t="s">
        <v>469</v>
      </c>
      <c r="D734" s="32">
        <v>2016</v>
      </c>
      <c r="E734" s="32">
        <v>2014</v>
      </c>
      <c r="F734" s="32" t="s">
        <v>470</v>
      </c>
      <c r="G734" s="32" t="s">
        <v>319</v>
      </c>
      <c r="H734" s="32" t="s">
        <v>2831</v>
      </c>
      <c r="I734" s="32">
        <v>40.72</v>
      </c>
      <c r="J734" s="32">
        <v>-77.92</v>
      </c>
      <c r="K734" s="32">
        <v>350</v>
      </c>
      <c r="Q734" s="44">
        <v>4</v>
      </c>
      <c r="R734" s="44" t="s">
        <v>1867</v>
      </c>
      <c r="S734" s="44"/>
      <c r="T734" s="44" t="s">
        <v>1921</v>
      </c>
      <c r="U734" s="44" t="s">
        <v>1381</v>
      </c>
      <c r="V734" s="44" t="s">
        <v>1381</v>
      </c>
      <c r="W734" s="44" t="s">
        <v>1381</v>
      </c>
      <c r="X734" s="44" t="s">
        <v>1381</v>
      </c>
      <c r="Z734" s="323"/>
      <c r="AA734" s="323"/>
      <c r="AB734" s="32" t="s">
        <v>451</v>
      </c>
      <c r="AF734" s="32" t="s">
        <v>1334</v>
      </c>
      <c r="AG734" s="32" t="s">
        <v>244</v>
      </c>
      <c r="AH734" s="138" t="s">
        <v>578</v>
      </c>
      <c r="AI734" s="32" t="s">
        <v>133</v>
      </c>
      <c r="AJ734" s="140" t="s">
        <v>133</v>
      </c>
      <c r="AN734" s="32" t="s">
        <v>471</v>
      </c>
      <c r="AO734" s="32" t="s">
        <v>471</v>
      </c>
      <c r="AP734" s="32" t="s">
        <v>178</v>
      </c>
      <c r="AT734" s="32" t="s">
        <v>161</v>
      </c>
      <c r="AU734" s="32">
        <v>4</v>
      </c>
      <c r="AW734" s="32" t="s">
        <v>336</v>
      </c>
      <c r="BA734" s="53"/>
      <c r="BM734" s="397"/>
      <c r="BN734" s="397"/>
      <c r="BR734" s="397"/>
      <c r="BS734" s="397"/>
      <c r="FI734" s="32">
        <v>10</v>
      </c>
      <c r="FJ734" s="32">
        <v>170</v>
      </c>
      <c r="GM734" s="12"/>
      <c r="GQ734" s="12"/>
    </row>
    <row r="735" spans="1:249" s="32" customFormat="1" x14ac:dyDescent="0.25">
      <c r="A735" s="32">
        <v>33</v>
      </c>
      <c r="B735" s="32" t="s">
        <v>468</v>
      </c>
      <c r="C735" s="32" t="s">
        <v>469</v>
      </c>
      <c r="D735" s="32">
        <v>2016</v>
      </c>
      <c r="E735" s="32">
        <v>2014</v>
      </c>
      <c r="F735" s="32" t="s">
        <v>470</v>
      </c>
      <c r="G735" s="32" t="s">
        <v>319</v>
      </c>
      <c r="H735" s="32" t="s">
        <v>2831</v>
      </c>
      <c r="I735" s="32">
        <v>40.72</v>
      </c>
      <c r="J735" s="32">
        <v>-77.92</v>
      </c>
      <c r="K735" s="32">
        <v>350</v>
      </c>
      <c r="Q735" s="44">
        <v>4</v>
      </c>
      <c r="R735" s="44" t="s">
        <v>1867</v>
      </c>
      <c r="S735" s="44"/>
      <c r="T735" s="44" t="s">
        <v>1922</v>
      </c>
      <c r="U735" s="44" t="s">
        <v>1381</v>
      </c>
      <c r="V735" s="44" t="s">
        <v>1381</v>
      </c>
      <c r="W735" s="44" t="s">
        <v>1381</v>
      </c>
      <c r="X735" s="44" t="s">
        <v>1381</v>
      </c>
      <c r="Z735" s="323"/>
      <c r="AA735" s="323"/>
      <c r="AB735" s="32" t="s">
        <v>451</v>
      </c>
      <c r="AF735" s="32" t="s">
        <v>1334</v>
      </c>
      <c r="AG735" s="32" t="s">
        <v>244</v>
      </c>
      <c r="AH735" s="138" t="s">
        <v>578</v>
      </c>
      <c r="AI735" s="32" t="s">
        <v>133</v>
      </c>
      <c r="AJ735" s="140" t="s">
        <v>133</v>
      </c>
      <c r="AN735" s="32" t="s">
        <v>471</v>
      </c>
      <c r="AO735" s="32" t="s">
        <v>471</v>
      </c>
      <c r="AP735" s="32" t="s">
        <v>178</v>
      </c>
      <c r="AT735" s="32" t="s">
        <v>161</v>
      </c>
      <c r="AU735" s="32">
        <v>4</v>
      </c>
      <c r="AW735" s="32" t="s">
        <v>336</v>
      </c>
      <c r="BA735" s="53"/>
      <c r="BM735" s="397"/>
      <c r="BN735" s="397"/>
      <c r="BR735" s="397"/>
      <c r="BS735" s="397"/>
      <c r="FI735" s="32">
        <v>10</v>
      </c>
      <c r="FJ735" s="32">
        <v>70</v>
      </c>
      <c r="GM735" s="12"/>
      <c r="GQ735" s="12"/>
    </row>
    <row r="736" spans="1:249" s="33" customFormat="1" x14ac:dyDescent="0.25">
      <c r="A736" s="33">
        <v>34</v>
      </c>
      <c r="B736" s="33" t="s">
        <v>472</v>
      </c>
      <c r="C736" s="33" t="s">
        <v>473</v>
      </c>
      <c r="D736" s="33">
        <v>2004</v>
      </c>
      <c r="E736" s="33">
        <v>1989</v>
      </c>
      <c r="F736" s="33" t="s">
        <v>474</v>
      </c>
      <c r="G736" s="33" t="s">
        <v>475</v>
      </c>
      <c r="H736" s="32" t="s">
        <v>2831</v>
      </c>
      <c r="I736" s="33">
        <f>30+1/60</f>
        <v>30.016666666666666</v>
      </c>
      <c r="J736" s="33">
        <f>-85-32/60</f>
        <v>-85.533333333333331</v>
      </c>
      <c r="K736" s="33">
        <v>4.8</v>
      </c>
      <c r="Q736" s="47">
        <v>4</v>
      </c>
      <c r="R736" s="47" t="s">
        <v>1724</v>
      </c>
      <c r="S736" s="47"/>
      <c r="T736" s="47" t="s">
        <v>1923</v>
      </c>
      <c r="U736" s="47" t="s">
        <v>1381</v>
      </c>
      <c r="V736" s="47" t="s">
        <v>1381</v>
      </c>
      <c r="W736" s="47" t="s">
        <v>1381</v>
      </c>
      <c r="X736" s="47" t="s">
        <v>1381</v>
      </c>
      <c r="Z736" s="327">
        <v>66</v>
      </c>
      <c r="AA736" s="327">
        <v>22</v>
      </c>
      <c r="AB736" s="33" t="s">
        <v>451</v>
      </c>
      <c r="AF736" s="33" t="s">
        <v>1337</v>
      </c>
      <c r="AG736" s="33" t="s">
        <v>1531</v>
      </c>
      <c r="AH736" s="138" t="s">
        <v>1585</v>
      </c>
      <c r="AI736" s="33" t="s">
        <v>133</v>
      </c>
      <c r="AJ736" s="141" t="s">
        <v>1626</v>
      </c>
      <c r="AK736" s="33" t="s">
        <v>422</v>
      </c>
      <c r="AL736" s="33" t="s">
        <v>422</v>
      </c>
      <c r="AM736" s="33" t="s">
        <v>178</v>
      </c>
      <c r="AN736" s="33" t="s">
        <v>478</v>
      </c>
      <c r="AO736" s="33" t="s">
        <v>157</v>
      </c>
      <c r="AP736" s="33" t="s">
        <v>503</v>
      </c>
      <c r="AQ736" s="33" t="s">
        <v>476</v>
      </c>
      <c r="AR736" s="33" t="s">
        <v>477</v>
      </c>
      <c r="AS736" s="33" t="s">
        <v>503</v>
      </c>
      <c r="AT736" s="33" t="s">
        <v>161</v>
      </c>
      <c r="BA736" s="54"/>
      <c r="BB736" s="33" t="s">
        <v>479</v>
      </c>
      <c r="BH736" s="33">
        <f>(11.1+8.1+11.6+8+9.9+8.3+7.3+10.7+10.2)/9*1000</f>
        <v>9466.6666666666661</v>
      </c>
      <c r="BI736" s="33">
        <f>(8.6+8.9+9.9)/3*1000</f>
        <v>9133.3333333333321</v>
      </c>
      <c r="BM736" s="402"/>
      <c r="BN736" s="402"/>
      <c r="BR736" s="402"/>
      <c r="BS736" s="402"/>
      <c r="EO736" s="33">
        <f>(17.8+9.6+6.6)/3</f>
        <v>11.333333333333334</v>
      </c>
      <c r="EP736" s="33">
        <f>(19.9+22.4+31.6+26.8+32.6+24.1+13.3+27.6+16.9)/9</f>
        <v>23.911111111111111</v>
      </c>
      <c r="ES736" s="33" t="s">
        <v>467</v>
      </c>
      <c r="GM736" s="12"/>
      <c r="GQ736" s="12"/>
      <c r="IO736" s="33" t="s">
        <v>467</v>
      </c>
    </row>
    <row r="737" spans="1:249" s="33" customFormat="1" x14ac:dyDescent="0.25">
      <c r="A737" s="33">
        <v>34</v>
      </c>
      <c r="B737" s="33" t="s">
        <v>472</v>
      </c>
      <c r="C737" s="33" t="s">
        <v>473</v>
      </c>
      <c r="D737" s="33">
        <v>2004</v>
      </c>
      <c r="E737" s="33">
        <v>1989</v>
      </c>
      <c r="F737" s="33" t="s">
        <v>474</v>
      </c>
      <c r="G737" s="33" t="s">
        <v>475</v>
      </c>
      <c r="H737" s="32" t="s">
        <v>2831</v>
      </c>
      <c r="I737" s="33">
        <f>30+1/60</f>
        <v>30.016666666666666</v>
      </c>
      <c r="J737" s="33">
        <f>-85-32/60</f>
        <v>-85.533333333333331</v>
      </c>
      <c r="K737" s="33">
        <v>4.8</v>
      </c>
      <c r="Q737" s="47">
        <v>4</v>
      </c>
      <c r="R737" s="47" t="s">
        <v>1724</v>
      </c>
      <c r="S737" s="47"/>
      <c r="T737" s="47" t="s">
        <v>1923</v>
      </c>
      <c r="U737" s="47" t="s">
        <v>1381</v>
      </c>
      <c r="V737" s="47" t="s">
        <v>1381</v>
      </c>
      <c r="W737" s="47" t="s">
        <v>1381</v>
      </c>
      <c r="X737" s="47" t="s">
        <v>1381</v>
      </c>
      <c r="Z737" s="327">
        <v>66</v>
      </c>
      <c r="AA737" s="327">
        <v>22</v>
      </c>
      <c r="AB737" s="33" t="s">
        <v>451</v>
      </c>
      <c r="AF737" s="33" t="s">
        <v>1337</v>
      </c>
      <c r="AG737" s="33" t="s">
        <v>1531</v>
      </c>
      <c r="AH737" s="138" t="s">
        <v>1585</v>
      </c>
      <c r="AI737" s="33" t="s">
        <v>133</v>
      </c>
      <c r="AJ737" s="141" t="s">
        <v>1626</v>
      </c>
      <c r="AK737" s="33" t="s">
        <v>422</v>
      </c>
      <c r="AL737" s="33" t="s">
        <v>422</v>
      </c>
      <c r="AM737" s="33" t="s">
        <v>178</v>
      </c>
      <c r="AN737" s="33" t="s">
        <v>478</v>
      </c>
      <c r="AO737" s="33" t="s">
        <v>157</v>
      </c>
      <c r="AP737" s="33" t="s">
        <v>503</v>
      </c>
      <c r="AQ737" s="33" t="s">
        <v>476</v>
      </c>
      <c r="AR737" s="33" t="s">
        <v>477</v>
      </c>
      <c r="AS737" s="33" t="s">
        <v>503</v>
      </c>
      <c r="AT737" s="33" t="s">
        <v>161</v>
      </c>
      <c r="BA737" s="54"/>
      <c r="BB737" s="33" t="s">
        <v>480</v>
      </c>
      <c r="BH737" s="33">
        <f>(11.5+8.3+12.1+8.4+9.6+7.6+7.1+10.6+9.9)/9*1000</f>
        <v>9455.5555555555566</v>
      </c>
      <c r="BI737" s="33">
        <f>(8.5+8.6+10.1)/3*1000</f>
        <v>9066.6666666666679</v>
      </c>
      <c r="BM737" s="402"/>
      <c r="BN737" s="402"/>
      <c r="BR737" s="402"/>
      <c r="BS737" s="402"/>
      <c r="EO737" s="33">
        <f>(15.1+10.7+6.4)/3</f>
        <v>10.733333333333333</v>
      </c>
      <c r="EP737" s="33">
        <f>(20+25+33.5+29+34.5+22.5+15.6+30.1+17.1)/9</f>
        <v>25.255555555555553</v>
      </c>
      <c r="ES737" s="33" t="s">
        <v>467</v>
      </c>
      <c r="GM737" s="12"/>
      <c r="GQ737" s="12"/>
      <c r="IO737" s="33" t="s">
        <v>467</v>
      </c>
    </row>
    <row r="738" spans="1:249" s="33" customFormat="1" x14ac:dyDescent="0.25">
      <c r="A738" s="33">
        <v>34</v>
      </c>
      <c r="B738" s="33" t="s">
        <v>472</v>
      </c>
      <c r="C738" s="33" t="s">
        <v>473</v>
      </c>
      <c r="D738" s="33">
        <v>2004</v>
      </c>
      <c r="E738" s="33">
        <v>1989</v>
      </c>
      <c r="F738" s="33" t="s">
        <v>474</v>
      </c>
      <c r="G738" s="33" t="s">
        <v>475</v>
      </c>
      <c r="H738" s="32" t="s">
        <v>2831</v>
      </c>
      <c r="I738" s="33">
        <f>30+1/60</f>
        <v>30.016666666666666</v>
      </c>
      <c r="J738" s="33">
        <f>-85-32/60</f>
        <v>-85.533333333333331</v>
      </c>
      <c r="K738" s="33">
        <v>4.8</v>
      </c>
      <c r="Q738" s="47">
        <v>4</v>
      </c>
      <c r="R738" s="47" t="s">
        <v>1724</v>
      </c>
      <c r="S738" s="47"/>
      <c r="T738" s="47" t="s">
        <v>1923</v>
      </c>
      <c r="U738" s="47" t="s">
        <v>1381</v>
      </c>
      <c r="V738" s="47" t="s">
        <v>1381</v>
      </c>
      <c r="W738" s="47" t="s">
        <v>1381</v>
      </c>
      <c r="X738" s="47" t="s">
        <v>1381</v>
      </c>
      <c r="Z738" s="327">
        <v>66</v>
      </c>
      <c r="AA738" s="327">
        <v>22</v>
      </c>
      <c r="AB738" s="33" t="s">
        <v>451</v>
      </c>
      <c r="AF738" s="33" t="s">
        <v>1337</v>
      </c>
      <c r="AG738" s="33" t="s">
        <v>1531</v>
      </c>
      <c r="AH738" s="138" t="s">
        <v>1585</v>
      </c>
      <c r="AI738" s="33" t="s">
        <v>133</v>
      </c>
      <c r="AJ738" s="141" t="s">
        <v>1626</v>
      </c>
      <c r="AK738" s="33" t="s">
        <v>422</v>
      </c>
      <c r="AL738" s="33" t="s">
        <v>422</v>
      </c>
      <c r="AM738" s="33" t="s">
        <v>178</v>
      </c>
      <c r="AN738" s="33" t="s">
        <v>478</v>
      </c>
      <c r="AO738" s="33" t="s">
        <v>157</v>
      </c>
      <c r="AP738" s="33" t="s">
        <v>503</v>
      </c>
      <c r="AQ738" s="33" t="s">
        <v>476</v>
      </c>
      <c r="AR738" s="33" t="s">
        <v>477</v>
      </c>
      <c r="AS738" s="33" t="s">
        <v>503</v>
      </c>
      <c r="AT738" s="33" t="s">
        <v>161</v>
      </c>
      <c r="BA738" s="54"/>
      <c r="BB738" s="33" t="s">
        <v>481</v>
      </c>
      <c r="BH738" s="33">
        <f>(11.3+8.5+12.1+7.7+8.8+7.7+7.9+10.1+10)/9*1000</f>
        <v>9344.4444444444453</v>
      </c>
      <c r="BI738" s="33">
        <f>(9.2+8.8+10.1)/3*1000</f>
        <v>9366.6666666666679</v>
      </c>
      <c r="BM738" s="402"/>
      <c r="BN738" s="402"/>
      <c r="BR738" s="402"/>
      <c r="BS738" s="402"/>
      <c r="EO738" s="33">
        <f>(15.9+10.3+6.9)/3</f>
        <v>11.033333333333333</v>
      </c>
      <c r="EP738" s="33">
        <f>(20.3+23.4+30.5+27.4+30.1+20.7+15.7+28+15.3)/9</f>
        <v>23.488888888888887</v>
      </c>
      <c r="ES738" s="33" t="s">
        <v>467</v>
      </c>
      <c r="GM738" s="12"/>
      <c r="GQ738" s="12"/>
      <c r="IO738" s="33" t="s">
        <v>467</v>
      </c>
    </row>
    <row r="739" spans="1:249" s="24" customFormat="1" x14ac:dyDescent="0.25">
      <c r="A739" s="24">
        <v>35</v>
      </c>
      <c r="B739" s="24" t="s">
        <v>482</v>
      </c>
      <c r="C739" s="24" t="s">
        <v>483</v>
      </c>
      <c r="D739" s="24">
        <v>2011</v>
      </c>
      <c r="E739" s="24">
        <v>2006</v>
      </c>
      <c r="F739" s="24" t="s">
        <v>128</v>
      </c>
      <c r="G739" s="24" t="s">
        <v>484</v>
      </c>
      <c r="H739" s="32" t="s">
        <v>2831</v>
      </c>
      <c r="I739" s="24">
        <f t="shared" ref="I739:I746" si="203">38+32/60</f>
        <v>38.533333333333331</v>
      </c>
      <c r="J739" s="24">
        <f t="shared" ref="J739:J746" si="204">-121-52/60</f>
        <v>-121.86666666666666</v>
      </c>
      <c r="K739" s="24">
        <v>27.1</v>
      </c>
      <c r="P739" s="24" t="s">
        <v>485</v>
      </c>
      <c r="Q739" s="42">
        <v>1</v>
      </c>
      <c r="R739" s="42">
        <v>1</v>
      </c>
      <c r="S739" s="42"/>
      <c r="T739" s="42" t="s">
        <v>373</v>
      </c>
      <c r="U739" s="42" t="s">
        <v>1386</v>
      </c>
      <c r="V739" s="42" t="s">
        <v>1724</v>
      </c>
      <c r="W739" s="42" t="s">
        <v>1386</v>
      </c>
      <c r="X739" s="42" t="s">
        <v>1386</v>
      </c>
      <c r="Z739" s="321"/>
      <c r="AA739" s="321"/>
      <c r="AB739" s="24" t="s">
        <v>451</v>
      </c>
      <c r="AF739" s="24" t="s">
        <v>1335</v>
      </c>
      <c r="AG739" s="24" t="s">
        <v>244</v>
      </c>
      <c r="AH739" s="138" t="s">
        <v>578</v>
      </c>
      <c r="AI739" s="24" t="s">
        <v>243</v>
      </c>
      <c r="AJ739" s="140" t="s">
        <v>1620</v>
      </c>
      <c r="AK739" s="24" t="s">
        <v>1158</v>
      </c>
      <c r="AL739" s="24" t="s">
        <v>1158</v>
      </c>
      <c r="AM739" s="24" t="s">
        <v>178</v>
      </c>
      <c r="AN739" s="24" t="s">
        <v>488</v>
      </c>
      <c r="AO739" s="24" t="s">
        <v>443</v>
      </c>
      <c r="AP739" s="24" t="s">
        <v>503</v>
      </c>
      <c r="AQ739" s="24" t="s">
        <v>487</v>
      </c>
      <c r="AR739" s="24" t="s">
        <v>487</v>
      </c>
      <c r="AS739" s="24" t="s">
        <v>503</v>
      </c>
      <c r="AT739" s="24" t="s">
        <v>161</v>
      </c>
      <c r="AU739" s="24">
        <v>3</v>
      </c>
      <c r="AW739" s="24" t="s">
        <v>486</v>
      </c>
      <c r="BA739" s="53"/>
      <c r="BM739" s="395"/>
      <c r="BN739" s="395"/>
      <c r="BR739" s="395"/>
      <c r="BS739" s="395"/>
      <c r="GH739" s="24">
        <f>(5.99+29+17.85+7)/4</f>
        <v>14.96</v>
      </c>
      <c r="GI739" s="24">
        <f>(5.5+25.83+16.22+9.47)/4</f>
        <v>14.254999999999999</v>
      </c>
      <c r="GL739" s="24" t="s">
        <v>1662</v>
      </c>
      <c r="HL739" s="24">
        <f>326*0.61/29</f>
        <v>6.8572413793103442</v>
      </c>
      <c r="HM739" s="24">
        <f>178*0.61/29</f>
        <v>3.7441379310344827</v>
      </c>
      <c r="HP739" s="24" t="s">
        <v>489</v>
      </c>
      <c r="IO739" s="24" t="s">
        <v>723</v>
      </c>
    </row>
    <row r="740" spans="1:249" s="24" customFormat="1" x14ac:dyDescent="0.25">
      <c r="A740" s="24">
        <v>35</v>
      </c>
      <c r="B740" s="24" t="s">
        <v>482</v>
      </c>
      <c r="C740" s="24" t="s">
        <v>483</v>
      </c>
      <c r="D740" s="24">
        <v>2011</v>
      </c>
      <c r="E740" s="24">
        <v>2006</v>
      </c>
      <c r="F740" s="24" t="s">
        <v>128</v>
      </c>
      <c r="G740" s="24" t="s">
        <v>484</v>
      </c>
      <c r="H740" s="32" t="s">
        <v>2831</v>
      </c>
      <c r="I740" s="24">
        <f t="shared" si="203"/>
        <v>38.533333333333331</v>
      </c>
      <c r="J740" s="24">
        <f t="shared" si="204"/>
        <v>-121.86666666666666</v>
      </c>
      <c r="K740" s="24">
        <v>27.1</v>
      </c>
      <c r="P740" s="24" t="s">
        <v>485</v>
      </c>
      <c r="Q740" s="42">
        <v>1</v>
      </c>
      <c r="R740" s="42">
        <v>1</v>
      </c>
      <c r="S740" s="42"/>
      <c r="T740" s="42" t="s">
        <v>491</v>
      </c>
      <c r="U740" s="42" t="s">
        <v>1386</v>
      </c>
      <c r="V740" s="42" t="s">
        <v>1724</v>
      </c>
      <c r="W740" s="42" t="s">
        <v>1386</v>
      </c>
      <c r="X740" s="42" t="s">
        <v>1386</v>
      </c>
      <c r="Z740" s="321"/>
      <c r="AA740" s="321"/>
      <c r="AB740" s="24" t="s">
        <v>451</v>
      </c>
      <c r="AF740" s="24" t="s">
        <v>1335</v>
      </c>
      <c r="AG740" s="24" t="s">
        <v>244</v>
      </c>
      <c r="AH740" s="138" t="s">
        <v>578</v>
      </c>
      <c r="AI740" s="24" t="s">
        <v>243</v>
      </c>
      <c r="AJ740" s="140" t="s">
        <v>1620</v>
      </c>
      <c r="AK740" s="24" t="s">
        <v>1158</v>
      </c>
      <c r="AL740" s="24" t="s">
        <v>1158</v>
      </c>
      <c r="AM740" s="24" t="s">
        <v>178</v>
      </c>
      <c r="AN740" s="24" t="s">
        <v>488</v>
      </c>
      <c r="AO740" s="24" t="s">
        <v>443</v>
      </c>
      <c r="AP740" s="24" t="s">
        <v>503</v>
      </c>
      <c r="AQ740" s="24" t="s">
        <v>487</v>
      </c>
      <c r="AR740" s="24" t="s">
        <v>487</v>
      </c>
      <c r="AS740" s="24" t="s">
        <v>503</v>
      </c>
      <c r="AT740" s="24" t="s">
        <v>161</v>
      </c>
      <c r="AU740" s="24">
        <v>3</v>
      </c>
      <c r="AW740" s="24" t="s">
        <v>486</v>
      </c>
      <c r="BA740" s="53"/>
      <c r="BM740" s="395"/>
      <c r="BN740" s="395"/>
      <c r="BR740" s="395"/>
      <c r="BS740" s="395"/>
      <c r="GH740" s="24">
        <f>(5.99+29+17.85+7)/4</f>
        <v>14.96</v>
      </c>
      <c r="GI740" s="24">
        <f>(6.07+26.97+16.55+9.63)/4</f>
        <v>14.805000000000001</v>
      </c>
      <c r="GL740" s="24" t="s">
        <v>1662</v>
      </c>
      <c r="HL740" s="24">
        <f>237*0.61/69</f>
        <v>2.0952173913043479</v>
      </c>
      <c r="HM740" s="24">
        <f>328*0.61/69</f>
        <v>2.899710144927536</v>
      </c>
      <c r="HP740" s="24" t="s">
        <v>489</v>
      </c>
      <c r="IO740" s="24" t="s">
        <v>723</v>
      </c>
    </row>
    <row r="741" spans="1:249" s="24" customFormat="1" x14ac:dyDescent="0.25">
      <c r="A741" s="24">
        <v>35</v>
      </c>
      <c r="B741" s="24" t="s">
        <v>482</v>
      </c>
      <c r="C741" s="24" t="s">
        <v>483</v>
      </c>
      <c r="D741" s="24">
        <v>2011</v>
      </c>
      <c r="E741" s="24">
        <v>2006</v>
      </c>
      <c r="F741" s="24" t="s">
        <v>128</v>
      </c>
      <c r="G741" s="24" t="s">
        <v>484</v>
      </c>
      <c r="H741" s="32" t="s">
        <v>2831</v>
      </c>
      <c r="I741" s="24">
        <f t="shared" si="203"/>
        <v>38.533333333333331</v>
      </c>
      <c r="J741" s="24">
        <f t="shared" si="204"/>
        <v>-121.86666666666666</v>
      </c>
      <c r="K741" s="24">
        <v>27.1</v>
      </c>
      <c r="P741" s="24" t="s">
        <v>485</v>
      </c>
      <c r="Q741" s="42">
        <v>1</v>
      </c>
      <c r="R741" s="42">
        <v>1</v>
      </c>
      <c r="S741" s="42"/>
      <c r="T741" s="42" t="s">
        <v>492</v>
      </c>
      <c r="U741" s="42" t="s">
        <v>1386</v>
      </c>
      <c r="V741" s="42" t="s">
        <v>1724</v>
      </c>
      <c r="W741" s="42" t="s">
        <v>1386</v>
      </c>
      <c r="X741" s="42" t="s">
        <v>1386</v>
      </c>
      <c r="Z741" s="321"/>
      <c r="AA741" s="321"/>
      <c r="AB741" s="24" t="s">
        <v>451</v>
      </c>
      <c r="AF741" s="24" t="s">
        <v>1335</v>
      </c>
      <c r="AG741" s="24" t="s">
        <v>244</v>
      </c>
      <c r="AH741" s="138" t="s">
        <v>578</v>
      </c>
      <c r="AI741" s="24" t="s">
        <v>243</v>
      </c>
      <c r="AJ741" s="140" t="s">
        <v>1620</v>
      </c>
      <c r="AK741" s="24" t="s">
        <v>1158</v>
      </c>
      <c r="AL741" s="24" t="s">
        <v>1158</v>
      </c>
      <c r="AM741" s="24" t="s">
        <v>178</v>
      </c>
      <c r="AN741" s="24" t="s">
        <v>488</v>
      </c>
      <c r="AO741" s="24" t="s">
        <v>443</v>
      </c>
      <c r="AP741" s="24" t="s">
        <v>503</v>
      </c>
      <c r="AQ741" s="24" t="s">
        <v>487</v>
      </c>
      <c r="AR741" s="24" t="s">
        <v>487</v>
      </c>
      <c r="AS741" s="24" t="s">
        <v>503</v>
      </c>
      <c r="AT741" s="24" t="s">
        <v>161</v>
      </c>
      <c r="AU741" s="24">
        <v>3</v>
      </c>
      <c r="AW741" s="24" t="s">
        <v>486</v>
      </c>
      <c r="BA741" s="53"/>
      <c r="BM741" s="395"/>
      <c r="BN741" s="395"/>
      <c r="BR741" s="395"/>
      <c r="BS741" s="395"/>
      <c r="GH741" s="24">
        <f>(6.64+26.81+18.02+6.37)/4</f>
        <v>14.459999999999999</v>
      </c>
      <c r="GI741" s="24">
        <f>(6.64+25.18+17.86+6.13)/4</f>
        <v>13.952500000000001</v>
      </c>
      <c r="GL741" s="24" t="s">
        <v>1663</v>
      </c>
      <c r="HL741" s="24">
        <f>278*0.61/100</f>
        <v>1.6957999999999998</v>
      </c>
      <c r="HM741" s="24">
        <f>354*0.61/100</f>
        <v>2.1593999999999998</v>
      </c>
      <c r="HP741" s="24" t="s">
        <v>489</v>
      </c>
      <c r="IO741" s="24" t="s">
        <v>723</v>
      </c>
    </row>
    <row r="742" spans="1:249" s="24" customFormat="1" x14ac:dyDescent="0.25">
      <c r="A742" s="24">
        <v>35</v>
      </c>
      <c r="B742" s="24" t="s">
        <v>482</v>
      </c>
      <c r="C742" s="24" t="s">
        <v>483</v>
      </c>
      <c r="D742" s="24">
        <v>2011</v>
      </c>
      <c r="E742" s="24">
        <v>2006</v>
      </c>
      <c r="F742" s="24" t="s">
        <v>128</v>
      </c>
      <c r="G742" s="24" t="s">
        <v>484</v>
      </c>
      <c r="H742" s="32" t="s">
        <v>2831</v>
      </c>
      <c r="I742" s="24">
        <f t="shared" si="203"/>
        <v>38.533333333333331</v>
      </c>
      <c r="J742" s="24">
        <f t="shared" si="204"/>
        <v>-121.86666666666666</v>
      </c>
      <c r="K742" s="24">
        <v>27.1</v>
      </c>
      <c r="P742" s="24" t="s">
        <v>485</v>
      </c>
      <c r="Q742" s="42">
        <v>1</v>
      </c>
      <c r="R742" s="42">
        <v>1</v>
      </c>
      <c r="S742" s="42"/>
      <c r="T742" s="42" t="s">
        <v>493</v>
      </c>
      <c r="U742" s="42" t="s">
        <v>1386</v>
      </c>
      <c r="V742" s="42" t="s">
        <v>1724</v>
      </c>
      <c r="W742" s="42" t="s">
        <v>1386</v>
      </c>
      <c r="X742" s="42" t="s">
        <v>1386</v>
      </c>
      <c r="Z742" s="321"/>
      <c r="AA742" s="321"/>
      <c r="AB742" s="24" t="s">
        <v>451</v>
      </c>
      <c r="AF742" s="24" t="s">
        <v>1335</v>
      </c>
      <c r="AG742" s="24" t="s">
        <v>244</v>
      </c>
      <c r="AH742" s="138" t="s">
        <v>578</v>
      </c>
      <c r="AI742" s="24" t="s">
        <v>243</v>
      </c>
      <c r="AJ742" s="140" t="s">
        <v>1620</v>
      </c>
      <c r="AK742" s="24" t="s">
        <v>1158</v>
      </c>
      <c r="AL742" s="24" t="s">
        <v>1158</v>
      </c>
      <c r="AM742" s="24" t="s">
        <v>178</v>
      </c>
      <c r="AN742" s="24" t="s">
        <v>488</v>
      </c>
      <c r="AO742" s="24" t="s">
        <v>443</v>
      </c>
      <c r="AP742" s="24" t="s">
        <v>503</v>
      </c>
      <c r="AQ742" s="24" t="s">
        <v>487</v>
      </c>
      <c r="AR742" s="24" t="s">
        <v>487</v>
      </c>
      <c r="AS742" s="24" t="s">
        <v>503</v>
      </c>
      <c r="AT742" s="24" t="s">
        <v>161</v>
      </c>
      <c r="AU742" s="24">
        <v>3</v>
      </c>
      <c r="AW742" s="24" t="s">
        <v>486</v>
      </c>
      <c r="BA742" s="53"/>
      <c r="BM742" s="395"/>
      <c r="BN742" s="395"/>
      <c r="BR742" s="395"/>
      <c r="BS742" s="395"/>
      <c r="GH742" s="24">
        <f>(6.64+26.81+18.02+6.37)/4</f>
        <v>14.459999999999999</v>
      </c>
      <c r="GI742" s="24">
        <f>(6.4+25.51+18.91+6.94)/4</f>
        <v>14.440000000000001</v>
      </c>
      <c r="GL742" s="24" t="s">
        <v>1663</v>
      </c>
      <c r="HL742" s="24">
        <f>154*0.61/134</f>
        <v>0.70104477611940297</v>
      </c>
      <c r="HM742" s="24">
        <f>238*0.61/134</f>
        <v>1.0834328358208956</v>
      </c>
      <c r="HP742" s="24" t="s">
        <v>489</v>
      </c>
      <c r="IO742" s="24" t="s">
        <v>723</v>
      </c>
    </row>
    <row r="743" spans="1:249" s="32" customFormat="1" x14ac:dyDescent="0.25">
      <c r="A743" s="32">
        <v>35</v>
      </c>
      <c r="B743" s="32" t="s">
        <v>482</v>
      </c>
      <c r="C743" s="32" t="s">
        <v>483</v>
      </c>
      <c r="D743" s="32">
        <v>2011</v>
      </c>
      <c r="E743" s="32">
        <v>2006</v>
      </c>
      <c r="F743" s="32" t="s">
        <v>128</v>
      </c>
      <c r="G743" s="32" t="s">
        <v>484</v>
      </c>
      <c r="H743" s="32" t="s">
        <v>2831</v>
      </c>
      <c r="I743" s="32">
        <f t="shared" si="203"/>
        <v>38.533333333333331</v>
      </c>
      <c r="J743" s="32">
        <f t="shared" si="204"/>
        <v>-121.86666666666666</v>
      </c>
      <c r="K743" s="32">
        <v>27.1</v>
      </c>
      <c r="P743" s="32" t="s">
        <v>485</v>
      </c>
      <c r="Q743" s="44">
        <v>1</v>
      </c>
      <c r="R743" s="44">
        <v>1</v>
      </c>
      <c r="S743" s="44"/>
      <c r="T743" s="44" t="s">
        <v>373</v>
      </c>
      <c r="U743" s="44" t="s">
        <v>1386</v>
      </c>
      <c r="V743" s="44" t="s">
        <v>1724</v>
      </c>
      <c r="W743" s="44" t="s">
        <v>1386</v>
      </c>
      <c r="X743" s="44" t="s">
        <v>1386</v>
      </c>
      <c r="Z743" s="323"/>
      <c r="AA743" s="323"/>
      <c r="AB743" s="32" t="s">
        <v>451</v>
      </c>
      <c r="AF743" s="32" t="s">
        <v>1335</v>
      </c>
      <c r="AG743" s="32" t="s">
        <v>244</v>
      </c>
      <c r="AH743" s="138" t="s">
        <v>578</v>
      </c>
      <c r="AI743" s="32" t="s">
        <v>243</v>
      </c>
      <c r="AJ743" s="140" t="s">
        <v>1620</v>
      </c>
      <c r="AK743" s="32" t="s">
        <v>1158</v>
      </c>
      <c r="AL743" s="32" t="s">
        <v>1158</v>
      </c>
      <c r="AM743" s="32" t="s">
        <v>178</v>
      </c>
      <c r="AN743" s="32" t="s">
        <v>488</v>
      </c>
      <c r="AO743" s="32" t="s">
        <v>443</v>
      </c>
      <c r="AP743" s="32" t="s">
        <v>503</v>
      </c>
      <c r="AQ743" s="32" t="s">
        <v>487</v>
      </c>
      <c r="AR743" s="32" t="s">
        <v>490</v>
      </c>
      <c r="AS743" s="32" t="s">
        <v>503</v>
      </c>
      <c r="AT743" s="32" t="s">
        <v>161</v>
      </c>
      <c r="AU743" s="32">
        <v>3</v>
      </c>
      <c r="AW743" s="32" t="s">
        <v>486</v>
      </c>
      <c r="BA743" s="53"/>
      <c r="BM743" s="397"/>
      <c r="BN743" s="397"/>
      <c r="BR743" s="397"/>
      <c r="BS743" s="397"/>
      <c r="GM743" s="12"/>
      <c r="GQ743" s="12"/>
      <c r="HL743" s="32">
        <f>326*0.61/29</f>
        <v>6.8572413793103442</v>
      </c>
      <c r="HM743" s="32">
        <f>194*0.61/29</f>
        <v>4.0806896551724137</v>
      </c>
      <c r="HP743" s="32" t="s">
        <v>489</v>
      </c>
      <c r="IO743" s="32" t="s">
        <v>723</v>
      </c>
    </row>
    <row r="744" spans="1:249" s="32" customFormat="1" x14ac:dyDescent="0.25">
      <c r="A744" s="32">
        <v>35</v>
      </c>
      <c r="B744" s="32" t="s">
        <v>482</v>
      </c>
      <c r="C744" s="32" t="s">
        <v>483</v>
      </c>
      <c r="D744" s="32">
        <v>2011</v>
      </c>
      <c r="E744" s="32">
        <v>2006</v>
      </c>
      <c r="F744" s="32" t="s">
        <v>128</v>
      </c>
      <c r="G744" s="32" t="s">
        <v>484</v>
      </c>
      <c r="H744" s="32" t="s">
        <v>2831</v>
      </c>
      <c r="I744" s="32">
        <f t="shared" si="203"/>
        <v>38.533333333333331</v>
      </c>
      <c r="J744" s="32">
        <f t="shared" si="204"/>
        <v>-121.86666666666666</v>
      </c>
      <c r="K744" s="32">
        <v>27.1</v>
      </c>
      <c r="P744" s="32" t="s">
        <v>485</v>
      </c>
      <c r="Q744" s="44">
        <v>1</v>
      </c>
      <c r="R744" s="44">
        <v>1</v>
      </c>
      <c r="S744" s="44"/>
      <c r="T744" s="44" t="s">
        <v>491</v>
      </c>
      <c r="U744" s="44" t="s">
        <v>1386</v>
      </c>
      <c r="V744" s="44" t="s">
        <v>1724</v>
      </c>
      <c r="W744" s="44" t="s">
        <v>1386</v>
      </c>
      <c r="X744" s="44" t="s">
        <v>1386</v>
      </c>
      <c r="Z744" s="323"/>
      <c r="AA744" s="323"/>
      <c r="AB744" s="32" t="s">
        <v>451</v>
      </c>
      <c r="AF744" s="32" t="s">
        <v>1335</v>
      </c>
      <c r="AG744" s="32" t="s">
        <v>244</v>
      </c>
      <c r="AH744" s="138" t="s">
        <v>578</v>
      </c>
      <c r="AI744" s="32" t="s">
        <v>243</v>
      </c>
      <c r="AJ744" s="140" t="s">
        <v>1620</v>
      </c>
      <c r="AK744" s="32" t="s">
        <v>1158</v>
      </c>
      <c r="AL744" s="32" t="s">
        <v>1158</v>
      </c>
      <c r="AM744" s="32" t="s">
        <v>178</v>
      </c>
      <c r="AN744" s="32" t="s">
        <v>488</v>
      </c>
      <c r="AO744" s="32" t="s">
        <v>443</v>
      </c>
      <c r="AP744" s="32" t="s">
        <v>503</v>
      </c>
      <c r="AQ744" s="32" t="s">
        <v>487</v>
      </c>
      <c r="AR744" s="32" t="s">
        <v>490</v>
      </c>
      <c r="AS744" s="32" t="s">
        <v>503</v>
      </c>
      <c r="AT744" s="32" t="s">
        <v>161</v>
      </c>
      <c r="AU744" s="32">
        <v>3</v>
      </c>
      <c r="AW744" s="32" t="s">
        <v>486</v>
      </c>
      <c r="BA744" s="53"/>
      <c r="BM744" s="397"/>
      <c r="BN744" s="397"/>
      <c r="BR744" s="397"/>
      <c r="BS744" s="397"/>
      <c r="GM744" s="12"/>
      <c r="GQ744" s="12"/>
      <c r="HL744" s="32">
        <f>237*0.61/69</f>
        <v>2.0952173913043479</v>
      </c>
      <c r="HM744" s="32">
        <f>163*0.61/69</f>
        <v>1.441014492753623</v>
      </c>
      <c r="HP744" s="32" t="s">
        <v>489</v>
      </c>
      <c r="IO744" s="32" t="s">
        <v>723</v>
      </c>
    </row>
    <row r="745" spans="1:249" s="32" customFormat="1" x14ac:dyDescent="0.25">
      <c r="A745" s="32">
        <v>35</v>
      </c>
      <c r="B745" s="32" t="s">
        <v>482</v>
      </c>
      <c r="C745" s="32" t="s">
        <v>483</v>
      </c>
      <c r="D745" s="32">
        <v>2011</v>
      </c>
      <c r="E745" s="32">
        <v>2006</v>
      </c>
      <c r="F745" s="32" t="s">
        <v>128</v>
      </c>
      <c r="G745" s="32" t="s">
        <v>484</v>
      </c>
      <c r="H745" s="32" t="s">
        <v>2831</v>
      </c>
      <c r="I745" s="32">
        <f t="shared" si="203"/>
        <v>38.533333333333331</v>
      </c>
      <c r="J745" s="32">
        <f t="shared" si="204"/>
        <v>-121.86666666666666</v>
      </c>
      <c r="K745" s="32">
        <v>27.1</v>
      </c>
      <c r="P745" s="32" t="s">
        <v>485</v>
      </c>
      <c r="Q745" s="44">
        <v>1</v>
      </c>
      <c r="R745" s="44">
        <v>1</v>
      </c>
      <c r="S745" s="44"/>
      <c r="T745" s="44" t="s">
        <v>492</v>
      </c>
      <c r="U745" s="44" t="s">
        <v>1386</v>
      </c>
      <c r="V745" s="44" t="s">
        <v>1724</v>
      </c>
      <c r="W745" s="44" t="s">
        <v>1386</v>
      </c>
      <c r="X745" s="44" t="s">
        <v>1386</v>
      </c>
      <c r="Z745" s="323"/>
      <c r="AA745" s="323"/>
      <c r="AB745" s="32" t="s">
        <v>451</v>
      </c>
      <c r="AF745" s="32" t="s">
        <v>1335</v>
      </c>
      <c r="AG745" s="32" t="s">
        <v>244</v>
      </c>
      <c r="AH745" s="138" t="s">
        <v>578</v>
      </c>
      <c r="AI745" s="32" t="s">
        <v>243</v>
      </c>
      <c r="AJ745" s="140" t="s">
        <v>1620</v>
      </c>
      <c r="AK745" s="32" t="s">
        <v>1158</v>
      </c>
      <c r="AL745" s="32" t="s">
        <v>1158</v>
      </c>
      <c r="AM745" s="32" t="s">
        <v>178</v>
      </c>
      <c r="AN745" s="32" t="s">
        <v>488</v>
      </c>
      <c r="AO745" s="32" t="s">
        <v>443</v>
      </c>
      <c r="AP745" s="32" t="s">
        <v>503</v>
      </c>
      <c r="AQ745" s="32" t="s">
        <v>487</v>
      </c>
      <c r="AR745" s="32" t="s">
        <v>490</v>
      </c>
      <c r="AS745" s="32" t="s">
        <v>503</v>
      </c>
      <c r="AT745" s="32" t="s">
        <v>161</v>
      </c>
      <c r="AU745" s="32">
        <v>3</v>
      </c>
      <c r="AW745" s="32" t="s">
        <v>486</v>
      </c>
      <c r="BA745" s="53"/>
      <c r="BM745" s="397"/>
      <c r="BN745" s="397"/>
      <c r="BR745" s="397"/>
      <c r="BS745" s="397"/>
      <c r="GM745" s="12"/>
      <c r="GQ745" s="12"/>
      <c r="IO745" s="32" t="s">
        <v>723</v>
      </c>
    </row>
    <row r="746" spans="1:249" s="32" customFormat="1" x14ac:dyDescent="0.25">
      <c r="A746" s="32">
        <v>35</v>
      </c>
      <c r="B746" s="32" t="s">
        <v>482</v>
      </c>
      <c r="C746" s="32" t="s">
        <v>483</v>
      </c>
      <c r="D746" s="32">
        <v>2011</v>
      </c>
      <c r="E746" s="32">
        <v>2006</v>
      </c>
      <c r="F746" s="32" t="s">
        <v>128</v>
      </c>
      <c r="G746" s="32" t="s">
        <v>484</v>
      </c>
      <c r="H746" s="32" t="s">
        <v>2831</v>
      </c>
      <c r="I746" s="32">
        <f t="shared" si="203"/>
        <v>38.533333333333331</v>
      </c>
      <c r="J746" s="32">
        <f t="shared" si="204"/>
        <v>-121.86666666666666</v>
      </c>
      <c r="K746" s="32">
        <v>27.1</v>
      </c>
      <c r="P746" s="32" t="s">
        <v>485</v>
      </c>
      <c r="Q746" s="44">
        <v>1</v>
      </c>
      <c r="R746" s="44">
        <v>1</v>
      </c>
      <c r="S746" s="44"/>
      <c r="T746" s="44" t="s">
        <v>493</v>
      </c>
      <c r="U746" s="44" t="s">
        <v>1386</v>
      </c>
      <c r="V746" s="44" t="s">
        <v>1724</v>
      </c>
      <c r="W746" s="44" t="s">
        <v>1386</v>
      </c>
      <c r="X746" s="44" t="s">
        <v>1386</v>
      </c>
      <c r="Z746" s="323"/>
      <c r="AA746" s="323"/>
      <c r="AB746" s="32" t="s">
        <v>451</v>
      </c>
      <c r="AF746" s="32" t="s">
        <v>1335</v>
      </c>
      <c r="AG746" s="32" t="s">
        <v>244</v>
      </c>
      <c r="AH746" s="138" t="s">
        <v>578</v>
      </c>
      <c r="AI746" s="32" t="s">
        <v>243</v>
      </c>
      <c r="AJ746" s="140" t="s">
        <v>1620</v>
      </c>
      <c r="AK746" s="32" t="s">
        <v>1158</v>
      </c>
      <c r="AL746" s="32" t="s">
        <v>1158</v>
      </c>
      <c r="AM746" s="32" t="s">
        <v>178</v>
      </c>
      <c r="AN746" s="32" t="s">
        <v>488</v>
      </c>
      <c r="AO746" s="32" t="s">
        <v>443</v>
      </c>
      <c r="AP746" s="32" t="s">
        <v>503</v>
      </c>
      <c r="AQ746" s="32" t="s">
        <v>487</v>
      </c>
      <c r="AR746" s="32" t="s">
        <v>490</v>
      </c>
      <c r="AS746" s="32" t="s">
        <v>503</v>
      </c>
      <c r="AT746" s="32" t="s">
        <v>161</v>
      </c>
      <c r="AU746" s="32">
        <v>3</v>
      </c>
      <c r="AW746" s="32" t="s">
        <v>486</v>
      </c>
      <c r="BA746" s="53"/>
      <c r="BM746" s="397"/>
      <c r="BN746" s="397"/>
      <c r="BR746" s="397"/>
      <c r="BS746" s="397"/>
      <c r="GM746" s="12"/>
      <c r="GQ746" s="12"/>
      <c r="HL746" s="32">
        <f>154*0.61/134</f>
        <v>0.70104477611940297</v>
      </c>
      <c r="HM746" s="32">
        <f>401*0.61/134</f>
        <v>1.8254477611940298</v>
      </c>
      <c r="HP746" s="32" t="s">
        <v>489</v>
      </c>
      <c r="IO746" s="32" t="s">
        <v>723</v>
      </c>
    </row>
    <row r="747" spans="1:249" s="5" customFormat="1" x14ac:dyDescent="0.25">
      <c r="A747" s="5">
        <v>36</v>
      </c>
      <c r="B747" s="5" t="s">
        <v>494</v>
      </c>
      <c r="C747" s="5" t="s">
        <v>495</v>
      </c>
      <c r="D747" s="5">
        <v>1992</v>
      </c>
      <c r="E747" s="5">
        <v>1982</v>
      </c>
      <c r="F747" s="5" t="s">
        <v>496</v>
      </c>
      <c r="G747" s="5" t="s">
        <v>497</v>
      </c>
      <c r="H747" s="32" t="s">
        <v>2831</v>
      </c>
      <c r="I747" s="5">
        <f t="shared" ref="I747:I752" si="205">33+54/60</f>
        <v>33.9</v>
      </c>
      <c r="J747" s="5">
        <f t="shared" ref="J747:J752" si="206">-83-24/60</f>
        <v>-83.4</v>
      </c>
      <c r="K747" s="5">
        <v>185.5</v>
      </c>
      <c r="Q747" s="52">
        <v>3</v>
      </c>
      <c r="R747" s="52">
        <v>3</v>
      </c>
      <c r="S747" s="52"/>
      <c r="T747" s="52" t="s">
        <v>1924</v>
      </c>
      <c r="U747" s="52" t="s">
        <v>1391</v>
      </c>
      <c r="V747" s="52" t="s">
        <v>1724</v>
      </c>
      <c r="W747" s="52" t="s">
        <v>1391</v>
      </c>
      <c r="X747" s="52" t="s">
        <v>1391</v>
      </c>
      <c r="Z747" s="332"/>
      <c r="AA747" s="332"/>
      <c r="AB747" s="5" t="s">
        <v>797</v>
      </c>
      <c r="AF747" s="5" t="s">
        <v>1336</v>
      </c>
      <c r="AG747" s="5" t="s">
        <v>1525</v>
      </c>
      <c r="AH747" s="138" t="s">
        <v>578</v>
      </c>
      <c r="AI747" s="5" t="s">
        <v>221</v>
      </c>
      <c r="AJ747" s="141" t="s">
        <v>221</v>
      </c>
      <c r="AN747" s="5" t="s">
        <v>488</v>
      </c>
      <c r="AO747" s="5" t="s">
        <v>498</v>
      </c>
      <c r="AP747" s="5" t="s">
        <v>503</v>
      </c>
      <c r="AQ747" s="5" t="s">
        <v>499</v>
      </c>
      <c r="AR747" s="5" t="s">
        <v>339</v>
      </c>
      <c r="AS747" s="5" t="s">
        <v>503</v>
      </c>
      <c r="AT747" s="5" t="s">
        <v>120</v>
      </c>
      <c r="AU747" s="5">
        <v>3</v>
      </c>
      <c r="AW747" s="5" t="s">
        <v>336</v>
      </c>
      <c r="BA747" s="54"/>
      <c r="BB747" s="5" t="s">
        <v>504</v>
      </c>
      <c r="BH747" s="5">
        <f>13.1*1000/5</f>
        <v>2620</v>
      </c>
      <c r="BI747" s="5">
        <f>15.3*1000/5</f>
        <v>3060</v>
      </c>
      <c r="BL747" s="5" t="s">
        <v>510</v>
      </c>
      <c r="BM747" s="403"/>
      <c r="BN747" s="403"/>
      <c r="BR747" s="403">
        <v>0.64</v>
      </c>
      <c r="BS747" s="403">
        <v>1.81</v>
      </c>
      <c r="BV747" s="5" t="s">
        <v>164</v>
      </c>
      <c r="BW747" s="5">
        <f>0.05*10000</f>
        <v>500</v>
      </c>
      <c r="BX747" s="5">
        <v>1500</v>
      </c>
      <c r="CA747" s="5" t="s">
        <v>513</v>
      </c>
      <c r="DF747" s="5">
        <f>0.41*1000</f>
        <v>410</v>
      </c>
      <c r="DG747" s="5">
        <f>0.86*1000</f>
        <v>860</v>
      </c>
      <c r="DJ747" s="5" t="s">
        <v>514</v>
      </c>
      <c r="EJ747" s="5">
        <v>37</v>
      </c>
      <c r="EK747" s="5">
        <v>6</v>
      </c>
      <c r="EN747" s="5" t="s">
        <v>515</v>
      </c>
      <c r="GM747" s="12"/>
      <c r="GQ747" s="12"/>
      <c r="IO747" s="5" t="s">
        <v>724</v>
      </c>
    </row>
    <row r="748" spans="1:249" s="33" customFormat="1" x14ac:dyDescent="0.25">
      <c r="A748" s="33">
        <v>36</v>
      </c>
      <c r="B748" s="33" t="s">
        <v>494</v>
      </c>
      <c r="C748" s="33" t="s">
        <v>495</v>
      </c>
      <c r="D748" s="33">
        <v>1992</v>
      </c>
      <c r="E748" s="33">
        <v>1982</v>
      </c>
      <c r="F748" s="33" t="s">
        <v>496</v>
      </c>
      <c r="G748" s="33" t="s">
        <v>497</v>
      </c>
      <c r="H748" s="32" t="s">
        <v>2831</v>
      </c>
      <c r="I748" s="33">
        <f t="shared" si="205"/>
        <v>33.9</v>
      </c>
      <c r="J748" s="33">
        <f t="shared" si="206"/>
        <v>-83.4</v>
      </c>
      <c r="K748" s="33">
        <v>185.5</v>
      </c>
      <c r="Q748" s="47">
        <v>3</v>
      </c>
      <c r="R748" s="47">
        <v>3</v>
      </c>
      <c r="S748" s="47"/>
      <c r="T748" s="47" t="s">
        <v>1924</v>
      </c>
      <c r="U748" s="47" t="s">
        <v>1391</v>
      </c>
      <c r="V748" s="47" t="s">
        <v>1724</v>
      </c>
      <c r="W748" s="47" t="s">
        <v>1391</v>
      </c>
      <c r="X748" s="47" t="s">
        <v>1391</v>
      </c>
      <c r="Z748" s="327"/>
      <c r="AA748" s="327"/>
      <c r="AB748" s="33" t="s">
        <v>797</v>
      </c>
      <c r="AF748" s="33" t="s">
        <v>1336</v>
      </c>
      <c r="AG748" s="33" t="s">
        <v>1525</v>
      </c>
      <c r="AH748" s="138" t="s">
        <v>578</v>
      </c>
      <c r="AI748" s="33" t="s">
        <v>221</v>
      </c>
      <c r="AJ748" s="141" t="s">
        <v>221</v>
      </c>
      <c r="AN748" s="33" t="s">
        <v>488</v>
      </c>
      <c r="AO748" s="33" t="s">
        <v>498</v>
      </c>
      <c r="AP748" s="33" t="s">
        <v>503</v>
      </c>
      <c r="AQ748" s="33" t="s">
        <v>499</v>
      </c>
      <c r="AR748" s="33" t="s">
        <v>339</v>
      </c>
      <c r="AS748" s="33" t="s">
        <v>503</v>
      </c>
      <c r="AT748" s="33" t="s">
        <v>120</v>
      </c>
      <c r="AU748" s="33">
        <v>3</v>
      </c>
      <c r="AW748" s="33" t="s">
        <v>336</v>
      </c>
      <c r="BA748" s="54"/>
      <c r="BB748" s="33" t="s">
        <v>505</v>
      </c>
      <c r="BH748" s="33">
        <f>18.4*1000/5</f>
        <v>3680</v>
      </c>
      <c r="BI748" s="33">
        <f>24.7*1000/5</f>
        <v>4940</v>
      </c>
      <c r="BL748" s="33" t="s">
        <v>511</v>
      </c>
      <c r="BM748" s="402"/>
      <c r="BN748" s="402"/>
      <c r="BR748" s="402">
        <v>1.3</v>
      </c>
      <c r="BS748" s="402">
        <v>2.25</v>
      </c>
      <c r="BV748" s="33" t="s">
        <v>164</v>
      </c>
      <c r="BW748" s="33">
        <v>900</v>
      </c>
      <c r="BX748" s="33">
        <v>1700</v>
      </c>
      <c r="CA748" s="33" t="s">
        <v>513</v>
      </c>
      <c r="DF748" s="33">
        <f>0.5*1000</f>
        <v>500</v>
      </c>
      <c r="DG748" s="33">
        <f>0.86*1000</f>
        <v>860</v>
      </c>
      <c r="DJ748" s="33" t="s">
        <v>514</v>
      </c>
      <c r="EJ748" s="33">
        <v>35</v>
      </c>
      <c r="EK748" s="33">
        <v>6</v>
      </c>
      <c r="EN748" s="33" t="s">
        <v>515</v>
      </c>
      <c r="GM748" s="12"/>
      <c r="GQ748" s="12"/>
      <c r="IO748" s="5" t="s">
        <v>724</v>
      </c>
    </row>
    <row r="749" spans="1:249" s="28" customFormat="1" x14ac:dyDescent="0.25">
      <c r="A749" s="28">
        <v>36</v>
      </c>
      <c r="B749" s="28" t="s">
        <v>494</v>
      </c>
      <c r="C749" s="28" t="s">
        <v>495</v>
      </c>
      <c r="D749" s="28">
        <v>1992</v>
      </c>
      <c r="E749" s="28">
        <v>1982</v>
      </c>
      <c r="F749" s="28" t="s">
        <v>496</v>
      </c>
      <c r="G749" s="28" t="s">
        <v>497</v>
      </c>
      <c r="H749" s="32" t="s">
        <v>2831</v>
      </c>
      <c r="I749" s="28">
        <f t="shared" si="205"/>
        <v>33.9</v>
      </c>
      <c r="J749" s="28">
        <f t="shared" si="206"/>
        <v>-83.4</v>
      </c>
      <c r="K749" s="28">
        <v>185.5</v>
      </c>
      <c r="Q749" s="46">
        <v>3</v>
      </c>
      <c r="R749" s="46">
        <v>3</v>
      </c>
      <c r="S749" s="46"/>
      <c r="T749" s="46" t="s">
        <v>1924</v>
      </c>
      <c r="U749" s="46" t="s">
        <v>1391</v>
      </c>
      <c r="V749" s="46" t="s">
        <v>1724</v>
      </c>
      <c r="W749" s="46" t="s">
        <v>1391</v>
      </c>
      <c r="X749" s="46" t="s">
        <v>1391</v>
      </c>
      <c r="Z749" s="326"/>
      <c r="AA749" s="326"/>
      <c r="AB749" s="28" t="s">
        <v>797</v>
      </c>
      <c r="AF749" s="28" t="s">
        <v>1336</v>
      </c>
      <c r="AG749" s="28" t="s">
        <v>1525</v>
      </c>
      <c r="AH749" s="138" t="s">
        <v>578</v>
      </c>
      <c r="AI749" s="28" t="s">
        <v>221</v>
      </c>
      <c r="AJ749" s="141" t="s">
        <v>221</v>
      </c>
      <c r="AN749" s="28" t="s">
        <v>488</v>
      </c>
      <c r="AO749" s="28" t="s">
        <v>498</v>
      </c>
      <c r="AP749" s="28" t="s">
        <v>503</v>
      </c>
      <c r="AQ749" s="28" t="s">
        <v>499</v>
      </c>
      <c r="AR749" s="28" t="s">
        <v>339</v>
      </c>
      <c r="AS749" s="28" t="s">
        <v>503</v>
      </c>
      <c r="AT749" s="28" t="s">
        <v>120</v>
      </c>
      <c r="AU749" s="28">
        <v>3</v>
      </c>
      <c r="AW749" s="28" t="s">
        <v>336</v>
      </c>
      <c r="BB749" s="28" t="s">
        <v>506</v>
      </c>
      <c r="BH749" s="28">
        <f>16.1*1000/5</f>
        <v>3220.0000000000005</v>
      </c>
      <c r="BI749" s="28">
        <f>15.4*1000/5</f>
        <v>3080</v>
      </c>
      <c r="BL749" s="28" t="s">
        <v>512</v>
      </c>
      <c r="BM749" s="401"/>
      <c r="BN749" s="401"/>
      <c r="BR749" s="401">
        <v>1.17</v>
      </c>
      <c r="BS749" s="401">
        <v>2.86</v>
      </c>
      <c r="BV749" s="28" t="s">
        <v>164</v>
      </c>
      <c r="BW749" s="28">
        <v>900</v>
      </c>
      <c r="BX749" s="28">
        <v>2200</v>
      </c>
      <c r="CA749" s="28" t="s">
        <v>513</v>
      </c>
      <c r="DF749" s="28">
        <f>0.59*1000</f>
        <v>590</v>
      </c>
      <c r="DG749" s="28">
        <f>0.88*1000</f>
        <v>880</v>
      </c>
      <c r="DJ749" s="28" t="s">
        <v>514</v>
      </c>
      <c r="GM749" s="107"/>
      <c r="GQ749" s="107"/>
      <c r="IO749" s="28" t="s">
        <v>724</v>
      </c>
    </row>
    <row r="750" spans="1:249" s="5" customFormat="1" x14ac:dyDescent="0.25">
      <c r="A750" s="5">
        <v>36</v>
      </c>
      <c r="B750" s="5" t="s">
        <v>494</v>
      </c>
      <c r="C750" s="5" t="s">
        <v>495</v>
      </c>
      <c r="D750" s="5">
        <v>1992</v>
      </c>
      <c r="E750" s="5">
        <v>1982</v>
      </c>
      <c r="F750" s="5" t="s">
        <v>496</v>
      </c>
      <c r="G750" s="5" t="s">
        <v>497</v>
      </c>
      <c r="H750" s="32" t="s">
        <v>2831</v>
      </c>
      <c r="I750" s="5">
        <f t="shared" si="205"/>
        <v>33.9</v>
      </c>
      <c r="J750" s="5">
        <f t="shared" si="206"/>
        <v>-83.4</v>
      </c>
      <c r="K750" s="5">
        <v>185.5</v>
      </c>
      <c r="Q750" s="52">
        <v>3</v>
      </c>
      <c r="R750" s="52">
        <v>3</v>
      </c>
      <c r="S750" s="52"/>
      <c r="T750" s="52" t="s">
        <v>1924</v>
      </c>
      <c r="U750" s="52" t="s">
        <v>1391</v>
      </c>
      <c r="V750" s="52" t="s">
        <v>1724</v>
      </c>
      <c r="W750" s="52" t="s">
        <v>1391</v>
      </c>
      <c r="X750" s="52" t="s">
        <v>1391</v>
      </c>
      <c r="Z750" s="332"/>
      <c r="AA750" s="332"/>
      <c r="AB750" s="5" t="s">
        <v>797</v>
      </c>
      <c r="AF750" s="5" t="s">
        <v>1336</v>
      </c>
      <c r="AG750" s="5" t="s">
        <v>1525</v>
      </c>
      <c r="AH750" s="138" t="s">
        <v>578</v>
      </c>
      <c r="AI750" s="5" t="s">
        <v>221</v>
      </c>
      <c r="AJ750" s="141" t="s">
        <v>221</v>
      </c>
      <c r="AN750" s="5" t="s">
        <v>488</v>
      </c>
      <c r="AO750" s="5" t="s">
        <v>498</v>
      </c>
      <c r="AP750" s="5" t="s">
        <v>503</v>
      </c>
      <c r="AQ750" s="5" t="s">
        <v>500</v>
      </c>
      <c r="AR750" s="5" t="s">
        <v>501</v>
      </c>
      <c r="AS750" s="5" t="s">
        <v>503</v>
      </c>
      <c r="AT750" s="5" t="s">
        <v>120</v>
      </c>
      <c r="AU750" s="5">
        <v>3</v>
      </c>
      <c r="AW750" s="5" t="s">
        <v>336</v>
      </c>
      <c r="BA750" s="54"/>
      <c r="BB750" s="5" t="s">
        <v>507</v>
      </c>
      <c r="BH750" s="5">
        <f>31.1*1000/5</f>
        <v>6220</v>
      </c>
      <c r="BI750" s="5">
        <f>29.9*1000/5</f>
        <v>5980</v>
      </c>
      <c r="BL750" s="5" t="s">
        <v>510</v>
      </c>
      <c r="BM750" s="403"/>
      <c r="BN750" s="403"/>
      <c r="BR750" s="403">
        <v>0.71</v>
      </c>
      <c r="BS750" s="403">
        <v>1.81</v>
      </c>
      <c r="BV750" s="5" t="s">
        <v>164</v>
      </c>
      <c r="BW750" s="5">
        <f>0.06*10000</f>
        <v>600</v>
      </c>
      <c r="BX750" s="5">
        <v>1400</v>
      </c>
      <c r="CA750" s="5" t="s">
        <v>513</v>
      </c>
      <c r="DF750" s="5">
        <f>0.59*1000</f>
        <v>590</v>
      </c>
      <c r="DG750" s="5">
        <f>0.88*1000</f>
        <v>880</v>
      </c>
      <c r="DJ750" s="5" t="s">
        <v>514</v>
      </c>
      <c r="GM750" s="12"/>
      <c r="GQ750" s="12"/>
      <c r="IO750" s="5" t="s">
        <v>724</v>
      </c>
    </row>
    <row r="751" spans="1:249" s="33" customFormat="1" x14ac:dyDescent="0.25">
      <c r="A751" s="33">
        <v>36</v>
      </c>
      <c r="B751" s="33" t="s">
        <v>494</v>
      </c>
      <c r="C751" s="33" t="s">
        <v>495</v>
      </c>
      <c r="D751" s="33">
        <v>1992</v>
      </c>
      <c r="E751" s="33">
        <v>1982</v>
      </c>
      <c r="F751" s="33" t="s">
        <v>496</v>
      </c>
      <c r="G751" s="33" t="s">
        <v>497</v>
      </c>
      <c r="H751" s="32" t="s">
        <v>2831</v>
      </c>
      <c r="I751" s="33">
        <f t="shared" si="205"/>
        <v>33.9</v>
      </c>
      <c r="J751" s="33">
        <f t="shared" si="206"/>
        <v>-83.4</v>
      </c>
      <c r="K751" s="33">
        <v>185.5</v>
      </c>
      <c r="Q751" s="47">
        <v>3</v>
      </c>
      <c r="R751" s="47">
        <v>3</v>
      </c>
      <c r="S751" s="47"/>
      <c r="T751" s="47" t="s">
        <v>1924</v>
      </c>
      <c r="U751" s="47" t="s">
        <v>1391</v>
      </c>
      <c r="V751" s="47" t="s">
        <v>1724</v>
      </c>
      <c r="W751" s="47" t="s">
        <v>1391</v>
      </c>
      <c r="X751" s="47" t="s">
        <v>1391</v>
      </c>
      <c r="Z751" s="327"/>
      <c r="AA751" s="327"/>
      <c r="AB751" s="33" t="s">
        <v>797</v>
      </c>
      <c r="AF751" s="33" t="s">
        <v>1336</v>
      </c>
      <c r="AG751" s="33" t="s">
        <v>1525</v>
      </c>
      <c r="AH751" s="138" t="s">
        <v>578</v>
      </c>
      <c r="AI751" s="33" t="s">
        <v>221</v>
      </c>
      <c r="AJ751" s="141" t="s">
        <v>221</v>
      </c>
      <c r="AN751" s="33" t="s">
        <v>488</v>
      </c>
      <c r="AO751" s="33" t="s">
        <v>498</v>
      </c>
      <c r="AP751" s="33" t="s">
        <v>503</v>
      </c>
      <c r="AQ751" s="33" t="s">
        <v>500</v>
      </c>
      <c r="AR751" s="33" t="s">
        <v>501</v>
      </c>
      <c r="AS751" s="33" t="s">
        <v>503</v>
      </c>
      <c r="AT751" s="33" t="s">
        <v>120</v>
      </c>
      <c r="AU751" s="33">
        <v>3</v>
      </c>
      <c r="AW751" s="33" t="s">
        <v>336</v>
      </c>
      <c r="BA751" s="54"/>
      <c r="BB751" s="33" t="s">
        <v>508</v>
      </c>
      <c r="BH751" s="33">
        <f>32.1*1000/5</f>
        <v>6420</v>
      </c>
      <c r="BI751" s="33">
        <f>32.8*1000/5</f>
        <v>6560</v>
      </c>
      <c r="BL751" s="33" t="s">
        <v>511</v>
      </c>
      <c r="BM751" s="402"/>
      <c r="BN751" s="402"/>
      <c r="BR751" s="402">
        <v>1.38</v>
      </c>
      <c r="BS751" s="402">
        <v>2.38</v>
      </c>
      <c r="BV751" s="33" t="s">
        <v>164</v>
      </c>
      <c r="BW751" s="33">
        <v>1100</v>
      </c>
      <c r="BX751" s="33">
        <v>1900</v>
      </c>
      <c r="CA751" s="33" t="s">
        <v>513</v>
      </c>
      <c r="DF751" s="33">
        <f>0.69*1000</f>
        <v>690</v>
      </c>
      <c r="DG751" s="33">
        <v>900</v>
      </c>
      <c r="DJ751" s="33" t="s">
        <v>514</v>
      </c>
      <c r="GM751" s="12"/>
      <c r="GQ751" s="12"/>
      <c r="IO751" s="5" t="s">
        <v>724</v>
      </c>
    </row>
    <row r="752" spans="1:249" s="28" customFormat="1" x14ac:dyDescent="0.25">
      <c r="A752" s="28">
        <v>36</v>
      </c>
      <c r="B752" s="28" t="s">
        <v>494</v>
      </c>
      <c r="C752" s="28" t="s">
        <v>495</v>
      </c>
      <c r="D752" s="28">
        <v>1992</v>
      </c>
      <c r="E752" s="28">
        <v>1982</v>
      </c>
      <c r="F752" s="28" t="s">
        <v>496</v>
      </c>
      <c r="G752" s="28" t="s">
        <v>497</v>
      </c>
      <c r="H752" s="32" t="s">
        <v>2831</v>
      </c>
      <c r="I752" s="28">
        <f t="shared" si="205"/>
        <v>33.9</v>
      </c>
      <c r="J752" s="28">
        <f t="shared" si="206"/>
        <v>-83.4</v>
      </c>
      <c r="K752" s="28">
        <v>185.5</v>
      </c>
      <c r="Q752" s="46">
        <v>3</v>
      </c>
      <c r="R752" s="46">
        <v>3</v>
      </c>
      <c r="S752" s="46"/>
      <c r="T752" s="46" t="s">
        <v>1924</v>
      </c>
      <c r="U752" s="46" t="s">
        <v>1391</v>
      </c>
      <c r="V752" s="46" t="s">
        <v>1724</v>
      </c>
      <c r="W752" s="46" t="s">
        <v>1391</v>
      </c>
      <c r="X752" s="46" t="s">
        <v>1391</v>
      </c>
      <c r="Z752" s="326"/>
      <c r="AA752" s="326"/>
      <c r="AB752" s="28" t="s">
        <v>797</v>
      </c>
      <c r="AF752" s="28" t="s">
        <v>1336</v>
      </c>
      <c r="AG752" s="28" t="s">
        <v>1525</v>
      </c>
      <c r="AH752" s="138" t="s">
        <v>578</v>
      </c>
      <c r="AI752" s="28" t="s">
        <v>221</v>
      </c>
      <c r="AJ752" s="141" t="s">
        <v>221</v>
      </c>
      <c r="AN752" s="28" t="s">
        <v>488</v>
      </c>
      <c r="AO752" s="28" t="s">
        <v>498</v>
      </c>
      <c r="AP752" s="28" t="s">
        <v>503</v>
      </c>
      <c r="AQ752" s="28" t="s">
        <v>500</v>
      </c>
      <c r="AR752" s="28" t="s">
        <v>501</v>
      </c>
      <c r="AS752" s="28" t="s">
        <v>503</v>
      </c>
      <c r="AT752" s="28" t="s">
        <v>120</v>
      </c>
      <c r="AU752" s="28">
        <v>3</v>
      </c>
      <c r="AW752" s="28" t="s">
        <v>336</v>
      </c>
      <c r="BB752" s="28" t="s">
        <v>509</v>
      </c>
      <c r="BH752" s="28">
        <f>35.7*1000/5</f>
        <v>7140</v>
      </c>
      <c r="BI752" s="28">
        <f>30.3*1000/5</f>
        <v>6060</v>
      </c>
      <c r="BL752" s="28" t="s">
        <v>512</v>
      </c>
      <c r="BM752" s="401"/>
      <c r="BN752" s="401"/>
      <c r="BR752" s="401">
        <v>1.44</v>
      </c>
      <c r="BS752" s="401">
        <v>3.07</v>
      </c>
      <c r="BV752" s="28" t="s">
        <v>164</v>
      </c>
      <c r="BW752" s="28">
        <v>1100</v>
      </c>
      <c r="BX752" s="28">
        <v>2300</v>
      </c>
      <c r="CA752" s="28" t="s">
        <v>513</v>
      </c>
      <c r="DF752" s="28">
        <f>0.7*1000</f>
        <v>700</v>
      </c>
      <c r="DG752" s="28">
        <v>930</v>
      </c>
      <c r="DJ752" s="28" t="s">
        <v>514</v>
      </c>
      <c r="GM752" s="107"/>
      <c r="GQ752" s="107"/>
      <c r="IO752" s="28" t="s">
        <v>724</v>
      </c>
    </row>
    <row r="753" spans="1:249" s="32" customFormat="1" x14ac:dyDescent="0.25">
      <c r="A753" s="32">
        <v>37</v>
      </c>
      <c r="B753" s="32" t="s">
        <v>516</v>
      </c>
      <c r="C753" s="32" t="s">
        <v>517</v>
      </c>
      <c r="D753" s="32">
        <v>2012</v>
      </c>
      <c r="E753" s="32">
        <v>2009</v>
      </c>
      <c r="F753" s="32" t="s">
        <v>113</v>
      </c>
      <c r="G753" s="32" t="s">
        <v>518</v>
      </c>
      <c r="H753" s="32" t="s">
        <v>2831</v>
      </c>
      <c r="I753" s="32">
        <f t="shared" ref="I753:I766" si="207">44+19/60</f>
        <v>44.31666666666667</v>
      </c>
      <c r="J753" s="32">
        <f t="shared" ref="J753:J766" si="208">-96-46/60</f>
        <v>-96.766666666666666</v>
      </c>
      <c r="K753" s="32">
        <v>504.6</v>
      </c>
      <c r="M753" s="32">
        <v>8</v>
      </c>
      <c r="N753" s="32">
        <v>580</v>
      </c>
      <c r="Q753" s="44">
        <v>1</v>
      </c>
      <c r="R753" s="44">
        <v>2</v>
      </c>
      <c r="S753" s="44"/>
      <c r="T753" s="44" t="s">
        <v>1925</v>
      </c>
      <c r="U753" s="44" t="s">
        <v>1386</v>
      </c>
      <c r="V753" s="44" t="s">
        <v>1724</v>
      </c>
      <c r="W753" s="44" t="s">
        <v>1386</v>
      </c>
      <c r="X753" s="44" t="s">
        <v>1386</v>
      </c>
      <c r="Z753" s="323">
        <v>60</v>
      </c>
      <c r="AA753" s="323">
        <f t="shared" ref="AA753:AA766" si="209">100-60-28</f>
        <v>12</v>
      </c>
      <c r="AB753" s="32" t="s">
        <v>519</v>
      </c>
      <c r="AC753" s="32">
        <v>7.4</v>
      </c>
      <c r="AD753" s="32">
        <v>2.9</v>
      </c>
      <c r="AE753" s="32">
        <v>0.31</v>
      </c>
      <c r="AF753" s="32" t="s">
        <v>1338</v>
      </c>
      <c r="AG753" s="32" t="s">
        <v>524</v>
      </c>
      <c r="AH753" s="138" t="s">
        <v>1131</v>
      </c>
      <c r="AI753" s="32" t="s">
        <v>521</v>
      </c>
      <c r="AJ753" s="140" t="s">
        <v>1629</v>
      </c>
      <c r="AK753" s="32" t="s">
        <v>1627</v>
      </c>
      <c r="AL753" s="32" t="s">
        <v>1627</v>
      </c>
      <c r="AM753" s="32" t="s">
        <v>178</v>
      </c>
      <c r="AN753" s="32" t="s">
        <v>522</v>
      </c>
      <c r="AO753" s="32" t="s">
        <v>157</v>
      </c>
      <c r="AP753" s="32" t="s">
        <v>503</v>
      </c>
      <c r="AT753" s="32" t="s">
        <v>161</v>
      </c>
      <c r="AU753" s="32">
        <v>4</v>
      </c>
      <c r="AW753" s="32" t="s">
        <v>142</v>
      </c>
      <c r="BA753" s="53"/>
      <c r="BM753" s="397"/>
      <c r="BN753" s="397"/>
      <c r="BR753" s="397"/>
      <c r="BS753" s="397"/>
      <c r="GC753" s="32">
        <v>58.12</v>
      </c>
      <c r="GD753" s="32">
        <v>82.59</v>
      </c>
      <c r="GG753" s="32" t="s">
        <v>523</v>
      </c>
      <c r="IO753" s="32" t="s">
        <v>725</v>
      </c>
    </row>
    <row r="754" spans="1:249" s="32" customFormat="1" x14ac:dyDescent="0.25">
      <c r="A754" s="32">
        <v>37</v>
      </c>
      <c r="B754" s="32" t="s">
        <v>516</v>
      </c>
      <c r="C754" s="32" t="s">
        <v>517</v>
      </c>
      <c r="D754" s="32">
        <v>2012</v>
      </c>
      <c r="E754" s="32">
        <v>2009</v>
      </c>
      <c r="F754" s="32" t="s">
        <v>113</v>
      </c>
      <c r="G754" s="32" t="s">
        <v>518</v>
      </c>
      <c r="H754" s="32" t="s">
        <v>2831</v>
      </c>
      <c r="I754" s="32">
        <f t="shared" si="207"/>
        <v>44.31666666666667</v>
      </c>
      <c r="J754" s="32">
        <f t="shared" si="208"/>
        <v>-96.766666666666666</v>
      </c>
      <c r="K754" s="32">
        <v>504.6</v>
      </c>
      <c r="M754" s="32">
        <v>8</v>
      </c>
      <c r="N754" s="32">
        <v>580</v>
      </c>
      <c r="Q754" s="44">
        <v>1</v>
      </c>
      <c r="R754" s="44">
        <v>2</v>
      </c>
      <c r="S754" s="44"/>
      <c r="T754" s="44" t="s">
        <v>1925</v>
      </c>
      <c r="U754" s="44" t="s">
        <v>1386</v>
      </c>
      <c r="V754" s="44" t="s">
        <v>1724</v>
      </c>
      <c r="W754" s="44" t="s">
        <v>1386</v>
      </c>
      <c r="X754" s="44" t="s">
        <v>1386</v>
      </c>
      <c r="Z754" s="323">
        <v>60</v>
      </c>
      <c r="AA754" s="323">
        <f t="shared" si="209"/>
        <v>12</v>
      </c>
      <c r="AB754" s="32" t="s">
        <v>519</v>
      </c>
      <c r="AC754" s="32">
        <v>7.4</v>
      </c>
      <c r="AD754" s="32">
        <v>2.9</v>
      </c>
      <c r="AE754" s="32">
        <v>0.31</v>
      </c>
      <c r="AF754" s="32" t="s">
        <v>1338</v>
      </c>
      <c r="AG754" s="32" t="s">
        <v>521</v>
      </c>
      <c r="AH754" s="138" t="s">
        <v>1585</v>
      </c>
      <c r="AI754" s="32" t="s">
        <v>521</v>
      </c>
      <c r="AJ754" s="140" t="s">
        <v>1629</v>
      </c>
      <c r="AK754" s="32" t="s">
        <v>1627</v>
      </c>
      <c r="AL754" s="32" t="s">
        <v>1627</v>
      </c>
      <c r="AM754" s="32" t="s">
        <v>178</v>
      </c>
      <c r="AN754" s="32" t="s">
        <v>522</v>
      </c>
      <c r="AO754" s="32" t="s">
        <v>157</v>
      </c>
      <c r="AP754" s="32" t="s">
        <v>503</v>
      </c>
      <c r="AT754" s="32" t="s">
        <v>161</v>
      </c>
      <c r="AU754" s="32">
        <v>4</v>
      </c>
      <c r="AW754" s="32" t="s">
        <v>142</v>
      </c>
      <c r="BA754" s="53"/>
      <c r="BM754" s="397"/>
      <c r="BN754" s="397"/>
      <c r="BR754" s="397"/>
      <c r="BS754" s="397"/>
      <c r="GC754" s="32">
        <v>58.12</v>
      </c>
      <c r="GD754" s="32">
        <v>146.5</v>
      </c>
      <c r="GG754" s="32" t="s">
        <v>523</v>
      </c>
      <c r="IO754" s="32" t="s">
        <v>725</v>
      </c>
    </row>
    <row r="755" spans="1:249" s="32" customFormat="1" x14ac:dyDescent="0.25">
      <c r="A755" s="32">
        <v>37</v>
      </c>
      <c r="B755" s="32" t="s">
        <v>516</v>
      </c>
      <c r="C755" s="32" t="s">
        <v>517</v>
      </c>
      <c r="D755" s="32">
        <v>2012</v>
      </c>
      <c r="E755" s="32">
        <v>2009</v>
      </c>
      <c r="F755" s="32" t="s">
        <v>113</v>
      </c>
      <c r="G755" s="32" t="s">
        <v>518</v>
      </c>
      <c r="H755" s="32" t="s">
        <v>2831</v>
      </c>
      <c r="I755" s="32">
        <f t="shared" si="207"/>
        <v>44.31666666666667</v>
      </c>
      <c r="J755" s="32">
        <f t="shared" si="208"/>
        <v>-96.766666666666666</v>
      </c>
      <c r="K755" s="32">
        <v>504.6</v>
      </c>
      <c r="M755" s="32">
        <v>8</v>
      </c>
      <c r="N755" s="32">
        <v>580</v>
      </c>
      <c r="Q755" s="44">
        <v>1</v>
      </c>
      <c r="R755" s="44">
        <v>2</v>
      </c>
      <c r="S755" s="44"/>
      <c r="T755" s="44" t="s">
        <v>1925</v>
      </c>
      <c r="U755" s="44" t="s">
        <v>1386</v>
      </c>
      <c r="V755" s="44" t="s">
        <v>1724</v>
      </c>
      <c r="W755" s="44" t="s">
        <v>1386</v>
      </c>
      <c r="X755" s="44" t="s">
        <v>1386</v>
      </c>
      <c r="Z755" s="323">
        <v>60</v>
      </c>
      <c r="AA755" s="323">
        <f t="shared" si="209"/>
        <v>12</v>
      </c>
      <c r="AB755" s="32" t="s">
        <v>519</v>
      </c>
      <c r="AC755" s="32">
        <v>7.4</v>
      </c>
      <c r="AD755" s="32">
        <v>2.9</v>
      </c>
      <c r="AE755" s="32">
        <v>0.31</v>
      </c>
      <c r="AF755" s="32" t="s">
        <v>1338</v>
      </c>
      <c r="AG755" s="32" t="s">
        <v>244</v>
      </c>
      <c r="AH755" s="138" t="s">
        <v>578</v>
      </c>
      <c r="AI755" s="32" t="s">
        <v>521</v>
      </c>
      <c r="AJ755" s="140" t="s">
        <v>1629</v>
      </c>
      <c r="AK755" s="32" t="s">
        <v>1627</v>
      </c>
      <c r="AL755" s="32" t="s">
        <v>1627</v>
      </c>
      <c r="AM755" s="32" t="s">
        <v>178</v>
      </c>
      <c r="AN755" s="32" t="s">
        <v>522</v>
      </c>
      <c r="AO755" s="32" t="s">
        <v>157</v>
      </c>
      <c r="AP755" s="32" t="s">
        <v>503</v>
      </c>
      <c r="AT755" s="32" t="s">
        <v>161</v>
      </c>
      <c r="AU755" s="32">
        <v>4</v>
      </c>
      <c r="AW755" s="32" t="s">
        <v>142</v>
      </c>
      <c r="BA755" s="53"/>
      <c r="BM755" s="397"/>
      <c r="BN755" s="397"/>
      <c r="BR755" s="397"/>
      <c r="BS755" s="397"/>
      <c r="GC755" s="32">
        <v>58.12</v>
      </c>
      <c r="GD755" s="32">
        <v>111.06</v>
      </c>
      <c r="GG755" s="32" t="s">
        <v>523</v>
      </c>
      <c r="IO755" s="32" t="s">
        <v>725</v>
      </c>
    </row>
    <row r="756" spans="1:249" s="32" customFormat="1" x14ac:dyDescent="0.25">
      <c r="A756" s="32">
        <v>37</v>
      </c>
      <c r="B756" s="32" t="s">
        <v>516</v>
      </c>
      <c r="C756" s="32" t="s">
        <v>517</v>
      </c>
      <c r="D756" s="32">
        <v>2012</v>
      </c>
      <c r="E756" s="32">
        <v>2009</v>
      </c>
      <c r="F756" s="32" t="s">
        <v>113</v>
      </c>
      <c r="G756" s="32" t="s">
        <v>518</v>
      </c>
      <c r="H756" s="32" t="s">
        <v>2831</v>
      </c>
      <c r="I756" s="32">
        <f t="shared" si="207"/>
        <v>44.31666666666667</v>
      </c>
      <c r="J756" s="32">
        <f t="shared" si="208"/>
        <v>-96.766666666666666</v>
      </c>
      <c r="K756" s="32">
        <v>504.6</v>
      </c>
      <c r="M756" s="32">
        <v>8</v>
      </c>
      <c r="N756" s="32">
        <v>580</v>
      </c>
      <c r="Q756" s="44">
        <v>1</v>
      </c>
      <c r="R756" s="44">
        <v>2</v>
      </c>
      <c r="S756" s="44"/>
      <c r="T756" s="44" t="s">
        <v>1925</v>
      </c>
      <c r="U756" s="44" t="s">
        <v>1386</v>
      </c>
      <c r="V756" s="44" t="s">
        <v>1724</v>
      </c>
      <c r="W756" s="44" t="s">
        <v>1386</v>
      </c>
      <c r="X756" s="44" t="s">
        <v>1386</v>
      </c>
      <c r="Z756" s="323">
        <v>60</v>
      </c>
      <c r="AA756" s="323">
        <f t="shared" si="209"/>
        <v>12</v>
      </c>
      <c r="AB756" s="32" t="s">
        <v>519</v>
      </c>
      <c r="AC756" s="32">
        <v>7.4</v>
      </c>
      <c r="AD756" s="32">
        <v>2.9</v>
      </c>
      <c r="AE756" s="32">
        <v>0.31</v>
      </c>
      <c r="AF756" s="32" t="s">
        <v>1338</v>
      </c>
      <c r="AG756" s="32" t="s">
        <v>1561</v>
      </c>
      <c r="AH756" s="138" t="s">
        <v>1589</v>
      </c>
      <c r="AI756" s="32" t="s">
        <v>521</v>
      </c>
      <c r="AJ756" s="140" t="s">
        <v>1629</v>
      </c>
      <c r="AK756" s="32" t="s">
        <v>1627</v>
      </c>
      <c r="AL756" s="32" t="s">
        <v>1627</v>
      </c>
      <c r="AM756" s="32" t="s">
        <v>178</v>
      </c>
      <c r="AN756" s="32" t="s">
        <v>522</v>
      </c>
      <c r="AO756" s="32" t="s">
        <v>157</v>
      </c>
      <c r="AP756" s="32" t="s">
        <v>503</v>
      </c>
      <c r="AT756" s="32" t="s">
        <v>161</v>
      </c>
      <c r="AU756" s="32">
        <v>4</v>
      </c>
      <c r="AW756" s="32" t="s">
        <v>142</v>
      </c>
      <c r="BA756" s="53"/>
      <c r="BM756" s="397"/>
      <c r="BN756" s="397"/>
      <c r="BR756" s="397"/>
      <c r="BS756" s="397"/>
      <c r="GC756" s="32">
        <v>58.12</v>
      </c>
      <c r="GD756" s="32">
        <v>213.15</v>
      </c>
      <c r="GG756" s="32" t="s">
        <v>523</v>
      </c>
      <c r="IO756" s="32" t="s">
        <v>725</v>
      </c>
    </row>
    <row r="757" spans="1:249" s="32" customFormat="1" x14ac:dyDescent="0.25">
      <c r="A757" s="32">
        <v>37</v>
      </c>
      <c r="B757" s="32" t="s">
        <v>516</v>
      </c>
      <c r="C757" s="32" t="s">
        <v>517</v>
      </c>
      <c r="D757" s="32">
        <v>2012</v>
      </c>
      <c r="E757" s="32">
        <v>2009</v>
      </c>
      <c r="F757" s="32" t="s">
        <v>113</v>
      </c>
      <c r="G757" s="32" t="s">
        <v>518</v>
      </c>
      <c r="H757" s="32" t="s">
        <v>2831</v>
      </c>
      <c r="I757" s="32">
        <f t="shared" si="207"/>
        <v>44.31666666666667</v>
      </c>
      <c r="J757" s="32">
        <f t="shared" si="208"/>
        <v>-96.766666666666666</v>
      </c>
      <c r="K757" s="32">
        <v>504.6</v>
      </c>
      <c r="M757" s="32">
        <v>8</v>
      </c>
      <c r="N757" s="32">
        <v>580</v>
      </c>
      <c r="Q757" s="44">
        <v>1</v>
      </c>
      <c r="R757" s="44">
        <v>2</v>
      </c>
      <c r="S757" s="44"/>
      <c r="T757" s="44" t="s">
        <v>1925</v>
      </c>
      <c r="U757" s="44" t="s">
        <v>1386</v>
      </c>
      <c r="V757" s="44" t="s">
        <v>1724</v>
      </c>
      <c r="W757" s="44" t="s">
        <v>1386</v>
      </c>
      <c r="X757" s="44" t="s">
        <v>1386</v>
      </c>
      <c r="Z757" s="323">
        <v>60</v>
      </c>
      <c r="AA757" s="323">
        <f t="shared" si="209"/>
        <v>12</v>
      </c>
      <c r="AB757" s="32" t="s">
        <v>519</v>
      </c>
      <c r="AC757" s="32">
        <v>7.4</v>
      </c>
      <c r="AD757" s="32">
        <v>2.9</v>
      </c>
      <c r="AE757" s="32">
        <v>0.31</v>
      </c>
      <c r="AF757" s="32" t="s">
        <v>1338</v>
      </c>
      <c r="AG757" s="32" t="s">
        <v>1563</v>
      </c>
      <c r="AH757" s="138" t="s">
        <v>1586</v>
      </c>
      <c r="AI757" s="32" t="s">
        <v>521</v>
      </c>
      <c r="AJ757" s="140" t="s">
        <v>1629</v>
      </c>
      <c r="AK757" s="32" t="s">
        <v>1627</v>
      </c>
      <c r="AL757" s="32" t="s">
        <v>1627</v>
      </c>
      <c r="AM757" s="32" t="s">
        <v>178</v>
      </c>
      <c r="AN757" s="32" t="s">
        <v>522</v>
      </c>
      <c r="AO757" s="32" t="s">
        <v>157</v>
      </c>
      <c r="AP757" s="32" t="s">
        <v>503</v>
      </c>
      <c r="AT757" s="32" t="s">
        <v>161</v>
      </c>
      <c r="AU757" s="32">
        <v>4</v>
      </c>
      <c r="AW757" s="32" t="s">
        <v>142</v>
      </c>
      <c r="BA757" s="53"/>
      <c r="BM757" s="397"/>
      <c r="BN757" s="397"/>
      <c r="BR757" s="397"/>
      <c r="BS757" s="397"/>
      <c r="GC757" s="32">
        <v>58.12</v>
      </c>
      <c r="GD757" s="32">
        <v>176.05</v>
      </c>
      <c r="GG757" s="32" t="s">
        <v>523</v>
      </c>
      <c r="IO757" s="32" t="s">
        <v>725</v>
      </c>
    </row>
    <row r="758" spans="1:249" s="32" customFormat="1" x14ac:dyDescent="0.25">
      <c r="A758" s="32">
        <v>37</v>
      </c>
      <c r="B758" s="32" t="s">
        <v>516</v>
      </c>
      <c r="C758" s="32" t="s">
        <v>517</v>
      </c>
      <c r="D758" s="32">
        <v>2012</v>
      </c>
      <c r="E758" s="32">
        <v>2009</v>
      </c>
      <c r="F758" s="32" t="s">
        <v>113</v>
      </c>
      <c r="G758" s="32" t="s">
        <v>518</v>
      </c>
      <c r="H758" s="32" t="s">
        <v>2831</v>
      </c>
      <c r="I758" s="32">
        <f t="shared" si="207"/>
        <v>44.31666666666667</v>
      </c>
      <c r="J758" s="32">
        <f t="shared" si="208"/>
        <v>-96.766666666666666</v>
      </c>
      <c r="K758" s="32">
        <v>504.6</v>
      </c>
      <c r="M758" s="32">
        <v>8</v>
      </c>
      <c r="N758" s="32">
        <v>580</v>
      </c>
      <c r="Q758" s="44">
        <v>1</v>
      </c>
      <c r="R758" s="44">
        <v>2</v>
      </c>
      <c r="S758" s="44"/>
      <c r="T758" s="44" t="s">
        <v>1925</v>
      </c>
      <c r="U758" s="44" t="s">
        <v>1386</v>
      </c>
      <c r="V758" s="44" t="s">
        <v>1724</v>
      </c>
      <c r="W758" s="44" t="s">
        <v>1386</v>
      </c>
      <c r="X758" s="44" t="s">
        <v>1386</v>
      </c>
      <c r="Z758" s="323">
        <v>60</v>
      </c>
      <c r="AA758" s="323">
        <f t="shared" si="209"/>
        <v>12</v>
      </c>
      <c r="AB758" s="32" t="s">
        <v>519</v>
      </c>
      <c r="AC758" s="32">
        <v>7.4</v>
      </c>
      <c r="AD758" s="32">
        <v>2.9</v>
      </c>
      <c r="AE758" s="32">
        <v>0.31</v>
      </c>
      <c r="AF758" s="32" t="s">
        <v>1338</v>
      </c>
      <c r="AG758" s="32" t="s">
        <v>1562</v>
      </c>
      <c r="AH758" s="138" t="s">
        <v>1589</v>
      </c>
      <c r="AI758" s="32" t="s">
        <v>521</v>
      </c>
      <c r="AJ758" s="140" t="s">
        <v>1629</v>
      </c>
      <c r="AK758" s="32" t="s">
        <v>1627</v>
      </c>
      <c r="AL758" s="32" t="s">
        <v>1627</v>
      </c>
      <c r="AM758" s="32" t="s">
        <v>178</v>
      </c>
      <c r="AN758" s="32" t="s">
        <v>522</v>
      </c>
      <c r="AO758" s="32" t="s">
        <v>157</v>
      </c>
      <c r="AP758" s="32" t="s">
        <v>503</v>
      </c>
      <c r="AT758" s="32" t="s">
        <v>161</v>
      </c>
      <c r="AU758" s="32">
        <v>4</v>
      </c>
      <c r="AW758" s="32" t="s">
        <v>142</v>
      </c>
      <c r="BA758" s="53"/>
      <c r="BM758" s="397"/>
      <c r="BN758" s="397"/>
      <c r="BR758" s="397"/>
      <c r="BS758" s="397"/>
      <c r="GC758" s="32">
        <v>58.12</v>
      </c>
      <c r="GD758" s="32">
        <v>83.92</v>
      </c>
      <c r="GG758" s="32" t="s">
        <v>523</v>
      </c>
      <c r="IO758" s="32" t="s">
        <v>725</v>
      </c>
    </row>
    <row r="759" spans="1:249" s="32" customFormat="1" x14ac:dyDescent="0.25">
      <c r="A759" s="32">
        <v>37</v>
      </c>
      <c r="B759" s="32" t="s">
        <v>516</v>
      </c>
      <c r="C759" s="32" t="s">
        <v>517</v>
      </c>
      <c r="D759" s="32">
        <v>2012</v>
      </c>
      <c r="E759" s="32">
        <v>2009</v>
      </c>
      <c r="F759" s="32" t="s">
        <v>113</v>
      </c>
      <c r="G759" s="32" t="s">
        <v>518</v>
      </c>
      <c r="H759" s="32" t="s">
        <v>2831</v>
      </c>
      <c r="I759" s="32">
        <f t="shared" si="207"/>
        <v>44.31666666666667</v>
      </c>
      <c r="J759" s="32">
        <f t="shared" si="208"/>
        <v>-96.766666666666666</v>
      </c>
      <c r="K759" s="32">
        <v>504.6</v>
      </c>
      <c r="M759" s="32">
        <v>8</v>
      </c>
      <c r="N759" s="32">
        <v>580</v>
      </c>
      <c r="Q759" s="44">
        <v>1</v>
      </c>
      <c r="R759" s="44">
        <v>2</v>
      </c>
      <c r="S759" s="44"/>
      <c r="T759" s="44" t="s">
        <v>1925</v>
      </c>
      <c r="U759" s="44" t="s">
        <v>1386</v>
      </c>
      <c r="V759" s="44" t="s">
        <v>1724</v>
      </c>
      <c r="W759" s="44" t="s">
        <v>1386</v>
      </c>
      <c r="X759" s="44" t="s">
        <v>1386</v>
      </c>
      <c r="Z759" s="323">
        <v>60</v>
      </c>
      <c r="AA759" s="323">
        <f t="shared" si="209"/>
        <v>12</v>
      </c>
      <c r="AB759" s="32" t="s">
        <v>519</v>
      </c>
      <c r="AC759" s="32">
        <v>7.4</v>
      </c>
      <c r="AD759" s="32">
        <v>2.9</v>
      </c>
      <c r="AE759" s="32">
        <v>0.31</v>
      </c>
      <c r="AF759" s="32" t="s">
        <v>1338</v>
      </c>
      <c r="AG759" s="32" t="s">
        <v>1560</v>
      </c>
      <c r="AH759" s="138" t="s">
        <v>636</v>
      </c>
      <c r="AI759" s="32" t="s">
        <v>521</v>
      </c>
      <c r="AJ759" s="140" t="s">
        <v>1629</v>
      </c>
      <c r="AK759" s="32" t="s">
        <v>1627</v>
      </c>
      <c r="AL759" s="32" t="s">
        <v>1627</v>
      </c>
      <c r="AM759" s="32" t="s">
        <v>178</v>
      </c>
      <c r="AN759" s="32" t="s">
        <v>522</v>
      </c>
      <c r="AO759" s="32" t="s">
        <v>157</v>
      </c>
      <c r="AP759" s="32" t="s">
        <v>503</v>
      </c>
      <c r="AT759" s="32" t="s">
        <v>161</v>
      </c>
      <c r="AU759" s="32">
        <v>4</v>
      </c>
      <c r="AW759" s="32" t="s">
        <v>142</v>
      </c>
      <c r="BA759" s="53"/>
      <c r="BM759" s="397"/>
      <c r="BN759" s="397"/>
      <c r="BR759" s="397"/>
      <c r="BS759" s="397"/>
      <c r="GC759" s="32">
        <v>58.12</v>
      </c>
      <c r="GD759" s="32">
        <v>179.97</v>
      </c>
      <c r="GG759" s="32" t="s">
        <v>523</v>
      </c>
      <c r="IO759" s="32" t="s">
        <v>725</v>
      </c>
    </row>
    <row r="760" spans="1:249" s="24" customFormat="1" x14ac:dyDescent="0.25">
      <c r="A760" s="24">
        <v>37</v>
      </c>
      <c r="B760" s="24" t="s">
        <v>516</v>
      </c>
      <c r="C760" s="24" t="s">
        <v>517</v>
      </c>
      <c r="D760" s="24">
        <v>2012</v>
      </c>
      <c r="E760" s="24">
        <v>2010</v>
      </c>
      <c r="F760" s="24" t="s">
        <v>113</v>
      </c>
      <c r="G760" s="24" t="s">
        <v>518</v>
      </c>
      <c r="H760" s="32" t="s">
        <v>2831</v>
      </c>
      <c r="I760" s="24">
        <f t="shared" si="207"/>
        <v>44.31666666666667</v>
      </c>
      <c r="J760" s="24">
        <f t="shared" si="208"/>
        <v>-96.766666666666666</v>
      </c>
      <c r="K760" s="24">
        <v>504.6</v>
      </c>
      <c r="M760" s="24">
        <v>8</v>
      </c>
      <c r="N760" s="24">
        <v>580</v>
      </c>
      <c r="Q760" s="42">
        <v>2</v>
      </c>
      <c r="R760" s="42">
        <v>2</v>
      </c>
      <c r="S760" s="42"/>
      <c r="T760" s="42" t="s">
        <v>1925</v>
      </c>
      <c r="U760" s="42" t="s">
        <v>1386</v>
      </c>
      <c r="V760" s="42" t="s">
        <v>1724</v>
      </c>
      <c r="W760" s="42" t="s">
        <v>1386</v>
      </c>
      <c r="X760" s="42" t="s">
        <v>1386</v>
      </c>
      <c r="Z760" s="321">
        <v>60</v>
      </c>
      <c r="AA760" s="321">
        <f t="shared" si="209"/>
        <v>12</v>
      </c>
      <c r="AB760" s="24" t="s">
        <v>519</v>
      </c>
      <c r="AC760" s="24">
        <v>7.4</v>
      </c>
      <c r="AD760" s="24">
        <v>2.9</v>
      </c>
      <c r="AE760" s="24">
        <v>0.31</v>
      </c>
      <c r="AF760" s="24" t="s">
        <v>1338</v>
      </c>
      <c r="AG760" s="24" t="s">
        <v>524</v>
      </c>
      <c r="AH760" s="138" t="s">
        <v>1131</v>
      </c>
      <c r="AI760" s="24" t="s">
        <v>521</v>
      </c>
      <c r="AJ760" s="140" t="s">
        <v>1629</v>
      </c>
      <c r="AK760" s="24" t="s">
        <v>1627</v>
      </c>
      <c r="AL760" s="24" t="s">
        <v>1627</v>
      </c>
      <c r="AM760" s="24" t="s">
        <v>178</v>
      </c>
      <c r="AN760" s="24" t="s">
        <v>522</v>
      </c>
      <c r="AO760" s="24" t="s">
        <v>157</v>
      </c>
      <c r="AP760" s="24" t="s">
        <v>503</v>
      </c>
      <c r="AT760" s="24" t="s">
        <v>161</v>
      </c>
      <c r="AU760" s="24">
        <v>4</v>
      </c>
      <c r="AW760" s="24" t="s">
        <v>142</v>
      </c>
      <c r="BA760" s="53"/>
      <c r="BM760" s="395"/>
      <c r="BN760" s="395"/>
      <c r="BR760" s="395"/>
      <c r="BS760" s="395"/>
      <c r="GC760" s="24">
        <v>27.44</v>
      </c>
      <c r="GD760" s="24">
        <v>40.340000000000003</v>
      </c>
      <c r="GG760" s="24" t="s">
        <v>523</v>
      </c>
      <c r="IO760" s="24" t="s">
        <v>725</v>
      </c>
    </row>
    <row r="761" spans="1:249" s="24" customFormat="1" x14ac:dyDescent="0.25">
      <c r="A761" s="24">
        <v>37</v>
      </c>
      <c r="B761" s="24" t="s">
        <v>516</v>
      </c>
      <c r="C761" s="24" t="s">
        <v>517</v>
      </c>
      <c r="D761" s="24">
        <v>2012</v>
      </c>
      <c r="E761" s="24">
        <v>2010</v>
      </c>
      <c r="F761" s="24" t="s">
        <v>113</v>
      </c>
      <c r="G761" s="24" t="s">
        <v>518</v>
      </c>
      <c r="H761" s="32" t="s">
        <v>2831</v>
      </c>
      <c r="I761" s="24">
        <f t="shared" si="207"/>
        <v>44.31666666666667</v>
      </c>
      <c r="J761" s="24">
        <f t="shared" si="208"/>
        <v>-96.766666666666666</v>
      </c>
      <c r="K761" s="24">
        <v>504.6</v>
      </c>
      <c r="M761" s="24">
        <v>8</v>
      </c>
      <c r="N761" s="24">
        <v>580</v>
      </c>
      <c r="Q761" s="42">
        <v>2</v>
      </c>
      <c r="R761" s="42">
        <v>2</v>
      </c>
      <c r="S761" s="42"/>
      <c r="T761" s="42" t="s">
        <v>1925</v>
      </c>
      <c r="U761" s="42" t="s">
        <v>1386</v>
      </c>
      <c r="V761" s="42" t="s">
        <v>1724</v>
      </c>
      <c r="W761" s="42" t="s">
        <v>1386</v>
      </c>
      <c r="X761" s="42" t="s">
        <v>1386</v>
      </c>
      <c r="Z761" s="321">
        <v>60</v>
      </c>
      <c r="AA761" s="321">
        <f t="shared" si="209"/>
        <v>12</v>
      </c>
      <c r="AB761" s="24" t="s">
        <v>519</v>
      </c>
      <c r="AC761" s="24">
        <v>7.4</v>
      </c>
      <c r="AD761" s="24">
        <v>2.9</v>
      </c>
      <c r="AE761" s="24">
        <v>0.31</v>
      </c>
      <c r="AF761" s="24" t="s">
        <v>1338</v>
      </c>
      <c r="AG761" s="24" t="s">
        <v>521</v>
      </c>
      <c r="AH761" s="138" t="s">
        <v>1585</v>
      </c>
      <c r="AI761" s="24" t="s">
        <v>521</v>
      </c>
      <c r="AJ761" s="140" t="s">
        <v>1629</v>
      </c>
      <c r="AK761" s="24" t="s">
        <v>1627</v>
      </c>
      <c r="AL761" s="24" t="s">
        <v>1627</v>
      </c>
      <c r="AM761" s="24" t="s">
        <v>178</v>
      </c>
      <c r="AN761" s="24" t="s">
        <v>522</v>
      </c>
      <c r="AO761" s="24" t="s">
        <v>157</v>
      </c>
      <c r="AP761" s="24" t="s">
        <v>503</v>
      </c>
      <c r="AT761" s="24" t="s">
        <v>161</v>
      </c>
      <c r="AU761" s="24">
        <v>4</v>
      </c>
      <c r="AW761" s="24" t="s">
        <v>142</v>
      </c>
      <c r="BA761" s="53"/>
      <c r="BM761" s="395"/>
      <c r="BN761" s="395"/>
      <c r="BR761" s="395"/>
      <c r="BS761" s="395"/>
      <c r="GC761" s="24">
        <v>27.44</v>
      </c>
      <c r="GD761" s="24">
        <v>83.55</v>
      </c>
      <c r="GG761" s="24" t="s">
        <v>523</v>
      </c>
      <c r="IO761" s="24" t="s">
        <v>725</v>
      </c>
    </row>
    <row r="762" spans="1:249" s="24" customFormat="1" x14ac:dyDescent="0.25">
      <c r="A762" s="24">
        <v>37</v>
      </c>
      <c r="B762" s="24" t="s">
        <v>516</v>
      </c>
      <c r="C762" s="24" t="s">
        <v>517</v>
      </c>
      <c r="D762" s="24">
        <v>2012</v>
      </c>
      <c r="E762" s="24">
        <v>2010</v>
      </c>
      <c r="F762" s="24" t="s">
        <v>113</v>
      </c>
      <c r="G762" s="24" t="s">
        <v>518</v>
      </c>
      <c r="H762" s="32" t="s">
        <v>2831</v>
      </c>
      <c r="I762" s="24">
        <f t="shared" si="207"/>
        <v>44.31666666666667</v>
      </c>
      <c r="J762" s="24">
        <f t="shared" si="208"/>
        <v>-96.766666666666666</v>
      </c>
      <c r="K762" s="24">
        <v>504.6</v>
      </c>
      <c r="M762" s="24">
        <v>8</v>
      </c>
      <c r="N762" s="24">
        <v>580</v>
      </c>
      <c r="Q762" s="42">
        <v>2</v>
      </c>
      <c r="R762" s="42">
        <v>2</v>
      </c>
      <c r="S762" s="42"/>
      <c r="T762" s="42" t="s">
        <v>1925</v>
      </c>
      <c r="U762" s="42" t="s">
        <v>1386</v>
      </c>
      <c r="V762" s="42" t="s">
        <v>1724</v>
      </c>
      <c r="W762" s="42" t="s">
        <v>1386</v>
      </c>
      <c r="X762" s="42" t="s">
        <v>1386</v>
      </c>
      <c r="Z762" s="321">
        <v>60</v>
      </c>
      <c r="AA762" s="321">
        <f t="shared" si="209"/>
        <v>12</v>
      </c>
      <c r="AB762" s="24" t="s">
        <v>519</v>
      </c>
      <c r="AC762" s="24">
        <v>7.4</v>
      </c>
      <c r="AD762" s="24">
        <v>2.9</v>
      </c>
      <c r="AE762" s="24">
        <v>0.31</v>
      </c>
      <c r="AF762" s="24" t="s">
        <v>1338</v>
      </c>
      <c r="AG762" s="24" t="s">
        <v>244</v>
      </c>
      <c r="AH762" s="138" t="s">
        <v>578</v>
      </c>
      <c r="AI762" s="24" t="s">
        <v>521</v>
      </c>
      <c r="AJ762" s="140" t="s">
        <v>1629</v>
      </c>
      <c r="AK762" s="24" t="s">
        <v>1627</v>
      </c>
      <c r="AL762" s="24" t="s">
        <v>1627</v>
      </c>
      <c r="AM762" s="24" t="s">
        <v>178</v>
      </c>
      <c r="AN762" s="24" t="s">
        <v>522</v>
      </c>
      <c r="AO762" s="24" t="s">
        <v>157</v>
      </c>
      <c r="AP762" s="24" t="s">
        <v>503</v>
      </c>
      <c r="AT762" s="24" t="s">
        <v>161</v>
      </c>
      <c r="AU762" s="24">
        <v>4</v>
      </c>
      <c r="AW762" s="24" t="s">
        <v>142</v>
      </c>
      <c r="BA762" s="53"/>
      <c r="BM762" s="395"/>
      <c r="BN762" s="395"/>
      <c r="BR762" s="395"/>
      <c r="BS762" s="395"/>
      <c r="GC762" s="24">
        <v>27.44</v>
      </c>
      <c r="GD762" s="24">
        <v>41.73</v>
      </c>
      <c r="GG762" s="24" t="s">
        <v>523</v>
      </c>
      <c r="IO762" s="24" t="s">
        <v>725</v>
      </c>
    </row>
    <row r="763" spans="1:249" s="24" customFormat="1" x14ac:dyDescent="0.25">
      <c r="A763" s="24">
        <v>37</v>
      </c>
      <c r="B763" s="24" t="s">
        <v>516</v>
      </c>
      <c r="C763" s="24" t="s">
        <v>517</v>
      </c>
      <c r="D763" s="24">
        <v>2012</v>
      </c>
      <c r="E763" s="24">
        <v>2010</v>
      </c>
      <c r="F763" s="24" t="s">
        <v>113</v>
      </c>
      <c r="G763" s="24" t="s">
        <v>518</v>
      </c>
      <c r="H763" s="32" t="s">
        <v>2831</v>
      </c>
      <c r="I763" s="24">
        <f t="shared" si="207"/>
        <v>44.31666666666667</v>
      </c>
      <c r="J763" s="24">
        <f t="shared" si="208"/>
        <v>-96.766666666666666</v>
      </c>
      <c r="K763" s="24">
        <v>504.6</v>
      </c>
      <c r="M763" s="24">
        <v>8</v>
      </c>
      <c r="N763" s="24">
        <v>580</v>
      </c>
      <c r="Q763" s="42">
        <v>2</v>
      </c>
      <c r="R763" s="42">
        <v>2</v>
      </c>
      <c r="S763" s="42"/>
      <c r="T763" s="42" t="s">
        <v>1925</v>
      </c>
      <c r="U763" s="42" t="s">
        <v>1386</v>
      </c>
      <c r="V763" s="42" t="s">
        <v>1724</v>
      </c>
      <c r="W763" s="42" t="s">
        <v>1386</v>
      </c>
      <c r="X763" s="42" t="s">
        <v>1386</v>
      </c>
      <c r="Z763" s="321">
        <v>60</v>
      </c>
      <c r="AA763" s="321">
        <f t="shared" si="209"/>
        <v>12</v>
      </c>
      <c r="AB763" s="24" t="s">
        <v>519</v>
      </c>
      <c r="AC763" s="24">
        <v>7.4</v>
      </c>
      <c r="AD763" s="24">
        <v>2.9</v>
      </c>
      <c r="AE763" s="24">
        <v>0.31</v>
      </c>
      <c r="AF763" s="24" t="s">
        <v>1338</v>
      </c>
      <c r="AG763" s="24" t="s">
        <v>1561</v>
      </c>
      <c r="AH763" s="138" t="s">
        <v>1589</v>
      </c>
      <c r="AI763" s="24" t="s">
        <v>521</v>
      </c>
      <c r="AJ763" s="140" t="s">
        <v>1629</v>
      </c>
      <c r="AK763" s="24" t="s">
        <v>1627</v>
      </c>
      <c r="AL763" s="24" t="s">
        <v>1627</v>
      </c>
      <c r="AM763" s="24" t="s">
        <v>178</v>
      </c>
      <c r="AN763" s="24" t="s">
        <v>522</v>
      </c>
      <c r="AO763" s="24" t="s">
        <v>157</v>
      </c>
      <c r="AP763" s="24" t="s">
        <v>503</v>
      </c>
      <c r="AT763" s="24" t="s">
        <v>161</v>
      </c>
      <c r="AU763" s="24">
        <v>4</v>
      </c>
      <c r="AW763" s="24" t="s">
        <v>142</v>
      </c>
      <c r="BA763" s="53"/>
      <c r="BM763" s="395"/>
      <c r="BN763" s="395"/>
      <c r="BR763" s="395"/>
      <c r="BS763" s="395"/>
      <c r="GC763" s="24">
        <v>27.44</v>
      </c>
      <c r="GD763" s="24">
        <v>76.89</v>
      </c>
      <c r="GG763" s="24" t="s">
        <v>523</v>
      </c>
      <c r="IO763" s="24" t="s">
        <v>725</v>
      </c>
    </row>
    <row r="764" spans="1:249" s="24" customFormat="1" x14ac:dyDescent="0.25">
      <c r="A764" s="24">
        <v>37</v>
      </c>
      <c r="B764" s="24" t="s">
        <v>516</v>
      </c>
      <c r="C764" s="24" t="s">
        <v>517</v>
      </c>
      <c r="D764" s="24">
        <v>2012</v>
      </c>
      <c r="E764" s="24">
        <v>2010</v>
      </c>
      <c r="F764" s="24" t="s">
        <v>113</v>
      </c>
      <c r="G764" s="24" t="s">
        <v>518</v>
      </c>
      <c r="H764" s="32" t="s">
        <v>2831</v>
      </c>
      <c r="I764" s="24">
        <f t="shared" si="207"/>
        <v>44.31666666666667</v>
      </c>
      <c r="J764" s="24">
        <f t="shared" si="208"/>
        <v>-96.766666666666666</v>
      </c>
      <c r="K764" s="24">
        <v>504.6</v>
      </c>
      <c r="M764" s="24">
        <v>8</v>
      </c>
      <c r="N764" s="24">
        <v>580</v>
      </c>
      <c r="Q764" s="42">
        <v>2</v>
      </c>
      <c r="R764" s="42">
        <v>2</v>
      </c>
      <c r="S764" s="42"/>
      <c r="T764" s="42" t="s">
        <v>1925</v>
      </c>
      <c r="U764" s="42" t="s">
        <v>1386</v>
      </c>
      <c r="V764" s="42" t="s">
        <v>1724</v>
      </c>
      <c r="W764" s="42" t="s">
        <v>1386</v>
      </c>
      <c r="X764" s="42" t="s">
        <v>1386</v>
      </c>
      <c r="Z764" s="321">
        <v>60</v>
      </c>
      <c r="AA764" s="321">
        <f t="shared" si="209"/>
        <v>12</v>
      </c>
      <c r="AB764" s="24" t="s">
        <v>519</v>
      </c>
      <c r="AC764" s="24">
        <v>7.4</v>
      </c>
      <c r="AD764" s="24">
        <v>2.9</v>
      </c>
      <c r="AE764" s="24">
        <v>0.31</v>
      </c>
      <c r="AF764" s="24" t="s">
        <v>1338</v>
      </c>
      <c r="AG764" s="24" t="s">
        <v>1563</v>
      </c>
      <c r="AH764" s="138" t="s">
        <v>1586</v>
      </c>
      <c r="AI764" s="24" t="s">
        <v>521</v>
      </c>
      <c r="AJ764" s="140" t="s">
        <v>1629</v>
      </c>
      <c r="AK764" s="24" t="s">
        <v>1627</v>
      </c>
      <c r="AL764" s="24" t="s">
        <v>1627</v>
      </c>
      <c r="AM764" s="24" t="s">
        <v>178</v>
      </c>
      <c r="AN764" s="24" t="s">
        <v>522</v>
      </c>
      <c r="AO764" s="24" t="s">
        <v>157</v>
      </c>
      <c r="AP764" s="24" t="s">
        <v>503</v>
      </c>
      <c r="AT764" s="24" t="s">
        <v>161</v>
      </c>
      <c r="AU764" s="24">
        <v>4</v>
      </c>
      <c r="AW764" s="24" t="s">
        <v>142</v>
      </c>
      <c r="BA764" s="53"/>
      <c r="BM764" s="395"/>
      <c r="BN764" s="395"/>
      <c r="BR764" s="395"/>
      <c r="BS764" s="395"/>
      <c r="GC764" s="24">
        <v>27.44</v>
      </c>
      <c r="GD764" s="24">
        <v>103.25</v>
      </c>
      <c r="GG764" s="24" t="s">
        <v>523</v>
      </c>
      <c r="IO764" s="24" t="s">
        <v>725</v>
      </c>
    </row>
    <row r="765" spans="1:249" s="24" customFormat="1" x14ac:dyDescent="0.25">
      <c r="A765" s="24">
        <v>37</v>
      </c>
      <c r="B765" s="24" t="s">
        <v>516</v>
      </c>
      <c r="C765" s="24" t="s">
        <v>517</v>
      </c>
      <c r="D765" s="24">
        <v>2012</v>
      </c>
      <c r="E765" s="24">
        <v>2010</v>
      </c>
      <c r="F765" s="24" t="s">
        <v>113</v>
      </c>
      <c r="G765" s="24" t="s">
        <v>518</v>
      </c>
      <c r="H765" s="32" t="s">
        <v>2831</v>
      </c>
      <c r="I765" s="24">
        <f t="shared" si="207"/>
        <v>44.31666666666667</v>
      </c>
      <c r="J765" s="24">
        <f t="shared" si="208"/>
        <v>-96.766666666666666</v>
      </c>
      <c r="K765" s="24">
        <v>504.6</v>
      </c>
      <c r="M765" s="24">
        <v>8</v>
      </c>
      <c r="N765" s="24">
        <v>580</v>
      </c>
      <c r="Q765" s="42">
        <v>2</v>
      </c>
      <c r="R765" s="42">
        <v>2</v>
      </c>
      <c r="S765" s="42"/>
      <c r="T765" s="42" t="s">
        <v>1925</v>
      </c>
      <c r="U765" s="42" t="s">
        <v>1386</v>
      </c>
      <c r="V765" s="42" t="s">
        <v>1724</v>
      </c>
      <c r="W765" s="42" t="s">
        <v>1386</v>
      </c>
      <c r="X765" s="42" t="s">
        <v>1386</v>
      </c>
      <c r="Z765" s="321">
        <v>60</v>
      </c>
      <c r="AA765" s="321">
        <f t="shared" si="209"/>
        <v>12</v>
      </c>
      <c r="AB765" s="24" t="s">
        <v>519</v>
      </c>
      <c r="AC765" s="24">
        <v>7.4</v>
      </c>
      <c r="AD765" s="24">
        <v>2.9</v>
      </c>
      <c r="AE765" s="24">
        <v>0.31</v>
      </c>
      <c r="AF765" s="24" t="s">
        <v>1338</v>
      </c>
      <c r="AG765" s="24" t="s">
        <v>1562</v>
      </c>
      <c r="AH765" s="138" t="s">
        <v>1589</v>
      </c>
      <c r="AI765" s="24" t="s">
        <v>521</v>
      </c>
      <c r="AJ765" s="140" t="s">
        <v>1629</v>
      </c>
      <c r="AK765" s="24" t="s">
        <v>1627</v>
      </c>
      <c r="AL765" s="24" t="s">
        <v>1627</v>
      </c>
      <c r="AM765" s="24" t="s">
        <v>178</v>
      </c>
      <c r="AN765" s="24" t="s">
        <v>522</v>
      </c>
      <c r="AO765" s="24" t="s">
        <v>157</v>
      </c>
      <c r="AP765" s="24" t="s">
        <v>503</v>
      </c>
      <c r="AT765" s="24" t="s">
        <v>161</v>
      </c>
      <c r="AU765" s="24">
        <v>4</v>
      </c>
      <c r="AW765" s="24" t="s">
        <v>142</v>
      </c>
      <c r="BA765" s="53"/>
      <c r="BM765" s="395"/>
      <c r="BN765" s="395"/>
      <c r="BR765" s="395"/>
      <c r="BS765" s="395"/>
      <c r="GC765" s="24">
        <v>27.44</v>
      </c>
      <c r="GD765" s="24">
        <v>42.8</v>
      </c>
      <c r="GG765" s="24" t="s">
        <v>523</v>
      </c>
      <c r="IO765" s="24" t="s">
        <v>725</v>
      </c>
    </row>
    <row r="766" spans="1:249" s="24" customFormat="1" x14ac:dyDescent="0.25">
      <c r="A766" s="24">
        <v>37</v>
      </c>
      <c r="B766" s="24" t="s">
        <v>516</v>
      </c>
      <c r="C766" s="24" t="s">
        <v>517</v>
      </c>
      <c r="D766" s="24">
        <v>2012</v>
      </c>
      <c r="E766" s="24">
        <v>2010</v>
      </c>
      <c r="F766" s="24" t="s">
        <v>113</v>
      </c>
      <c r="G766" s="24" t="s">
        <v>518</v>
      </c>
      <c r="H766" s="32" t="s">
        <v>2831</v>
      </c>
      <c r="I766" s="24">
        <f t="shared" si="207"/>
        <v>44.31666666666667</v>
      </c>
      <c r="J766" s="24">
        <f t="shared" si="208"/>
        <v>-96.766666666666666</v>
      </c>
      <c r="K766" s="24">
        <v>504.6</v>
      </c>
      <c r="M766" s="24">
        <v>8</v>
      </c>
      <c r="N766" s="24">
        <v>580</v>
      </c>
      <c r="Q766" s="42">
        <v>2</v>
      </c>
      <c r="R766" s="42">
        <v>2</v>
      </c>
      <c r="S766" s="42"/>
      <c r="T766" s="42" t="s">
        <v>1925</v>
      </c>
      <c r="U766" s="42" t="s">
        <v>1386</v>
      </c>
      <c r="V766" s="42" t="s">
        <v>1724</v>
      </c>
      <c r="W766" s="42" t="s">
        <v>1386</v>
      </c>
      <c r="X766" s="42" t="s">
        <v>1386</v>
      </c>
      <c r="Z766" s="321">
        <v>60</v>
      </c>
      <c r="AA766" s="321">
        <f t="shared" si="209"/>
        <v>12</v>
      </c>
      <c r="AB766" s="24" t="s">
        <v>519</v>
      </c>
      <c r="AC766" s="24">
        <v>7.4</v>
      </c>
      <c r="AD766" s="24">
        <v>2.9</v>
      </c>
      <c r="AE766" s="24">
        <v>0.31</v>
      </c>
      <c r="AF766" s="24" t="s">
        <v>1338</v>
      </c>
      <c r="AG766" s="24" t="s">
        <v>1560</v>
      </c>
      <c r="AH766" s="138" t="s">
        <v>636</v>
      </c>
      <c r="AI766" s="24" t="s">
        <v>521</v>
      </c>
      <c r="AJ766" s="140" t="s">
        <v>1629</v>
      </c>
      <c r="AK766" s="24" t="s">
        <v>1627</v>
      </c>
      <c r="AL766" s="24" t="s">
        <v>1627</v>
      </c>
      <c r="AM766" s="24" t="s">
        <v>178</v>
      </c>
      <c r="AN766" s="24" t="s">
        <v>522</v>
      </c>
      <c r="AO766" s="24" t="s">
        <v>157</v>
      </c>
      <c r="AP766" s="24" t="s">
        <v>503</v>
      </c>
      <c r="AT766" s="24" t="s">
        <v>161</v>
      </c>
      <c r="AU766" s="24">
        <v>4</v>
      </c>
      <c r="AW766" s="24" t="s">
        <v>142</v>
      </c>
      <c r="BA766" s="53"/>
      <c r="BM766" s="395"/>
      <c r="BN766" s="395"/>
      <c r="BR766" s="395"/>
      <c r="BS766" s="395"/>
      <c r="GC766" s="24">
        <v>27.44</v>
      </c>
      <c r="GD766" s="24">
        <v>111.51</v>
      </c>
      <c r="GG766" s="24" t="s">
        <v>523</v>
      </c>
      <c r="IO766" s="24" t="s">
        <v>725</v>
      </c>
    </row>
    <row r="767" spans="1:249" s="33" customFormat="1" x14ac:dyDescent="0.25">
      <c r="A767" s="33">
        <v>38</v>
      </c>
      <c r="B767" s="33" t="s">
        <v>525</v>
      </c>
      <c r="C767" s="33" t="s">
        <v>526</v>
      </c>
      <c r="D767" s="33">
        <v>2005</v>
      </c>
      <c r="E767" s="33">
        <v>1999</v>
      </c>
      <c r="F767" s="33" t="s">
        <v>297</v>
      </c>
      <c r="G767" s="33" t="s">
        <v>527</v>
      </c>
      <c r="H767" s="32" t="s">
        <v>2831</v>
      </c>
      <c r="I767" s="33">
        <v>40.19</v>
      </c>
      <c r="J767" s="33">
        <v>-103.17</v>
      </c>
      <c r="K767" s="33">
        <v>1401.6</v>
      </c>
      <c r="Q767" s="47" t="s">
        <v>1726</v>
      </c>
      <c r="R767" s="47" t="s">
        <v>1869</v>
      </c>
      <c r="S767" s="47"/>
      <c r="T767" s="47" t="s">
        <v>1929</v>
      </c>
      <c r="U767" s="47" t="s">
        <v>1384</v>
      </c>
      <c r="V767" s="47" t="s">
        <v>1723</v>
      </c>
      <c r="W767" s="47" t="s">
        <v>1384</v>
      </c>
      <c r="X767" s="47" t="s">
        <v>1393</v>
      </c>
      <c r="Z767" s="327"/>
      <c r="AA767" s="327"/>
      <c r="AB767" s="33" t="s">
        <v>451</v>
      </c>
      <c r="AG767" s="33" t="s">
        <v>528</v>
      </c>
      <c r="AH767" s="138" t="s">
        <v>1585</v>
      </c>
      <c r="AI767" s="33" t="s">
        <v>1531</v>
      </c>
      <c r="AJ767" s="141" t="s">
        <v>1628</v>
      </c>
      <c r="AK767" s="33" t="s">
        <v>568</v>
      </c>
      <c r="AL767" s="33" t="s">
        <v>542</v>
      </c>
      <c r="AM767" s="33" t="s">
        <v>503</v>
      </c>
      <c r="AN767" s="33" t="s">
        <v>299</v>
      </c>
      <c r="AO767" s="33" t="s">
        <v>157</v>
      </c>
      <c r="AP767" s="33" t="s">
        <v>503</v>
      </c>
      <c r="AQ767" s="33" t="s">
        <v>529</v>
      </c>
      <c r="AR767" s="33" t="s">
        <v>529</v>
      </c>
      <c r="AT767" s="33" t="s">
        <v>120</v>
      </c>
      <c r="BA767" s="54"/>
      <c r="BM767" s="402"/>
      <c r="BN767" s="402"/>
      <c r="BR767" s="402"/>
      <c r="BS767" s="402"/>
      <c r="DF767" s="33">
        <v>110</v>
      </c>
      <c r="DG767" s="33">
        <v>124</v>
      </c>
      <c r="GM767" s="12"/>
      <c r="GQ767" s="12"/>
      <c r="GW767" s="33">
        <v>25.1</v>
      </c>
      <c r="GX767" s="33">
        <v>24.9</v>
      </c>
      <c r="HA767" s="33" t="s">
        <v>570</v>
      </c>
      <c r="HL767" s="33">
        <f>0.077</f>
        <v>7.6999999999999999E-2</v>
      </c>
      <c r="HM767" s="33">
        <v>0.16200000000000001</v>
      </c>
      <c r="HP767" s="33" t="s">
        <v>569</v>
      </c>
      <c r="IA767" s="33">
        <f>(114+203)/2*0.614</f>
        <v>97.319000000000003</v>
      </c>
      <c r="IB767" s="33">
        <f>177*0.614</f>
        <v>108.678</v>
      </c>
      <c r="IF767" s="33">
        <f>29.7*0.614</f>
        <v>18.235799999999998</v>
      </c>
      <c r="IG767" s="33">
        <f>31.8*0.614</f>
        <v>19.525200000000002</v>
      </c>
      <c r="IO767" s="33" t="s">
        <v>726</v>
      </c>
    </row>
    <row r="768" spans="1:249" s="33" customFormat="1" x14ac:dyDescent="0.25">
      <c r="A768" s="33">
        <v>38</v>
      </c>
      <c r="B768" s="33" t="s">
        <v>525</v>
      </c>
      <c r="C768" s="33" t="s">
        <v>526</v>
      </c>
      <c r="D768" s="33">
        <v>2005</v>
      </c>
      <c r="E768" s="33">
        <v>1999</v>
      </c>
      <c r="F768" s="33" t="s">
        <v>297</v>
      </c>
      <c r="G768" s="33" t="s">
        <v>527</v>
      </c>
      <c r="H768" s="32" t="s">
        <v>2831</v>
      </c>
      <c r="I768" s="33">
        <v>40.19</v>
      </c>
      <c r="J768" s="33">
        <v>-103.17</v>
      </c>
      <c r="K768" s="33">
        <v>1401.6</v>
      </c>
      <c r="Q768" s="47" t="s">
        <v>1726</v>
      </c>
      <c r="R768" s="47" t="s">
        <v>1869</v>
      </c>
      <c r="S768" s="47"/>
      <c r="T768" s="47" t="s">
        <v>1929</v>
      </c>
      <c r="U768" s="47" t="s">
        <v>1385</v>
      </c>
      <c r="V768" s="47" t="s">
        <v>1723</v>
      </c>
      <c r="W768" s="47" t="s">
        <v>1384</v>
      </c>
      <c r="X768" s="47" t="s">
        <v>1393</v>
      </c>
      <c r="Z768" s="327"/>
      <c r="AA768" s="327"/>
      <c r="AB768" s="33" t="s">
        <v>451</v>
      </c>
      <c r="AG768" s="33" t="s">
        <v>528</v>
      </c>
      <c r="AH768" s="138" t="s">
        <v>1585</v>
      </c>
      <c r="AI768" s="33" t="s">
        <v>1531</v>
      </c>
      <c r="AJ768" s="141" t="s">
        <v>1628</v>
      </c>
      <c r="AK768" s="33" t="s">
        <v>568</v>
      </c>
      <c r="AL768" s="33" t="s">
        <v>542</v>
      </c>
      <c r="AM768" s="33" t="s">
        <v>503</v>
      </c>
      <c r="AN768" s="33" t="s">
        <v>299</v>
      </c>
      <c r="AO768" s="33" t="s">
        <v>157</v>
      </c>
      <c r="AP768" s="33" t="s">
        <v>503</v>
      </c>
      <c r="AQ768" s="33" t="s">
        <v>529</v>
      </c>
      <c r="AR768" s="33" t="s">
        <v>529</v>
      </c>
      <c r="AT768" s="33" t="s">
        <v>120</v>
      </c>
      <c r="BA768" s="54"/>
      <c r="BM768" s="402"/>
      <c r="BN768" s="402"/>
      <c r="BR768" s="402"/>
      <c r="BS768" s="402"/>
      <c r="GM768" s="12"/>
      <c r="GQ768" s="12"/>
      <c r="GW768" s="33">
        <v>9.1</v>
      </c>
      <c r="GX768" s="33">
        <v>10</v>
      </c>
      <c r="HA768" s="33" t="s">
        <v>570</v>
      </c>
      <c r="HL768" s="33">
        <f>0.057</f>
        <v>5.7000000000000002E-2</v>
      </c>
      <c r="HM768" s="33">
        <v>5.2999999999999999E-2</v>
      </c>
      <c r="HP768" s="33" t="s">
        <v>569</v>
      </c>
      <c r="IA768" s="33">
        <f>114*0.614</f>
        <v>69.995999999999995</v>
      </c>
      <c r="IB768" s="33">
        <f>134*0.614</f>
        <v>82.275999999999996</v>
      </c>
      <c r="IF768" s="33">
        <f>15.8*0.614</f>
        <v>9.7012</v>
      </c>
      <c r="IG768" s="33">
        <f>15.8*0.614</f>
        <v>9.7012</v>
      </c>
      <c r="IO768" s="33" t="s">
        <v>726</v>
      </c>
    </row>
    <row r="769" spans="1:249" s="33" customFormat="1" x14ac:dyDescent="0.25">
      <c r="A769" s="33">
        <v>38</v>
      </c>
      <c r="B769" s="33" t="s">
        <v>525</v>
      </c>
      <c r="C769" s="33" t="s">
        <v>526</v>
      </c>
      <c r="D769" s="33">
        <v>2005</v>
      </c>
      <c r="E769" s="33">
        <v>1999</v>
      </c>
      <c r="F769" s="33" t="s">
        <v>297</v>
      </c>
      <c r="G769" s="33" t="s">
        <v>527</v>
      </c>
      <c r="H769" s="32" t="s">
        <v>2831</v>
      </c>
      <c r="I769" s="33">
        <v>40.19</v>
      </c>
      <c r="J769" s="33">
        <v>-103.17</v>
      </c>
      <c r="K769" s="33">
        <v>1401.6</v>
      </c>
      <c r="Q769" s="47" t="s">
        <v>1726</v>
      </c>
      <c r="R769" s="47" t="s">
        <v>1869</v>
      </c>
      <c r="S769" s="47"/>
      <c r="T769" s="47" t="s">
        <v>1929</v>
      </c>
      <c r="U769" s="47" t="s">
        <v>1394</v>
      </c>
      <c r="V769" s="47" t="s">
        <v>1724</v>
      </c>
      <c r="W769" s="47" t="s">
        <v>1384</v>
      </c>
      <c r="X769" s="47" t="s">
        <v>1393</v>
      </c>
      <c r="Z769" s="327"/>
      <c r="AA769" s="327"/>
      <c r="AB769" s="33" t="s">
        <v>451</v>
      </c>
      <c r="AG769" s="33" t="s">
        <v>528</v>
      </c>
      <c r="AH769" s="138" t="s">
        <v>1585</v>
      </c>
      <c r="AI769" s="33" t="s">
        <v>1531</v>
      </c>
      <c r="AJ769" s="141" t="s">
        <v>1628</v>
      </c>
      <c r="AK769" s="33" t="s">
        <v>568</v>
      </c>
      <c r="AL769" s="33" t="s">
        <v>542</v>
      </c>
      <c r="AM769" s="33" t="s">
        <v>503</v>
      </c>
      <c r="AN769" s="33" t="s">
        <v>299</v>
      </c>
      <c r="AO769" s="33" t="s">
        <v>157</v>
      </c>
      <c r="AP769" s="33" t="s">
        <v>503</v>
      </c>
      <c r="AQ769" s="33" t="s">
        <v>529</v>
      </c>
      <c r="AR769" s="33" t="s">
        <v>529</v>
      </c>
      <c r="AT769" s="33" t="s">
        <v>120</v>
      </c>
      <c r="BA769" s="54"/>
      <c r="BM769" s="402"/>
      <c r="BN769" s="402"/>
      <c r="BR769" s="402"/>
      <c r="BS769" s="402"/>
      <c r="GM769" s="39"/>
      <c r="GQ769" s="39"/>
      <c r="GW769" s="33">
        <v>23</v>
      </c>
      <c r="GX769" s="33">
        <v>14.6</v>
      </c>
      <c r="HA769" s="33" t="s">
        <v>570</v>
      </c>
      <c r="HL769" s="33">
        <f>0.124</f>
        <v>0.124</v>
      </c>
      <c r="HM769" s="33">
        <v>0.05</v>
      </c>
      <c r="HP769" s="33" t="s">
        <v>569</v>
      </c>
      <c r="IA769" s="33">
        <f>203*0.614</f>
        <v>124.642</v>
      </c>
      <c r="IB769" s="33">
        <f>254*0.614</f>
        <v>155.95599999999999</v>
      </c>
      <c r="IF769" s="33">
        <f>28.1*0.614</f>
        <v>17.253399999999999</v>
      </c>
      <c r="IG769" s="33">
        <f>29.7*0.614</f>
        <v>18.235799999999998</v>
      </c>
      <c r="IO769" s="33" t="s">
        <v>726</v>
      </c>
    </row>
    <row r="770" spans="1:249" s="28" customFormat="1" x14ac:dyDescent="0.25">
      <c r="A770" s="28">
        <v>38</v>
      </c>
      <c r="B770" s="28" t="s">
        <v>525</v>
      </c>
      <c r="C770" s="28" t="s">
        <v>526</v>
      </c>
      <c r="D770" s="28">
        <v>2005</v>
      </c>
      <c r="E770" s="28">
        <v>1999</v>
      </c>
      <c r="F770" s="28" t="s">
        <v>297</v>
      </c>
      <c r="G770" s="28" t="s">
        <v>530</v>
      </c>
      <c r="H770" s="32" t="s">
        <v>2831</v>
      </c>
      <c r="I770" s="28">
        <v>44.34</v>
      </c>
      <c r="J770" s="28">
        <v>-96.82</v>
      </c>
      <c r="K770" s="28">
        <v>501</v>
      </c>
      <c r="Q770" s="46" t="s">
        <v>1726</v>
      </c>
      <c r="R770" s="46" t="s">
        <v>1869</v>
      </c>
      <c r="S770" s="46"/>
      <c r="T770" s="46" t="s">
        <v>1929</v>
      </c>
      <c r="U770" s="46" t="s">
        <v>1384</v>
      </c>
      <c r="V770" s="46" t="s">
        <v>1723</v>
      </c>
      <c r="W770" s="46" t="s">
        <v>1384</v>
      </c>
      <c r="X770" s="46" t="s">
        <v>1393</v>
      </c>
      <c r="Z770" s="326"/>
      <c r="AA770" s="326"/>
      <c r="AB770" s="28" t="s">
        <v>519</v>
      </c>
      <c r="AG770" s="28" t="s">
        <v>115</v>
      </c>
      <c r="AH770" s="138" t="s">
        <v>578</v>
      </c>
      <c r="AI770" s="28" t="s">
        <v>133</v>
      </c>
      <c r="AJ770" s="141" t="s">
        <v>1628</v>
      </c>
      <c r="AK770" s="28" t="s">
        <v>544</v>
      </c>
      <c r="AL770" s="28" t="s">
        <v>543</v>
      </c>
      <c r="AM770" s="28" t="s">
        <v>503</v>
      </c>
      <c r="AN770" s="28" t="s">
        <v>531</v>
      </c>
      <c r="AO770" s="28" t="s">
        <v>531</v>
      </c>
      <c r="AP770" s="28" t="s">
        <v>178</v>
      </c>
      <c r="AQ770" s="28" t="s">
        <v>540</v>
      </c>
      <c r="AR770" s="28">
        <v>0</v>
      </c>
      <c r="AS770" s="28" t="s">
        <v>503</v>
      </c>
      <c r="AT770" s="28" t="s">
        <v>120</v>
      </c>
      <c r="BA770" s="54"/>
      <c r="BM770" s="401"/>
      <c r="BN770" s="401"/>
      <c r="BR770" s="401"/>
      <c r="BS770" s="401"/>
      <c r="DF770" s="28">
        <v>491</v>
      </c>
      <c r="DG770" s="28">
        <v>495</v>
      </c>
      <c r="GM770" s="39"/>
      <c r="GQ770" s="39"/>
      <c r="GW770" s="28">
        <v>26.3</v>
      </c>
      <c r="GX770" s="28">
        <v>34.299999999999997</v>
      </c>
      <c r="HA770" s="28" t="s">
        <v>570</v>
      </c>
      <c r="HL770" s="28">
        <f>0.061</f>
        <v>6.0999999999999999E-2</v>
      </c>
      <c r="HM770" s="28">
        <v>4.8000000000000001E-2</v>
      </c>
      <c r="HP770" s="28" t="s">
        <v>569</v>
      </c>
      <c r="IA770" s="28">
        <f>331*0.614</f>
        <v>203.23400000000001</v>
      </c>
      <c r="IB770" s="28">
        <f>375*0.614</f>
        <v>230.25</v>
      </c>
      <c r="IF770" s="28">
        <f>34.6*0.614</f>
        <v>21.244399999999999</v>
      </c>
      <c r="IG770" s="28">
        <f>40.4*0.614</f>
        <v>24.805599999999998</v>
      </c>
      <c r="IO770" s="28" t="s">
        <v>726</v>
      </c>
    </row>
    <row r="771" spans="1:249" s="28" customFormat="1" x14ac:dyDescent="0.25">
      <c r="A771" s="28">
        <v>38</v>
      </c>
      <c r="B771" s="28" t="s">
        <v>525</v>
      </c>
      <c r="C771" s="28" t="s">
        <v>526</v>
      </c>
      <c r="D771" s="28">
        <v>2005</v>
      </c>
      <c r="E771" s="28">
        <v>1999</v>
      </c>
      <c r="F771" s="28" t="s">
        <v>297</v>
      </c>
      <c r="G771" s="28" t="s">
        <v>530</v>
      </c>
      <c r="H771" s="32" t="s">
        <v>2831</v>
      </c>
      <c r="I771" s="28">
        <v>44.34</v>
      </c>
      <c r="J771" s="28">
        <v>-96.82</v>
      </c>
      <c r="K771" s="28">
        <v>501</v>
      </c>
      <c r="Q771" s="46" t="s">
        <v>1726</v>
      </c>
      <c r="R771" s="46" t="s">
        <v>1869</v>
      </c>
      <c r="S771" s="46"/>
      <c r="T771" s="46" t="s">
        <v>1929</v>
      </c>
      <c r="U771" s="46" t="s">
        <v>1385</v>
      </c>
      <c r="V771" s="46" t="s">
        <v>1723</v>
      </c>
      <c r="W771" s="46" t="s">
        <v>1384</v>
      </c>
      <c r="X771" s="46" t="s">
        <v>1393</v>
      </c>
      <c r="Z771" s="326"/>
      <c r="AA771" s="326"/>
      <c r="AB771" s="28" t="s">
        <v>519</v>
      </c>
      <c r="AG771" s="28" t="s">
        <v>115</v>
      </c>
      <c r="AH771" s="138" t="s">
        <v>578</v>
      </c>
      <c r="AI771" s="28" t="s">
        <v>133</v>
      </c>
      <c r="AJ771" s="141" t="s">
        <v>1628</v>
      </c>
      <c r="AK771" s="28" t="s">
        <v>544</v>
      </c>
      <c r="AL771" s="28" t="s">
        <v>543</v>
      </c>
      <c r="AM771" s="28" t="s">
        <v>503</v>
      </c>
      <c r="AN771" s="28" t="s">
        <v>531</v>
      </c>
      <c r="AO771" s="28" t="s">
        <v>531</v>
      </c>
      <c r="AP771" s="28" t="s">
        <v>178</v>
      </c>
      <c r="AQ771" s="28" t="s">
        <v>540</v>
      </c>
      <c r="AR771" s="28">
        <v>0</v>
      </c>
      <c r="AS771" s="28" t="s">
        <v>503</v>
      </c>
      <c r="AT771" s="28" t="s">
        <v>120</v>
      </c>
      <c r="BA771" s="54"/>
      <c r="BM771" s="401"/>
      <c r="BN771" s="401"/>
      <c r="BR771" s="401"/>
      <c r="BS771" s="401"/>
      <c r="GM771" s="39"/>
      <c r="GQ771" s="39"/>
      <c r="GW771" s="28">
        <v>17.8</v>
      </c>
      <c r="GX771" s="28">
        <v>17.399999999999999</v>
      </c>
      <c r="HA771" s="28" t="s">
        <v>570</v>
      </c>
      <c r="HL771" s="28">
        <f>0.026</f>
        <v>2.5999999999999999E-2</v>
      </c>
      <c r="HM771" s="28">
        <v>2.7E-2</v>
      </c>
      <c r="HP771" s="28" t="s">
        <v>569</v>
      </c>
      <c r="IA771" s="28">
        <f>366*0.614</f>
        <v>224.72399999999999</v>
      </c>
      <c r="IB771" s="28">
        <f>380*0.614</f>
        <v>233.32</v>
      </c>
      <c r="IF771" s="28">
        <f>32.3*0.614</f>
        <v>19.832199999999997</v>
      </c>
      <c r="IG771" s="28">
        <f>31*0.614</f>
        <v>19.033999999999999</v>
      </c>
      <c r="IO771" s="28" t="s">
        <v>726</v>
      </c>
    </row>
    <row r="772" spans="1:249" s="28" customFormat="1" x14ac:dyDescent="0.25">
      <c r="A772" s="28">
        <v>38</v>
      </c>
      <c r="B772" s="28" t="s">
        <v>525</v>
      </c>
      <c r="C772" s="28" t="s">
        <v>526</v>
      </c>
      <c r="D772" s="28">
        <v>2005</v>
      </c>
      <c r="E772" s="28">
        <v>1999</v>
      </c>
      <c r="F772" s="28" t="s">
        <v>297</v>
      </c>
      <c r="G772" s="28" t="s">
        <v>530</v>
      </c>
      <c r="H772" s="32" t="s">
        <v>2831</v>
      </c>
      <c r="I772" s="28">
        <v>44.34</v>
      </c>
      <c r="J772" s="28">
        <v>-96.82</v>
      </c>
      <c r="K772" s="28">
        <v>501</v>
      </c>
      <c r="Q772" s="46" t="s">
        <v>1726</v>
      </c>
      <c r="R772" s="46" t="s">
        <v>1869</v>
      </c>
      <c r="S772" s="46"/>
      <c r="T772" s="46" t="s">
        <v>1929</v>
      </c>
      <c r="U772" s="46" t="s">
        <v>1394</v>
      </c>
      <c r="V772" s="46" t="s">
        <v>1724</v>
      </c>
      <c r="W772" s="46" t="s">
        <v>1384</v>
      </c>
      <c r="X772" s="46" t="s">
        <v>1393</v>
      </c>
      <c r="Z772" s="326"/>
      <c r="AA772" s="326"/>
      <c r="AB772" s="28" t="s">
        <v>519</v>
      </c>
      <c r="AG772" s="28" t="s">
        <v>115</v>
      </c>
      <c r="AH772" s="138" t="s">
        <v>578</v>
      </c>
      <c r="AI772" s="28" t="s">
        <v>133</v>
      </c>
      <c r="AJ772" s="141" t="s">
        <v>1628</v>
      </c>
      <c r="AK772" s="28" t="s">
        <v>544</v>
      </c>
      <c r="AL772" s="28" t="s">
        <v>543</v>
      </c>
      <c r="AM772" s="28" t="s">
        <v>503</v>
      </c>
      <c r="AN772" s="28" t="s">
        <v>531</v>
      </c>
      <c r="AO772" s="28" t="s">
        <v>531</v>
      </c>
      <c r="AP772" s="28" t="s">
        <v>178</v>
      </c>
      <c r="AQ772" s="28" t="s">
        <v>540</v>
      </c>
      <c r="AR772" s="28">
        <v>0</v>
      </c>
      <c r="AS772" s="28" t="s">
        <v>503</v>
      </c>
      <c r="AT772" s="28" t="s">
        <v>120</v>
      </c>
      <c r="BA772" s="54"/>
      <c r="BM772" s="401"/>
      <c r="BN772" s="401"/>
      <c r="BR772" s="401"/>
      <c r="BS772" s="401"/>
      <c r="GM772" s="39"/>
      <c r="GQ772" s="39"/>
      <c r="GW772" s="28">
        <v>21.5</v>
      </c>
      <c r="GX772" s="28">
        <v>21.5</v>
      </c>
      <c r="HA772" s="28" t="s">
        <v>570</v>
      </c>
      <c r="HL772" s="28">
        <v>0.02</v>
      </c>
      <c r="HM772" s="28">
        <v>2.1000000000000001E-2</v>
      </c>
      <c r="HP772" s="28" t="s">
        <v>569</v>
      </c>
      <c r="IA772" s="28">
        <f>548*0.614</f>
        <v>336.47199999999998</v>
      </c>
      <c r="IB772" s="28">
        <f>544*0.614</f>
        <v>334.01600000000002</v>
      </c>
      <c r="IF772" s="28">
        <f>57.8*0.614</f>
        <v>35.489199999999997</v>
      </c>
      <c r="IG772" s="28">
        <f>51.4*0.614</f>
        <v>31.5596</v>
      </c>
      <c r="IO772" s="28" t="s">
        <v>726</v>
      </c>
    </row>
    <row r="773" spans="1:249" s="33" customFormat="1" x14ac:dyDescent="0.25">
      <c r="A773" s="33">
        <v>38</v>
      </c>
      <c r="B773" s="33" t="s">
        <v>525</v>
      </c>
      <c r="C773" s="33" t="s">
        <v>526</v>
      </c>
      <c r="D773" s="33">
        <v>2005</v>
      </c>
      <c r="E773" s="33">
        <v>1999</v>
      </c>
      <c r="F773" s="33" t="s">
        <v>297</v>
      </c>
      <c r="G773" s="33" t="s">
        <v>541</v>
      </c>
      <c r="H773" s="32" t="s">
        <v>2831</v>
      </c>
      <c r="I773" s="33">
        <v>35.18</v>
      </c>
      <c r="J773" s="33">
        <v>-102.08</v>
      </c>
      <c r="K773" s="33">
        <v>1154</v>
      </c>
      <c r="Q773" s="47" t="s">
        <v>1936</v>
      </c>
      <c r="R773" s="47" t="s">
        <v>1728</v>
      </c>
      <c r="S773" s="47"/>
      <c r="T773" s="47" t="s">
        <v>1930</v>
      </c>
      <c r="U773" s="47" t="s">
        <v>1384</v>
      </c>
      <c r="V773" s="47" t="s">
        <v>1723</v>
      </c>
      <c r="W773" s="47" t="s">
        <v>1384</v>
      </c>
      <c r="X773" s="47" t="s">
        <v>1393</v>
      </c>
      <c r="Z773" s="327"/>
      <c r="AA773" s="327"/>
      <c r="AB773" s="33" t="s">
        <v>1054</v>
      </c>
      <c r="AG773" s="33" t="s">
        <v>1531</v>
      </c>
      <c r="AH773" s="138" t="s">
        <v>1585</v>
      </c>
      <c r="AI773" s="33" t="s">
        <v>117</v>
      </c>
      <c r="AJ773" s="141" t="s">
        <v>1628</v>
      </c>
      <c r="AK773" s="33" t="s">
        <v>545</v>
      </c>
      <c r="AL773" s="33" t="s">
        <v>546</v>
      </c>
      <c r="AM773" s="33" t="s">
        <v>503</v>
      </c>
      <c r="AN773" s="33" t="s">
        <v>157</v>
      </c>
      <c r="AO773" s="33" t="s">
        <v>157</v>
      </c>
      <c r="AP773" s="33" t="s">
        <v>178</v>
      </c>
      <c r="AQ773" s="33" t="s">
        <v>529</v>
      </c>
      <c r="AR773" s="33">
        <v>0</v>
      </c>
      <c r="AS773" s="33" t="s">
        <v>503</v>
      </c>
      <c r="AT773" s="33" t="s">
        <v>120</v>
      </c>
      <c r="BA773" s="54"/>
      <c r="BM773" s="402"/>
      <c r="BN773" s="402"/>
      <c r="BR773" s="402"/>
      <c r="BS773" s="402"/>
      <c r="DF773" s="33">
        <v>377</v>
      </c>
      <c r="DG773" s="33">
        <v>456</v>
      </c>
      <c r="GM773" s="39"/>
      <c r="GQ773" s="39"/>
      <c r="GW773" s="33">
        <v>17.600000000000001</v>
      </c>
      <c r="GX773" s="33">
        <v>31.9</v>
      </c>
      <c r="HA773" s="33" t="s">
        <v>570</v>
      </c>
      <c r="HL773" s="33">
        <v>8.4000000000000005E-2</v>
      </c>
      <c r="HM773" s="33">
        <v>6.6000000000000003E-2</v>
      </c>
      <c r="HP773" s="33" t="s">
        <v>569</v>
      </c>
      <c r="IA773" s="33">
        <f>209*0.614</f>
        <v>128.32599999999999</v>
      </c>
      <c r="IB773" s="33">
        <f>331*0.614</f>
        <v>203.23400000000001</v>
      </c>
      <c r="IF773" s="33">
        <f>26.3*0.614</f>
        <v>16.148199999999999</v>
      </c>
      <c r="IG773" s="33">
        <f>37.1*0.614</f>
        <v>22.779399999999999</v>
      </c>
      <c r="IO773" s="33" t="s">
        <v>726</v>
      </c>
    </row>
    <row r="774" spans="1:249" s="33" customFormat="1" x14ac:dyDescent="0.25">
      <c r="A774" s="33">
        <v>38</v>
      </c>
      <c r="B774" s="33" t="s">
        <v>525</v>
      </c>
      <c r="C774" s="33" t="s">
        <v>526</v>
      </c>
      <c r="D774" s="33">
        <v>2005</v>
      </c>
      <c r="E774" s="33">
        <v>1999</v>
      </c>
      <c r="F774" s="33" t="s">
        <v>297</v>
      </c>
      <c r="G774" s="33" t="s">
        <v>541</v>
      </c>
      <c r="H774" s="32" t="s">
        <v>2831</v>
      </c>
      <c r="I774" s="33">
        <v>35.18</v>
      </c>
      <c r="J774" s="33">
        <v>-102.08</v>
      </c>
      <c r="K774" s="33">
        <v>1154</v>
      </c>
      <c r="Q774" s="47" t="s">
        <v>1936</v>
      </c>
      <c r="R774" s="47" t="s">
        <v>1728</v>
      </c>
      <c r="S774" s="47"/>
      <c r="T774" s="47" t="s">
        <v>1930</v>
      </c>
      <c r="U774" s="47" t="s">
        <v>1385</v>
      </c>
      <c r="V774" s="47" t="s">
        <v>1723</v>
      </c>
      <c r="W774" s="47" t="s">
        <v>1384</v>
      </c>
      <c r="X774" s="47" t="s">
        <v>1393</v>
      </c>
      <c r="Z774" s="327"/>
      <c r="AA774" s="327"/>
      <c r="AB774" s="33" t="s">
        <v>1054</v>
      </c>
      <c r="AG774" s="33" t="s">
        <v>1531</v>
      </c>
      <c r="AH774" s="138" t="s">
        <v>1585</v>
      </c>
      <c r="AI774" s="33" t="s">
        <v>117</v>
      </c>
      <c r="AJ774" s="141" t="s">
        <v>1628</v>
      </c>
      <c r="AK774" s="33" t="s">
        <v>545</v>
      </c>
      <c r="AL774" s="33" t="s">
        <v>546</v>
      </c>
      <c r="AM774" s="33" t="s">
        <v>503</v>
      </c>
      <c r="AN774" s="33" t="s">
        <v>157</v>
      </c>
      <c r="AO774" s="33" t="s">
        <v>157</v>
      </c>
      <c r="AP774" s="33" t="s">
        <v>178</v>
      </c>
      <c r="AQ774" s="33" t="s">
        <v>529</v>
      </c>
      <c r="AR774" s="33">
        <v>0</v>
      </c>
      <c r="AS774" s="33" t="s">
        <v>503</v>
      </c>
      <c r="AT774" s="33" t="s">
        <v>120</v>
      </c>
      <c r="BA774" s="54"/>
      <c r="BM774" s="402"/>
      <c r="BN774" s="402"/>
      <c r="BR774" s="402"/>
      <c r="BS774" s="402"/>
      <c r="GM774" s="39"/>
      <c r="GQ774" s="39"/>
      <c r="GW774" s="33">
        <v>8</v>
      </c>
      <c r="GX774" s="33">
        <v>10.4</v>
      </c>
      <c r="HA774" s="33" t="s">
        <v>570</v>
      </c>
      <c r="HL774" s="33">
        <v>2.5000000000000001E-2</v>
      </c>
      <c r="HM774" s="33">
        <v>2.7E-2</v>
      </c>
      <c r="HP774" s="33" t="s">
        <v>569</v>
      </c>
      <c r="IA774" s="33">
        <f>197*0.614</f>
        <v>120.958</v>
      </c>
      <c r="IB774" s="33">
        <f>223*0.614</f>
        <v>136.922</v>
      </c>
      <c r="IF774" s="33">
        <f>20.3*0.614</f>
        <v>12.4642</v>
      </c>
      <c r="IG774" s="33">
        <f>24.6*0.614</f>
        <v>15.1044</v>
      </c>
      <c r="IO774" s="33" t="s">
        <v>726</v>
      </c>
    </row>
    <row r="775" spans="1:249" s="33" customFormat="1" x14ac:dyDescent="0.25">
      <c r="A775" s="33">
        <v>38</v>
      </c>
      <c r="B775" s="33" t="s">
        <v>525</v>
      </c>
      <c r="C775" s="33" t="s">
        <v>526</v>
      </c>
      <c r="D775" s="33">
        <v>2005</v>
      </c>
      <c r="E775" s="33">
        <v>1999</v>
      </c>
      <c r="F775" s="33" t="s">
        <v>297</v>
      </c>
      <c r="G775" s="33" t="s">
        <v>541</v>
      </c>
      <c r="H775" s="32" t="s">
        <v>2831</v>
      </c>
      <c r="I775" s="33">
        <v>35.18</v>
      </c>
      <c r="J775" s="33">
        <v>-102.08</v>
      </c>
      <c r="K775" s="33">
        <v>1154</v>
      </c>
      <c r="Q775" s="47" t="s">
        <v>1936</v>
      </c>
      <c r="R775" s="47" t="s">
        <v>1728</v>
      </c>
      <c r="S775" s="47"/>
      <c r="T775" s="47" t="s">
        <v>1930</v>
      </c>
      <c r="U775" s="47" t="s">
        <v>1394</v>
      </c>
      <c r="V775" s="47" t="s">
        <v>1724</v>
      </c>
      <c r="W775" s="47" t="s">
        <v>1384</v>
      </c>
      <c r="X775" s="47" t="s">
        <v>1393</v>
      </c>
      <c r="Z775" s="327"/>
      <c r="AA775" s="327"/>
      <c r="AB775" s="33" t="s">
        <v>1054</v>
      </c>
      <c r="AG775" s="33" t="s">
        <v>1531</v>
      </c>
      <c r="AH775" s="138" t="s">
        <v>1585</v>
      </c>
      <c r="AI775" s="33" t="s">
        <v>117</v>
      </c>
      <c r="AJ775" s="141" t="s">
        <v>1628</v>
      </c>
      <c r="AK775" s="33" t="s">
        <v>545</v>
      </c>
      <c r="AL775" s="33" t="s">
        <v>546</v>
      </c>
      <c r="AM775" s="33" t="s">
        <v>503</v>
      </c>
      <c r="AN775" s="33" t="s">
        <v>157</v>
      </c>
      <c r="AO775" s="33" t="s">
        <v>157</v>
      </c>
      <c r="AP775" s="33" t="s">
        <v>178</v>
      </c>
      <c r="AQ775" s="33" t="s">
        <v>529</v>
      </c>
      <c r="AR775" s="33">
        <v>0</v>
      </c>
      <c r="AS775" s="33" t="s">
        <v>503</v>
      </c>
      <c r="AT775" s="33" t="s">
        <v>120</v>
      </c>
      <c r="BA775" s="54"/>
      <c r="BM775" s="402"/>
      <c r="BN775" s="402"/>
      <c r="BR775" s="402"/>
      <c r="BS775" s="402"/>
      <c r="GM775" s="39"/>
      <c r="GQ775" s="39"/>
      <c r="GW775" s="33">
        <v>7.2</v>
      </c>
      <c r="GX775" s="33">
        <v>12.3</v>
      </c>
      <c r="HA775" s="33" t="s">
        <v>570</v>
      </c>
      <c r="HL775" s="33">
        <v>0.03</v>
      </c>
      <c r="HM775" s="33">
        <v>7.2999999999999995E-2</v>
      </c>
      <c r="HP775" s="33" t="s">
        <v>569</v>
      </c>
      <c r="IA775" s="33">
        <f>305*0.614</f>
        <v>187.27</v>
      </c>
      <c r="IB775" s="33">
        <f>384*0.614</f>
        <v>235.77600000000001</v>
      </c>
      <c r="IF775" s="33">
        <f>35.5*0.614</f>
        <v>21.797000000000001</v>
      </c>
      <c r="IG775" s="33">
        <f>42.3*0.614</f>
        <v>25.972199999999997</v>
      </c>
      <c r="IO775" s="33" t="s">
        <v>726</v>
      </c>
    </row>
    <row r="776" spans="1:249" s="28" customFormat="1" x14ac:dyDescent="0.25">
      <c r="A776" s="28">
        <v>38</v>
      </c>
      <c r="B776" s="28" t="s">
        <v>525</v>
      </c>
      <c r="C776" s="28" t="s">
        <v>526</v>
      </c>
      <c r="D776" s="28">
        <v>2005</v>
      </c>
      <c r="E776" s="28">
        <v>1999</v>
      </c>
      <c r="F776" s="28" t="s">
        <v>297</v>
      </c>
      <c r="G776" s="28" t="s">
        <v>547</v>
      </c>
      <c r="H776" s="32" t="s">
        <v>2831</v>
      </c>
      <c r="I776" s="28">
        <v>46.89</v>
      </c>
      <c r="J776" s="28">
        <v>-96.78</v>
      </c>
      <c r="K776" s="28">
        <v>274.10000000000002</v>
      </c>
      <c r="Q776" s="46" t="s">
        <v>1937</v>
      </c>
      <c r="R776" s="46" t="s">
        <v>1935</v>
      </c>
      <c r="S776" s="46"/>
      <c r="T776" s="46" t="s">
        <v>1931</v>
      </c>
      <c r="U776" s="46" t="s">
        <v>1384</v>
      </c>
      <c r="V776" s="46" t="s">
        <v>1723</v>
      </c>
      <c r="W776" s="46" t="s">
        <v>1384</v>
      </c>
      <c r="X776" s="46" t="s">
        <v>1393</v>
      </c>
      <c r="Z776" s="326"/>
      <c r="AA776" s="326"/>
      <c r="AB776" s="28" t="s">
        <v>548</v>
      </c>
      <c r="AG776" s="28" t="s">
        <v>397</v>
      </c>
      <c r="AH776" s="138" t="s">
        <v>578</v>
      </c>
      <c r="AI776" s="28" t="s">
        <v>117</v>
      </c>
      <c r="AJ776" s="141" t="s">
        <v>1628</v>
      </c>
      <c r="AK776" s="28" t="s">
        <v>549</v>
      </c>
      <c r="AL776" s="28" t="s">
        <v>549</v>
      </c>
      <c r="AM776" s="28" t="s">
        <v>178</v>
      </c>
      <c r="AN776" s="28" t="s">
        <v>157</v>
      </c>
      <c r="AO776" s="28" t="s">
        <v>550</v>
      </c>
      <c r="AP776" s="28" t="s">
        <v>503</v>
      </c>
      <c r="AQ776" s="28">
        <v>0</v>
      </c>
      <c r="AR776" s="28">
        <v>0</v>
      </c>
      <c r="AS776" s="28" t="s">
        <v>178</v>
      </c>
      <c r="AT776" s="28" t="s">
        <v>120</v>
      </c>
      <c r="BA776" s="54"/>
      <c r="BM776" s="401"/>
      <c r="BN776" s="401"/>
      <c r="BR776" s="401"/>
      <c r="BS776" s="401"/>
      <c r="DF776" s="28">
        <v>739</v>
      </c>
      <c r="DG776" s="28">
        <v>832</v>
      </c>
      <c r="GM776" s="39"/>
      <c r="GQ776" s="39"/>
      <c r="GW776" s="28">
        <v>14.4</v>
      </c>
      <c r="GX776" s="28">
        <v>21.2</v>
      </c>
      <c r="HA776" s="28" t="s">
        <v>570</v>
      </c>
      <c r="HL776" s="28">
        <v>0.05</v>
      </c>
      <c r="HM776" s="28">
        <v>2.5000000000000001E-2</v>
      </c>
      <c r="HP776" s="28" t="s">
        <v>569</v>
      </c>
      <c r="IA776" s="28">
        <f>243*0.614</f>
        <v>149.202</v>
      </c>
      <c r="IB776" s="28">
        <f>491*0.614</f>
        <v>301.47399999999999</v>
      </c>
      <c r="IF776" s="28">
        <f>42*0.614</f>
        <v>25.788</v>
      </c>
      <c r="IG776" s="28">
        <f>62.6*0.614</f>
        <v>38.436399999999999</v>
      </c>
      <c r="IO776" s="28" t="s">
        <v>726</v>
      </c>
    </row>
    <row r="777" spans="1:249" s="28" customFormat="1" x14ac:dyDescent="0.25">
      <c r="A777" s="28">
        <v>38</v>
      </c>
      <c r="B777" s="28" t="s">
        <v>525</v>
      </c>
      <c r="C777" s="28" t="s">
        <v>526</v>
      </c>
      <c r="D777" s="28">
        <v>2005</v>
      </c>
      <c r="E777" s="28">
        <v>1999</v>
      </c>
      <c r="F777" s="28" t="s">
        <v>297</v>
      </c>
      <c r="G777" s="28" t="s">
        <v>547</v>
      </c>
      <c r="H777" s="32" t="s">
        <v>2831</v>
      </c>
      <c r="I777" s="28">
        <v>46.89</v>
      </c>
      <c r="J777" s="28">
        <v>-96.78</v>
      </c>
      <c r="K777" s="28">
        <v>274.10000000000002</v>
      </c>
      <c r="Q777" s="46" t="s">
        <v>1937</v>
      </c>
      <c r="R777" s="46" t="s">
        <v>1935</v>
      </c>
      <c r="S777" s="46"/>
      <c r="T777" s="46" t="s">
        <v>1931</v>
      </c>
      <c r="U777" s="46" t="s">
        <v>1385</v>
      </c>
      <c r="V777" s="46" t="s">
        <v>1723</v>
      </c>
      <c r="W777" s="46" t="s">
        <v>1384</v>
      </c>
      <c r="X777" s="46" t="s">
        <v>1393</v>
      </c>
      <c r="Z777" s="326"/>
      <c r="AA777" s="326"/>
      <c r="AB777" s="28" t="s">
        <v>548</v>
      </c>
      <c r="AG777" s="28" t="s">
        <v>397</v>
      </c>
      <c r="AH777" s="138" t="s">
        <v>578</v>
      </c>
      <c r="AI777" s="28" t="s">
        <v>117</v>
      </c>
      <c r="AJ777" s="141" t="s">
        <v>1628</v>
      </c>
      <c r="AK777" s="28" t="s">
        <v>549</v>
      </c>
      <c r="AL777" s="28" t="s">
        <v>549</v>
      </c>
      <c r="AM777" s="28" t="s">
        <v>178</v>
      </c>
      <c r="AN777" s="28" t="s">
        <v>157</v>
      </c>
      <c r="AO777" s="28" t="s">
        <v>550</v>
      </c>
      <c r="AP777" s="28" t="s">
        <v>503</v>
      </c>
      <c r="AQ777" s="28">
        <v>0</v>
      </c>
      <c r="AR777" s="28">
        <v>0</v>
      </c>
      <c r="AS777" s="28" t="s">
        <v>178</v>
      </c>
      <c r="AT777" s="28" t="s">
        <v>120</v>
      </c>
      <c r="BA777" s="54"/>
      <c r="BM777" s="401"/>
      <c r="BN777" s="401"/>
      <c r="BR777" s="401"/>
      <c r="BS777" s="401"/>
      <c r="GM777" s="39"/>
      <c r="GQ777" s="39"/>
      <c r="GW777" s="28">
        <v>11.7</v>
      </c>
      <c r="GX777" s="28">
        <v>10.1</v>
      </c>
      <c r="HA777" s="28" t="s">
        <v>570</v>
      </c>
      <c r="HL777" s="28">
        <v>2.3E-2</v>
      </c>
      <c r="HM777" s="28">
        <v>1.9E-2</v>
      </c>
      <c r="HP777" s="28" t="s">
        <v>569</v>
      </c>
      <c r="IA777" s="28">
        <f>259*0.614</f>
        <v>159.02600000000001</v>
      </c>
      <c r="IB777" s="28">
        <f>334*0.614</f>
        <v>205.07599999999999</v>
      </c>
      <c r="IF777" s="28">
        <f>42.9*0.614</f>
        <v>26.340599999999998</v>
      </c>
      <c r="IG777" s="28">
        <f>42.3*0.614</f>
        <v>25.972199999999997</v>
      </c>
      <c r="IO777" s="28" t="s">
        <v>726</v>
      </c>
    </row>
    <row r="778" spans="1:249" s="28" customFormat="1" x14ac:dyDescent="0.25">
      <c r="A778" s="28">
        <v>38</v>
      </c>
      <c r="B778" s="28" t="s">
        <v>525</v>
      </c>
      <c r="C778" s="28" t="s">
        <v>526</v>
      </c>
      <c r="D778" s="28">
        <v>2005</v>
      </c>
      <c r="E778" s="28">
        <v>1999</v>
      </c>
      <c r="F778" s="28" t="s">
        <v>297</v>
      </c>
      <c r="G778" s="28" t="s">
        <v>547</v>
      </c>
      <c r="H778" s="32" t="s">
        <v>2831</v>
      </c>
      <c r="I778" s="28">
        <v>46.89</v>
      </c>
      <c r="J778" s="28">
        <v>-96.78</v>
      </c>
      <c r="K778" s="28">
        <v>274.10000000000002</v>
      </c>
      <c r="Q778" s="46" t="s">
        <v>1937</v>
      </c>
      <c r="R778" s="46" t="s">
        <v>1935</v>
      </c>
      <c r="S778" s="46"/>
      <c r="T778" s="46" t="s">
        <v>1931</v>
      </c>
      <c r="U778" s="46" t="s">
        <v>1394</v>
      </c>
      <c r="V778" s="46" t="s">
        <v>1724</v>
      </c>
      <c r="W778" s="46" t="s">
        <v>1384</v>
      </c>
      <c r="X778" s="46" t="s">
        <v>1393</v>
      </c>
      <c r="Z778" s="326"/>
      <c r="AA778" s="326"/>
      <c r="AB778" s="28" t="s">
        <v>548</v>
      </c>
      <c r="AG778" s="28" t="s">
        <v>397</v>
      </c>
      <c r="AH778" s="138" t="s">
        <v>578</v>
      </c>
      <c r="AI778" s="28" t="s">
        <v>117</v>
      </c>
      <c r="AJ778" s="141" t="s">
        <v>1628</v>
      </c>
      <c r="AK778" s="28" t="s">
        <v>549</v>
      </c>
      <c r="AL778" s="28" t="s">
        <v>549</v>
      </c>
      <c r="AM778" s="28" t="s">
        <v>178</v>
      </c>
      <c r="AN778" s="28" t="s">
        <v>157</v>
      </c>
      <c r="AO778" s="28" t="s">
        <v>550</v>
      </c>
      <c r="AP778" s="28" t="s">
        <v>503</v>
      </c>
      <c r="AQ778" s="28">
        <v>0</v>
      </c>
      <c r="AR778" s="28">
        <v>0</v>
      </c>
      <c r="AS778" s="28" t="s">
        <v>178</v>
      </c>
      <c r="AT778" s="28" t="s">
        <v>120</v>
      </c>
      <c r="BA778" s="54"/>
      <c r="BM778" s="401"/>
      <c r="BN778" s="401"/>
      <c r="BR778" s="401"/>
      <c r="BS778" s="401"/>
      <c r="GM778" s="39"/>
      <c r="GQ778" s="39"/>
      <c r="GW778" s="28">
        <v>12.9</v>
      </c>
      <c r="GX778" s="28">
        <v>10.6</v>
      </c>
      <c r="HA778" s="28" t="s">
        <v>570</v>
      </c>
      <c r="HL778" s="28">
        <v>2.1000000000000001E-2</v>
      </c>
      <c r="HM778" s="28">
        <v>2.4E-2</v>
      </c>
      <c r="HP778" s="28" t="s">
        <v>569</v>
      </c>
      <c r="IA778" s="28">
        <f>391*0.614</f>
        <v>240.07399999999998</v>
      </c>
      <c r="IB778" s="28">
        <f>401*0.614</f>
        <v>246.214</v>
      </c>
      <c r="IF778" s="28">
        <f>64.9*0.614</f>
        <v>39.848600000000005</v>
      </c>
      <c r="IG778" s="28">
        <f>52*0.614</f>
        <v>31.928000000000001</v>
      </c>
      <c r="IO778" s="28" t="s">
        <v>726</v>
      </c>
    </row>
    <row r="779" spans="1:249" s="33" customFormat="1" x14ac:dyDescent="0.25">
      <c r="A779" s="33">
        <v>38</v>
      </c>
      <c r="B779" s="33" t="s">
        <v>525</v>
      </c>
      <c r="C779" s="33" t="s">
        <v>526</v>
      </c>
      <c r="D779" s="33">
        <v>2005</v>
      </c>
      <c r="E779" s="33">
        <v>1999</v>
      </c>
      <c r="F779" s="33" t="s">
        <v>297</v>
      </c>
      <c r="G779" s="33" t="s">
        <v>551</v>
      </c>
      <c r="H779" s="32" t="s">
        <v>2831</v>
      </c>
      <c r="I779" s="33">
        <v>46.84</v>
      </c>
      <c r="J779" s="33">
        <v>-100.91</v>
      </c>
      <c r="K779" s="33">
        <v>558.1</v>
      </c>
      <c r="Q779" s="47" t="s">
        <v>1938</v>
      </c>
      <c r="R779" s="47" t="s">
        <v>1936</v>
      </c>
      <c r="S779" s="47"/>
      <c r="T779" s="47" t="s">
        <v>1932</v>
      </c>
      <c r="U779" s="47" t="s">
        <v>1384</v>
      </c>
      <c r="V779" s="47" t="s">
        <v>1723</v>
      </c>
      <c r="W779" s="47" t="s">
        <v>1384</v>
      </c>
      <c r="X779" s="47" t="s">
        <v>1393</v>
      </c>
      <c r="Z779" s="327"/>
      <c r="AA779" s="327"/>
      <c r="AB779" s="33" t="s">
        <v>451</v>
      </c>
      <c r="AG779" s="33" t="s">
        <v>552</v>
      </c>
      <c r="AH779" s="138" t="s">
        <v>1590</v>
      </c>
      <c r="AI779" s="33" t="s">
        <v>1540</v>
      </c>
      <c r="AJ779" s="141" t="s">
        <v>1628</v>
      </c>
      <c r="AK779" s="33" t="s">
        <v>553</v>
      </c>
      <c r="AL779" s="33" t="s">
        <v>554</v>
      </c>
      <c r="AM779" s="33" t="s">
        <v>503</v>
      </c>
      <c r="AN779" s="33" t="s">
        <v>531</v>
      </c>
      <c r="AO779" s="33" t="s">
        <v>157</v>
      </c>
      <c r="AP779" s="33" t="s">
        <v>503</v>
      </c>
      <c r="AQ779" s="33" t="s">
        <v>555</v>
      </c>
      <c r="AR779" s="33" t="s">
        <v>555</v>
      </c>
      <c r="AS779" s="33" t="s">
        <v>178</v>
      </c>
      <c r="AT779" s="33" t="s">
        <v>120</v>
      </c>
      <c r="BA779" s="54"/>
      <c r="BM779" s="402"/>
      <c r="BN779" s="402"/>
      <c r="BR779" s="402"/>
      <c r="BS779" s="402"/>
      <c r="DF779" s="33">
        <v>218</v>
      </c>
      <c r="DG779" s="33">
        <v>507</v>
      </c>
      <c r="GM779" s="39"/>
      <c r="GQ779" s="39"/>
      <c r="GW779" s="33">
        <v>21.7</v>
      </c>
      <c r="GX779" s="33">
        <v>35.6</v>
      </c>
      <c r="HA779" s="33" t="s">
        <v>570</v>
      </c>
      <c r="HL779" s="33">
        <v>4.4999999999999998E-2</v>
      </c>
      <c r="HM779" s="33">
        <v>4.8000000000000001E-2</v>
      </c>
      <c r="HP779" s="33" t="s">
        <v>569</v>
      </c>
      <c r="IA779" s="33">
        <f>297*0.614</f>
        <v>182.358</v>
      </c>
      <c r="IB779" s="33">
        <f>444*0.614</f>
        <v>272.61599999999999</v>
      </c>
      <c r="IF779" s="33">
        <f>30.9*0.614</f>
        <v>18.9726</v>
      </c>
      <c r="IG779" s="33">
        <f>49.2*0.614</f>
        <v>30.2088</v>
      </c>
      <c r="IO779" s="33" t="s">
        <v>726</v>
      </c>
    </row>
    <row r="780" spans="1:249" s="33" customFormat="1" x14ac:dyDescent="0.25">
      <c r="A780" s="33">
        <v>38</v>
      </c>
      <c r="B780" s="33" t="s">
        <v>525</v>
      </c>
      <c r="C780" s="33" t="s">
        <v>526</v>
      </c>
      <c r="D780" s="33">
        <v>2005</v>
      </c>
      <c r="E780" s="33">
        <v>1999</v>
      </c>
      <c r="F780" s="33" t="s">
        <v>297</v>
      </c>
      <c r="G780" s="33" t="s">
        <v>551</v>
      </c>
      <c r="H780" s="32" t="s">
        <v>2831</v>
      </c>
      <c r="I780" s="33">
        <v>46.84</v>
      </c>
      <c r="J780" s="33">
        <v>-100.91</v>
      </c>
      <c r="K780" s="33">
        <v>558.1</v>
      </c>
      <c r="Q780" s="47" t="s">
        <v>1938</v>
      </c>
      <c r="R780" s="47" t="s">
        <v>1936</v>
      </c>
      <c r="S780" s="47"/>
      <c r="T780" s="47" t="s">
        <v>1932</v>
      </c>
      <c r="U780" s="47" t="s">
        <v>1385</v>
      </c>
      <c r="V780" s="47" t="s">
        <v>1723</v>
      </c>
      <c r="W780" s="47" t="s">
        <v>1384</v>
      </c>
      <c r="X780" s="47" t="s">
        <v>1393</v>
      </c>
      <c r="Z780" s="327"/>
      <c r="AA780" s="327"/>
      <c r="AB780" s="33" t="s">
        <v>451</v>
      </c>
      <c r="AG780" s="33" t="s">
        <v>552</v>
      </c>
      <c r="AH780" s="138" t="s">
        <v>1590</v>
      </c>
      <c r="AI780" s="33" t="s">
        <v>1540</v>
      </c>
      <c r="AJ780" s="141" t="s">
        <v>1628</v>
      </c>
      <c r="AK780" s="33" t="s">
        <v>553</v>
      </c>
      <c r="AL780" s="33" t="s">
        <v>554</v>
      </c>
      <c r="AM780" s="33" t="s">
        <v>503</v>
      </c>
      <c r="AN780" s="33" t="s">
        <v>531</v>
      </c>
      <c r="AO780" s="33" t="s">
        <v>157</v>
      </c>
      <c r="AP780" s="33" t="s">
        <v>503</v>
      </c>
      <c r="AQ780" s="33" t="s">
        <v>555</v>
      </c>
      <c r="AR780" s="33" t="s">
        <v>555</v>
      </c>
      <c r="AS780" s="33" t="s">
        <v>178</v>
      </c>
      <c r="AT780" s="33" t="s">
        <v>120</v>
      </c>
      <c r="BA780" s="54"/>
      <c r="BM780" s="402"/>
      <c r="BN780" s="402"/>
      <c r="BR780" s="402"/>
      <c r="BS780" s="402"/>
      <c r="GM780" s="39"/>
      <c r="GQ780" s="39"/>
      <c r="GW780" s="33">
        <v>7.5</v>
      </c>
      <c r="GX780" s="33">
        <v>19.7</v>
      </c>
      <c r="HA780" s="33" t="s">
        <v>570</v>
      </c>
      <c r="HL780" s="33">
        <v>2.3E-2</v>
      </c>
      <c r="HM780" s="33">
        <v>2.4E-2</v>
      </c>
      <c r="HP780" s="33" t="s">
        <v>569</v>
      </c>
      <c r="IA780" s="33">
        <f>213*0.614</f>
        <v>130.78200000000001</v>
      </c>
      <c r="IB780" s="33">
        <f>227*0.614</f>
        <v>139.37799999999999</v>
      </c>
      <c r="IF780" s="33">
        <f>16.8*0.614</f>
        <v>10.315200000000001</v>
      </c>
      <c r="IG780" s="33">
        <f>30.1*0.614</f>
        <v>18.481400000000001</v>
      </c>
      <c r="IO780" s="33" t="s">
        <v>726</v>
      </c>
    </row>
    <row r="781" spans="1:249" s="33" customFormat="1" x14ac:dyDescent="0.25">
      <c r="A781" s="33">
        <v>38</v>
      </c>
      <c r="B781" s="33" t="s">
        <v>525</v>
      </c>
      <c r="C781" s="33" t="s">
        <v>526</v>
      </c>
      <c r="D781" s="33">
        <v>2005</v>
      </c>
      <c r="E781" s="33">
        <v>1999</v>
      </c>
      <c r="F781" s="33" t="s">
        <v>297</v>
      </c>
      <c r="G781" s="33" t="s">
        <v>551</v>
      </c>
      <c r="H781" s="32" t="s">
        <v>2831</v>
      </c>
      <c r="I781" s="33">
        <v>46.84</v>
      </c>
      <c r="J781" s="33">
        <v>-100.91</v>
      </c>
      <c r="K781" s="33">
        <v>558.1</v>
      </c>
      <c r="Q781" s="47" t="s">
        <v>1938</v>
      </c>
      <c r="R781" s="47" t="s">
        <v>1936</v>
      </c>
      <c r="S781" s="47"/>
      <c r="T781" s="47" t="s">
        <v>1932</v>
      </c>
      <c r="U781" s="47" t="s">
        <v>1394</v>
      </c>
      <c r="V781" s="47" t="s">
        <v>1724</v>
      </c>
      <c r="W781" s="47" t="s">
        <v>1384</v>
      </c>
      <c r="X781" s="47" t="s">
        <v>1393</v>
      </c>
      <c r="Z781" s="327"/>
      <c r="AA781" s="327"/>
      <c r="AB781" s="33" t="s">
        <v>451</v>
      </c>
      <c r="AG781" s="33" t="s">
        <v>552</v>
      </c>
      <c r="AH781" s="138" t="s">
        <v>1590</v>
      </c>
      <c r="AI781" s="33" t="s">
        <v>1540</v>
      </c>
      <c r="AJ781" s="141" t="s">
        <v>1628</v>
      </c>
      <c r="AK781" s="33" t="s">
        <v>553</v>
      </c>
      <c r="AL781" s="33" t="s">
        <v>554</v>
      </c>
      <c r="AM781" s="33" t="s">
        <v>503</v>
      </c>
      <c r="AN781" s="33" t="s">
        <v>531</v>
      </c>
      <c r="AO781" s="33" t="s">
        <v>157</v>
      </c>
      <c r="AP781" s="33" t="s">
        <v>503</v>
      </c>
      <c r="AQ781" s="33" t="s">
        <v>555</v>
      </c>
      <c r="AR781" s="33" t="s">
        <v>555</v>
      </c>
      <c r="AS781" s="33" t="s">
        <v>178</v>
      </c>
      <c r="AT781" s="33" t="s">
        <v>120</v>
      </c>
      <c r="BA781" s="54"/>
      <c r="BM781" s="402"/>
      <c r="BN781" s="402"/>
      <c r="BR781" s="402"/>
      <c r="BS781" s="402"/>
      <c r="GM781" s="39"/>
      <c r="GQ781" s="39"/>
      <c r="GW781" s="33">
        <v>9</v>
      </c>
      <c r="GX781" s="33">
        <v>15.7</v>
      </c>
      <c r="HA781" s="33" t="s">
        <v>570</v>
      </c>
      <c r="HL781" s="33">
        <v>2.3E-2</v>
      </c>
      <c r="HM781" s="33">
        <v>0.02</v>
      </c>
      <c r="HP781" s="33" t="s">
        <v>569</v>
      </c>
      <c r="IA781" s="33">
        <f>275*0.614</f>
        <v>168.85</v>
      </c>
      <c r="IB781" s="33">
        <f>453*0.614</f>
        <v>278.142</v>
      </c>
      <c r="IF781" s="33">
        <f>23.5*0.614</f>
        <v>14.429</v>
      </c>
      <c r="IG781" s="33">
        <f>36.5*0.614</f>
        <v>22.411000000000001</v>
      </c>
      <c r="IO781" s="33" t="s">
        <v>726</v>
      </c>
    </row>
    <row r="782" spans="1:249" s="28" customFormat="1" x14ac:dyDescent="0.25">
      <c r="A782" s="28">
        <v>38</v>
      </c>
      <c r="B782" s="28" t="s">
        <v>525</v>
      </c>
      <c r="C782" s="28" t="s">
        <v>526</v>
      </c>
      <c r="D782" s="28">
        <v>2005</v>
      </c>
      <c r="E782" s="28">
        <v>1999</v>
      </c>
      <c r="F782" s="28" t="s">
        <v>297</v>
      </c>
      <c r="G782" s="28" t="s">
        <v>556</v>
      </c>
      <c r="H782" s="32" t="s">
        <v>2831</v>
      </c>
      <c r="I782" s="28">
        <v>41.23</v>
      </c>
      <c r="J782" s="28">
        <v>-96.51</v>
      </c>
      <c r="K782" s="28">
        <v>365.7</v>
      </c>
      <c r="Q782" s="46" t="s">
        <v>1728</v>
      </c>
      <c r="R782" s="46" t="s">
        <v>1927</v>
      </c>
      <c r="S782" s="46"/>
      <c r="T782" s="46" t="s">
        <v>1933</v>
      </c>
      <c r="U782" s="46" t="s">
        <v>1384</v>
      </c>
      <c r="V782" s="46" t="s">
        <v>1723</v>
      </c>
      <c r="W782" s="46" t="s">
        <v>1384</v>
      </c>
      <c r="X782" s="46" t="s">
        <v>1393</v>
      </c>
      <c r="Z782" s="326"/>
      <c r="AA782" s="326"/>
      <c r="AB782" s="28" t="s">
        <v>1054</v>
      </c>
      <c r="AG782" s="28" t="s">
        <v>1521</v>
      </c>
      <c r="AH782" s="138" t="s">
        <v>1586</v>
      </c>
      <c r="AI782" s="28" t="s">
        <v>133</v>
      </c>
      <c r="AJ782" s="141" t="s">
        <v>1628</v>
      </c>
      <c r="AK782" s="28" t="s">
        <v>544</v>
      </c>
      <c r="AL782" s="28" t="s">
        <v>557</v>
      </c>
      <c r="AM782" s="28" t="s">
        <v>503</v>
      </c>
      <c r="AN782" s="28" t="s">
        <v>561</v>
      </c>
      <c r="AO782" s="28" t="s">
        <v>561</v>
      </c>
      <c r="AP782" s="28" t="s">
        <v>178</v>
      </c>
      <c r="AQ782" s="28" t="s">
        <v>558</v>
      </c>
      <c r="AR782" s="28" t="s">
        <v>558</v>
      </c>
      <c r="AS782" s="28" t="s">
        <v>178</v>
      </c>
      <c r="AT782" s="28" t="s">
        <v>120</v>
      </c>
      <c r="BA782" s="54"/>
      <c r="BM782" s="401"/>
      <c r="BN782" s="401"/>
      <c r="BR782" s="401"/>
      <c r="BS782" s="401"/>
      <c r="DF782" s="28">
        <v>584</v>
      </c>
      <c r="DG782" s="28">
        <v>622</v>
      </c>
      <c r="GM782" s="39"/>
      <c r="GQ782" s="39"/>
      <c r="GW782" s="28">
        <v>19.3</v>
      </c>
      <c r="GX782" s="28">
        <v>29.5</v>
      </c>
      <c r="HA782" s="28" t="s">
        <v>570</v>
      </c>
      <c r="HL782" s="28">
        <v>7.1999999999999995E-2</v>
      </c>
      <c r="HM782" s="28">
        <v>6.2E-2</v>
      </c>
      <c r="HP782" s="28" t="s">
        <v>569</v>
      </c>
      <c r="IA782" s="28">
        <f>195*0.614</f>
        <v>119.73</v>
      </c>
      <c r="IB782" s="28">
        <f>324*0.614</f>
        <v>198.93600000000001</v>
      </c>
      <c r="IF782" s="28">
        <f>29.6*0.614</f>
        <v>18.174400000000002</v>
      </c>
      <c r="IG782" s="28">
        <f>36.7*0.614</f>
        <v>22.533800000000003</v>
      </c>
      <c r="IO782" s="28" t="s">
        <v>726</v>
      </c>
    </row>
    <row r="783" spans="1:249" s="28" customFormat="1" x14ac:dyDescent="0.25">
      <c r="A783" s="28">
        <v>38</v>
      </c>
      <c r="B783" s="28" t="s">
        <v>525</v>
      </c>
      <c r="C783" s="28" t="s">
        <v>526</v>
      </c>
      <c r="D783" s="28">
        <v>2005</v>
      </c>
      <c r="E783" s="28">
        <v>1999</v>
      </c>
      <c r="F783" s="28" t="s">
        <v>297</v>
      </c>
      <c r="G783" s="28" t="s">
        <v>556</v>
      </c>
      <c r="H783" s="32" t="s">
        <v>2831</v>
      </c>
      <c r="I783" s="28">
        <v>41.23</v>
      </c>
      <c r="J783" s="28">
        <v>-96.51</v>
      </c>
      <c r="K783" s="28">
        <v>365.7</v>
      </c>
      <c r="Q783" s="46" t="s">
        <v>1728</v>
      </c>
      <c r="R783" s="46" t="s">
        <v>1927</v>
      </c>
      <c r="S783" s="46"/>
      <c r="T783" s="46" t="s">
        <v>1933</v>
      </c>
      <c r="U783" s="46" t="s">
        <v>1385</v>
      </c>
      <c r="V783" s="46" t="s">
        <v>1723</v>
      </c>
      <c r="W783" s="46" t="s">
        <v>1384</v>
      </c>
      <c r="X783" s="46" t="s">
        <v>1393</v>
      </c>
      <c r="Z783" s="326"/>
      <c r="AA783" s="326"/>
      <c r="AB783" s="28" t="s">
        <v>1054</v>
      </c>
      <c r="AG783" s="28" t="s">
        <v>1521</v>
      </c>
      <c r="AH783" s="138" t="s">
        <v>1586</v>
      </c>
      <c r="AI783" s="28" t="s">
        <v>133</v>
      </c>
      <c r="AJ783" s="141" t="s">
        <v>1628</v>
      </c>
      <c r="AK783" s="28" t="s">
        <v>544</v>
      </c>
      <c r="AL783" s="28" t="s">
        <v>557</v>
      </c>
      <c r="AM783" s="28" t="s">
        <v>503</v>
      </c>
      <c r="AN783" s="28" t="s">
        <v>561</v>
      </c>
      <c r="AO783" s="28" t="s">
        <v>561</v>
      </c>
      <c r="AP783" s="28" t="s">
        <v>178</v>
      </c>
      <c r="AQ783" s="28" t="s">
        <v>558</v>
      </c>
      <c r="AR783" s="28" t="s">
        <v>558</v>
      </c>
      <c r="AS783" s="28" t="s">
        <v>178</v>
      </c>
      <c r="AT783" s="28" t="s">
        <v>120</v>
      </c>
      <c r="BA783" s="54"/>
      <c r="BM783" s="401"/>
      <c r="BN783" s="401"/>
      <c r="BR783" s="401"/>
      <c r="BS783" s="401"/>
      <c r="GM783" s="39"/>
      <c r="GQ783" s="39"/>
      <c r="GW783" s="28">
        <v>10.8</v>
      </c>
      <c r="GX783" s="28">
        <v>11.3</v>
      </c>
      <c r="HA783" s="28" t="s">
        <v>570</v>
      </c>
      <c r="HL783" s="28">
        <v>0.04</v>
      </c>
      <c r="HM783" s="28">
        <v>3.1E-2</v>
      </c>
      <c r="HP783" s="28" t="s">
        <v>569</v>
      </c>
      <c r="IA783" s="28">
        <f>237*0.614</f>
        <v>145.518</v>
      </c>
      <c r="IB783" s="28">
        <f>272*0.614</f>
        <v>167.00800000000001</v>
      </c>
      <c r="IF783" s="28">
        <f>28.1*0.614</f>
        <v>17.253399999999999</v>
      </c>
      <c r="IG783" s="28">
        <f>32.2*0.614</f>
        <v>19.770800000000001</v>
      </c>
      <c r="IO783" s="28" t="s">
        <v>726</v>
      </c>
    </row>
    <row r="784" spans="1:249" s="28" customFormat="1" x14ac:dyDescent="0.25">
      <c r="A784" s="28">
        <v>38</v>
      </c>
      <c r="B784" s="28" t="s">
        <v>525</v>
      </c>
      <c r="C784" s="28" t="s">
        <v>526</v>
      </c>
      <c r="D784" s="28">
        <v>2005</v>
      </c>
      <c r="E784" s="28">
        <v>1999</v>
      </c>
      <c r="F784" s="28" t="s">
        <v>297</v>
      </c>
      <c r="G784" s="28" t="s">
        <v>556</v>
      </c>
      <c r="H784" s="32" t="s">
        <v>2831</v>
      </c>
      <c r="I784" s="28">
        <v>41.23</v>
      </c>
      <c r="J784" s="28">
        <v>-96.51</v>
      </c>
      <c r="K784" s="28">
        <v>365.7</v>
      </c>
      <c r="Q784" s="46" t="s">
        <v>1728</v>
      </c>
      <c r="R784" s="46" t="s">
        <v>1927</v>
      </c>
      <c r="S784" s="46"/>
      <c r="T784" s="46" t="s">
        <v>1933</v>
      </c>
      <c r="U784" s="46" t="s">
        <v>1394</v>
      </c>
      <c r="V784" s="46" t="s">
        <v>1724</v>
      </c>
      <c r="W784" s="46" t="s">
        <v>1384</v>
      </c>
      <c r="X784" s="46" t="s">
        <v>1393</v>
      </c>
      <c r="Z784" s="326"/>
      <c r="AA784" s="326"/>
      <c r="AB784" s="28" t="s">
        <v>1054</v>
      </c>
      <c r="AG784" s="28" t="s">
        <v>1521</v>
      </c>
      <c r="AH784" s="138" t="s">
        <v>1586</v>
      </c>
      <c r="AI784" s="28" t="s">
        <v>133</v>
      </c>
      <c r="AJ784" s="141" t="s">
        <v>1628</v>
      </c>
      <c r="AK784" s="28" t="s">
        <v>544</v>
      </c>
      <c r="AL784" s="28" t="s">
        <v>557</v>
      </c>
      <c r="AM784" s="28" t="s">
        <v>503</v>
      </c>
      <c r="AN784" s="28" t="s">
        <v>561</v>
      </c>
      <c r="AO784" s="28" t="s">
        <v>561</v>
      </c>
      <c r="AP784" s="28" t="s">
        <v>178</v>
      </c>
      <c r="AQ784" s="28" t="s">
        <v>558</v>
      </c>
      <c r="AR784" s="28" t="s">
        <v>558</v>
      </c>
      <c r="AS784" s="28" t="s">
        <v>178</v>
      </c>
      <c r="AT784" s="28" t="s">
        <v>120</v>
      </c>
      <c r="BA784" s="54"/>
      <c r="BM784" s="401"/>
      <c r="BN784" s="401"/>
      <c r="BR784" s="401"/>
      <c r="BS784" s="401"/>
      <c r="GM784" s="39"/>
      <c r="GQ784" s="39"/>
      <c r="GW784" s="28">
        <v>7.4</v>
      </c>
      <c r="GX784" s="28">
        <v>7.9</v>
      </c>
      <c r="HA784" s="28" t="s">
        <v>570</v>
      </c>
      <c r="HL784" s="28">
        <v>2.7E-2</v>
      </c>
      <c r="HM784" s="28">
        <v>3.4000000000000002E-2</v>
      </c>
      <c r="HP784" s="28" t="s">
        <v>569</v>
      </c>
      <c r="IA784" s="28">
        <f>317*0.614</f>
        <v>194.63800000000001</v>
      </c>
      <c r="IB784" s="28">
        <f>284*0.614</f>
        <v>174.376</v>
      </c>
      <c r="IF784" s="28">
        <f>37.2*0.614</f>
        <v>22.840800000000002</v>
      </c>
      <c r="IG784" s="28">
        <f>31.5*0.614</f>
        <v>19.341000000000001</v>
      </c>
      <c r="IO784" s="28" t="s">
        <v>726</v>
      </c>
    </row>
    <row r="785" spans="1:250" s="33" customFormat="1" x14ac:dyDescent="0.25">
      <c r="A785" s="33">
        <v>38</v>
      </c>
      <c r="B785" s="33" t="s">
        <v>525</v>
      </c>
      <c r="C785" s="33" t="s">
        <v>526</v>
      </c>
      <c r="D785" s="33">
        <v>2005</v>
      </c>
      <c r="E785" s="33">
        <v>1999</v>
      </c>
      <c r="F785" s="33" t="s">
        <v>297</v>
      </c>
      <c r="G785" s="33" t="s">
        <v>559</v>
      </c>
      <c r="H785" s="32" t="s">
        <v>2831</v>
      </c>
      <c r="I785" s="33">
        <v>47.72</v>
      </c>
      <c r="J785" s="33">
        <v>-104.16</v>
      </c>
      <c r="K785" s="33">
        <v>589</v>
      </c>
      <c r="Q785" s="47" t="s">
        <v>1936</v>
      </c>
      <c r="R785" s="47" t="s">
        <v>1728</v>
      </c>
      <c r="S785" s="47"/>
      <c r="T785" s="47" t="s">
        <v>1930</v>
      </c>
      <c r="U785" s="47" t="s">
        <v>1384</v>
      </c>
      <c r="V785" s="47" t="s">
        <v>1723</v>
      </c>
      <c r="W785" s="47" t="s">
        <v>1384</v>
      </c>
      <c r="X785" s="47" t="s">
        <v>1393</v>
      </c>
      <c r="Z785" s="327"/>
      <c r="AA785" s="327"/>
      <c r="AB785" s="33" t="s">
        <v>140</v>
      </c>
      <c r="AG785" s="33" t="s">
        <v>1540</v>
      </c>
      <c r="AH785" s="138" t="s">
        <v>1585</v>
      </c>
      <c r="AI785" s="33" t="s">
        <v>1603</v>
      </c>
      <c r="AJ785" s="141" t="s">
        <v>1628</v>
      </c>
      <c r="AK785" s="33" t="s">
        <v>553</v>
      </c>
      <c r="AL785" s="33" t="s">
        <v>560</v>
      </c>
      <c r="AM785" s="33" t="s">
        <v>503</v>
      </c>
      <c r="AN785" s="33" t="s">
        <v>561</v>
      </c>
      <c r="AO785" s="33" t="s">
        <v>157</v>
      </c>
      <c r="AP785" s="33" t="s">
        <v>503</v>
      </c>
      <c r="AQ785" s="33" t="s">
        <v>501</v>
      </c>
      <c r="AR785" s="33" t="s">
        <v>501</v>
      </c>
      <c r="AS785" s="33" t="s">
        <v>178</v>
      </c>
      <c r="AT785" s="33" t="s">
        <v>120</v>
      </c>
      <c r="BA785" s="54"/>
      <c r="BM785" s="402"/>
      <c r="BN785" s="402"/>
      <c r="BR785" s="402"/>
      <c r="BS785" s="402"/>
      <c r="DF785" s="33">
        <v>486</v>
      </c>
      <c r="DG785" s="33">
        <v>360</v>
      </c>
      <c r="GM785" s="39"/>
      <c r="GQ785" s="39"/>
      <c r="GW785" s="33">
        <v>20.3</v>
      </c>
      <c r="GX785" s="33">
        <v>20.399999999999999</v>
      </c>
      <c r="HA785" s="33" t="s">
        <v>570</v>
      </c>
      <c r="IF785" s="33">
        <f>24.3*0.614</f>
        <v>14.920199999999999</v>
      </c>
      <c r="IG785" s="33">
        <f>27.6*0.614</f>
        <v>16.946400000000001</v>
      </c>
      <c r="IO785" s="33" t="s">
        <v>726</v>
      </c>
    </row>
    <row r="786" spans="1:250" s="33" customFormat="1" x14ac:dyDescent="0.25">
      <c r="A786" s="33">
        <v>38</v>
      </c>
      <c r="B786" s="33" t="s">
        <v>525</v>
      </c>
      <c r="C786" s="33" t="s">
        <v>526</v>
      </c>
      <c r="D786" s="33">
        <v>2005</v>
      </c>
      <c r="E786" s="33">
        <v>1999</v>
      </c>
      <c r="F786" s="33" t="s">
        <v>297</v>
      </c>
      <c r="G786" s="33" t="s">
        <v>559</v>
      </c>
      <c r="H786" s="32" t="s">
        <v>2831</v>
      </c>
      <c r="I786" s="33">
        <v>47.72</v>
      </c>
      <c r="J786" s="33">
        <v>-104.16</v>
      </c>
      <c r="K786" s="33">
        <v>589</v>
      </c>
      <c r="Q786" s="47" t="s">
        <v>1936</v>
      </c>
      <c r="R786" s="47" t="s">
        <v>1728</v>
      </c>
      <c r="S786" s="47"/>
      <c r="T786" s="47" t="s">
        <v>1930</v>
      </c>
      <c r="U786" s="47" t="s">
        <v>1385</v>
      </c>
      <c r="V786" s="47" t="s">
        <v>1723</v>
      </c>
      <c r="W786" s="47" t="s">
        <v>1384</v>
      </c>
      <c r="X786" s="47" t="s">
        <v>1393</v>
      </c>
      <c r="Z786" s="327"/>
      <c r="AA786" s="327"/>
      <c r="AB786" s="33" t="s">
        <v>140</v>
      </c>
      <c r="AG786" s="33" t="s">
        <v>1540</v>
      </c>
      <c r="AH786" s="138" t="s">
        <v>1585</v>
      </c>
      <c r="AI786" s="33" t="s">
        <v>1603</v>
      </c>
      <c r="AJ786" s="141" t="s">
        <v>1628</v>
      </c>
      <c r="AK786" s="33" t="s">
        <v>553</v>
      </c>
      <c r="AL786" s="33" t="s">
        <v>560</v>
      </c>
      <c r="AM786" s="33" t="s">
        <v>503</v>
      </c>
      <c r="AN786" s="33" t="s">
        <v>561</v>
      </c>
      <c r="AO786" s="33" t="s">
        <v>157</v>
      </c>
      <c r="AP786" s="33" t="s">
        <v>503</v>
      </c>
      <c r="AQ786" s="33" t="s">
        <v>501</v>
      </c>
      <c r="AR786" s="33" t="s">
        <v>501</v>
      </c>
      <c r="AS786" s="33" t="s">
        <v>178</v>
      </c>
      <c r="AT786" s="33" t="s">
        <v>120</v>
      </c>
      <c r="BA786" s="54"/>
      <c r="BM786" s="402"/>
      <c r="BN786" s="402"/>
      <c r="BR786" s="402"/>
      <c r="BS786" s="402"/>
      <c r="GM786" s="39"/>
      <c r="GQ786" s="39"/>
      <c r="GW786" s="33">
        <v>8.5</v>
      </c>
      <c r="GX786" s="33">
        <v>13</v>
      </c>
      <c r="HA786" s="33" t="s">
        <v>570</v>
      </c>
      <c r="HL786" s="33">
        <v>4.7E-2</v>
      </c>
      <c r="HM786" s="33">
        <v>5.2999999999999999E-2</v>
      </c>
      <c r="HP786" s="33" t="s">
        <v>569</v>
      </c>
      <c r="IA786" s="33">
        <f>208*0.614</f>
        <v>127.712</v>
      </c>
      <c r="IB786" s="33">
        <f>193*0.614</f>
        <v>118.502</v>
      </c>
      <c r="IF786" s="33">
        <f>21.8*0.614</f>
        <v>13.385200000000001</v>
      </c>
      <c r="IG786" s="33">
        <f>17.4*0.614</f>
        <v>10.683599999999998</v>
      </c>
      <c r="IO786" s="33" t="s">
        <v>726</v>
      </c>
    </row>
    <row r="787" spans="1:250" s="33" customFormat="1" x14ac:dyDescent="0.25">
      <c r="A787" s="33">
        <v>38</v>
      </c>
      <c r="B787" s="33" t="s">
        <v>525</v>
      </c>
      <c r="C787" s="33" t="s">
        <v>526</v>
      </c>
      <c r="D787" s="33">
        <v>2005</v>
      </c>
      <c r="E787" s="33">
        <v>1999</v>
      </c>
      <c r="F787" s="33" t="s">
        <v>297</v>
      </c>
      <c r="G787" s="33" t="s">
        <v>559</v>
      </c>
      <c r="H787" s="32" t="s">
        <v>2831</v>
      </c>
      <c r="I787" s="33">
        <v>47.72</v>
      </c>
      <c r="J787" s="33">
        <v>-104.16</v>
      </c>
      <c r="K787" s="33">
        <v>589</v>
      </c>
      <c r="Q787" s="47" t="s">
        <v>1936</v>
      </c>
      <c r="R787" s="47" t="s">
        <v>1728</v>
      </c>
      <c r="S787" s="47"/>
      <c r="T787" s="47" t="s">
        <v>1930</v>
      </c>
      <c r="U787" s="47" t="s">
        <v>1394</v>
      </c>
      <c r="V787" s="47" t="s">
        <v>1724</v>
      </c>
      <c r="W787" s="47" t="s">
        <v>1384</v>
      </c>
      <c r="X787" s="47" t="s">
        <v>1393</v>
      </c>
      <c r="Z787" s="327"/>
      <c r="AA787" s="327"/>
      <c r="AB787" s="33" t="s">
        <v>140</v>
      </c>
      <c r="AG787" s="33" t="s">
        <v>1540</v>
      </c>
      <c r="AH787" s="138" t="s">
        <v>1585</v>
      </c>
      <c r="AI787" s="33" t="s">
        <v>1603</v>
      </c>
      <c r="AJ787" s="141" t="s">
        <v>1628</v>
      </c>
      <c r="AK787" s="33" t="s">
        <v>553</v>
      </c>
      <c r="AL787" s="33" t="s">
        <v>560</v>
      </c>
      <c r="AM787" s="33" t="s">
        <v>503</v>
      </c>
      <c r="AN787" s="33" t="s">
        <v>561</v>
      </c>
      <c r="AO787" s="33" t="s">
        <v>157</v>
      </c>
      <c r="AP787" s="33" t="s">
        <v>503</v>
      </c>
      <c r="AQ787" s="33" t="s">
        <v>501</v>
      </c>
      <c r="AR787" s="33" t="s">
        <v>501</v>
      </c>
      <c r="AS787" s="33" t="s">
        <v>178</v>
      </c>
      <c r="AT787" s="33" t="s">
        <v>120</v>
      </c>
      <c r="BA787" s="54"/>
      <c r="BM787" s="402"/>
      <c r="BN787" s="402"/>
      <c r="BR787" s="402"/>
      <c r="BS787" s="402"/>
      <c r="GM787" s="39"/>
      <c r="GQ787" s="39"/>
      <c r="GW787" s="33">
        <v>6.3</v>
      </c>
      <c r="GX787" s="33">
        <v>10.8</v>
      </c>
      <c r="HA787" s="33" t="s">
        <v>570</v>
      </c>
      <c r="HL787" s="33">
        <v>5.1999999999999998E-2</v>
      </c>
      <c r="HM787" s="33">
        <v>5.8000000000000003E-2</v>
      </c>
      <c r="HP787" s="33" t="s">
        <v>569</v>
      </c>
      <c r="IA787" s="33">
        <f>263*0.614</f>
        <v>161.482</v>
      </c>
      <c r="IB787" s="33">
        <f>211*0.614</f>
        <v>129.554</v>
      </c>
      <c r="IF787" s="33">
        <f>26.1*0.614</f>
        <v>16.025400000000001</v>
      </c>
      <c r="IG787" s="33">
        <f>20*0.614</f>
        <v>12.28</v>
      </c>
      <c r="IO787" s="33" t="s">
        <v>726</v>
      </c>
    </row>
    <row r="788" spans="1:250" s="28" customFormat="1" x14ac:dyDescent="0.25">
      <c r="A788" s="28">
        <v>38</v>
      </c>
      <c r="B788" s="28" t="s">
        <v>525</v>
      </c>
      <c r="C788" s="28" t="s">
        <v>526</v>
      </c>
      <c r="D788" s="28">
        <v>2005</v>
      </c>
      <c r="E788" s="28">
        <v>1999</v>
      </c>
      <c r="F788" s="28" t="s">
        <v>297</v>
      </c>
      <c r="G788" s="28" t="s">
        <v>562</v>
      </c>
      <c r="H788" s="32" t="s">
        <v>2831</v>
      </c>
      <c r="I788" s="28">
        <v>50.29</v>
      </c>
      <c r="J788" s="28">
        <v>-107.73</v>
      </c>
      <c r="K788" s="28">
        <v>781</v>
      </c>
      <c r="Q788" s="46" t="s">
        <v>1939</v>
      </c>
      <c r="R788" s="46" t="s">
        <v>1928</v>
      </c>
      <c r="S788" s="46"/>
      <c r="T788" s="46" t="s">
        <v>1934</v>
      </c>
      <c r="U788" s="46" t="s">
        <v>1384</v>
      </c>
      <c r="V788" s="46" t="s">
        <v>1723</v>
      </c>
      <c r="W788" s="46" t="s">
        <v>1384</v>
      </c>
      <c r="X788" s="46" t="s">
        <v>1393</v>
      </c>
      <c r="Z788" s="326"/>
      <c r="AA788" s="326"/>
      <c r="AB788" s="28" t="s">
        <v>451</v>
      </c>
      <c r="AG788" s="28" t="s">
        <v>563</v>
      </c>
      <c r="AH788" s="138" t="s">
        <v>578</v>
      </c>
      <c r="AI788" s="28" t="s">
        <v>1603</v>
      </c>
      <c r="AJ788" s="141" t="s">
        <v>1628</v>
      </c>
      <c r="AK788" s="28" t="s">
        <v>553</v>
      </c>
      <c r="AL788" s="28" t="s">
        <v>564</v>
      </c>
      <c r="AM788" s="28" t="s">
        <v>503</v>
      </c>
      <c r="AN788" s="28" t="s">
        <v>565</v>
      </c>
      <c r="AO788" s="28" t="s">
        <v>565</v>
      </c>
      <c r="AP788" s="28" t="s">
        <v>178</v>
      </c>
      <c r="AQ788" s="28" t="s">
        <v>529</v>
      </c>
      <c r="AR788" s="28" t="s">
        <v>529</v>
      </c>
      <c r="AT788" s="28" t="s">
        <v>120</v>
      </c>
      <c r="BA788" s="54"/>
      <c r="BM788" s="401"/>
      <c r="BN788" s="401"/>
      <c r="BR788" s="401"/>
      <c r="BS788" s="401"/>
      <c r="DF788" s="28">
        <v>485</v>
      </c>
      <c r="DG788" s="28">
        <v>609</v>
      </c>
      <c r="GM788" s="39"/>
      <c r="GQ788" s="39"/>
      <c r="GW788" s="28">
        <v>23.7</v>
      </c>
      <c r="GX788" s="28">
        <v>45.8</v>
      </c>
      <c r="HA788" s="28" t="s">
        <v>570</v>
      </c>
      <c r="HL788" s="28">
        <v>5.7000000000000002E-2</v>
      </c>
      <c r="HM788" s="28">
        <v>8.6999999999999994E-2</v>
      </c>
      <c r="HP788" s="28" t="s">
        <v>569</v>
      </c>
      <c r="IA788" s="28">
        <f>288*0.614</f>
        <v>176.83199999999999</v>
      </c>
      <c r="IB788" s="28">
        <f>491*0.614</f>
        <v>301.47399999999999</v>
      </c>
      <c r="IF788" s="28">
        <f>32.8*0.614</f>
        <v>20.139199999999999</v>
      </c>
      <c r="IG788" s="28">
        <f>45.2*0.614</f>
        <v>27.752800000000001</v>
      </c>
      <c r="IO788" s="28" t="s">
        <v>726</v>
      </c>
    </row>
    <row r="789" spans="1:250" s="28" customFormat="1" x14ac:dyDescent="0.25">
      <c r="A789" s="28">
        <v>38</v>
      </c>
      <c r="B789" s="28" t="s">
        <v>525</v>
      </c>
      <c r="C789" s="28" t="s">
        <v>526</v>
      </c>
      <c r="D789" s="28">
        <v>2005</v>
      </c>
      <c r="E789" s="28">
        <v>1999</v>
      </c>
      <c r="F789" s="28" t="s">
        <v>297</v>
      </c>
      <c r="G789" s="28" t="s">
        <v>562</v>
      </c>
      <c r="H789" s="32" t="s">
        <v>2831</v>
      </c>
      <c r="I789" s="28">
        <v>50.29</v>
      </c>
      <c r="J789" s="28">
        <v>-107.73</v>
      </c>
      <c r="K789" s="28">
        <v>781</v>
      </c>
      <c r="Q789" s="46" t="s">
        <v>1939</v>
      </c>
      <c r="R789" s="46" t="s">
        <v>1928</v>
      </c>
      <c r="S789" s="46"/>
      <c r="T789" s="46" t="s">
        <v>1934</v>
      </c>
      <c r="U789" s="46" t="s">
        <v>1385</v>
      </c>
      <c r="V789" s="46" t="s">
        <v>1723</v>
      </c>
      <c r="W789" s="46" t="s">
        <v>1384</v>
      </c>
      <c r="X789" s="46" t="s">
        <v>1393</v>
      </c>
      <c r="Z789" s="326"/>
      <c r="AA789" s="326"/>
      <c r="AB789" s="28" t="s">
        <v>451</v>
      </c>
      <c r="AG789" s="28" t="s">
        <v>563</v>
      </c>
      <c r="AH789" s="138" t="s">
        <v>578</v>
      </c>
      <c r="AI789" s="28" t="s">
        <v>1603</v>
      </c>
      <c r="AJ789" s="141" t="s">
        <v>1628</v>
      </c>
      <c r="AK789" s="28" t="s">
        <v>553</v>
      </c>
      <c r="AL789" s="28" t="s">
        <v>564</v>
      </c>
      <c r="AM789" s="28" t="s">
        <v>503</v>
      </c>
      <c r="AN789" s="28" t="s">
        <v>565</v>
      </c>
      <c r="AO789" s="28" t="s">
        <v>565</v>
      </c>
      <c r="AP789" s="28" t="s">
        <v>178</v>
      </c>
      <c r="AQ789" s="28" t="s">
        <v>529</v>
      </c>
      <c r="AR789" s="28" t="s">
        <v>529</v>
      </c>
      <c r="AT789" s="28" t="s">
        <v>120</v>
      </c>
      <c r="BA789" s="54"/>
      <c r="BM789" s="401"/>
      <c r="BN789" s="401"/>
      <c r="BR789" s="401"/>
      <c r="BS789" s="401"/>
      <c r="GM789" s="39"/>
      <c r="GQ789" s="39"/>
      <c r="GW789" s="28">
        <v>14.2</v>
      </c>
      <c r="GX789" s="28">
        <v>22.6</v>
      </c>
      <c r="HA789" s="28" t="s">
        <v>570</v>
      </c>
      <c r="HL789" s="28">
        <v>2.9000000000000001E-2</v>
      </c>
      <c r="HM789" s="28">
        <v>2.3E-2</v>
      </c>
      <c r="HP789" s="28" t="s">
        <v>569</v>
      </c>
      <c r="IA789" s="28">
        <f>227*0.614</f>
        <v>139.37799999999999</v>
      </c>
      <c r="IB789" s="28">
        <f>352*0.614</f>
        <v>216.12799999999999</v>
      </c>
      <c r="IF789" s="28">
        <f>23.3*0.614</f>
        <v>14.3062</v>
      </c>
      <c r="IG789" s="28">
        <f>35.6*0.614</f>
        <v>21.8584</v>
      </c>
      <c r="IO789" s="28" t="s">
        <v>726</v>
      </c>
    </row>
    <row r="790" spans="1:250" s="28" customFormat="1" x14ac:dyDescent="0.25">
      <c r="A790" s="28">
        <v>38</v>
      </c>
      <c r="B790" s="28" t="s">
        <v>525</v>
      </c>
      <c r="C790" s="28" t="s">
        <v>526</v>
      </c>
      <c r="D790" s="28">
        <v>2005</v>
      </c>
      <c r="E790" s="28">
        <v>1999</v>
      </c>
      <c r="F790" s="28" t="s">
        <v>297</v>
      </c>
      <c r="G790" s="28" t="s">
        <v>562</v>
      </c>
      <c r="H790" s="32" t="s">
        <v>2831</v>
      </c>
      <c r="I790" s="28">
        <v>50.29</v>
      </c>
      <c r="J790" s="28">
        <v>-107.73</v>
      </c>
      <c r="K790" s="28">
        <v>781</v>
      </c>
      <c r="Q790" s="46" t="s">
        <v>1939</v>
      </c>
      <c r="R790" s="46" t="s">
        <v>1928</v>
      </c>
      <c r="S790" s="46"/>
      <c r="T790" s="46" t="s">
        <v>1934</v>
      </c>
      <c r="U790" s="46" t="s">
        <v>1394</v>
      </c>
      <c r="V790" s="46" t="s">
        <v>1724</v>
      </c>
      <c r="W790" s="46" t="s">
        <v>1384</v>
      </c>
      <c r="X790" s="46" t="s">
        <v>1393</v>
      </c>
      <c r="Z790" s="326"/>
      <c r="AA790" s="326"/>
      <c r="AB790" s="28" t="s">
        <v>451</v>
      </c>
      <c r="AG790" s="28" t="s">
        <v>563</v>
      </c>
      <c r="AH790" s="138" t="s">
        <v>578</v>
      </c>
      <c r="AI790" s="28" t="s">
        <v>1603</v>
      </c>
      <c r="AJ790" s="141" t="s">
        <v>1628</v>
      </c>
      <c r="AK790" s="28" t="s">
        <v>553</v>
      </c>
      <c r="AL790" s="28" t="s">
        <v>564</v>
      </c>
      <c r="AM790" s="28" t="s">
        <v>503</v>
      </c>
      <c r="AN790" s="28" t="s">
        <v>565</v>
      </c>
      <c r="AO790" s="28" t="s">
        <v>565</v>
      </c>
      <c r="AP790" s="28" t="s">
        <v>178</v>
      </c>
      <c r="AQ790" s="28" t="s">
        <v>529</v>
      </c>
      <c r="AR790" s="28" t="s">
        <v>529</v>
      </c>
      <c r="AT790" s="28" t="s">
        <v>120</v>
      </c>
      <c r="BA790" s="54"/>
      <c r="BM790" s="401"/>
      <c r="BN790" s="401"/>
      <c r="BR790" s="401"/>
      <c r="BS790" s="401"/>
      <c r="GM790" s="39"/>
      <c r="GQ790" s="39"/>
      <c r="GW790" s="28">
        <v>12.5</v>
      </c>
      <c r="GX790" s="28">
        <v>15.1</v>
      </c>
      <c r="HA790" s="28" t="s">
        <v>570</v>
      </c>
      <c r="HL790" s="28">
        <v>3.5000000000000003E-2</v>
      </c>
      <c r="HM790" s="28">
        <v>2.5999999999999999E-2</v>
      </c>
      <c r="HP790" s="28" t="s">
        <v>569</v>
      </c>
      <c r="IA790" s="28">
        <f>239*0.614</f>
        <v>146.74600000000001</v>
      </c>
      <c r="IB790" s="28">
        <f>320*0.614</f>
        <v>196.48</v>
      </c>
      <c r="IF790" s="28">
        <f>26.1*0.614</f>
        <v>16.025400000000001</v>
      </c>
      <c r="IG790" s="28">
        <f>45.1*0.614</f>
        <v>27.691400000000002</v>
      </c>
      <c r="IO790" s="28" t="s">
        <v>726</v>
      </c>
    </row>
    <row r="791" spans="1:250" s="35" customFormat="1" x14ac:dyDescent="0.25">
      <c r="A791" s="35">
        <v>39</v>
      </c>
      <c r="B791" s="35" t="s">
        <v>571</v>
      </c>
      <c r="C791" s="35" t="s">
        <v>572</v>
      </c>
      <c r="D791" s="35">
        <v>2006</v>
      </c>
      <c r="E791" s="35">
        <v>2002</v>
      </c>
      <c r="F791" s="35" t="s">
        <v>128</v>
      </c>
      <c r="G791" s="35" t="s">
        <v>1608</v>
      </c>
      <c r="H791" s="32" t="s">
        <v>2831</v>
      </c>
      <c r="I791" s="35">
        <f t="shared" ref="I791:I792" si="210">41+26/60</f>
        <v>41.43333333333333</v>
      </c>
      <c r="J791" s="35">
        <f t="shared" ref="J791:J792" si="211">-85-23/60</f>
        <v>-85.38333333333334</v>
      </c>
      <c r="K791" s="35">
        <v>292.60000000000002</v>
      </c>
      <c r="Q791" s="49" t="s">
        <v>1726</v>
      </c>
      <c r="R791" s="49" t="s">
        <v>1726</v>
      </c>
      <c r="S791" s="49"/>
      <c r="T791" s="49" t="s">
        <v>1941</v>
      </c>
      <c r="U791" s="49" t="s">
        <v>1404</v>
      </c>
      <c r="V791" s="49" t="s">
        <v>1734</v>
      </c>
      <c r="W791" s="49" t="s">
        <v>1404</v>
      </c>
      <c r="X791" s="49" t="s">
        <v>1404</v>
      </c>
      <c r="Z791" s="329"/>
      <c r="AA791" s="329"/>
      <c r="AB791" s="35" t="s">
        <v>140</v>
      </c>
      <c r="AC791" s="35">
        <v>6.1</v>
      </c>
      <c r="AF791" s="35" t="s">
        <v>1331</v>
      </c>
      <c r="AG791" s="35" t="s">
        <v>1513</v>
      </c>
      <c r="AH791" s="138" t="s">
        <v>132</v>
      </c>
      <c r="AI791" s="35" t="s">
        <v>1591</v>
      </c>
      <c r="AJ791" s="140" t="s">
        <v>1626</v>
      </c>
      <c r="AK791" s="35" t="s">
        <v>577</v>
      </c>
      <c r="AL791" s="35" t="s">
        <v>576</v>
      </c>
      <c r="AM791" s="35" t="s">
        <v>503</v>
      </c>
      <c r="AN791" s="35" t="s">
        <v>575</v>
      </c>
      <c r="AO791" s="35" t="s">
        <v>575</v>
      </c>
      <c r="AP791" s="35" t="s">
        <v>178</v>
      </c>
      <c r="AQ791" s="35" t="s">
        <v>574</v>
      </c>
      <c r="AR791" s="35" t="s">
        <v>573</v>
      </c>
      <c r="AS791" s="35" t="s">
        <v>503</v>
      </c>
      <c r="AT791" s="35" t="s">
        <v>161</v>
      </c>
      <c r="AU791" s="35">
        <v>4</v>
      </c>
      <c r="AW791" s="35" t="s">
        <v>142</v>
      </c>
      <c r="BA791" s="53"/>
      <c r="BB791" s="35" t="s">
        <v>579</v>
      </c>
      <c r="BM791" s="405"/>
      <c r="BN791" s="405"/>
      <c r="BR791" s="405">
        <v>1.2370000000000001</v>
      </c>
      <c r="BS791" s="405">
        <v>1.35</v>
      </c>
      <c r="BV791" s="35" t="s">
        <v>164</v>
      </c>
      <c r="BW791" s="35">
        <v>1141</v>
      </c>
      <c r="BX791" s="35">
        <v>1277</v>
      </c>
      <c r="CA791" s="35" t="s">
        <v>235</v>
      </c>
      <c r="GM791" s="40"/>
      <c r="GQ791" s="40"/>
      <c r="IO791" s="35" t="s">
        <v>727</v>
      </c>
    </row>
    <row r="792" spans="1:250" s="35" customFormat="1" x14ac:dyDescent="0.25">
      <c r="A792" s="35">
        <v>39</v>
      </c>
      <c r="B792" s="35" t="s">
        <v>571</v>
      </c>
      <c r="C792" s="35" t="s">
        <v>572</v>
      </c>
      <c r="D792" s="35">
        <v>2006</v>
      </c>
      <c r="E792" s="35">
        <v>2002</v>
      </c>
      <c r="F792" s="35" t="s">
        <v>128</v>
      </c>
      <c r="G792" s="35" t="s">
        <v>1608</v>
      </c>
      <c r="H792" s="32" t="s">
        <v>2831</v>
      </c>
      <c r="I792" s="35">
        <f t="shared" si="210"/>
        <v>41.43333333333333</v>
      </c>
      <c r="J792" s="35">
        <f t="shared" si="211"/>
        <v>-85.38333333333334</v>
      </c>
      <c r="K792" s="35">
        <v>292.60000000000002</v>
      </c>
      <c r="Q792" s="49" t="s">
        <v>1726</v>
      </c>
      <c r="R792" s="49" t="s">
        <v>1726</v>
      </c>
      <c r="S792" s="49"/>
      <c r="T792" s="49" t="s">
        <v>1941</v>
      </c>
      <c r="U792" s="49" t="s">
        <v>1404</v>
      </c>
      <c r="V792" s="49" t="s">
        <v>1734</v>
      </c>
      <c r="W792" s="49" t="s">
        <v>1404</v>
      </c>
      <c r="X792" s="49" t="s">
        <v>1404</v>
      </c>
      <c r="Z792" s="329"/>
      <c r="AA792" s="329"/>
      <c r="AB792" s="35" t="s">
        <v>140</v>
      </c>
      <c r="AC792" s="35">
        <v>6.1</v>
      </c>
      <c r="AF792" s="35" t="s">
        <v>1331</v>
      </c>
      <c r="AG792" s="35" t="s">
        <v>1513</v>
      </c>
      <c r="AH792" s="138" t="s">
        <v>132</v>
      </c>
      <c r="AI792" s="35" t="s">
        <v>1591</v>
      </c>
      <c r="AJ792" s="140" t="s">
        <v>1626</v>
      </c>
      <c r="AK792" s="35" t="s">
        <v>577</v>
      </c>
      <c r="AL792" s="35" t="s">
        <v>576</v>
      </c>
      <c r="AM792" s="35" t="s">
        <v>503</v>
      </c>
      <c r="AN792" s="35" t="s">
        <v>575</v>
      </c>
      <c r="AO792" s="35" t="s">
        <v>575</v>
      </c>
      <c r="AP792" s="35" t="s">
        <v>178</v>
      </c>
      <c r="AQ792" s="35" t="s">
        <v>574</v>
      </c>
      <c r="AR792" s="35" t="s">
        <v>578</v>
      </c>
      <c r="AS792" s="35" t="s">
        <v>503</v>
      </c>
      <c r="AT792" s="35" t="s">
        <v>161</v>
      </c>
      <c r="AU792" s="35">
        <v>4</v>
      </c>
      <c r="AW792" s="35" t="s">
        <v>142</v>
      </c>
      <c r="BA792" s="53"/>
      <c r="BB792" s="35" t="s">
        <v>580</v>
      </c>
      <c r="BM792" s="405"/>
      <c r="BN792" s="405"/>
      <c r="BR792" s="405">
        <v>1.2370000000000001</v>
      </c>
      <c r="BS792" s="405">
        <v>1.4</v>
      </c>
      <c r="BV792" s="35" t="s">
        <v>164</v>
      </c>
      <c r="BW792" s="35">
        <v>1141</v>
      </c>
      <c r="BX792" s="35">
        <v>1335</v>
      </c>
      <c r="CA792" s="35" t="s">
        <v>235</v>
      </c>
      <c r="GM792" s="40"/>
      <c r="GQ792" s="40"/>
      <c r="IO792" s="35" t="s">
        <v>727</v>
      </c>
    </row>
    <row r="793" spans="1:250" s="33" customFormat="1" x14ac:dyDescent="0.25">
      <c r="A793" s="33">
        <v>40</v>
      </c>
      <c r="B793" s="33" t="s">
        <v>582</v>
      </c>
      <c r="C793" s="33" t="s">
        <v>583</v>
      </c>
      <c r="D793" s="33">
        <v>2015</v>
      </c>
      <c r="E793" s="33">
        <v>1997</v>
      </c>
      <c r="F793" s="33" t="s">
        <v>128</v>
      </c>
      <c r="G793" s="33" t="s">
        <v>594</v>
      </c>
      <c r="H793" s="32" t="s">
        <v>2831</v>
      </c>
      <c r="I793" s="33">
        <v>35.619999999999997</v>
      </c>
      <c r="J793" s="33">
        <v>-88.85</v>
      </c>
      <c r="K793" s="33">
        <v>107.7</v>
      </c>
      <c r="O793" s="33">
        <v>1375</v>
      </c>
      <c r="Q793" s="47">
        <v>15</v>
      </c>
      <c r="R793" s="47" t="s">
        <v>1939</v>
      </c>
      <c r="S793" s="47"/>
      <c r="T793" s="47" t="s">
        <v>1942</v>
      </c>
      <c r="U793" s="47" t="s">
        <v>1384</v>
      </c>
      <c r="V793" s="47" t="s">
        <v>1723</v>
      </c>
      <c r="W793" s="47" t="s">
        <v>1384</v>
      </c>
      <c r="X793" s="47" t="s">
        <v>1384</v>
      </c>
      <c r="Y793" s="33">
        <f t="shared" ref="Y793:Y798" si="212">(1.4+1.39+1.43)/3</f>
        <v>1.4066666666666665</v>
      </c>
      <c r="Z793" s="327"/>
      <c r="AA793" s="327"/>
      <c r="AB793" s="33" t="s">
        <v>451</v>
      </c>
      <c r="AF793" s="33" t="s">
        <v>1339</v>
      </c>
      <c r="AG793" s="33" t="s">
        <v>244</v>
      </c>
      <c r="AH793" s="138" t="s">
        <v>578</v>
      </c>
      <c r="AI793" s="33" t="s">
        <v>585</v>
      </c>
      <c r="AJ793" s="141" t="s">
        <v>1621</v>
      </c>
      <c r="AT793" s="33" t="s">
        <v>161</v>
      </c>
      <c r="AU793" s="33">
        <v>4</v>
      </c>
      <c r="AW793" s="33" t="s">
        <v>336</v>
      </c>
      <c r="BA793" s="54"/>
      <c r="BB793" s="33" t="s">
        <v>584</v>
      </c>
      <c r="BH793" s="33">
        <v>1375</v>
      </c>
      <c r="BI793" s="33">
        <v>1608</v>
      </c>
      <c r="BM793" s="402">
        <v>1.43</v>
      </c>
      <c r="BN793" s="402">
        <v>1.4</v>
      </c>
      <c r="BR793" s="402"/>
      <c r="BS793" s="402"/>
      <c r="CB793" s="33">
        <v>101.62</v>
      </c>
      <c r="CC793" s="33">
        <v>78.61</v>
      </c>
      <c r="CG793" s="33">
        <v>233.55</v>
      </c>
      <c r="CH793" s="33">
        <v>199.67</v>
      </c>
      <c r="CL793" s="33">
        <v>5.44</v>
      </c>
      <c r="CM793" s="33">
        <v>5.4</v>
      </c>
      <c r="CQ793" s="33">
        <v>99999</v>
      </c>
      <c r="CR793" s="33">
        <v>99999</v>
      </c>
      <c r="CU793" s="33" t="s">
        <v>642</v>
      </c>
      <c r="EY793" s="33">
        <v>21.08</v>
      </c>
      <c r="EZ793" s="33">
        <v>23.69</v>
      </c>
      <c r="GC793" s="39">
        <v>27.94</v>
      </c>
      <c r="GD793" s="33">
        <v>28.6</v>
      </c>
      <c r="GG793" s="39" t="s">
        <v>586</v>
      </c>
      <c r="GH793" s="39"/>
      <c r="GI793" s="39"/>
      <c r="GJ793" s="39"/>
      <c r="GK793" s="39"/>
      <c r="GL793" s="39"/>
      <c r="HL793" s="33">
        <f>4.45*0.0441</f>
        <v>0.196245</v>
      </c>
      <c r="HM793" s="33">
        <f>6.24*0.0441</f>
        <v>0.27518399999999998</v>
      </c>
      <c r="IA793" s="33">
        <v>336.42</v>
      </c>
      <c r="IB793" s="33">
        <v>400.79</v>
      </c>
      <c r="IF793" s="33">
        <v>78.03</v>
      </c>
      <c r="IG793" s="33">
        <v>99.31</v>
      </c>
      <c r="IK793" s="33">
        <v>99999</v>
      </c>
      <c r="IL793" s="33">
        <v>99999</v>
      </c>
      <c r="IO793" s="33" t="s">
        <v>611</v>
      </c>
      <c r="IP793" s="33" t="s">
        <v>906</v>
      </c>
    </row>
    <row r="794" spans="1:250" s="33" customFormat="1" x14ac:dyDescent="0.25">
      <c r="A794" s="33">
        <v>40</v>
      </c>
      <c r="B794" s="33" t="s">
        <v>582</v>
      </c>
      <c r="C794" s="33" t="s">
        <v>583</v>
      </c>
      <c r="D794" s="33">
        <v>2015</v>
      </c>
      <c r="E794" s="33">
        <v>1997</v>
      </c>
      <c r="F794" s="33" t="s">
        <v>128</v>
      </c>
      <c r="G794" s="33" t="s">
        <v>594</v>
      </c>
      <c r="H794" s="32" t="s">
        <v>2831</v>
      </c>
      <c r="I794" s="33">
        <v>35.619999999999997</v>
      </c>
      <c r="J794" s="33">
        <v>-88.85</v>
      </c>
      <c r="K794" s="33">
        <v>107.7</v>
      </c>
      <c r="O794" s="33">
        <v>1375</v>
      </c>
      <c r="Q794" s="47">
        <v>15</v>
      </c>
      <c r="R794" s="47" t="s">
        <v>1939</v>
      </c>
      <c r="S794" s="47"/>
      <c r="T794" s="47" t="s">
        <v>1942</v>
      </c>
      <c r="U794" s="47" t="s">
        <v>1384</v>
      </c>
      <c r="V794" s="47" t="s">
        <v>1723</v>
      </c>
      <c r="W794" s="47" t="s">
        <v>1384</v>
      </c>
      <c r="X794" s="47" t="s">
        <v>1384</v>
      </c>
      <c r="Y794" s="33">
        <f t="shared" si="212"/>
        <v>1.4066666666666665</v>
      </c>
      <c r="Z794" s="327"/>
      <c r="AA794" s="327"/>
      <c r="AB794" s="33" t="s">
        <v>451</v>
      </c>
      <c r="AF794" s="33" t="s">
        <v>1339</v>
      </c>
      <c r="AG794" s="33" t="s">
        <v>117</v>
      </c>
      <c r="AH794" s="138" t="s">
        <v>1585</v>
      </c>
      <c r="AI794" s="33" t="s">
        <v>585</v>
      </c>
      <c r="AJ794" s="141" t="s">
        <v>1621</v>
      </c>
      <c r="AT794" s="33" t="s">
        <v>161</v>
      </c>
      <c r="AU794" s="33">
        <v>4</v>
      </c>
      <c r="AW794" s="33" t="s">
        <v>336</v>
      </c>
      <c r="BA794" s="54"/>
      <c r="BB794" s="33" t="s">
        <v>584</v>
      </c>
      <c r="BH794" s="33">
        <v>1375</v>
      </c>
      <c r="BI794" s="33">
        <v>1344</v>
      </c>
      <c r="BM794" s="402">
        <v>1.43</v>
      </c>
      <c r="BN794" s="402">
        <v>1.39</v>
      </c>
      <c r="BR794" s="402"/>
      <c r="BS794" s="402"/>
      <c r="CB794" s="33">
        <v>101.62</v>
      </c>
      <c r="CC794" s="33">
        <v>99.5</v>
      </c>
      <c r="CG794" s="33">
        <v>233.55</v>
      </c>
      <c r="CH794" s="33">
        <v>224.88</v>
      </c>
      <c r="CL794" s="33">
        <v>5.44</v>
      </c>
      <c r="CM794" s="33">
        <v>5.51</v>
      </c>
      <c r="CQ794" s="33">
        <v>99999</v>
      </c>
      <c r="CR794" s="33">
        <v>99999</v>
      </c>
      <c r="CU794" s="33" t="s">
        <v>642</v>
      </c>
      <c r="EY794" s="33">
        <v>21.08</v>
      </c>
      <c r="EZ794" s="33">
        <v>21.44</v>
      </c>
      <c r="GC794" s="39">
        <v>27.94</v>
      </c>
      <c r="GD794" s="33">
        <v>28.41</v>
      </c>
      <c r="GG794" s="39" t="s">
        <v>586</v>
      </c>
      <c r="GH794" s="39"/>
      <c r="GI794" s="39"/>
      <c r="GJ794" s="39"/>
      <c r="GK794" s="39"/>
      <c r="GL794" s="39"/>
      <c r="HL794" s="33">
        <f>4.45*0.0441</f>
        <v>0.196245</v>
      </c>
      <c r="HM794" s="33">
        <f>4.42*0.0441</f>
        <v>0.19492200000000001</v>
      </c>
      <c r="IA794" s="33">
        <v>336.42</v>
      </c>
      <c r="IB794" s="33">
        <v>351.74</v>
      </c>
      <c r="IF794" s="33">
        <v>78.03</v>
      </c>
      <c r="IG794" s="33">
        <v>78.819999999999993</v>
      </c>
      <c r="IK794" s="33">
        <v>99999</v>
      </c>
      <c r="IL794" s="33">
        <v>99999</v>
      </c>
      <c r="IO794" s="33" t="s">
        <v>611</v>
      </c>
      <c r="IP794" s="33" t="s">
        <v>906</v>
      </c>
    </row>
    <row r="795" spans="1:250" s="28" customFormat="1" x14ac:dyDescent="0.25">
      <c r="A795" s="184">
        <v>40</v>
      </c>
      <c r="B795" s="28" t="s">
        <v>582</v>
      </c>
      <c r="C795" s="28" t="s">
        <v>583</v>
      </c>
      <c r="D795" s="28">
        <v>2015</v>
      </c>
      <c r="E795" s="28">
        <v>1997</v>
      </c>
      <c r="F795" s="28" t="s">
        <v>128</v>
      </c>
      <c r="G795" s="28" t="s">
        <v>594</v>
      </c>
      <c r="H795" s="32" t="s">
        <v>2831</v>
      </c>
      <c r="I795" s="28">
        <v>35.619999999999997</v>
      </c>
      <c r="J795" s="28">
        <v>-88.85</v>
      </c>
      <c r="K795" s="28">
        <v>107.7</v>
      </c>
      <c r="O795" s="28">
        <v>1375</v>
      </c>
      <c r="Q795" s="46">
        <v>15</v>
      </c>
      <c r="R795" s="46" t="s">
        <v>1939</v>
      </c>
      <c r="S795" s="46"/>
      <c r="T795" s="47" t="s">
        <v>1942</v>
      </c>
      <c r="U795" s="46" t="s">
        <v>1384</v>
      </c>
      <c r="V795" s="46" t="s">
        <v>1723</v>
      </c>
      <c r="W795" s="46" t="s">
        <v>1384</v>
      </c>
      <c r="X795" s="46" t="s">
        <v>1384</v>
      </c>
      <c r="Y795" s="28">
        <f t="shared" si="212"/>
        <v>1.4066666666666665</v>
      </c>
      <c r="Z795" s="326"/>
      <c r="AA795" s="326"/>
      <c r="AB795" s="28" t="s">
        <v>451</v>
      </c>
      <c r="AF795" s="28" t="s">
        <v>1339</v>
      </c>
      <c r="AG795" s="28" t="s">
        <v>244</v>
      </c>
      <c r="AH795" s="138" t="s">
        <v>578</v>
      </c>
      <c r="AI795" s="28" t="s">
        <v>585</v>
      </c>
      <c r="AJ795" s="141" t="s">
        <v>1621</v>
      </c>
      <c r="AN795" s="28" t="s">
        <v>157</v>
      </c>
      <c r="AO795" s="28" t="s">
        <v>157</v>
      </c>
      <c r="AP795" s="28" t="s">
        <v>178</v>
      </c>
      <c r="AQ795" s="28">
        <v>0</v>
      </c>
      <c r="AR795" s="28">
        <v>0</v>
      </c>
      <c r="AS795" s="28" t="s">
        <v>178</v>
      </c>
      <c r="AT795" s="28" t="s">
        <v>161</v>
      </c>
      <c r="AU795" s="28">
        <v>4</v>
      </c>
      <c r="AW795" s="28" t="s">
        <v>336</v>
      </c>
      <c r="BB795" s="28" t="s">
        <v>584</v>
      </c>
      <c r="BM795" s="401"/>
      <c r="BN795" s="401"/>
      <c r="BR795" s="401">
        <f>9.98/10</f>
        <v>0.998</v>
      </c>
      <c r="BS795" s="401">
        <f>0.1*13.37</f>
        <v>1.337</v>
      </c>
      <c r="BV795" s="28" t="s">
        <v>2026</v>
      </c>
      <c r="BW795" s="28">
        <v>1.07</v>
      </c>
      <c r="BX795" s="28">
        <v>1.41</v>
      </c>
      <c r="CA795" s="28" t="s">
        <v>1685</v>
      </c>
      <c r="CQ795" s="28">
        <v>99999</v>
      </c>
      <c r="CR795" s="28">
        <v>99999</v>
      </c>
      <c r="CU795" s="28" t="s">
        <v>642</v>
      </c>
      <c r="GC795" s="28">
        <v>8.6199999999999992</v>
      </c>
      <c r="GD795" s="28">
        <v>8.66</v>
      </c>
      <c r="GG795" s="28" t="s">
        <v>1711</v>
      </c>
      <c r="GM795" s="28">
        <v>98.5</v>
      </c>
      <c r="GN795" s="28">
        <v>70.16</v>
      </c>
      <c r="GQ795" s="28" t="s">
        <v>1708</v>
      </c>
      <c r="IK795" s="28">
        <v>99999</v>
      </c>
      <c r="IL795" s="33">
        <v>99999</v>
      </c>
      <c r="IO795" s="28" t="s">
        <v>611</v>
      </c>
      <c r="IP795" s="28" t="s">
        <v>906</v>
      </c>
    </row>
    <row r="796" spans="1:250" s="28" customFormat="1" x14ac:dyDescent="0.25">
      <c r="A796" s="184">
        <v>40</v>
      </c>
      <c r="B796" s="28" t="s">
        <v>582</v>
      </c>
      <c r="C796" s="28" t="s">
        <v>583</v>
      </c>
      <c r="D796" s="28">
        <v>2015</v>
      </c>
      <c r="E796" s="28">
        <v>1997</v>
      </c>
      <c r="F796" s="28" t="s">
        <v>128</v>
      </c>
      <c r="G796" s="28" t="s">
        <v>594</v>
      </c>
      <c r="H796" s="32" t="s">
        <v>2831</v>
      </c>
      <c r="I796" s="28">
        <v>35.619999999999997</v>
      </c>
      <c r="J796" s="28">
        <v>-88.85</v>
      </c>
      <c r="K796" s="28">
        <v>107.7</v>
      </c>
      <c r="O796" s="28">
        <v>1375</v>
      </c>
      <c r="Q796" s="46">
        <v>15</v>
      </c>
      <c r="R796" s="46" t="s">
        <v>1939</v>
      </c>
      <c r="S796" s="46"/>
      <c r="T796" s="47" t="s">
        <v>1942</v>
      </c>
      <c r="U796" s="46" t="s">
        <v>1384</v>
      </c>
      <c r="V796" s="46" t="s">
        <v>1723</v>
      </c>
      <c r="W796" s="46" t="s">
        <v>1384</v>
      </c>
      <c r="X796" s="46" t="s">
        <v>1384</v>
      </c>
      <c r="Y796" s="28">
        <f t="shared" si="212"/>
        <v>1.4066666666666665</v>
      </c>
      <c r="Z796" s="326"/>
      <c r="AA796" s="326"/>
      <c r="AB796" s="28" t="s">
        <v>451</v>
      </c>
      <c r="AF796" s="28" t="s">
        <v>1339</v>
      </c>
      <c r="AG796" s="28" t="s">
        <v>117</v>
      </c>
      <c r="AH796" s="138" t="s">
        <v>1585</v>
      </c>
      <c r="AI796" s="28" t="s">
        <v>585</v>
      </c>
      <c r="AJ796" s="141" t="s">
        <v>1621</v>
      </c>
      <c r="AN796" s="28" t="s">
        <v>157</v>
      </c>
      <c r="AO796" s="28" t="s">
        <v>157</v>
      </c>
      <c r="AP796" s="28" t="s">
        <v>178</v>
      </c>
      <c r="AQ796" s="28">
        <v>0</v>
      </c>
      <c r="AR796" s="28">
        <v>0</v>
      </c>
      <c r="AS796" s="28" t="s">
        <v>178</v>
      </c>
      <c r="AT796" s="28" t="s">
        <v>161</v>
      </c>
      <c r="AU796" s="28">
        <v>4</v>
      </c>
      <c r="AW796" s="28" t="s">
        <v>336</v>
      </c>
      <c r="BB796" s="28" t="s">
        <v>584</v>
      </c>
      <c r="BM796" s="401"/>
      <c r="BN796" s="401"/>
      <c r="BR796" s="401">
        <f>9.98/10</f>
        <v>0.998</v>
      </c>
      <c r="BS796" s="401">
        <f>0.1*10.96</f>
        <v>1.0960000000000001</v>
      </c>
      <c r="BV796" s="28" t="s">
        <v>2026</v>
      </c>
      <c r="BW796" s="28">
        <v>1.07</v>
      </c>
      <c r="BX796" s="28">
        <v>1.1000000000000001</v>
      </c>
      <c r="CA796" s="28" t="s">
        <v>1685</v>
      </c>
      <c r="CQ796" s="28">
        <v>99999</v>
      </c>
      <c r="CR796" s="28">
        <v>99999</v>
      </c>
      <c r="CU796" s="28" t="s">
        <v>642</v>
      </c>
      <c r="GC796" s="28">
        <v>8.6199999999999992</v>
      </c>
      <c r="GD796" s="28">
        <v>8.6</v>
      </c>
      <c r="GG796" s="28" t="s">
        <v>1711</v>
      </c>
      <c r="GM796" s="28">
        <v>98.5</v>
      </c>
      <c r="GN796" s="28">
        <v>82.91</v>
      </c>
      <c r="GQ796" s="28" t="s">
        <v>1708</v>
      </c>
      <c r="IK796" s="28">
        <v>99999</v>
      </c>
      <c r="IL796" s="33">
        <v>99999</v>
      </c>
      <c r="IO796" s="28" t="s">
        <v>611</v>
      </c>
      <c r="IP796" s="28" t="s">
        <v>906</v>
      </c>
    </row>
    <row r="797" spans="1:250" s="28" customFormat="1" x14ac:dyDescent="0.25">
      <c r="A797" s="184">
        <v>40</v>
      </c>
      <c r="B797" s="28" t="s">
        <v>582</v>
      </c>
      <c r="C797" s="28" t="s">
        <v>583</v>
      </c>
      <c r="D797" s="28">
        <v>2015</v>
      </c>
      <c r="E797" s="28">
        <v>1997</v>
      </c>
      <c r="F797" s="28" t="s">
        <v>128</v>
      </c>
      <c r="G797" s="28" t="s">
        <v>594</v>
      </c>
      <c r="H797" s="32" t="s">
        <v>2831</v>
      </c>
      <c r="I797" s="28">
        <v>35.619999999999997</v>
      </c>
      <c r="J797" s="28">
        <v>-88.85</v>
      </c>
      <c r="K797" s="28">
        <v>107.7</v>
      </c>
      <c r="O797" s="28">
        <v>1375</v>
      </c>
      <c r="Q797" s="46">
        <v>15</v>
      </c>
      <c r="R797" s="46" t="s">
        <v>1939</v>
      </c>
      <c r="S797" s="46"/>
      <c r="T797" s="47" t="s">
        <v>1942</v>
      </c>
      <c r="U797" s="46" t="s">
        <v>1384</v>
      </c>
      <c r="V797" s="46" t="s">
        <v>1723</v>
      </c>
      <c r="W797" s="46" t="s">
        <v>1384</v>
      </c>
      <c r="X797" s="46" t="s">
        <v>1384</v>
      </c>
      <c r="Y797" s="28">
        <f t="shared" si="212"/>
        <v>1.4066666666666665</v>
      </c>
      <c r="Z797" s="326"/>
      <c r="AA797" s="326"/>
      <c r="AB797" s="28" t="s">
        <v>451</v>
      </c>
      <c r="AF797" s="28" t="s">
        <v>1339</v>
      </c>
      <c r="AG797" s="28" t="s">
        <v>244</v>
      </c>
      <c r="AH797" s="138" t="s">
        <v>578</v>
      </c>
      <c r="AI797" s="28" t="s">
        <v>585</v>
      </c>
      <c r="AJ797" s="141" t="s">
        <v>1621</v>
      </c>
      <c r="AN797" s="28" t="s">
        <v>587</v>
      </c>
      <c r="AO797" s="28" t="s">
        <v>587</v>
      </c>
      <c r="AP797" s="28" t="s">
        <v>178</v>
      </c>
      <c r="AQ797" s="28">
        <v>0</v>
      </c>
      <c r="AR797" s="28">
        <v>0</v>
      </c>
      <c r="AS797" s="28" t="s">
        <v>178</v>
      </c>
      <c r="AT797" s="28" t="s">
        <v>161</v>
      </c>
      <c r="AU797" s="28">
        <v>4</v>
      </c>
      <c r="AW797" s="28" t="s">
        <v>336</v>
      </c>
      <c r="BB797" s="28" t="s">
        <v>584</v>
      </c>
      <c r="BM797" s="401"/>
      <c r="BN797" s="401"/>
      <c r="BR797" s="401">
        <f>8.82/10</f>
        <v>0.88200000000000001</v>
      </c>
      <c r="BS797" s="401">
        <f>0.1*9.76</f>
        <v>0.97599999999999998</v>
      </c>
      <c r="BV797" s="28" t="s">
        <v>2026</v>
      </c>
      <c r="BW797" s="28">
        <v>0.95</v>
      </c>
      <c r="BX797" s="28">
        <v>1.1000000000000001</v>
      </c>
      <c r="CA797" s="28" t="s">
        <v>1685</v>
      </c>
      <c r="CQ797" s="28">
        <v>99999</v>
      </c>
      <c r="CR797" s="28">
        <v>99999</v>
      </c>
      <c r="CU797" s="28" t="s">
        <v>642</v>
      </c>
      <c r="GC797" s="28">
        <v>3.93</v>
      </c>
      <c r="GD797" s="28">
        <v>3.01</v>
      </c>
      <c r="GG797" s="28" t="s">
        <v>1712</v>
      </c>
      <c r="GM797" s="28">
        <v>81.599999999999994</v>
      </c>
      <c r="GN797" s="28">
        <v>53.26</v>
      </c>
      <c r="GQ797" s="28" t="s">
        <v>1708</v>
      </c>
      <c r="IK797" s="28">
        <v>99999</v>
      </c>
      <c r="IL797" s="33">
        <v>99999</v>
      </c>
      <c r="IO797" s="28" t="s">
        <v>611</v>
      </c>
      <c r="IP797" s="28" t="s">
        <v>906</v>
      </c>
    </row>
    <row r="798" spans="1:250" s="28" customFormat="1" x14ac:dyDescent="0.25">
      <c r="A798" s="184">
        <v>40</v>
      </c>
      <c r="B798" s="28" t="s">
        <v>582</v>
      </c>
      <c r="C798" s="28" t="s">
        <v>583</v>
      </c>
      <c r="D798" s="28">
        <v>2015</v>
      </c>
      <c r="E798" s="28">
        <v>1997</v>
      </c>
      <c r="F798" s="28" t="s">
        <v>128</v>
      </c>
      <c r="G798" s="28" t="s">
        <v>594</v>
      </c>
      <c r="H798" s="32" t="s">
        <v>2831</v>
      </c>
      <c r="I798" s="28">
        <v>35.619999999999997</v>
      </c>
      <c r="J798" s="28">
        <v>-88.85</v>
      </c>
      <c r="K798" s="28">
        <v>107.7</v>
      </c>
      <c r="O798" s="28">
        <v>1375</v>
      </c>
      <c r="Q798" s="46">
        <v>15</v>
      </c>
      <c r="R798" s="46" t="s">
        <v>1939</v>
      </c>
      <c r="S798" s="46"/>
      <c r="T798" s="47" t="s">
        <v>1942</v>
      </c>
      <c r="U798" s="46" t="s">
        <v>1384</v>
      </c>
      <c r="V798" s="46" t="s">
        <v>1723</v>
      </c>
      <c r="W798" s="46" t="s">
        <v>1384</v>
      </c>
      <c r="X798" s="46" t="s">
        <v>1384</v>
      </c>
      <c r="Y798" s="28">
        <f t="shared" si="212"/>
        <v>1.4066666666666665</v>
      </c>
      <c r="Z798" s="326"/>
      <c r="AA798" s="326"/>
      <c r="AB798" s="28" t="s">
        <v>451</v>
      </c>
      <c r="AF798" s="28" t="s">
        <v>1339</v>
      </c>
      <c r="AG798" s="28" t="s">
        <v>117</v>
      </c>
      <c r="AH798" s="138" t="s">
        <v>1585</v>
      </c>
      <c r="AI798" s="28" t="s">
        <v>585</v>
      </c>
      <c r="AJ798" s="141" t="s">
        <v>1621</v>
      </c>
      <c r="AN798" s="28" t="s">
        <v>587</v>
      </c>
      <c r="AO798" s="28" t="s">
        <v>587</v>
      </c>
      <c r="AP798" s="28" t="s">
        <v>178</v>
      </c>
      <c r="AQ798" s="28">
        <v>0</v>
      </c>
      <c r="AR798" s="28">
        <v>0</v>
      </c>
      <c r="AS798" s="28" t="s">
        <v>178</v>
      </c>
      <c r="AT798" s="28" t="s">
        <v>161</v>
      </c>
      <c r="AU798" s="28">
        <v>4</v>
      </c>
      <c r="AW798" s="28" t="s">
        <v>336</v>
      </c>
      <c r="BB798" s="28" t="s">
        <v>584</v>
      </c>
      <c r="BM798" s="401"/>
      <c r="BN798" s="401"/>
      <c r="BR798" s="401">
        <f>8.82/10</f>
        <v>0.88200000000000001</v>
      </c>
      <c r="BS798" s="401">
        <f>0.1*7.6</f>
        <v>0.76</v>
      </c>
      <c r="BV798" s="28" t="s">
        <v>2026</v>
      </c>
      <c r="BW798" s="28">
        <v>0.95</v>
      </c>
      <c r="BX798" s="28">
        <v>0.78</v>
      </c>
      <c r="CA798" s="28" t="s">
        <v>1685</v>
      </c>
      <c r="CQ798" s="28">
        <v>99999</v>
      </c>
      <c r="CR798" s="28">
        <v>99999</v>
      </c>
      <c r="CU798" s="28" t="s">
        <v>642</v>
      </c>
      <c r="GC798" s="28">
        <v>3.93</v>
      </c>
      <c r="GD798" s="28">
        <v>3.9</v>
      </c>
      <c r="GG798" s="28" t="s">
        <v>1712</v>
      </c>
      <c r="GM798" s="28">
        <v>81.599999999999994</v>
      </c>
      <c r="GN798" s="28">
        <v>59.16</v>
      </c>
      <c r="GQ798" s="28" t="s">
        <v>1708</v>
      </c>
      <c r="IK798" s="28">
        <v>99999</v>
      </c>
      <c r="IL798" s="33">
        <v>99999</v>
      </c>
      <c r="IO798" s="28" t="s">
        <v>611</v>
      </c>
      <c r="IP798" s="28" t="s">
        <v>906</v>
      </c>
    </row>
    <row r="799" spans="1:250" s="33" customFormat="1" x14ac:dyDescent="0.25">
      <c r="A799" s="184">
        <v>40</v>
      </c>
      <c r="B799" s="33" t="s">
        <v>582</v>
      </c>
      <c r="C799" s="33" t="s">
        <v>583</v>
      </c>
      <c r="D799" s="33">
        <v>2015</v>
      </c>
      <c r="E799" s="33">
        <v>1997</v>
      </c>
      <c r="F799" s="33" t="s">
        <v>128</v>
      </c>
      <c r="G799" s="33" t="s">
        <v>594</v>
      </c>
      <c r="H799" s="32" t="s">
        <v>2831</v>
      </c>
      <c r="I799" s="33">
        <v>35.619999999999997</v>
      </c>
      <c r="J799" s="33">
        <v>-88.85</v>
      </c>
      <c r="K799" s="33">
        <v>107.7</v>
      </c>
      <c r="O799" s="33">
        <v>1375</v>
      </c>
      <c r="Q799" s="47">
        <v>15</v>
      </c>
      <c r="R799" s="47" t="s">
        <v>1939</v>
      </c>
      <c r="S799" s="47"/>
      <c r="T799" s="47" t="s">
        <v>1942</v>
      </c>
      <c r="U799" s="47" t="s">
        <v>1384</v>
      </c>
      <c r="V799" s="47" t="s">
        <v>1723</v>
      </c>
      <c r="W799" s="47" t="s">
        <v>1384</v>
      </c>
      <c r="X799" s="47" t="s">
        <v>1384</v>
      </c>
      <c r="Y799" s="33">
        <f t="shared" ref="Y799:Y810" si="213">(1.4+1.39+1.43)/3</f>
        <v>1.4066666666666665</v>
      </c>
      <c r="Z799" s="327"/>
      <c r="AA799" s="327"/>
      <c r="AB799" s="33" t="s">
        <v>451</v>
      </c>
      <c r="AF799" s="33" t="s">
        <v>1339</v>
      </c>
      <c r="AG799" s="33" t="s">
        <v>244</v>
      </c>
      <c r="AH799" s="138" t="s">
        <v>578</v>
      </c>
      <c r="AI799" s="33" t="s">
        <v>585</v>
      </c>
      <c r="AJ799" s="141" t="s">
        <v>1621</v>
      </c>
      <c r="AN799" s="33" t="s">
        <v>157</v>
      </c>
      <c r="AO799" s="33" t="s">
        <v>157</v>
      </c>
      <c r="AP799" s="33" t="s">
        <v>178</v>
      </c>
      <c r="AQ799" s="33">
        <v>34</v>
      </c>
      <c r="AR799" s="33">
        <v>34</v>
      </c>
      <c r="AS799" s="33" t="s">
        <v>178</v>
      </c>
      <c r="AT799" s="33" t="s">
        <v>161</v>
      </c>
      <c r="AU799" s="33">
        <v>4</v>
      </c>
      <c r="AW799" s="33" t="s">
        <v>336</v>
      </c>
      <c r="BA799" s="54"/>
      <c r="BB799" s="33" t="s">
        <v>584</v>
      </c>
      <c r="BM799" s="402"/>
      <c r="BN799" s="402"/>
      <c r="BR799" s="402">
        <f>10.82/10</f>
        <v>1.0820000000000001</v>
      </c>
      <c r="BS799" s="402">
        <f>0.1*13.07</f>
        <v>1.3070000000000002</v>
      </c>
      <c r="BV799" s="28" t="s">
        <v>2026</v>
      </c>
      <c r="BW799" s="33">
        <v>1.04</v>
      </c>
      <c r="BX799" s="33">
        <v>1.29</v>
      </c>
      <c r="CA799" s="33" t="s">
        <v>1685</v>
      </c>
      <c r="CQ799" s="33">
        <v>99999</v>
      </c>
      <c r="CR799" s="33">
        <v>99999</v>
      </c>
      <c r="CU799" s="33" t="s">
        <v>642</v>
      </c>
      <c r="GC799" s="33">
        <v>0.31</v>
      </c>
      <c r="GD799" s="33">
        <v>0.3</v>
      </c>
      <c r="GG799" s="33" t="s">
        <v>1713</v>
      </c>
      <c r="GM799" s="33">
        <v>90.9</v>
      </c>
      <c r="GN799" s="33">
        <v>84.19</v>
      </c>
      <c r="GQ799" s="33" t="s">
        <v>1708</v>
      </c>
      <c r="IK799" s="33">
        <v>99999</v>
      </c>
      <c r="IL799" s="33">
        <v>99999</v>
      </c>
      <c r="IO799" s="33" t="s">
        <v>611</v>
      </c>
      <c r="IP799" s="33" t="s">
        <v>906</v>
      </c>
    </row>
    <row r="800" spans="1:250" s="33" customFormat="1" x14ac:dyDescent="0.25">
      <c r="A800" s="184">
        <v>40</v>
      </c>
      <c r="B800" s="33" t="s">
        <v>582</v>
      </c>
      <c r="C800" s="33" t="s">
        <v>583</v>
      </c>
      <c r="D800" s="33">
        <v>2015</v>
      </c>
      <c r="E800" s="33">
        <v>1997</v>
      </c>
      <c r="F800" s="33" t="s">
        <v>128</v>
      </c>
      <c r="G800" s="33" t="s">
        <v>594</v>
      </c>
      <c r="H800" s="32" t="s">
        <v>2831</v>
      </c>
      <c r="I800" s="33">
        <v>35.619999999999997</v>
      </c>
      <c r="J800" s="33">
        <v>-88.85</v>
      </c>
      <c r="K800" s="33">
        <v>107.7</v>
      </c>
      <c r="O800" s="33">
        <v>1375</v>
      </c>
      <c r="Q800" s="47">
        <v>15</v>
      </c>
      <c r="R800" s="47" t="s">
        <v>1939</v>
      </c>
      <c r="S800" s="47"/>
      <c r="T800" s="47" t="s">
        <v>1942</v>
      </c>
      <c r="U800" s="47" t="s">
        <v>1384</v>
      </c>
      <c r="V800" s="47" t="s">
        <v>1723</v>
      </c>
      <c r="W800" s="47" t="s">
        <v>1384</v>
      </c>
      <c r="X800" s="47" t="s">
        <v>1384</v>
      </c>
      <c r="Y800" s="33">
        <f t="shared" si="213"/>
        <v>1.4066666666666665</v>
      </c>
      <c r="Z800" s="327"/>
      <c r="AA800" s="327"/>
      <c r="AB800" s="33" t="s">
        <v>451</v>
      </c>
      <c r="AF800" s="33" t="s">
        <v>1339</v>
      </c>
      <c r="AG800" s="33" t="s">
        <v>117</v>
      </c>
      <c r="AH800" s="138" t="s">
        <v>1585</v>
      </c>
      <c r="AI800" s="33" t="s">
        <v>585</v>
      </c>
      <c r="AJ800" s="141" t="s">
        <v>1621</v>
      </c>
      <c r="AN800" s="33" t="s">
        <v>157</v>
      </c>
      <c r="AO800" s="33" t="s">
        <v>157</v>
      </c>
      <c r="AP800" s="33" t="s">
        <v>178</v>
      </c>
      <c r="AQ800" s="33">
        <v>34</v>
      </c>
      <c r="AR800" s="33">
        <v>34</v>
      </c>
      <c r="AS800" s="33" t="s">
        <v>178</v>
      </c>
      <c r="AT800" s="33" t="s">
        <v>161</v>
      </c>
      <c r="AU800" s="33">
        <v>4</v>
      </c>
      <c r="AW800" s="33" t="s">
        <v>336</v>
      </c>
      <c r="BA800" s="54"/>
      <c r="BB800" s="33" t="s">
        <v>584</v>
      </c>
      <c r="BM800" s="402"/>
      <c r="BN800" s="402"/>
      <c r="BR800" s="402">
        <f>0.1*10.82</f>
        <v>1.0820000000000001</v>
      </c>
      <c r="BS800" s="402">
        <f>0.1*14.62</f>
        <v>1.462</v>
      </c>
      <c r="BV800" s="28" t="s">
        <v>2026</v>
      </c>
      <c r="BW800" s="33">
        <v>1.04</v>
      </c>
      <c r="BX800" s="33">
        <v>1.3</v>
      </c>
      <c r="CA800" s="33" t="s">
        <v>1685</v>
      </c>
      <c r="CQ800" s="33">
        <v>99999</v>
      </c>
      <c r="CR800" s="33">
        <v>99999</v>
      </c>
      <c r="CU800" s="33" t="s">
        <v>642</v>
      </c>
      <c r="GC800" s="33">
        <v>0.31</v>
      </c>
      <c r="GD800" s="33">
        <v>0.3</v>
      </c>
      <c r="GG800" s="33" t="s">
        <v>1713</v>
      </c>
      <c r="GM800" s="33">
        <v>90.9</v>
      </c>
      <c r="GN800" s="33">
        <v>112.79</v>
      </c>
      <c r="GQ800" s="33" t="s">
        <v>1708</v>
      </c>
      <c r="IK800" s="33">
        <v>99999</v>
      </c>
      <c r="IL800" s="33">
        <v>99999</v>
      </c>
      <c r="IO800" s="33" t="s">
        <v>611</v>
      </c>
      <c r="IP800" s="33" t="s">
        <v>906</v>
      </c>
    </row>
    <row r="801" spans="1:250" s="33" customFormat="1" x14ac:dyDescent="0.25">
      <c r="A801" s="184">
        <v>40</v>
      </c>
      <c r="B801" s="33" t="s">
        <v>582</v>
      </c>
      <c r="C801" s="33" t="s">
        <v>583</v>
      </c>
      <c r="D801" s="33">
        <v>2015</v>
      </c>
      <c r="E801" s="33">
        <v>1997</v>
      </c>
      <c r="F801" s="33" t="s">
        <v>128</v>
      </c>
      <c r="G801" s="33" t="s">
        <v>594</v>
      </c>
      <c r="H801" s="32" t="s">
        <v>2831</v>
      </c>
      <c r="I801" s="33">
        <v>35.619999999999997</v>
      </c>
      <c r="J801" s="33">
        <v>-88.85</v>
      </c>
      <c r="K801" s="33">
        <v>107.7</v>
      </c>
      <c r="O801" s="33">
        <v>1375</v>
      </c>
      <c r="Q801" s="47">
        <v>15</v>
      </c>
      <c r="R801" s="47" t="s">
        <v>1939</v>
      </c>
      <c r="S801" s="47"/>
      <c r="T801" s="47" t="s">
        <v>1942</v>
      </c>
      <c r="U801" s="47" t="s">
        <v>1384</v>
      </c>
      <c r="V801" s="47" t="s">
        <v>1723</v>
      </c>
      <c r="W801" s="47" t="s">
        <v>1384</v>
      </c>
      <c r="X801" s="47" t="s">
        <v>1384</v>
      </c>
      <c r="Y801" s="33">
        <f t="shared" si="213"/>
        <v>1.4066666666666665</v>
      </c>
      <c r="Z801" s="327"/>
      <c r="AA801" s="327"/>
      <c r="AB801" s="33" t="s">
        <v>451</v>
      </c>
      <c r="AF801" s="33" t="s">
        <v>1339</v>
      </c>
      <c r="AG801" s="33" t="s">
        <v>244</v>
      </c>
      <c r="AH801" s="138" t="s">
        <v>578</v>
      </c>
      <c r="AI801" s="33" t="s">
        <v>585</v>
      </c>
      <c r="AJ801" s="141" t="s">
        <v>1621</v>
      </c>
      <c r="AN801" s="33" t="s">
        <v>587</v>
      </c>
      <c r="AO801" s="33" t="s">
        <v>587</v>
      </c>
      <c r="AP801" s="33" t="s">
        <v>178</v>
      </c>
      <c r="AQ801" s="33">
        <v>34</v>
      </c>
      <c r="AR801" s="33">
        <v>34</v>
      </c>
      <c r="AS801" s="33" t="s">
        <v>178</v>
      </c>
      <c r="AT801" s="33" t="s">
        <v>161</v>
      </c>
      <c r="AU801" s="33">
        <v>4</v>
      </c>
      <c r="AW801" s="33" t="s">
        <v>336</v>
      </c>
      <c r="BA801" s="54"/>
      <c r="BB801" s="33" t="s">
        <v>584</v>
      </c>
      <c r="BM801" s="402"/>
      <c r="BN801" s="402"/>
      <c r="BR801" s="402">
        <f>0.1*9.57</f>
        <v>0.95700000000000007</v>
      </c>
      <c r="BS801" s="402">
        <f>0.1*10.09</f>
        <v>1.0090000000000001</v>
      </c>
      <c r="BV801" s="28" t="s">
        <v>2026</v>
      </c>
      <c r="BW801" s="33">
        <v>0.97</v>
      </c>
      <c r="BX801" s="33">
        <v>1</v>
      </c>
      <c r="CA801" s="33" t="s">
        <v>1685</v>
      </c>
      <c r="CQ801" s="33">
        <v>99999</v>
      </c>
      <c r="CR801" s="33">
        <v>99999</v>
      </c>
      <c r="CU801" s="33" t="s">
        <v>642</v>
      </c>
      <c r="GM801" s="33">
        <v>73.28</v>
      </c>
      <c r="GN801" s="33">
        <v>66.22</v>
      </c>
      <c r="GQ801" s="33" t="s">
        <v>1708</v>
      </c>
      <c r="IK801" s="33">
        <v>99999</v>
      </c>
      <c r="IL801" s="33">
        <v>99999</v>
      </c>
      <c r="IO801" s="33" t="s">
        <v>611</v>
      </c>
      <c r="IP801" s="33" t="s">
        <v>906</v>
      </c>
    </row>
    <row r="802" spans="1:250" s="33" customFormat="1" x14ac:dyDescent="0.25">
      <c r="A802" s="184">
        <v>40</v>
      </c>
      <c r="B802" s="33" t="s">
        <v>582</v>
      </c>
      <c r="C802" s="33" t="s">
        <v>583</v>
      </c>
      <c r="D802" s="33">
        <v>2015</v>
      </c>
      <c r="E802" s="33">
        <v>1997</v>
      </c>
      <c r="F802" s="33" t="s">
        <v>128</v>
      </c>
      <c r="G802" s="33" t="s">
        <v>594</v>
      </c>
      <c r="H802" s="32" t="s">
        <v>2831</v>
      </c>
      <c r="I802" s="33">
        <v>35.619999999999997</v>
      </c>
      <c r="J802" s="33">
        <v>-88.85</v>
      </c>
      <c r="K802" s="33">
        <v>107.7</v>
      </c>
      <c r="O802" s="33">
        <v>1375</v>
      </c>
      <c r="Q802" s="47">
        <v>15</v>
      </c>
      <c r="R802" s="47" t="s">
        <v>1939</v>
      </c>
      <c r="S802" s="47"/>
      <c r="T802" s="47" t="s">
        <v>1942</v>
      </c>
      <c r="U802" s="47" t="s">
        <v>1384</v>
      </c>
      <c r="V802" s="47" t="s">
        <v>1723</v>
      </c>
      <c r="W802" s="47" t="s">
        <v>1384</v>
      </c>
      <c r="X802" s="47" t="s">
        <v>1384</v>
      </c>
      <c r="Y802" s="33">
        <f t="shared" si="213"/>
        <v>1.4066666666666665</v>
      </c>
      <c r="Z802" s="327"/>
      <c r="AA802" s="327"/>
      <c r="AB802" s="33" t="s">
        <v>451</v>
      </c>
      <c r="AF802" s="33" t="s">
        <v>1339</v>
      </c>
      <c r="AG802" s="33" t="s">
        <v>117</v>
      </c>
      <c r="AH802" s="138" t="s">
        <v>1585</v>
      </c>
      <c r="AI802" s="33" t="s">
        <v>585</v>
      </c>
      <c r="AJ802" s="141" t="s">
        <v>1621</v>
      </c>
      <c r="AN802" s="33" t="s">
        <v>587</v>
      </c>
      <c r="AO802" s="33" t="s">
        <v>587</v>
      </c>
      <c r="AP802" s="33" t="s">
        <v>178</v>
      </c>
      <c r="AQ802" s="33">
        <v>34</v>
      </c>
      <c r="AR802" s="33">
        <v>34</v>
      </c>
      <c r="AS802" s="33" t="s">
        <v>178</v>
      </c>
      <c r="AT802" s="33" t="s">
        <v>161</v>
      </c>
      <c r="AU802" s="33">
        <v>4</v>
      </c>
      <c r="AW802" s="33" t="s">
        <v>336</v>
      </c>
      <c r="BA802" s="54"/>
      <c r="BB802" s="33" t="s">
        <v>584</v>
      </c>
      <c r="BM802" s="402"/>
      <c r="BN802" s="402"/>
      <c r="BR802" s="402">
        <f>0.1*9.57</f>
        <v>0.95700000000000007</v>
      </c>
      <c r="BS802" s="402">
        <f>0.1*9.05</f>
        <v>0.90500000000000014</v>
      </c>
      <c r="BV802" s="28" t="s">
        <v>2026</v>
      </c>
      <c r="BW802" s="33">
        <v>0.97</v>
      </c>
      <c r="BX802" s="33">
        <v>1.01</v>
      </c>
      <c r="CA802" s="33" t="s">
        <v>1685</v>
      </c>
      <c r="CQ802" s="33">
        <v>99999</v>
      </c>
      <c r="CR802" s="33">
        <v>99999</v>
      </c>
      <c r="CU802" s="33" t="s">
        <v>642</v>
      </c>
      <c r="GM802" s="33">
        <v>73.28</v>
      </c>
      <c r="GN802" s="33">
        <v>51.57</v>
      </c>
      <c r="GQ802" s="33" t="s">
        <v>1708</v>
      </c>
      <c r="IK802" s="33">
        <v>99999</v>
      </c>
      <c r="IL802" s="33">
        <v>99999</v>
      </c>
      <c r="IO802" s="33" t="s">
        <v>611</v>
      </c>
      <c r="IP802" s="33" t="s">
        <v>906</v>
      </c>
    </row>
    <row r="803" spans="1:250" s="28" customFormat="1" x14ac:dyDescent="0.25">
      <c r="A803" s="184">
        <v>40</v>
      </c>
      <c r="B803" s="28" t="s">
        <v>582</v>
      </c>
      <c r="C803" s="28" t="s">
        <v>583</v>
      </c>
      <c r="D803" s="28">
        <v>2015</v>
      </c>
      <c r="E803" s="28">
        <v>1997</v>
      </c>
      <c r="F803" s="28" t="s">
        <v>128</v>
      </c>
      <c r="G803" s="28" t="s">
        <v>594</v>
      </c>
      <c r="H803" s="32" t="s">
        <v>2831</v>
      </c>
      <c r="I803" s="28">
        <v>35.619999999999997</v>
      </c>
      <c r="J803" s="28">
        <v>-88.85</v>
      </c>
      <c r="K803" s="28">
        <v>107.7</v>
      </c>
      <c r="O803" s="28">
        <v>1375</v>
      </c>
      <c r="Q803" s="46">
        <v>15</v>
      </c>
      <c r="R803" s="46" t="s">
        <v>1939</v>
      </c>
      <c r="S803" s="46"/>
      <c r="T803" s="47" t="s">
        <v>1942</v>
      </c>
      <c r="U803" s="46" t="s">
        <v>1384</v>
      </c>
      <c r="V803" s="46" t="s">
        <v>1723</v>
      </c>
      <c r="W803" s="46" t="s">
        <v>1384</v>
      </c>
      <c r="X803" s="46" t="s">
        <v>1384</v>
      </c>
      <c r="Y803" s="28">
        <f t="shared" si="213"/>
        <v>1.4066666666666665</v>
      </c>
      <c r="Z803" s="326"/>
      <c r="AA803" s="326"/>
      <c r="AB803" s="28" t="s">
        <v>451</v>
      </c>
      <c r="AF803" s="28" t="s">
        <v>1339</v>
      </c>
      <c r="AG803" s="28" t="s">
        <v>244</v>
      </c>
      <c r="AH803" s="138" t="s">
        <v>578</v>
      </c>
      <c r="AI803" s="28" t="s">
        <v>585</v>
      </c>
      <c r="AJ803" s="141" t="s">
        <v>1621</v>
      </c>
      <c r="AN803" s="28" t="s">
        <v>157</v>
      </c>
      <c r="AO803" s="28" t="s">
        <v>157</v>
      </c>
      <c r="AP803" s="28" t="s">
        <v>178</v>
      </c>
      <c r="AQ803" s="28">
        <v>67</v>
      </c>
      <c r="AR803" s="28">
        <v>67</v>
      </c>
      <c r="AS803" s="28" t="s">
        <v>178</v>
      </c>
      <c r="AT803" s="28" t="s">
        <v>161</v>
      </c>
      <c r="AU803" s="28">
        <v>4</v>
      </c>
      <c r="AW803" s="28" t="s">
        <v>336</v>
      </c>
      <c r="BB803" s="28" t="s">
        <v>584</v>
      </c>
      <c r="BM803" s="401"/>
      <c r="BN803" s="401"/>
      <c r="BR803" s="401">
        <f>0.1*10.08</f>
        <v>1.008</v>
      </c>
      <c r="BS803" s="401">
        <f>0.1*12.93</f>
        <v>1.2930000000000001</v>
      </c>
      <c r="BV803" s="28" t="s">
        <v>2026</v>
      </c>
      <c r="BW803" s="28">
        <v>1.06</v>
      </c>
      <c r="BX803" s="28">
        <v>1.34</v>
      </c>
      <c r="CA803" s="28" t="s">
        <v>1685</v>
      </c>
      <c r="CQ803" s="28">
        <v>99999</v>
      </c>
      <c r="CR803" s="28">
        <v>99999</v>
      </c>
      <c r="CU803" s="28" t="s">
        <v>642</v>
      </c>
      <c r="GM803" s="28">
        <v>82.24</v>
      </c>
      <c r="GN803" s="28">
        <v>87.42</v>
      </c>
      <c r="GQ803" s="28" t="s">
        <v>1708</v>
      </c>
      <c r="IK803" s="28">
        <v>99999</v>
      </c>
      <c r="IL803" s="33">
        <v>99999</v>
      </c>
      <c r="IO803" s="28" t="s">
        <v>611</v>
      </c>
      <c r="IP803" s="28" t="s">
        <v>906</v>
      </c>
    </row>
    <row r="804" spans="1:250" s="28" customFormat="1" x14ac:dyDescent="0.25">
      <c r="A804" s="184">
        <v>40</v>
      </c>
      <c r="B804" s="28" t="s">
        <v>582</v>
      </c>
      <c r="C804" s="28" t="s">
        <v>583</v>
      </c>
      <c r="D804" s="28">
        <v>2015</v>
      </c>
      <c r="E804" s="28">
        <v>1997</v>
      </c>
      <c r="F804" s="28" t="s">
        <v>128</v>
      </c>
      <c r="G804" s="28" t="s">
        <v>594</v>
      </c>
      <c r="H804" s="32" t="s">
        <v>2831</v>
      </c>
      <c r="I804" s="28">
        <v>35.619999999999997</v>
      </c>
      <c r="J804" s="28">
        <v>-88.85</v>
      </c>
      <c r="K804" s="28">
        <v>107.7</v>
      </c>
      <c r="O804" s="28">
        <v>1375</v>
      </c>
      <c r="Q804" s="46">
        <v>15</v>
      </c>
      <c r="R804" s="46" t="s">
        <v>1939</v>
      </c>
      <c r="S804" s="46"/>
      <c r="T804" s="47" t="s">
        <v>1942</v>
      </c>
      <c r="U804" s="46" t="s">
        <v>1384</v>
      </c>
      <c r="V804" s="46" t="s">
        <v>1723</v>
      </c>
      <c r="W804" s="46" t="s">
        <v>1384</v>
      </c>
      <c r="X804" s="46" t="s">
        <v>1384</v>
      </c>
      <c r="Y804" s="28">
        <f t="shared" si="213"/>
        <v>1.4066666666666665</v>
      </c>
      <c r="Z804" s="326"/>
      <c r="AA804" s="326"/>
      <c r="AB804" s="28" t="s">
        <v>451</v>
      </c>
      <c r="AF804" s="28" t="s">
        <v>1339</v>
      </c>
      <c r="AG804" s="28" t="s">
        <v>117</v>
      </c>
      <c r="AH804" s="138" t="s">
        <v>1585</v>
      </c>
      <c r="AI804" s="28" t="s">
        <v>585</v>
      </c>
      <c r="AJ804" s="141" t="s">
        <v>1621</v>
      </c>
      <c r="AN804" s="28" t="s">
        <v>157</v>
      </c>
      <c r="AO804" s="28" t="s">
        <v>157</v>
      </c>
      <c r="AP804" s="28" t="s">
        <v>178</v>
      </c>
      <c r="AQ804" s="28">
        <v>67</v>
      </c>
      <c r="AR804" s="28">
        <v>67</v>
      </c>
      <c r="AS804" s="28" t="s">
        <v>178</v>
      </c>
      <c r="AT804" s="28" t="s">
        <v>161</v>
      </c>
      <c r="AU804" s="28">
        <v>4</v>
      </c>
      <c r="AW804" s="28" t="s">
        <v>336</v>
      </c>
      <c r="BB804" s="28" t="s">
        <v>584</v>
      </c>
      <c r="BM804" s="401"/>
      <c r="BN804" s="401"/>
      <c r="BR804" s="401">
        <f>0.1*10.08</f>
        <v>1.008</v>
      </c>
      <c r="BS804" s="401">
        <f>0.1*10.86</f>
        <v>1.0860000000000001</v>
      </c>
      <c r="BV804" s="28" t="s">
        <v>2026</v>
      </c>
      <c r="BW804" s="28">
        <v>1.06</v>
      </c>
      <c r="BX804" s="28">
        <v>1.1000000000000001</v>
      </c>
      <c r="CA804" s="28" t="s">
        <v>1685</v>
      </c>
      <c r="CQ804" s="28">
        <v>99999</v>
      </c>
      <c r="CR804" s="28">
        <v>99999</v>
      </c>
      <c r="CU804" s="28" t="s">
        <v>642</v>
      </c>
      <c r="GM804" s="28">
        <v>82.24</v>
      </c>
      <c r="GN804" s="28">
        <v>77.459999999999994</v>
      </c>
      <c r="GQ804" s="28" t="s">
        <v>1708</v>
      </c>
      <c r="IK804" s="28">
        <v>99999</v>
      </c>
      <c r="IL804" s="33">
        <v>99999</v>
      </c>
      <c r="IO804" s="28" t="s">
        <v>611</v>
      </c>
      <c r="IP804" s="28" t="s">
        <v>906</v>
      </c>
    </row>
    <row r="805" spans="1:250" s="28" customFormat="1" x14ac:dyDescent="0.25">
      <c r="A805" s="184">
        <v>40</v>
      </c>
      <c r="B805" s="28" t="s">
        <v>582</v>
      </c>
      <c r="C805" s="28" t="s">
        <v>583</v>
      </c>
      <c r="D805" s="28">
        <v>2015</v>
      </c>
      <c r="E805" s="28">
        <v>1997</v>
      </c>
      <c r="F805" s="28" t="s">
        <v>128</v>
      </c>
      <c r="G805" s="28" t="s">
        <v>594</v>
      </c>
      <c r="H805" s="32" t="s">
        <v>2831</v>
      </c>
      <c r="I805" s="28">
        <v>35.619999999999997</v>
      </c>
      <c r="J805" s="28">
        <v>-88.85</v>
      </c>
      <c r="K805" s="28">
        <v>107.7</v>
      </c>
      <c r="O805" s="28">
        <v>1375</v>
      </c>
      <c r="Q805" s="46">
        <v>15</v>
      </c>
      <c r="R805" s="46" t="s">
        <v>1939</v>
      </c>
      <c r="S805" s="46"/>
      <c r="T805" s="47" t="s">
        <v>1942</v>
      </c>
      <c r="U805" s="46" t="s">
        <v>1384</v>
      </c>
      <c r="V805" s="46" t="s">
        <v>1723</v>
      </c>
      <c r="W805" s="46" t="s">
        <v>1384</v>
      </c>
      <c r="X805" s="46" t="s">
        <v>1384</v>
      </c>
      <c r="Y805" s="28">
        <f t="shared" si="213"/>
        <v>1.4066666666666665</v>
      </c>
      <c r="Z805" s="326"/>
      <c r="AA805" s="326"/>
      <c r="AB805" s="28" t="s">
        <v>451</v>
      </c>
      <c r="AF805" s="28" t="s">
        <v>1339</v>
      </c>
      <c r="AG805" s="28" t="s">
        <v>244</v>
      </c>
      <c r="AH805" s="138" t="s">
        <v>578</v>
      </c>
      <c r="AI805" s="28" t="s">
        <v>585</v>
      </c>
      <c r="AJ805" s="141" t="s">
        <v>1621</v>
      </c>
      <c r="AN805" s="28" t="s">
        <v>587</v>
      </c>
      <c r="AO805" s="28" t="s">
        <v>587</v>
      </c>
      <c r="AP805" s="28" t="s">
        <v>178</v>
      </c>
      <c r="AQ805" s="28">
        <v>67</v>
      </c>
      <c r="AR805" s="28">
        <v>67</v>
      </c>
      <c r="AS805" s="28" t="s">
        <v>178</v>
      </c>
      <c r="AT805" s="28" t="s">
        <v>161</v>
      </c>
      <c r="AU805" s="28">
        <v>4</v>
      </c>
      <c r="AW805" s="28" t="s">
        <v>336</v>
      </c>
      <c r="BB805" s="28" t="s">
        <v>584</v>
      </c>
      <c r="BM805" s="401"/>
      <c r="BN805" s="401"/>
      <c r="BR805" s="401">
        <f>0.1*10.08</f>
        <v>1.008</v>
      </c>
      <c r="BS805" s="401">
        <f>0.1*10.26</f>
        <v>1.026</v>
      </c>
      <c r="BV805" s="28" t="s">
        <v>2026</v>
      </c>
      <c r="BW805" s="28">
        <v>1.02</v>
      </c>
      <c r="BX805" s="28">
        <v>1.06</v>
      </c>
      <c r="CA805" s="28" t="s">
        <v>1685</v>
      </c>
      <c r="CQ805" s="28">
        <v>99999</v>
      </c>
      <c r="CR805" s="28">
        <v>99999</v>
      </c>
      <c r="CU805" s="28" t="s">
        <v>642</v>
      </c>
      <c r="GM805" s="28">
        <v>70.03</v>
      </c>
      <c r="GN805" s="28">
        <v>68</v>
      </c>
      <c r="GQ805" s="28" t="s">
        <v>1708</v>
      </c>
      <c r="IK805" s="28">
        <v>99999</v>
      </c>
      <c r="IL805" s="33">
        <v>99999</v>
      </c>
      <c r="IO805" s="28" t="s">
        <v>611</v>
      </c>
      <c r="IP805" s="28" t="s">
        <v>906</v>
      </c>
    </row>
    <row r="806" spans="1:250" s="28" customFormat="1" x14ac:dyDescent="0.25">
      <c r="A806" s="184">
        <v>40</v>
      </c>
      <c r="B806" s="28" t="s">
        <v>582</v>
      </c>
      <c r="C806" s="28" t="s">
        <v>583</v>
      </c>
      <c r="D806" s="28">
        <v>2015</v>
      </c>
      <c r="E806" s="28">
        <v>1997</v>
      </c>
      <c r="F806" s="28" t="s">
        <v>128</v>
      </c>
      <c r="G806" s="28" t="s">
        <v>594</v>
      </c>
      <c r="H806" s="32" t="s">
        <v>2831</v>
      </c>
      <c r="I806" s="28">
        <v>35.619999999999997</v>
      </c>
      <c r="J806" s="28">
        <v>-88.85</v>
      </c>
      <c r="K806" s="28">
        <v>107.7</v>
      </c>
      <c r="O806" s="28">
        <v>1375</v>
      </c>
      <c r="Q806" s="46">
        <v>15</v>
      </c>
      <c r="R806" s="46" t="s">
        <v>1939</v>
      </c>
      <c r="S806" s="46"/>
      <c r="T806" s="47" t="s">
        <v>1942</v>
      </c>
      <c r="U806" s="46" t="s">
        <v>1384</v>
      </c>
      <c r="V806" s="46" t="s">
        <v>1723</v>
      </c>
      <c r="W806" s="46" t="s">
        <v>1384</v>
      </c>
      <c r="X806" s="46" t="s">
        <v>1384</v>
      </c>
      <c r="Y806" s="28">
        <f t="shared" si="213"/>
        <v>1.4066666666666665</v>
      </c>
      <c r="Z806" s="326"/>
      <c r="AA806" s="326"/>
      <c r="AB806" s="28" t="s">
        <v>451</v>
      </c>
      <c r="AF806" s="28" t="s">
        <v>1339</v>
      </c>
      <c r="AG806" s="28" t="s">
        <v>117</v>
      </c>
      <c r="AH806" s="138" t="s">
        <v>1585</v>
      </c>
      <c r="AI806" s="28" t="s">
        <v>585</v>
      </c>
      <c r="AJ806" s="141" t="s">
        <v>1621</v>
      </c>
      <c r="AN806" s="28" t="s">
        <v>587</v>
      </c>
      <c r="AO806" s="28" t="s">
        <v>587</v>
      </c>
      <c r="AP806" s="28" t="s">
        <v>178</v>
      </c>
      <c r="AQ806" s="28">
        <v>67</v>
      </c>
      <c r="AR806" s="28">
        <v>67</v>
      </c>
      <c r="AS806" s="28" t="s">
        <v>178</v>
      </c>
      <c r="AT806" s="28" t="s">
        <v>161</v>
      </c>
      <c r="AU806" s="28">
        <v>4</v>
      </c>
      <c r="AW806" s="28" t="s">
        <v>336</v>
      </c>
      <c r="BB806" s="28" t="s">
        <v>584</v>
      </c>
      <c r="BM806" s="401"/>
      <c r="BN806" s="401"/>
      <c r="BR806" s="401">
        <f>0.1*10.08</f>
        <v>1.008</v>
      </c>
      <c r="BS806" s="401">
        <f>0.1*10.41</f>
        <v>1.0410000000000001</v>
      </c>
      <c r="BV806" s="28" t="s">
        <v>2026</v>
      </c>
      <c r="BW806" s="28">
        <v>1.02</v>
      </c>
      <c r="BX806" s="28">
        <v>1.07</v>
      </c>
      <c r="CA806" s="28" t="s">
        <v>1685</v>
      </c>
      <c r="CQ806" s="28">
        <v>99999</v>
      </c>
      <c r="CR806" s="28">
        <v>99999</v>
      </c>
      <c r="CU806" s="28" t="s">
        <v>642</v>
      </c>
      <c r="GM806" s="28">
        <v>70.03</v>
      </c>
      <c r="GN806" s="28">
        <v>66</v>
      </c>
      <c r="GQ806" s="28" t="s">
        <v>1708</v>
      </c>
      <c r="IK806" s="28">
        <v>99999</v>
      </c>
      <c r="IL806" s="33">
        <v>99999</v>
      </c>
      <c r="IO806" s="28" t="s">
        <v>611</v>
      </c>
      <c r="IP806" s="28" t="s">
        <v>906</v>
      </c>
    </row>
    <row r="807" spans="1:250" s="33" customFormat="1" x14ac:dyDescent="0.25">
      <c r="A807" s="184">
        <v>40</v>
      </c>
      <c r="B807" s="33" t="s">
        <v>582</v>
      </c>
      <c r="C807" s="33" t="s">
        <v>583</v>
      </c>
      <c r="D807" s="33">
        <v>2015</v>
      </c>
      <c r="E807" s="33">
        <v>1997</v>
      </c>
      <c r="F807" s="33" t="s">
        <v>128</v>
      </c>
      <c r="G807" s="33" t="s">
        <v>594</v>
      </c>
      <c r="H807" s="32" t="s">
        <v>2831</v>
      </c>
      <c r="I807" s="33">
        <v>35.619999999999997</v>
      </c>
      <c r="J807" s="33">
        <v>-88.85</v>
      </c>
      <c r="K807" s="33">
        <v>107.7</v>
      </c>
      <c r="O807" s="33">
        <v>1375</v>
      </c>
      <c r="Q807" s="47">
        <v>15</v>
      </c>
      <c r="R807" s="47" t="s">
        <v>1939</v>
      </c>
      <c r="S807" s="47"/>
      <c r="T807" s="47" t="s">
        <v>1942</v>
      </c>
      <c r="U807" s="47" t="s">
        <v>1384</v>
      </c>
      <c r="V807" s="47" t="s">
        <v>1723</v>
      </c>
      <c r="W807" s="47" t="s">
        <v>1384</v>
      </c>
      <c r="X807" s="47" t="s">
        <v>1384</v>
      </c>
      <c r="Y807" s="33">
        <f t="shared" si="213"/>
        <v>1.4066666666666665</v>
      </c>
      <c r="Z807" s="327"/>
      <c r="AA807" s="327"/>
      <c r="AB807" s="33" t="s">
        <v>451</v>
      </c>
      <c r="AF807" s="33" t="s">
        <v>1339</v>
      </c>
      <c r="AG807" s="33" t="s">
        <v>244</v>
      </c>
      <c r="AH807" s="138" t="s">
        <v>578</v>
      </c>
      <c r="AI807" s="33" t="s">
        <v>585</v>
      </c>
      <c r="AJ807" s="141" t="s">
        <v>1621</v>
      </c>
      <c r="AN807" s="33" t="s">
        <v>157</v>
      </c>
      <c r="AO807" s="33" t="s">
        <v>157</v>
      </c>
      <c r="AP807" s="33" t="s">
        <v>178</v>
      </c>
      <c r="AQ807" s="33">
        <v>101</v>
      </c>
      <c r="AR807" s="33">
        <v>101</v>
      </c>
      <c r="AS807" s="33" t="s">
        <v>178</v>
      </c>
      <c r="AT807" s="33" t="s">
        <v>161</v>
      </c>
      <c r="AU807" s="33">
        <v>4</v>
      </c>
      <c r="AW807" s="33" t="s">
        <v>336</v>
      </c>
      <c r="BA807" s="54"/>
      <c r="BB807" s="33" t="s">
        <v>584</v>
      </c>
      <c r="BM807" s="402"/>
      <c r="BN807" s="402"/>
      <c r="BR807" s="402">
        <f>0.1*14.02</f>
        <v>1.4020000000000001</v>
      </c>
      <c r="BS807" s="402">
        <f>0.1*12.58</f>
        <v>1.258</v>
      </c>
      <c r="BV807" s="28" t="s">
        <v>2026</v>
      </c>
      <c r="BW807" s="33">
        <v>1.47</v>
      </c>
      <c r="BX807" s="33">
        <v>1.25</v>
      </c>
      <c r="CA807" s="33" t="s">
        <v>1685</v>
      </c>
      <c r="CQ807" s="33">
        <v>99999</v>
      </c>
      <c r="CR807" s="33">
        <v>99999</v>
      </c>
      <c r="CU807" s="33" t="s">
        <v>642</v>
      </c>
      <c r="GM807" s="33">
        <v>86.18</v>
      </c>
      <c r="GN807" s="33">
        <v>71.55</v>
      </c>
      <c r="GQ807" s="33" t="s">
        <v>1708</v>
      </c>
      <c r="IK807" s="33">
        <v>99999</v>
      </c>
      <c r="IL807" s="33">
        <v>99999</v>
      </c>
      <c r="IO807" s="33" t="s">
        <v>611</v>
      </c>
      <c r="IP807" s="33" t="s">
        <v>906</v>
      </c>
    </row>
    <row r="808" spans="1:250" s="33" customFormat="1" x14ac:dyDescent="0.25">
      <c r="A808" s="184">
        <v>40</v>
      </c>
      <c r="B808" s="33" t="s">
        <v>582</v>
      </c>
      <c r="C808" s="33" t="s">
        <v>583</v>
      </c>
      <c r="D808" s="33">
        <v>2015</v>
      </c>
      <c r="E808" s="33">
        <v>1997</v>
      </c>
      <c r="F808" s="33" t="s">
        <v>128</v>
      </c>
      <c r="G808" s="33" t="s">
        <v>594</v>
      </c>
      <c r="H808" s="32" t="s">
        <v>2831</v>
      </c>
      <c r="I808" s="33">
        <v>35.619999999999997</v>
      </c>
      <c r="J808" s="33">
        <v>-88.85</v>
      </c>
      <c r="K808" s="33">
        <v>107.7</v>
      </c>
      <c r="O808" s="33">
        <v>1375</v>
      </c>
      <c r="Q808" s="47">
        <v>15</v>
      </c>
      <c r="R808" s="47" t="s">
        <v>1939</v>
      </c>
      <c r="S808" s="47"/>
      <c r="T808" s="47" t="s">
        <v>1942</v>
      </c>
      <c r="U808" s="47" t="s">
        <v>1384</v>
      </c>
      <c r="V808" s="47" t="s">
        <v>1723</v>
      </c>
      <c r="W808" s="47" t="s">
        <v>1384</v>
      </c>
      <c r="X808" s="47" t="s">
        <v>1384</v>
      </c>
      <c r="Y808" s="33">
        <f t="shared" si="213"/>
        <v>1.4066666666666665</v>
      </c>
      <c r="Z808" s="327"/>
      <c r="AA808" s="327"/>
      <c r="AB808" s="33" t="s">
        <v>451</v>
      </c>
      <c r="AF808" s="33" t="s">
        <v>1339</v>
      </c>
      <c r="AG808" s="33" t="s">
        <v>117</v>
      </c>
      <c r="AH808" s="138" t="s">
        <v>1585</v>
      </c>
      <c r="AI808" s="33" t="s">
        <v>585</v>
      </c>
      <c r="AJ808" s="141" t="s">
        <v>1621</v>
      </c>
      <c r="AN808" s="33" t="s">
        <v>157</v>
      </c>
      <c r="AO808" s="33" t="s">
        <v>157</v>
      </c>
      <c r="AP808" s="33" t="s">
        <v>178</v>
      </c>
      <c r="AQ808" s="33">
        <v>101</v>
      </c>
      <c r="AR808" s="33">
        <v>101</v>
      </c>
      <c r="AS808" s="33" t="s">
        <v>178</v>
      </c>
      <c r="AT808" s="33" t="s">
        <v>161</v>
      </c>
      <c r="AU808" s="33">
        <v>4</v>
      </c>
      <c r="AW808" s="33" t="s">
        <v>336</v>
      </c>
      <c r="BA808" s="54"/>
      <c r="BB808" s="33" t="s">
        <v>584</v>
      </c>
      <c r="BM808" s="402"/>
      <c r="BN808" s="402"/>
      <c r="BR808" s="402">
        <f>0.1*14.02</f>
        <v>1.4020000000000001</v>
      </c>
      <c r="BS808" s="402">
        <f>0.1*13.35</f>
        <v>1.335</v>
      </c>
      <c r="BV808" s="28" t="s">
        <v>2026</v>
      </c>
      <c r="BW808" s="33">
        <v>1.47</v>
      </c>
      <c r="BX808" s="33">
        <v>1.39</v>
      </c>
      <c r="CA808" s="33" t="s">
        <v>1685</v>
      </c>
      <c r="CQ808" s="33">
        <v>99999</v>
      </c>
      <c r="CR808" s="33">
        <v>99999</v>
      </c>
      <c r="CU808" s="33" t="s">
        <v>642</v>
      </c>
      <c r="GM808" s="33">
        <v>86.18</v>
      </c>
      <c r="GN808" s="33">
        <v>81.77</v>
      </c>
      <c r="GQ808" s="33" t="s">
        <v>1708</v>
      </c>
      <c r="IK808" s="33">
        <v>99999</v>
      </c>
      <c r="IL808" s="33">
        <v>99999</v>
      </c>
      <c r="IO808" s="33" t="s">
        <v>611</v>
      </c>
      <c r="IP808" s="33" t="s">
        <v>906</v>
      </c>
    </row>
    <row r="809" spans="1:250" s="33" customFormat="1" x14ac:dyDescent="0.25">
      <c r="A809" s="184">
        <v>40</v>
      </c>
      <c r="B809" s="33" t="s">
        <v>582</v>
      </c>
      <c r="C809" s="33" t="s">
        <v>583</v>
      </c>
      <c r="D809" s="33">
        <v>2015</v>
      </c>
      <c r="E809" s="33">
        <v>1997</v>
      </c>
      <c r="F809" s="33" t="s">
        <v>128</v>
      </c>
      <c r="G809" s="33" t="s">
        <v>594</v>
      </c>
      <c r="H809" s="32" t="s">
        <v>2831</v>
      </c>
      <c r="I809" s="33">
        <v>35.619999999999997</v>
      </c>
      <c r="J809" s="33">
        <v>-88.85</v>
      </c>
      <c r="K809" s="33">
        <v>107.7</v>
      </c>
      <c r="O809" s="33">
        <v>1375</v>
      </c>
      <c r="Q809" s="47">
        <v>15</v>
      </c>
      <c r="R809" s="47" t="s">
        <v>1939</v>
      </c>
      <c r="S809" s="47"/>
      <c r="T809" s="47" t="s">
        <v>1942</v>
      </c>
      <c r="U809" s="47" t="s">
        <v>1384</v>
      </c>
      <c r="V809" s="47" t="s">
        <v>1723</v>
      </c>
      <c r="W809" s="47" t="s">
        <v>1384</v>
      </c>
      <c r="X809" s="47" t="s">
        <v>1384</v>
      </c>
      <c r="Y809" s="33">
        <f t="shared" si="213"/>
        <v>1.4066666666666665</v>
      </c>
      <c r="Z809" s="327"/>
      <c r="AA809" s="327"/>
      <c r="AB809" s="33" t="s">
        <v>451</v>
      </c>
      <c r="AF809" s="33" t="s">
        <v>1339</v>
      </c>
      <c r="AG809" s="33" t="s">
        <v>244</v>
      </c>
      <c r="AH809" s="138" t="s">
        <v>578</v>
      </c>
      <c r="AI809" s="33" t="s">
        <v>585</v>
      </c>
      <c r="AJ809" s="141" t="s">
        <v>1621</v>
      </c>
      <c r="AN809" s="33" t="s">
        <v>587</v>
      </c>
      <c r="AO809" s="33" t="s">
        <v>587</v>
      </c>
      <c r="AP809" s="33" t="s">
        <v>178</v>
      </c>
      <c r="AQ809" s="33">
        <v>101</v>
      </c>
      <c r="AR809" s="33">
        <v>101</v>
      </c>
      <c r="AS809" s="33" t="s">
        <v>178</v>
      </c>
      <c r="AT809" s="33" t="s">
        <v>161</v>
      </c>
      <c r="AU809" s="33">
        <v>4</v>
      </c>
      <c r="AW809" s="33" t="s">
        <v>336</v>
      </c>
      <c r="BA809" s="54"/>
      <c r="BB809" s="33" t="s">
        <v>584</v>
      </c>
      <c r="BM809" s="402"/>
      <c r="BN809" s="402"/>
      <c r="BR809" s="402">
        <f>0.1*11.72</f>
        <v>1.1720000000000002</v>
      </c>
      <c r="BS809" s="402">
        <f>0.1*11.36</f>
        <v>1.1359999999999999</v>
      </c>
      <c r="BV809" s="28" t="s">
        <v>2026</v>
      </c>
      <c r="BW809" s="33">
        <v>1.31</v>
      </c>
      <c r="BX809" s="33">
        <v>1.19</v>
      </c>
      <c r="CA809" s="33" t="s">
        <v>1685</v>
      </c>
      <c r="CQ809" s="33">
        <v>99999</v>
      </c>
      <c r="CR809" s="33">
        <v>99999</v>
      </c>
      <c r="CU809" s="33" t="s">
        <v>642</v>
      </c>
      <c r="GM809" s="33">
        <v>61.36</v>
      </c>
      <c r="GN809" s="33">
        <v>70.5</v>
      </c>
      <c r="GQ809" s="33" t="s">
        <v>1708</v>
      </c>
      <c r="IK809" s="33">
        <v>99999</v>
      </c>
      <c r="IL809" s="33">
        <v>99999</v>
      </c>
      <c r="IO809" s="33" t="s">
        <v>611</v>
      </c>
      <c r="IP809" s="33" t="s">
        <v>906</v>
      </c>
    </row>
    <row r="810" spans="1:250" s="33" customFormat="1" x14ac:dyDescent="0.25">
      <c r="A810" s="184">
        <v>40</v>
      </c>
      <c r="B810" s="33" t="s">
        <v>582</v>
      </c>
      <c r="C810" s="33" t="s">
        <v>583</v>
      </c>
      <c r="D810" s="33">
        <v>2015</v>
      </c>
      <c r="E810" s="33">
        <v>1997</v>
      </c>
      <c r="F810" s="33" t="s">
        <v>128</v>
      </c>
      <c r="G810" s="33" t="s">
        <v>594</v>
      </c>
      <c r="H810" s="32" t="s">
        <v>2831</v>
      </c>
      <c r="I810" s="33">
        <v>35.619999999999997</v>
      </c>
      <c r="J810" s="33">
        <v>-88.85</v>
      </c>
      <c r="K810" s="33">
        <v>107.7</v>
      </c>
      <c r="O810" s="33">
        <v>1375</v>
      </c>
      <c r="Q810" s="47">
        <v>15</v>
      </c>
      <c r="R810" s="47" t="s">
        <v>1939</v>
      </c>
      <c r="S810" s="47"/>
      <c r="T810" s="47" t="s">
        <v>1942</v>
      </c>
      <c r="U810" s="47" t="s">
        <v>1384</v>
      </c>
      <c r="V810" s="47" t="s">
        <v>1723</v>
      </c>
      <c r="W810" s="47" t="s">
        <v>1384</v>
      </c>
      <c r="X810" s="47" t="s">
        <v>1384</v>
      </c>
      <c r="Y810" s="33">
        <f t="shared" si="213"/>
        <v>1.4066666666666665</v>
      </c>
      <c r="Z810" s="327"/>
      <c r="AA810" s="327"/>
      <c r="AB810" s="33" t="s">
        <v>451</v>
      </c>
      <c r="AF810" s="33" t="s">
        <v>1339</v>
      </c>
      <c r="AG810" s="33" t="s">
        <v>117</v>
      </c>
      <c r="AH810" s="138" t="s">
        <v>1585</v>
      </c>
      <c r="AI810" s="33" t="s">
        <v>585</v>
      </c>
      <c r="AJ810" s="141" t="s">
        <v>1621</v>
      </c>
      <c r="AN810" s="33" t="s">
        <v>587</v>
      </c>
      <c r="AO810" s="33" t="s">
        <v>587</v>
      </c>
      <c r="AP810" s="33" t="s">
        <v>178</v>
      </c>
      <c r="AQ810" s="33">
        <v>101</v>
      </c>
      <c r="AR810" s="33">
        <v>101</v>
      </c>
      <c r="AS810" s="33" t="s">
        <v>178</v>
      </c>
      <c r="AT810" s="33" t="s">
        <v>161</v>
      </c>
      <c r="AU810" s="33">
        <v>4</v>
      </c>
      <c r="AW810" s="33" t="s">
        <v>336</v>
      </c>
      <c r="BA810" s="54"/>
      <c r="BB810" s="33" t="s">
        <v>584</v>
      </c>
      <c r="BM810" s="402"/>
      <c r="BN810" s="402"/>
      <c r="BR810" s="402">
        <f>0.1*11.72</f>
        <v>1.1720000000000002</v>
      </c>
      <c r="BS810" s="402">
        <f>0.1*12.13</f>
        <v>1.2130000000000001</v>
      </c>
      <c r="BV810" s="28" t="s">
        <v>2026</v>
      </c>
      <c r="BW810" s="33">
        <v>1.31</v>
      </c>
      <c r="BX810" s="33">
        <v>1.2</v>
      </c>
      <c r="CA810" s="33" t="s">
        <v>1685</v>
      </c>
      <c r="CQ810" s="33">
        <v>99999</v>
      </c>
      <c r="CR810" s="33">
        <v>99999</v>
      </c>
      <c r="CU810" s="33" t="s">
        <v>642</v>
      </c>
      <c r="GM810" s="33">
        <v>61.36</v>
      </c>
      <c r="GN810" s="33">
        <v>54.78</v>
      </c>
      <c r="GQ810" s="33" t="s">
        <v>1708</v>
      </c>
      <c r="IK810" s="33">
        <v>99999</v>
      </c>
      <c r="IL810" s="33">
        <v>99999</v>
      </c>
      <c r="IO810" s="33" t="s">
        <v>611</v>
      </c>
      <c r="IP810" s="33" t="s">
        <v>906</v>
      </c>
    </row>
    <row r="811" spans="1:250" s="24" customFormat="1" x14ac:dyDescent="0.25">
      <c r="A811" s="24">
        <v>41</v>
      </c>
      <c r="B811" s="24" t="s">
        <v>592</v>
      </c>
      <c r="C811" s="24" t="s">
        <v>593</v>
      </c>
      <c r="D811" s="24">
        <v>1994</v>
      </c>
      <c r="E811" s="24">
        <v>1986</v>
      </c>
      <c r="F811" s="24" t="s">
        <v>419</v>
      </c>
      <c r="G811" s="24" t="s">
        <v>595</v>
      </c>
      <c r="H811" s="32" t="s">
        <v>2831</v>
      </c>
      <c r="I811" s="24">
        <v>38.03</v>
      </c>
      <c r="J811" s="24">
        <v>-84.51</v>
      </c>
      <c r="K811" s="24">
        <v>299.60000000000002</v>
      </c>
      <c r="Q811" s="42">
        <v>2</v>
      </c>
      <c r="R811" s="42" t="s">
        <v>1729</v>
      </c>
      <c r="S811" s="42"/>
      <c r="T811" s="42" t="s">
        <v>1943</v>
      </c>
      <c r="U811" s="42" t="s">
        <v>1383</v>
      </c>
      <c r="V811" s="42" t="s">
        <v>1722</v>
      </c>
      <c r="W811" s="42" t="s">
        <v>1383</v>
      </c>
      <c r="X811" s="42" t="s">
        <v>1383</v>
      </c>
      <c r="Y811" s="24">
        <v>1.05</v>
      </c>
      <c r="Z811" s="321">
        <v>7.3</v>
      </c>
      <c r="AA811" s="321">
        <v>70.2</v>
      </c>
      <c r="AB811" s="24" t="s">
        <v>451</v>
      </c>
      <c r="AC811" s="24">
        <v>5.48</v>
      </c>
      <c r="AD811" s="24">
        <v>1.1599999999999999</v>
      </c>
      <c r="AF811" s="24" t="s">
        <v>1340</v>
      </c>
      <c r="AG811" s="24" t="s">
        <v>132</v>
      </c>
      <c r="AH811" s="138" t="s">
        <v>132</v>
      </c>
      <c r="AI811" s="24" t="s">
        <v>133</v>
      </c>
      <c r="AJ811" s="140" t="s">
        <v>133</v>
      </c>
      <c r="AT811" s="24" t="s">
        <v>120</v>
      </c>
      <c r="AU811" s="24">
        <v>2</v>
      </c>
      <c r="AW811" s="24" t="s">
        <v>142</v>
      </c>
      <c r="BA811" s="53"/>
      <c r="BM811" s="395"/>
      <c r="BN811" s="395"/>
      <c r="BR811" s="395"/>
      <c r="BS811" s="395"/>
      <c r="EO811" s="24">
        <v>46.84</v>
      </c>
      <c r="EP811" s="24">
        <v>51.58</v>
      </c>
      <c r="ES811" s="24" t="s">
        <v>596</v>
      </c>
      <c r="IO811" s="24" t="s">
        <v>728</v>
      </c>
    </row>
    <row r="812" spans="1:250" s="24" customFormat="1" x14ac:dyDescent="0.25">
      <c r="A812" s="24">
        <v>41</v>
      </c>
      <c r="B812" s="24" t="s">
        <v>592</v>
      </c>
      <c r="C812" s="24" t="s">
        <v>593</v>
      </c>
      <c r="D812" s="24">
        <v>1994</v>
      </c>
      <c r="E812" s="24">
        <v>1986</v>
      </c>
      <c r="F812" s="24" t="s">
        <v>419</v>
      </c>
      <c r="G812" s="24" t="s">
        <v>595</v>
      </c>
      <c r="H812" s="32" t="s">
        <v>2831</v>
      </c>
      <c r="I812" s="24">
        <v>38.03</v>
      </c>
      <c r="J812" s="24">
        <v>-84.51</v>
      </c>
      <c r="K812" s="24">
        <v>299.60000000000002</v>
      </c>
      <c r="Q812" s="42">
        <v>2</v>
      </c>
      <c r="R812" s="42" t="s">
        <v>1729</v>
      </c>
      <c r="S812" s="42"/>
      <c r="T812" s="42" t="s">
        <v>1944</v>
      </c>
      <c r="U812" s="42" t="s">
        <v>1383</v>
      </c>
      <c r="V812" s="42" t="s">
        <v>1722</v>
      </c>
      <c r="W812" s="42" t="s">
        <v>1383</v>
      </c>
      <c r="X812" s="42" t="s">
        <v>1383</v>
      </c>
      <c r="Y812" s="24">
        <v>1.05</v>
      </c>
      <c r="Z812" s="321">
        <v>7.3</v>
      </c>
      <c r="AA812" s="321">
        <v>70.2</v>
      </c>
      <c r="AB812" s="24" t="s">
        <v>451</v>
      </c>
      <c r="AC812" s="24">
        <v>5.48</v>
      </c>
      <c r="AD812" s="24">
        <v>1.1599999999999999</v>
      </c>
      <c r="AF812" s="24" t="s">
        <v>1340</v>
      </c>
      <c r="AG812" s="24" t="s">
        <v>132</v>
      </c>
      <c r="AH812" s="138" t="s">
        <v>132</v>
      </c>
      <c r="AI812" s="24" t="s">
        <v>133</v>
      </c>
      <c r="AJ812" s="140" t="s">
        <v>133</v>
      </c>
      <c r="AT812" s="24" t="s">
        <v>120</v>
      </c>
      <c r="AU812" s="24">
        <v>2</v>
      </c>
      <c r="AW812" s="24" t="s">
        <v>142</v>
      </c>
      <c r="BA812" s="53"/>
      <c r="BM812" s="395"/>
      <c r="BN812" s="395"/>
      <c r="BR812" s="395"/>
      <c r="BS812" s="395"/>
      <c r="EO812" s="24">
        <v>0.25</v>
      </c>
      <c r="EP812" s="24">
        <v>0.25</v>
      </c>
      <c r="ES812" s="24" t="s">
        <v>596</v>
      </c>
      <c r="IO812" s="24" t="s">
        <v>728</v>
      </c>
    </row>
    <row r="813" spans="1:250" s="24" customFormat="1" x14ac:dyDescent="0.25">
      <c r="A813" s="24">
        <v>41</v>
      </c>
      <c r="B813" s="24" t="s">
        <v>592</v>
      </c>
      <c r="C813" s="24" t="s">
        <v>593</v>
      </c>
      <c r="D813" s="24">
        <v>1994</v>
      </c>
      <c r="E813" s="24">
        <v>1986</v>
      </c>
      <c r="F813" s="24" t="s">
        <v>419</v>
      </c>
      <c r="G813" s="24" t="s">
        <v>595</v>
      </c>
      <c r="H813" s="32" t="s">
        <v>2831</v>
      </c>
      <c r="I813" s="24">
        <v>38.03</v>
      </c>
      <c r="J813" s="24">
        <v>-84.51</v>
      </c>
      <c r="K813" s="24">
        <v>299.60000000000002</v>
      </c>
      <c r="Q813" s="42">
        <v>2</v>
      </c>
      <c r="R813" s="42" t="s">
        <v>1729</v>
      </c>
      <c r="S813" s="42"/>
      <c r="T813" s="42" t="s">
        <v>1945</v>
      </c>
      <c r="U813" s="42" t="s">
        <v>1383</v>
      </c>
      <c r="V813" s="42" t="s">
        <v>1722</v>
      </c>
      <c r="W813" s="42" t="s">
        <v>1383</v>
      </c>
      <c r="X813" s="42" t="s">
        <v>1383</v>
      </c>
      <c r="Y813" s="24">
        <v>1.05</v>
      </c>
      <c r="Z813" s="321">
        <v>7.3</v>
      </c>
      <c r="AA813" s="321">
        <v>70.2</v>
      </c>
      <c r="AB813" s="24" t="s">
        <v>451</v>
      </c>
      <c r="AC813" s="24">
        <v>5.48</v>
      </c>
      <c r="AD813" s="24">
        <v>1.1599999999999999</v>
      </c>
      <c r="AF813" s="24" t="s">
        <v>1340</v>
      </c>
      <c r="AG813" s="24" t="s">
        <v>132</v>
      </c>
      <c r="AH813" s="138" t="s">
        <v>132</v>
      </c>
      <c r="AI813" s="24" t="s">
        <v>133</v>
      </c>
      <c r="AJ813" s="140" t="s">
        <v>133</v>
      </c>
      <c r="AT813" s="24" t="s">
        <v>120</v>
      </c>
      <c r="AU813" s="24">
        <v>2</v>
      </c>
      <c r="AW813" s="24" t="s">
        <v>142</v>
      </c>
      <c r="BA813" s="53"/>
      <c r="BM813" s="395"/>
      <c r="BN813" s="395"/>
      <c r="BR813" s="395"/>
      <c r="BS813" s="395"/>
      <c r="EO813" s="24">
        <v>0.05</v>
      </c>
      <c r="EP813" s="24">
        <v>0.05</v>
      </c>
      <c r="ES813" s="24" t="s">
        <v>596</v>
      </c>
      <c r="IO813" s="24" t="s">
        <v>728</v>
      </c>
    </row>
    <row r="814" spans="1:250" s="24" customFormat="1" x14ac:dyDescent="0.25">
      <c r="A814" s="24">
        <v>41</v>
      </c>
      <c r="B814" s="24" t="s">
        <v>592</v>
      </c>
      <c r="C814" s="24" t="s">
        <v>593</v>
      </c>
      <c r="D814" s="24">
        <v>1994</v>
      </c>
      <c r="E814" s="24">
        <v>1986</v>
      </c>
      <c r="F814" s="24" t="s">
        <v>419</v>
      </c>
      <c r="G814" s="24" t="s">
        <v>595</v>
      </c>
      <c r="H814" s="32" t="s">
        <v>2831</v>
      </c>
      <c r="I814" s="24">
        <v>38.03</v>
      </c>
      <c r="J814" s="24">
        <v>-84.51</v>
      </c>
      <c r="K814" s="24">
        <v>299.60000000000002</v>
      </c>
      <c r="Q814" s="42">
        <v>2</v>
      </c>
      <c r="R814" s="42" t="s">
        <v>1729</v>
      </c>
      <c r="S814" s="42"/>
      <c r="T814" s="42" t="s">
        <v>1946</v>
      </c>
      <c r="U814" s="42" t="s">
        <v>1383</v>
      </c>
      <c r="V814" s="42" t="s">
        <v>1722</v>
      </c>
      <c r="W814" s="42" t="s">
        <v>1383</v>
      </c>
      <c r="X814" s="42" t="s">
        <v>1383</v>
      </c>
      <c r="Y814" s="24">
        <v>1.05</v>
      </c>
      <c r="Z814" s="321">
        <v>7.3</v>
      </c>
      <c r="AA814" s="321">
        <v>70.2</v>
      </c>
      <c r="AB814" s="24" t="s">
        <v>451</v>
      </c>
      <c r="AC814" s="24">
        <v>5.48</v>
      </c>
      <c r="AD814" s="24">
        <v>1.1599999999999999</v>
      </c>
      <c r="AF814" s="24" t="s">
        <v>1340</v>
      </c>
      <c r="AG814" s="24" t="s">
        <v>132</v>
      </c>
      <c r="AH814" s="138" t="s">
        <v>132</v>
      </c>
      <c r="AI814" s="24" t="s">
        <v>133</v>
      </c>
      <c r="AJ814" s="140" t="s">
        <v>133</v>
      </c>
      <c r="AT814" s="24" t="s">
        <v>120</v>
      </c>
      <c r="AU814" s="24">
        <v>2</v>
      </c>
      <c r="AW814" s="24" t="s">
        <v>142</v>
      </c>
      <c r="BA814" s="53"/>
      <c r="BM814" s="395"/>
      <c r="BN814" s="395"/>
      <c r="BR814" s="395"/>
      <c r="BS814" s="395"/>
      <c r="EO814" s="24">
        <v>0.3</v>
      </c>
      <c r="EP814" s="24">
        <v>0.3</v>
      </c>
      <c r="ES814" s="24" t="s">
        <v>596</v>
      </c>
      <c r="IO814" s="24" t="s">
        <v>728</v>
      </c>
    </row>
    <row r="815" spans="1:250" s="24" customFormat="1" x14ac:dyDescent="0.25">
      <c r="A815" s="24">
        <v>41</v>
      </c>
      <c r="B815" s="24" t="s">
        <v>592</v>
      </c>
      <c r="C815" s="24" t="s">
        <v>593</v>
      </c>
      <c r="D815" s="24">
        <v>1994</v>
      </c>
      <c r="E815" s="24">
        <v>1986</v>
      </c>
      <c r="F815" s="24" t="s">
        <v>419</v>
      </c>
      <c r="G815" s="24" t="s">
        <v>595</v>
      </c>
      <c r="H815" s="32" t="s">
        <v>2831</v>
      </c>
      <c r="I815" s="24">
        <v>38.03</v>
      </c>
      <c r="J815" s="24">
        <v>-84.51</v>
      </c>
      <c r="K815" s="24">
        <v>299.60000000000002</v>
      </c>
      <c r="Q815" s="42">
        <v>2</v>
      </c>
      <c r="R815" s="42" t="s">
        <v>1729</v>
      </c>
      <c r="S815" s="42"/>
      <c r="T815" s="42" t="s">
        <v>1947</v>
      </c>
      <c r="U815" s="42" t="s">
        <v>1383</v>
      </c>
      <c r="V815" s="42" t="s">
        <v>1722</v>
      </c>
      <c r="W815" s="42" t="s">
        <v>1383</v>
      </c>
      <c r="X815" s="42" t="s">
        <v>1383</v>
      </c>
      <c r="Y815" s="24">
        <v>1.05</v>
      </c>
      <c r="Z815" s="321">
        <v>7.3</v>
      </c>
      <c r="AA815" s="321">
        <v>70.2</v>
      </c>
      <c r="AB815" s="24" t="s">
        <v>451</v>
      </c>
      <c r="AC815" s="24">
        <v>5.48</v>
      </c>
      <c r="AD815" s="24">
        <v>1.1599999999999999</v>
      </c>
      <c r="AF815" s="24" t="s">
        <v>1340</v>
      </c>
      <c r="AG815" s="24" t="s">
        <v>132</v>
      </c>
      <c r="AH815" s="138" t="s">
        <v>132</v>
      </c>
      <c r="AI815" s="24" t="s">
        <v>133</v>
      </c>
      <c r="AJ815" s="140" t="s">
        <v>133</v>
      </c>
      <c r="AT815" s="24" t="s">
        <v>120</v>
      </c>
      <c r="AU815" s="24">
        <v>2</v>
      </c>
      <c r="AW815" s="24" t="s">
        <v>142</v>
      </c>
      <c r="BA815" s="53"/>
      <c r="BM815" s="395"/>
      <c r="BN815" s="395"/>
      <c r="BR815" s="395"/>
      <c r="BS815" s="395"/>
      <c r="EO815" s="24">
        <v>0.03</v>
      </c>
      <c r="EP815" s="24">
        <v>0.03</v>
      </c>
      <c r="ES815" s="24" t="s">
        <v>596</v>
      </c>
      <c r="IO815" s="24" t="s">
        <v>728</v>
      </c>
    </row>
    <row r="816" spans="1:250" s="24" customFormat="1" x14ac:dyDescent="0.25">
      <c r="A816" s="24">
        <v>41</v>
      </c>
      <c r="B816" s="24" t="s">
        <v>592</v>
      </c>
      <c r="C816" s="24" t="s">
        <v>593</v>
      </c>
      <c r="D816" s="24">
        <v>1994</v>
      </c>
      <c r="E816" s="24">
        <v>1986</v>
      </c>
      <c r="F816" s="24" t="s">
        <v>419</v>
      </c>
      <c r="G816" s="24" t="s">
        <v>595</v>
      </c>
      <c r="H816" s="32" t="s">
        <v>2831</v>
      </c>
      <c r="I816" s="24">
        <v>38.03</v>
      </c>
      <c r="J816" s="24">
        <v>-84.51</v>
      </c>
      <c r="K816" s="24">
        <v>299.60000000000002</v>
      </c>
      <c r="Q816" s="42">
        <v>2</v>
      </c>
      <c r="R816" s="42" t="s">
        <v>1729</v>
      </c>
      <c r="S816" s="42"/>
      <c r="T816" s="42" t="s">
        <v>1948</v>
      </c>
      <c r="U816" s="42" t="s">
        <v>1383</v>
      </c>
      <c r="V816" s="42" t="s">
        <v>1722</v>
      </c>
      <c r="W816" s="42" t="s">
        <v>1383</v>
      </c>
      <c r="X816" s="42" t="s">
        <v>1383</v>
      </c>
      <c r="Y816" s="24">
        <v>1.05</v>
      </c>
      <c r="Z816" s="321">
        <v>7.3</v>
      </c>
      <c r="AA816" s="321">
        <v>70.2</v>
      </c>
      <c r="AB816" s="24" t="s">
        <v>451</v>
      </c>
      <c r="AC816" s="24">
        <v>5.48</v>
      </c>
      <c r="AD816" s="24">
        <v>1.1599999999999999</v>
      </c>
      <c r="AF816" s="24" t="s">
        <v>1340</v>
      </c>
      <c r="AG816" s="24" t="s">
        <v>132</v>
      </c>
      <c r="AH816" s="138" t="s">
        <v>132</v>
      </c>
      <c r="AI816" s="24" t="s">
        <v>133</v>
      </c>
      <c r="AJ816" s="140" t="s">
        <v>133</v>
      </c>
      <c r="AT816" s="24" t="s">
        <v>120</v>
      </c>
      <c r="AU816" s="24">
        <v>2</v>
      </c>
      <c r="AW816" s="24" t="s">
        <v>142</v>
      </c>
      <c r="BA816" s="53"/>
      <c r="BM816" s="395"/>
      <c r="BN816" s="395"/>
      <c r="BR816" s="395"/>
      <c r="BS816" s="395"/>
      <c r="EO816" s="24">
        <v>34.22</v>
      </c>
      <c r="EP816" s="24">
        <v>26.66</v>
      </c>
      <c r="ES816" s="24" t="s">
        <v>596</v>
      </c>
      <c r="IO816" s="24" t="s">
        <v>728</v>
      </c>
    </row>
    <row r="817" spans="1:249" s="32" customFormat="1" x14ac:dyDescent="0.25">
      <c r="A817" s="32">
        <v>41</v>
      </c>
      <c r="B817" s="32" t="s">
        <v>592</v>
      </c>
      <c r="C817" s="32" t="s">
        <v>593</v>
      </c>
      <c r="D817" s="32">
        <v>1994</v>
      </c>
      <c r="E817" s="32">
        <v>1987</v>
      </c>
      <c r="F817" s="32" t="s">
        <v>419</v>
      </c>
      <c r="G817" s="32" t="s">
        <v>595</v>
      </c>
      <c r="H817" s="32" t="s">
        <v>2831</v>
      </c>
      <c r="I817" s="32">
        <v>38.03</v>
      </c>
      <c r="J817" s="32">
        <v>-84.51</v>
      </c>
      <c r="K817" s="32">
        <v>299.60000000000002</v>
      </c>
      <c r="Q817" s="44">
        <v>3</v>
      </c>
      <c r="R817" s="44" t="s">
        <v>1729</v>
      </c>
      <c r="S817" s="44"/>
      <c r="T817" s="44" t="s">
        <v>1949</v>
      </c>
      <c r="U817" s="44" t="s">
        <v>1383</v>
      </c>
      <c r="V817" s="44" t="s">
        <v>1722</v>
      </c>
      <c r="W817" s="44" t="s">
        <v>1383</v>
      </c>
      <c r="X817" s="44" t="s">
        <v>1383</v>
      </c>
      <c r="Y817" s="32">
        <v>1.05</v>
      </c>
      <c r="Z817" s="323">
        <v>7.3</v>
      </c>
      <c r="AA817" s="323">
        <v>70.2</v>
      </c>
      <c r="AB817" s="32" t="s">
        <v>451</v>
      </c>
      <c r="AC817" s="32">
        <v>5.48</v>
      </c>
      <c r="AD817" s="32">
        <v>1.1599999999999999</v>
      </c>
      <c r="AF817" s="32" t="s">
        <v>1340</v>
      </c>
      <c r="AG817" s="32" t="s">
        <v>132</v>
      </c>
      <c r="AH817" s="138" t="s">
        <v>132</v>
      </c>
      <c r="AI817" s="32" t="s">
        <v>133</v>
      </c>
      <c r="AJ817" s="140" t="s">
        <v>133</v>
      </c>
      <c r="AT817" s="32" t="s">
        <v>120</v>
      </c>
      <c r="AU817" s="32">
        <v>2</v>
      </c>
      <c r="AW817" s="32" t="s">
        <v>142</v>
      </c>
      <c r="BA817" s="53"/>
      <c r="BM817" s="397"/>
      <c r="BN817" s="397"/>
      <c r="BR817" s="397"/>
      <c r="BS817" s="397"/>
      <c r="EO817" s="32">
        <v>84.75</v>
      </c>
      <c r="EP817" s="32">
        <v>81.73</v>
      </c>
      <c r="ES817" s="32" t="s">
        <v>596</v>
      </c>
      <c r="IO817" s="32" t="s">
        <v>728</v>
      </c>
    </row>
    <row r="818" spans="1:249" s="32" customFormat="1" x14ac:dyDescent="0.25">
      <c r="A818" s="32">
        <v>41</v>
      </c>
      <c r="B818" s="32" t="s">
        <v>592</v>
      </c>
      <c r="C818" s="32" t="s">
        <v>593</v>
      </c>
      <c r="D818" s="32">
        <v>1994</v>
      </c>
      <c r="E818" s="32">
        <v>1987</v>
      </c>
      <c r="F818" s="32" t="s">
        <v>419</v>
      </c>
      <c r="G818" s="32" t="s">
        <v>595</v>
      </c>
      <c r="H818" s="32" t="s">
        <v>2831</v>
      </c>
      <c r="I818" s="32">
        <v>38.03</v>
      </c>
      <c r="J818" s="32">
        <v>-84.51</v>
      </c>
      <c r="K818" s="32">
        <v>299.60000000000002</v>
      </c>
      <c r="Q818" s="44">
        <v>3</v>
      </c>
      <c r="R818" s="44" t="s">
        <v>1729</v>
      </c>
      <c r="S818" s="44"/>
      <c r="T818" s="44" t="s">
        <v>1950</v>
      </c>
      <c r="U818" s="44" t="s">
        <v>1383</v>
      </c>
      <c r="V818" s="44" t="s">
        <v>1722</v>
      </c>
      <c r="W818" s="44" t="s">
        <v>1383</v>
      </c>
      <c r="X818" s="44" t="s">
        <v>1383</v>
      </c>
      <c r="Y818" s="32">
        <v>1.05</v>
      </c>
      <c r="Z818" s="323">
        <v>7.3</v>
      </c>
      <c r="AA818" s="323">
        <v>70.2</v>
      </c>
      <c r="AB818" s="32" t="s">
        <v>451</v>
      </c>
      <c r="AC818" s="32">
        <v>5.48</v>
      </c>
      <c r="AD818" s="32">
        <v>1.1599999999999999</v>
      </c>
      <c r="AF818" s="32" t="s">
        <v>1340</v>
      </c>
      <c r="AG818" s="32" t="s">
        <v>132</v>
      </c>
      <c r="AH818" s="138" t="s">
        <v>132</v>
      </c>
      <c r="AI818" s="32" t="s">
        <v>133</v>
      </c>
      <c r="AJ818" s="140" t="s">
        <v>133</v>
      </c>
      <c r="AT818" s="32" t="s">
        <v>120</v>
      </c>
      <c r="AU818" s="32">
        <v>2</v>
      </c>
      <c r="AW818" s="32" t="s">
        <v>142</v>
      </c>
      <c r="BA818" s="53"/>
      <c r="BM818" s="397"/>
      <c r="BN818" s="397"/>
      <c r="BR818" s="397"/>
      <c r="BS818" s="397"/>
      <c r="EO818" s="32">
        <v>87.58</v>
      </c>
      <c r="EP818" s="32">
        <v>85.64</v>
      </c>
      <c r="ES818" s="32" t="s">
        <v>596</v>
      </c>
      <c r="IO818" s="32" t="s">
        <v>728</v>
      </c>
    </row>
    <row r="819" spans="1:249" s="32" customFormat="1" x14ac:dyDescent="0.25">
      <c r="A819" s="32">
        <v>41</v>
      </c>
      <c r="B819" s="32" t="s">
        <v>592</v>
      </c>
      <c r="C819" s="32" t="s">
        <v>593</v>
      </c>
      <c r="D819" s="32">
        <v>1994</v>
      </c>
      <c r="E819" s="32">
        <v>1987</v>
      </c>
      <c r="F819" s="32" t="s">
        <v>419</v>
      </c>
      <c r="G819" s="32" t="s">
        <v>595</v>
      </c>
      <c r="H819" s="32" t="s">
        <v>2831</v>
      </c>
      <c r="I819" s="32">
        <v>38.03</v>
      </c>
      <c r="J819" s="32">
        <v>-84.51</v>
      </c>
      <c r="K819" s="32">
        <v>299.60000000000002</v>
      </c>
      <c r="Q819" s="44">
        <v>3</v>
      </c>
      <c r="R819" s="44" t="s">
        <v>1729</v>
      </c>
      <c r="S819" s="44"/>
      <c r="T819" s="44" t="s">
        <v>1951</v>
      </c>
      <c r="U819" s="44" t="s">
        <v>1383</v>
      </c>
      <c r="V819" s="44" t="s">
        <v>1722</v>
      </c>
      <c r="W819" s="44" t="s">
        <v>1383</v>
      </c>
      <c r="X819" s="44" t="s">
        <v>1383</v>
      </c>
      <c r="Y819" s="32">
        <v>1.05</v>
      </c>
      <c r="Z819" s="323">
        <v>7.3</v>
      </c>
      <c r="AA819" s="323">
        <v>70.2</v>
      </c>
      <c r="AB819" s="32" t="s">
        <v>451</v>
      </c>
      <c r="AC819" s="32">
        <v>5.48</v>
      </c>
      <c r="AD819" s="32">
        <v>1.1599999999999999</v>
      </c>
      <c r="AF819" s="32" t="s">
        <v>1340</v>
      </c>
      <c r="AG819" s="32" t="s">
        <v>132</v>
      </c>
      <c r="AH819" s="138" t="s">
        <v>132</v>
      </c>
      <c r="AI819" s="32" t="s">
        <v>133</v>
      </c>
      <c r="AJ819" s="140" t="s">
        <v>133</v>
      </c>
      <c r="AT819" s="32" t="s">
        <v>120</v>
      </c>
      <c r="AU819" s="32">
        <v>2</v>
      </c>
      <c r="AW819" s="32" t="s">
        <v>142</v>
      </c>
      <c r="BA819" s="53"/>
      <c r="BM819" s="397"/>
      <c r="BN819" s="397"/>
      <c r="BR819" s="397"/>
      <c r="BS819" s="397"/>
      <c r="EO819" s="32">
        <v>95.59</v>
      </c>
      <c r="EP819" s="32">
        <v>74.66</v>
      </c>
      <c r="ES819" s="32" t="s">
        <v>596</v>
      </c>
      <c r="IO819" s="32" t="s">
        <v>728</v>
      </c>
    </row>
    <row r="820" spans="1:249" s="32" customFormat="1" x14ac:dyDescent="0.25">
      <c r="A820" s="32">
        <v>41</v>
      </c>
      <c r="B820" s="32" t="s">
        <v>592</v>
      </c>
      <c r="C820" s="32" t="s">
        <v>593</v>
      </c>
      <c r="D820" s="32">
        <v>1994</v>
      </c>
      <c r="E820" s="32">
        <v>1987</v>
      </c>
      <c r="F820" s="32" t="s">
        <v>419</v>
      </c>
      <c r="G820" s="32" t="s">
        <v>595</v>
      </c>
      <c r="H820" s="32" t="s">
        <v>2831</v>
      </c>
      <c r="I820" s="32">
        <v>38.03</v>
      </c>
      <c r="J820" s="32">
        <v>-84.51</v>
      </c>
      <c r="K820" s="32">
        <v>299.60000000000002</v>
      </c>
      <c r="Q820" s="44">
        <v>3</v>
      </c>
      <c r="R820" s="44" t="s">
        <v>1729</v>
      </c>
      <c r="S820" s="44"/>
      <c r="T820" s="44" t="s">
        <v>1952</v>
      </c>
      <c r="U820" s="44" t="s">
        <v>1383</v>
      </c>
      <c r="V820" s="44" t="s">
        <v>1722</v>
      </c>
      <c r="W820" s="44" t="s">
        <v>1383</v>
      </c>
      <c r="X820" s="44" t="s">
        <v>1383</v>
      </c>
      <c r="Y820" s="32">
        <v>1.05</v>
      </c>
      <c r="Z820" s="323">
        <v>7.3</v>
      </c>
      <c r="AA820" s="323">
        <v>70.2</v>
      </c>
      <c r="AB820" s="32" t="s">
        <v>451</v>
      </c>
      <c r="AC820" s="32">
        <v>5.48</v>
      </c>
      <c r="AD820" s="32">
        <v>1.1599999999999999</v>
      </c>
      <c r="AF820" s="32" t="s">
        <v>1340</v>
      </c>
      <c r="AG820" s="32" t="s">
        <v>132</v>
      </c>
      <c r="AH820" s="138" t="s">
        <v>132</v>
      </c>
      <c r="AI820" s="32" t="s">
        <v>133</v>
      </c>
      <c r="AJ820" s="140" t="s">
        <v>133</v>
      </c>
      <c r="AT820" s="32" t="s">
        <v>120</v>
      </c>
      <c r="AU820" s="32">
        <v>2</v>
      </c>
      <c r="AW820" s="32" t="s">
        <v>142</v>
      </c>
      <c r="BA820" s="53"/>
      <c r="BM820" s="397"/>
      <c r="BN820" s="397"/>
      <c r="BR820" s="397"/>
      <c r="BS820" s="397"/>
      <c r="EO820" s="32">
        <v>79.63</v>
      </c>
      <c r="EP820" s="32">
        <v>51.37</v>
      </c>
      <c r="ES820" s="32" t="s">
        <v>596</v>
      </c>
      <c r="IO820" s="32" t="s">
        <v>728</v>
      </c>
    </row>
    <row r="821" spans="1:249" s="32" customFormat="1" x14ac:dyDescent="0.25">
      <c r="A821" s="32">
        <v>41</v>
      </c>
      <c r="B821" s="32" t="s">
        <v>592</v>
      </c>
      <c r="C821" s="32" t="s">
        <v>593</v>
      </c>
      <c r="D821" s="32">
        <v>1994</v>
      </c>
      <c r="E821" s="32">
        <v>1987</v>
      </c>
      <c r="F821" s="32" t="s">
        <v>419</v>
      </c>
      <c r="G821" s="32" t="s">
        <v>595</v>
      </c>
      <c r="H821" s="32" t="s">
        <v>2831</v>
      </c>
      <c r="I821" s="32">
        <v>38.03</v>
      </c>
      <c r="J821" s="32">
        <v>-84.51</v>
      </c>
      <c r="K821" s="32">
        <v>299.60000000000002</v>
      </c>
      <c r="Q821" s="44">
        <v>3</v>
      </c>
      <c r="R821" s="44" t="s">
        <v>1729</v>
      </c>
      <c r="S821" s="44"/>
      <c r="T821" s="44" t="s">
        <v>1943</v>
      </c>
      <c r="U821" s="44" t="s">
        <v>1383</v>
      </c>
      <c r="V821" s="44" t="s">
        <v>1722</v>
      </c>
      <c r="W821" s="44" t="s">
        <v>1383</v>
      </c>
      <c r="X821" s="44" t="s">
        <v>1383</v>
      </c>
      <c r="Y821" s="32">
        <v>1.05</v>
      </c>
      <c r="Z821" s="323">
        <v>7.3</v>
      </c>
      <c r="AA821" s="323">
        <v>70.2</v>
      </c>
      <c r="AB821" s="32" t="s">
        <v>451</v>
      </c>
      <c r="AC821" s="32">
        <v>5.48</v>
      </c>
      <c r="AD821" s="32">
        <v>1.1599999999999999</v>
      </c>
      <c r="AF821" s="32" t="s">
        <v>1340</v>
      </c>
      <c r="AG821" s="32" t="s">
        <v>132</v>
      </c>
      <c r="AH821" s="138" t="s">
        <v>132</v>
      </c>
      <c r="AI821" s="32" t="s">
        <v>133</v>
      </c>
      <c r="AJ821" s="140" t="s">
        <v>133</v>
      </c>
      <c r="AT821" s="32" t="s">
        <v>120</v>
      </c>
      <c r="AU821" s="32">
        <v>2</v>
      </c>
      <c r="AW821" s="32" t="s">
        <v>142</v>
      </c>
      <c r="BA821" s="53"/>
      <c r="BM821" s="397"/>
      <c r="BN821" s="397"/>
      <c r="BR821" s="397"/>
      <c r="BS821" s="397"/>
      <c r="EO821" s="32">
        <v>17.940000000000001</v>
      </c>
      <c r="EP821" s="32">
        <v>0.24</v>
      </c>
      <c r="ES821" s="32" t="s">
        <v>596</v>
      </c>
      <c r="IO821" s="32" t="s">
        <v>728</v>
      </c>
    </row>
    <row r="822" spans="1:249" s="32" customFormat="1" x14ac:dyDescent="0.25">
      <c r="A822" s="32">
        <v>41</v>
      </c>
      <c r="B822" s="32" t="s">
        <v>592</v>
      </c>
      <c r="C822" s="32" t="s">
        <v>593</v>
      </c>
      <c r="D822" s="32">
        <v>1994</v>
      </c>
      <c r="E822" s="32">
        <v>1987</v>
      </c>
      <c r="F822" s="32" t="s">
        <v>419</v>
      </c>
      <c r="G822" s="32" t="s">
        <v>595</v>
      </c>
      <c r="H822" s="32" t="s">
        <v>2831</v>
      </c>
      <c r="I822" s="32">
        <v>38.03</v>
      </c>
      <c r="J822" s="32">
        <v>-84.51</v>
      </c>
      <c r="K822" s="32">
        <v>299.60000000000002</v>
      </c>
      <c r="Q822" s="44">
        <v>3</v>
      </c>
      <c r="R822" s="44" t="s">
        <v>1729</v>
      </c>
      <c r="S822" s="44"/>
      <c r="T822" s="44" t="s">
        <v>1944</v>
      </c>
      <c r="U822" s="44" t="s">
        <v>1383</v>
      </c>
      <c r="V822" s="44" t="s">
        <v>1722</v>
      </c>
      <c r="W822" s="44" t="s">
        <v>1383</v>
      </c>
      <c r="X822" s="44" t="s">
        <v>1383</v>
      </c>
      <c r="Y822" s="32">
        <v>1.05</v>
      </c>
      <c r="Z822" s="323">
        <v>7.3</v>
      </c>
      <c r="AA822" s="323">
        <v>70.2</v>
      </c>
      <c r="AB822" s="32" t="s">
        <v>451</v>
      </c>
      <c r="AC822" s="32">
        <v>5.48</v>
      </c>
      <c r="AD822" s="32">
        <v>1.1599999999999999</v>
      </c>
      <c r="AF822" s="32" t="s">
        <v>1340</v>
      </c>
      <c r="AG822" s="32" t="s">
        <v>132</v>
      </c>
      <c r="AH822" s="138" t="s">
        <v>132</v>
      </c>
      <c r="AI822" s="32" t="s">
        <v>133</v>
      </c>
      <c r="AJ822" s="140" t="s">
        <v>133</v>
      </c>
      <c r="AT822" s="32" t="s">
        <v>120</v>
      </c>
      <c r="AU822" s="32">
        <v>2</v>
      </c>
      <c r="AW822" s="32" t="s">
        <v>142</v>
      </c>
      <c r="BA822" s="53"/>
      <c r="BM822" s="397"/>
      <c r="BN822" s="397"/>
      <c r="BR822" s="397"/>
      <c r="BS822" s="397"/>
      <c r="EO822" s="32">
        <v>30.46</v>
      </c>
      <c r="EP822" s="32">
        <v>0.26</v>
      </c>
      <c r="ES822" s="32" t="s">
        <v>596</v>
      </c>
      <c r="IO822" s="32" t="s">
        <v>728</v>
      </c>
    </row>
    <row r="823" spans="1:249" s="32" customFormat="1" x14ac:dyDescent="0.25">
      <c r="A823" s="32">
        <v>41</v>
      </c>
      <c r="B823" s="32" t="s">
        <v>592</v>
      </c>
      <c r="C823" s="32" t="s">
        <v>593</v>
      </c>
      <c r="D823" s="32">
        <v>1994</v>
      </c>
      <c r="E823" s="32">
        <v>1987</v>
      </c>
      <c r="F823" s="32" t="s">
        <v>419</v>
      </c>
      <c r="G823" s="32" t="s">
        <v>595</v>
      </c>
      <c r="H823" s="32" t="s">
        <v>2831</v>
      </c>
      <c r="I823" s="32">
        <v>38.03</v>
      </c>
      <c r="J823" s="32">
        <v>-84.51</v>
      </c>
      <c r="K823" s="32">
        <v>299.60000000000002</v>
      </c>
      <c r="Q823" s="44">
        <v>3</v>
      </c>
      <c r="R823" s="44" t="s">
        <v>1729</v>
      </c>
      <c r="S823" s="44"/>
      <c r="T823" s="44" t="s">
        <v>1945</v>
      </c>
      <c r="U823" s="44" t="s">
        <v>1383</v>
      </c>
      <c r="V823" s="44" t="s">
        <v>1722</v>
      </c>
      <c r="W823" s="44" t="s">
        <v>1383</v>
      </c>
      <c r="X823" s="44" t="s">
        <v>1383</v>
      </c>
      <c r="Y823" s="32">
        <v>1.05</v>
      </c>
      <c r="Z823" s="323">
        <v>7.3</v>
      </c>
      <c r="AA823" s="323">
        <v>70.2</v>
      </c>
      <c r="AB823" s="32" t="s">
        <v>451</v>
      </c>
      <c r="AC823" s="32">
        <v>5.48</v>
      </c>
      <c r="AD823" s="32">
        <v>1.1599999999999999</v>
      </c>
      <c r="AF823" s="32" t="s">
        <v>1340</v>
      </c>
      <c r="AG823" s="32" t="s">
        <v>132</v>
      </c>
      <c r="AH823" s="138" t="s">
        <v>132</v>
      </c>
      <c r="AI823" s="32" t="s">
        <v>133</v>
      </c>
      <c r="AJ823" s="140" t="s">
        <v>133</v>
      </c>
      <c r="AT823" s="32" t="s">
        <v>120</v>
      </c>
      <c r="AU823" s="32">
        <v>2</v>
      </c>
      <c r="AW823" s="32" t="s">
        <v>142</v>
      </c>
      <c r="BA823" s="53"/>
      <c r="BM823" s="397"/>
      <c r="BN823" s="397"/>
      <c r="BR823" s="397"/>
      <c r="BS823" s="397"/>
      <c r="EO823" s="32">
        <v>48.81</v>
      </c>
      <c r="EP823" s="32">
        <v>15.59</v>
      </c>
      <c r="ES823" s="32" t="s">
        <v>596</v>
      </c>
      <c r="IO823" s="32" t="s">
        <v>728</v>
      </c>
    </row>
    <row r="824" spans="1:249" s="32" customFormat="1" x14ac:dyDescent="0.25">
      <c r="A824" s="32">
        <v>41</v>
      </c>
      <c r="B824" s="32" t="s">
        <v>592</v>
      </c>
      <c r="C824" s="32" t="s">
        <v>593</v>
      </c>
      <c r="D824" s="32">
        <v>1994</v>
      </c>
      <c r="E824" s="32">
        <v>1987</v>
      </c>
      <c r="F824" s="32" t="s">
        <v>419</v>
      </c>
      <c r="G824" s="32" t="s">
        <v>595</v>
      </c>
      <c r="H824" s="32" t="s">
        <v>2831</v>
      </c>
      <c r="I824" s="32">
        <v>38.03</v>
      </c>
      <c r="J824" s="32">
        <v>-84.51</v>
      </c>
      <c r="K824" s="32">
        <v>299.60000000000002</v>
      </c>
      <c r="Q824" s="44">
        <v>3</v>
      </c>
      <c r="R824" s="44" t="s">
        <v>1729</v>
      </c>
      <c r="S824" s="44"/>
      <c r="T824" s="44" t="s">
        <v>1946</v>
      </c>
      <c r="U824" s="44" t="s">
        <v>1383</v>
      </c>
      <c r="V824" s="44" t="s">
        <v>1722</v>
      </c>
      <c r="W824" s="44" t="s">
        <v>1383</v>
      </c>
      <c r="X824" s="44" t="s">
        <v>1383</v>
      </c>
      <c r="Y824" s="32">
        <v>1.05</v>
      </c>
      <c r="Z824" s="323">
        <v>7.3</v>
      </c>
      <c r="AA824" s="323">
        <v>70.2</v>
      </c>
      <c r="AB824" s="32" t="s">
        <v>451</v>
      </c>
      <c r="AC824" s="32">
        <v>5.48</v>
      </c>
      <c r="AD824" s="32">
        <v>1.1599999999999999</v>
      </c>
      <c r="AF824" s="32" t="s">
        <v>1340</v>
      </c>
      <c r="AG824" s="32" t="s">
        <v>132</v>
      </c>
      <c r="AH824" s="138" t="s">
        <v>132</v>
      </c>
      <c r="AI824" s="32" t="s">
        <v>133</v>
      </c>
      <c r="AJ824" s="140" t="s">
        <v>133</v>
      </c>
      <c r="AT824" s="32" t="s">
        <v>120</v>
      </c>
      <c r="AU824" s="32">
        <v>2</v>
      </c>
      <c r="AW824" s="32" t="s">
        <v>142</v>
      </c>
      <c r="BA824" s="53"/>
      <c r="BM824" s="397"/>
      <c r="BN824" s="397"/>
      <c r="BR824" s="397"/>
      <c r="BS824" s="397"/>
      <c r="EO824" s="32">
        <v>35.020000000000003</v>
      </c>
      <c r="EP824" s="32">
        <v>35.020000000000003</v>
      </c>
      <c r="ES824" s="32" t="s">
        <v>596</v>
      </c>
      <c r="IO824" s="32" t="s">
        <v>728</v>
      </c>
    </row>
    <row r="825" spans="1:249" s="32" customFormat="1" x14ac:dyDescent="0.25">
      <c r="A825" s="32">
        <v>41</v>
      </c>
      <c r="B825" s="32" t="s">
        <v>592</v>
      </c>
      <c r="C825" s="32" t="s">
        <v>593</v>
      </c>
      <c r="D825" s="32">
        <v>1994</v>
      </c>
      <c r="E825" s="32">
        <v>1987</v>
      </c>
      <c r="F825" s="32" t="s">
        <v>419</v>
      </c>
      <c r="G825" s="32" t="s">
        <v>595</v>
      </c>
      <c r="H825" s="32" t="s">
        <v>2831</v>
      </c>
      <c r="I825" s="32">
        <v>38.03</v>
      </c>
      <c r="J825" s="32">
        <v>-84.51</v>
      </c>
      <c r="K825" s="32">
        <v>299.60000000000002</v>
      </c>
      <c r="Q825" s="44">
        <v>3</v>
      </c>
      <c r="R825" s="44" t="s">
        <v>1729</v>
      </c>
      <c r="S825" s="44"/>
      <c r="T825" s="44" t="s">
        <v>1953</v>
      </c>
      <c r="U825" s="44" t="s">
        <v>1383</v>
      </c>
      <c r="V825" s="44" t="s">
        <v>1722</v>
      </c>
      <c r="W825" s="44" t="s">
        <v>1383</v>
      </c>
      <c r="X825" s="44" t="s">
        <v>1383</v>
      </c>
      <c r="Y825" s="32">
        <v>1.05</v>
      </c>
      <c r="Z825" s="323">
        <v>7.3</v>
      </c>
      <c r="AA825" s="323">
        <v>70.2</v>
      </c>
      <c r="AB825" s="32" t="s">
        <v>451</v>
      </c>
      <c r="AC825" s="32">
        <v>5.48</v>
      </c>
      <c r="AD825" s="32">
        <v>1.1599999999999999</v>
      </c>
      <c r="AF825" s="32" t="s">
        <v>1340</v>
      </c>
      <c r="AG825" s="32" t="s">
        <v>132</v>
      </c>
      <c r="AH825" s="138" t="s">
        <v>132</v>
      </c>
      <c r="AI825" s="32" t="s">
        <v>133</v>
      </c>
      <c r="AJ825" s="140" t="s">
        <v>133</v>
      </c>
      <c r="AT825" s="32" t="s">
        <v>120</v>
      </c>
      <c r="AU825" s="32">
        <v>2</v>
      </c>
      <c r="AW825" s="32" t="s">
        <v>142</v>
      </c>
      <c r="BA825" s="53"/>
      <c r="BM825" s="397"/>
      <c r="BN825" s="397"/>
      <c r="BR825" s="397"/>
      <c r="BS825" s="397"/>
      <c r="EO825" s="32">
        <v>0.5</v>
      </c>
      <c r="EP825" s="32">
        <v>0.5</v>
      </c>
      <c r="ES825" s="32" t="s">
        <v>596</v>
      </c>
      <c r="IO825" s="32" t="s">
        <v>728</v>
      </c>
    </row>
    <row r="826" spans="1:249" s="32" customFormat="1" x14ac:dyDescent="0.25">
      <c r="A826" s="32">
        <v>41</v>
      </c>
      <c r="B826" s="32" t="s">
        <v>592</v>
      </c>
      <c r="C826" s="32" t="s">
        <v>593</v>
      </c>
      <c r="D826" s="32">
        <v>1994</v>
      </c>
      <c r="E826" s="32">
        <v>1987</v>
      </c>
      <c r="F826" s="32" t="s">
        <v>419</v>
      </c>
      <c r="G826" s="32" t="s">
        <v>595</v>
      </c>
      <c r="H826" s="32" t="s">
        <v>2831</v>
      </c>
      <c r="I826" s="32">
        <v>38.03</v>
      </c>
      <c r="J826" s="32">
        <v>-84.51</v>
      </c>
      <c r="K826" s="32">
        <v>299.60000000000002</v>
      </c>
      <c r="Q826" s="44">
        <v>3</v>
      </c>
      <c r="R826" s="44" t="s">
        <v>1729</v>
      </c>
      <c r="S826" s="44"/>
      <c r="T826" s="44" t="s">
        <v>1948</v>
      </c>
      <c r="U826" s="44" t="s">
        <v>1383</v>
      </c>
      <c r="V826" s="44" t="s">
        <v>1722</v>
      </c>
      <c r="W826" s="44" t="s">
        <v>1383</v>
      </c>
      <c r="X826" s="44" t="s">
        <v>1383</v>
      </c>
      <c r="Y826" s="32">
        <v>1.05</v>
      </c>
      <c r="Z826" s="323">
        <v>7.3</v>
      </c>
      <c r="AA826" s="323">
        <v>70.2</v>
      </c>
      <c r="AB826" s="32" t="s">
        <v>451</v>
      </c>
      <c r="AC826" s="32">
        <v>5.48</v>
      </c>
      <c r="AD826" s="32">
        <v>1.1599999999999999</v>
      </c>
      <c r="AF826" s="32" t="s">
        <v>1340</v>
      </c>
      <c r="AG826" s="32" t="s">
        <v>132</v>
      </c>
      <c r="AH826" s="138" t="s">
        <v>132</v>
      </c>
      <c r="AI826" s="32" t="s">
        <v>133</v>
      </c>
      <c r="AJ826" s="140" t="s">
        <v>133</v>
      </c>
      <c r="AT826" s="32" t="s">
        <v>120</v>
      </c>
      <c r="AU826" s="32">
        <v>2</v>
      </c>
      <c r="AW826" s="32" t="s">
        <v>142</v>
      </c>
      <c r="BA826" s="53"/>
      <c r="BM826" s="397"/>
      <c r="BN826" s="397"/>
      <c r="BR826" s="397"/>
      <c r="BS826" s="397"/>
      <c r="EO826" s="32">
        <v>0.17</v>
      </c>
      <c r="EP826" s="32">
        <v>0.17</v>
      </c>
      <c r="ES826" s="32" t="s">
        <v>596</v>
      </c>
      <c r="IO826" s="32" t="s">
        <v>728</v>
      </c>
    </row>
    <row r="827" spans="1:249" s="32" customFormat="1" x14ac:dyDescent="0.25">
      <c r="A827" s="32">
        <v>41</v>
      </c>
      <c r="B827" s="32" t="s">
        <v>592</v>
      </c>
      <c r="C827" s="32" t="s">
        <v>593</v>
      </c>
      <c r="D827" s="32">
        <v>1994</v>
      </c>
      <c r="E827" s="32">
        <v>1987</v>
      </c>
      <c r="F827" s="32" t="s">
        <v>419</v>
      </c>
      <c r="G827" s="32" t="s">
        <v>595</v>
      </c>
      <c r="H827" s="32" t="s">
        <v>2831</v>
      </c>
      <c r="I827" s="32">
        <v>38.03</v>
      </c>
      <c r="J827" s="32">
        <v>-84.51</v>
      </c>
      <c r="K827" s="32">
        <v>299.60000000000002</v>
      </c>
      <c r="Q827" s="44">
        <v>3</v>
      </c>
      <c r="R827" s="44" t="s">
        <v>1729</v>
      </c>
      <c r="S827" s="44"/>
      <c r="T827" s="44" t="s">
        <v>1954</v>
      </c>
      <c r="U827" s="44" t="s">
        <v>1383</v>
      </c>
      <c r="V827" s="44" t="s">
        <v>1722</v>
      </c>
      <c r="W827" s="44" t="s">
        <v>1383</v>
      </c>
      <c r="X827" s="44" t="s">
        <v>1383</v>
      </c>
      <c r="Y827" s="32">
        <v>1.05</v>
      </c>
      <c r="Z827" s="323">
        <v>7.3</v>
      </c>
      <c r="AA827" s="323">
        <v>70.2</v>
      </c>
      <c r="AB827" s="32" t="s">
        <v>451</v>
      </c>
      <c r="AC827" s="32">
        <v>5.48</v>
      </c>
      <c r="AD827" s="32">
        <v>1.1599999999999999</v>
      </c>
      <c r="AF827" s="32" t="s">
        <v>1340</v>
      </c>
      <c r="AG827" s="32" t="s">
        <v>132</v>
      </c>
      <c r="AH827" s="138" t="s">
        <v>132</v>
      </c>
      <c r="AI827" s="32" t="s">
        <v>133</v>
      </c>
      <c r="AJ827" s="140" t="s">
        <v>133</v>
      </c>
      <c r="AT827" s="32" t="s">
        <v>120</v>
      </c>
      <c r="AU827" s="32">
        <v>2</v>
      </c>
      <c r="AW827" s="32" t="s">
        <v>142</v>
      </c>
      <c r="BA827" s="53"/>
      <c r="BM827" s="397"/>
      <c r="BN827" s="397"/>
      <c r="BR827" s="397"/>
      <c r="BS827" s="397"/>
      <c r="EO827" s="32">
        <v>25.21</v>
      </c>
      <c r="EP827" s="32">
        <v>12.69</v>
      </c>
      <c r="ES827" s="32" t="s">
        <v>596</v>
      </c>
      <c r="IO827" s="32" t="s">
        <v>728</v>
      </c>
    </row>
    <row r="828" spans="1:249" s="24" customFormat="1" x14ac:dyDescent="0.25">
      <c r="A828" s="24">
        <v>41</v>
      </c>
      <c r="B828" s="24" t="s">
        <v>592</v>
      </c>
      <c r="C828" s="24" t="s">
        <v>593</v>
      </c>
      <c r="D828" s="24">
        <v>1994</v>
      </c>
      <c r="E828" s="24">
        <v>1988</v>
      </c>
      <c r="F828" s="24" t="s">
        <v>419</v>
      </c>
      <c r="G828" s="24" t="s">
        <v>595</v>
      </c>
      <c r="H828" s="32" t="s">
        <v>2831</v>
      </c>
      <c r="I828" s="24">
        <v>38.03</v>
      </c>
      <c r="J828" s="24">
        <v>-84.51</v>
      </c>
      <c r="K828" s="24">
        <v>299.60000000000002</v>
      </c>
      <c r="Q828" s="42">
        <v>4</v>
      </c>
      <c r="R828" s="42" t="s">
        <v>1729</v>
      </c>
      <c r="S828" s="42"/>
      <c r="T828" s="42" t="s">
        <v>1949</v>
      </c>
      <c r="U828" s="42" t="s">
        <v>1383</v>
      </c>
      <c r="V828" s="42" t="s">
        <v>1722</v>
      </c>
      <c r="W828" s="42" t="s">
        <v>1383</v>
      </c>
      <c r="X828" s="42" t="s">
        <v>1383</v>
      </c>
      <c r="Y828" s="24">
        <v>1.05</v>
      </c>
      <c r="Z828" s="321">
        <v>7.3</v>
      </c>
      <c r="AA828" s="321">
        <v>70.2</v>
      </c>
      <c r="AB828" s="24" t="s">
        <v>451</v>
      </c>
      <c r="AC828" s="24">
        <v>5.48</v>
      </c>
      <c r="AD828" s="24">
        <v>1.1599999999999999</v>
      </c>
      <c r="AF828" s="24" t="s">
        <v>1340</v>
      </c>
      <c r="AG828" s="24" t="s">
        <v>132</v>
      </c>
      <c r="AH828" s="138" t="s">
        <v>132</v>
      </c>
      <c r="AI828" s="24" t="s">
        <v>133</v>
      </c>
      <c r="AJ828" s="140" t="s">
        <v>133</v>
      </c>
      <c r="AT828" s="24" t="s">
        <v>120</v>
      </c>
      <c r="AU828" s="24">
        <v>2</v>
      </c>
      <c r="AW828" s="24" t="s">
        <v>142</v>
      </c>
      <c r="BA828" s="53"/>
      <c r="BM828" s="395"/>
      <c r="BN828" s="395"/>
      <c r="BR828" s="395"/>
      <c r="BS828" s="395"/>
      <c r="EO828" s="24">
        <v>95.55</v>
      </c>
      <c r="EP828" s="24">
        <v>92.09</v>
      </c>
      <c r="ES828" s="24" t="s">
        <v>596</v>
      </c>
      <c r="IO828" s="24" t="s">
        <v>728</v>
      </c>
    </row>
    <row r="829" spans="1:249" s="24" customFormat="1" x14ac:dyDescent="0.25">
      <c r="A829" s="24">
        <v>41</v>
      </c>
      <c r="B829" s="24" t="s">
        <v>592</v>
      </c>
      <c r="C829" s="24" t="s">
        <v>593</v>
      </c>
      <c r="D829" s="24">
        <v>1994</v>
      </c>
      <c r="E829" s="24">
        <v>1988</v>
      </c>
      <c r="F829" s="24" t="s">
        <v>419</v>
      </c>
      <c r="G829" s="24" t="s">
        <v>595</v>
      </c>
      <c r="H829" s="32" t="s">
        <v>2831</v>
      </c>
      <c r="I829" s="24">
        <v>38.03</v>
      </c>
      <c r="J829" s="24">
        <v>-84.51</v>
      </c>
      <c r="K829" s="24">
        <v>299.60000000000002</v>
      </c>
      <c r="Q829" s="42">
        <v>4</v>
      </c>
      <c r="R829" s="42" t="s">
        <v>1729</v>
      </c>
      <c r="S829" s="42"/>
      <c r="T829" s="42" t="s">
        <v>1950</v>
      </c>
      <c r="U829" s="42" t="s">
        <v>1383</v>
      </c>
      <c r="V829" s="42" t="s">
        <v>1722</v>
      </c>
      <c r="W829" s="42" t="s">
        <v>1383</v>
      </c>
      <c r="X829" s="42" t="s">
        <v>1383</v>
      </c>
      <c r="Y829" s="24">
        <v>1.05</v>
      </c>
      <c r="Z829" s="321">
        <v>7.3</v>
      </c>
      <c r="AA829" s="321">
        <v>70.2</v>
      </c>
      <c r="AB829" s="24" t="s">
        <v>451</v>
      </c>
      <c r="AC829" s="24">
        <v>5.48</v>
      </c>
      <c r="AD829" s="24">
        <v>1.1599999999999999</v>
      </c>
      <c r="AF829" s="24" t="s">
        <v>1340</v>
      </c>
      <c r="AG829" s="24" t="s">
        <v>132</v>
      </c>
      <c r="AH829" s="138" t="s">
        <v>132</v>
      </c>
      <c r="AI829" s="24" t="s">
        <v>133</v>
      </c>
      <c r="AJ829" s="140" t="s">
        <v>133</v>
      </c>
      <c r="AT829" s="24" t="s">
        <v>120</v>
      </c>
      <c r="AU829" s="24">
        <v>2</v>
      </c>
      <c r="AW829" s="24" t="s">
        <v>142</v>
      </c>
      <c r="BA829" s="53"/>
      <c r="BM829" s="395"/>
      <c r="BN829" s="395"/>
      <c r="BR829" s="395"/>
      <c r="BS829" s="395"/>
      <c r="EO829" s="24">
        <v>81.97</v>
      </c>
      <c r="EP829" s="24">
        <v>79.599999999999994</v>
      </c>
      <c r="ES829" s="24" t="s">
        <v>596</v>
      </c>
      <c r="IO829" s="24" t="s">
        <v>728</v>
      </c>
    </row>
    <row r="830" spans="1:249" s="24" customFormat="1" x14ac:dyDescent="0.25">
      <c r="A830" s="24">
        <v>41</v>
      </c>
      <c r="B830" s="24" t="s">
        <v>592</v>
      </c>
      <c r="C830" s="24" t="s">
        <v>593</v>
      </c>
      <c r="D830" s="24">
        <v>1994</v>
      </c>
      <c r="E830" s="24">
        <v>1988</v>
      </c>
      <c r="F830" s="24" t="s">
        <v>419</v>
      </c>
      <c r="G830" s="24" t="s">
        <v>595</v>
      </c>
      <c r="H830" s="32" t="s">
        <v>2831</v>
      </c>
      <c r="I830" s="24">
        <v>38.03</v>
      </c>
      <c r="J830" s="24">
        <v>-84.51</v>
      </c>
      <c r="K830" s="24">
        <v>299.60000000000002</v>
      </c>
      <c r="Q830" s="42">
        <v>4</v>
      </c>
      <c r="R830" s="42" t="s">
        <v>1729</v>
      </c>
      <c r="S830" s="42"/>
      <c r="T830" s="42" t="s">
        <v>1951</v>
      </c>
      <c r="U830" s="42" t="s">
        <v>1383</v>
      </c>
      <c r="V830" s="42" t="s">
        <v>1722</v>
      </c>
      <c r="W830" s="42" t="s">
        <v>1383</v>
      </c>
      <c r="X830" s="42" t="s">
        <v>1383</v>
      </c>
      <c r="Y830" s="24">
        <v>1.05</v>
      </c>
      <c r="Z830" s="321">
        <v>7.3</v>
      </c>
      <c r="AA830" s="321">
        <v>70.2</v>
      </c>
      <c r="AB830" s="24" t="s">
        <v>451</v>
      </c>
      <c r="AC830" s="24">
        <v>5.48</v>
      </c>
      <c r="AD830" s="24">
        <v>1.1599999999999999</v>
      </c>
      <c r="AF830" s="24" t="s">
        <v>1340</v>
      </c>
      <c r="AG830" s="24" t="s">
        <v>132</v>
      </c>
      <c r="AH830" s="138" t="s">
        <v>132</v>
      </c>
      <c r="AI830" s="24" t="s">
        <v>133</v>
      </c>
      <c r="AJ830" s="140" t="s">
        <v>133</v>
      </c>
      <c r="AT830" s="24" t="s">
        <v>120</v>
      </c>
      <c r="AU830" s="24">
        <v>2</v>
      </c>
      <c r="AW830" s="24" t="s">
        <v>142</v>
      </c>
      <c r="BA830" s="53"/>
      <c r="BM830" s="395"/>
      <c r="BN830" s="395"/>
      <c r="BR830" s="395"/>
      <c r="BS830" s="395"/>
      <c r="EO830" s="24">
        <v>100</v>
      </c>
      <c r="EP830" s="24">
        <v>95.79</v>
      </c>
      <c r="ES830" s="24" t="s">
        <v>596</v>
      </c>
      <c r="IO830" s="24" t="s">
        <v>728</v>
      </c>
    </row>
    <row r="831" spans="1:249" s="24" customFormat="1" x14ac:dyDescent="0.25">
      <c r="A831" s="24">
        <v>41</v>
      </c>
      <c r="B831" s="24" t="s">
        <v>592</v>
      </c>
      <c r="C831" s="24" t="s">
        <v>593</v>
      </c>
      <c r="D831" s="24">
        <v>1994</v>
      </c>
      <c r="E831" s="24">
        <v>1988</v>
      </c>
      <c r="F831" s="24" t="s">
        <v>419</v>
      </c>
      <c r="G831" s="24" t="s">
        <v>595</v>
      </c>
      <c r="H831" s="32" t="s">
        <v>2831</v>
      </c>
      <c r="I831" s="24">
        <v>38.03</v>
      </c>
      <c r="J831" s="24">
        <v>-84.51</v>
      </c>
      <c r="K831" s="24">
        <v>299.60000000000002</v>
      </c>
      <c r="Q831" s="42">
        <v>4</v>
      </c>
      <c r="R831" s="42" t="s">
        <v>1729</v>
      </c>
      <c r="S831" s="42"/>
      <c r="T831" s="42" t="s">
        <v>1952</v>
      </c>
      <c r="U831" s="42" t="s">
        <v>1383</v>
      </c>
      <c r="V831" s="42" t="s">
        <v>1722</v>
      </c>
      <c r="W831" s="42" t="s">
        <v>1383</v>
      </c>
      <c r="X831" s="42" t="s">
        <v>1383</v>
      </c>
      <c r="Y831" s="24">
        <v>1.05</v>
      </c>
      <c r="Z831" s="321">
        <v>7.3</v>
      </c>
      <c r="AA831" s="321">
        <v>70.2</v>
      </c>
      <c r="AB831" s="24" t="s">
        <v>451</v>
      </c>
      <c r="AC831" s="24">
        <v>5.48</v>
      </c>
      <c r="AD831" s="24">
        <v>1.1599999999999999</v>
      </c>
      <c r="AF831" s="24" t="s">
        <v>1340</v>
      </c>
      <c r="AG831" s="24" t="s">
        <v>132</v>
      </c>
      <c r="AH831" s="138" t="s">
        <v>132</v>
      </c>
      <c r="AI831" s="24" t="s">
        <v>133</v>
      </c>
      <c r="AJ831" s="140" t="s">
        <v>133</v>
      </c>
      <c r="AT831" s="24" t="s">
        <v>120</v>
      </c>
      <c r="AU831" s="24">
        <v>2</v>
      </c>
      <c r="AW831" s="24" t="s">
        <v>142</v>
      </c>
      <c r="BA831" s="53"/>
      <c r="BM831" s="395"/>
      <c r="BN831" s="395"/>
      <c r="BR831" s="395"/>
      <c r="BS831" s="395"/>
      <c r="EO831" s="24">
        <v>85.89</v>
      </c>
      <c r="EP831" s="24">
        <v>83.51</v>
      </c>
      <c r="ES831" s="24" t="s">
        <v>596</v>
      </c>
      <c r="IO831" s="24" t="s">
        <v>728</v>
      </c>
    </row>
    <row r="832" spans="1:249" s="24" customFormat="1" x14ac:dyDescent="0.25">
      <c r="A832" s="24">
        <v>41</v>
      </c>
      <c r="B832" s="24" t="s">
        <v>592</v>
      </c>
      <c r="C832" s="24" t="s">
        <v>593</v>
      </c>
      <c r="D832" s="24">
        <v>1994</v>
      </c>
      <c r="E832" s="24">
        <v>1988</v>
      </c>
      <c r="F832" s="24" t="s">
        <v>419</v>
      </c>
      <c r="G832" s="24" t="s">
        <v>595</v>
      </c>
      <c r="H832" s="32" t="s">
        <v>2831</v>
      </c>
      <c r="I832" s="24">
        <v>38.03</v>
      </c>
      <c r="J832" s="24">
        <v>-84.51</v>
      </c>
      <c r="K832" s="24">
        <v>299.60000000000002</v>
      </c>
      <c r="Q832" s="42">
        <v>4</v>
      </c>
      <c r="R832" s="42" t="s">
        <v>1729</v>
      </c>
      <c r="S832" s="42"/>
      <c r="T832" s="42" t="s">
        <v>1952</v>
      </c>
      <c r="U832" s="42" t="s">
        <v>1383</v>
      </c>
      <c r="V832" s="42" t="s">
        <v>1722</v>
      </c>
      <c r="W832" s="42" t="s">
        <v>1383</v>
      </c>
      <c r="X832" s="42" t="s">
        <v>1383</v>
      </c>
      <c r="Y832" s="24">
        <v>1.05</v>
      </c>
      <c r="Z832" s="321">
        <v>7.3</v>
      </c>
      <c r="AA832" s="321">
        <v>70.2</v>
      </c>
      <c r="AB832" s="24" t="s">
        <v>451</v>
      </c>
      <c r="AC832" s="24">
        <v>5.48</v>
      </c>
      <c r="AD832" s="24">
        <v>1.1599999999999999</v>
      </c>
      <c r="AF832" s="24" t="s">
        <v>1340</v>
      </c>
      <c r="AG832" s="24" t="s">
        <v>132</v>
      </c>
      <c r="AH832" s="138" t="s">
        <v>132</v>
      </c>
      <c r="AI832" s="24" t="s">
        <v>133</v>
      </c>
      <c r="AJ832" s="140" t="s">
        <v>133</v>
      </c>
      <c r="AT832" s="24" t="s">
        <v>120</v>
      </c>
      <c r="AU832" s="24">
        <v>2</v>
      </c>
      <c r="AW832" s="24" t="s">
        <v>142</v>
      </c>
      <c r="BA832" s="53"/>
      <c r="BM832" s="395"/>
      <c r="BN832" s="395"/>
      <c r="BR832" s="395"/>
      <c r="BS832" s="395"/>
      <c r="EO832" s="24">
        <v>52.89</v>
      </c>
      <c r="EP832" s="24">
        <v>31.31</v>
      </c>
      <c r="ES832" s="24" t="s">
        <v>596</v>
      </c>
      <c r="IO832" s="24" t="s">
        <v>728</v>
      </c>
    </row>
    <row r="833" spans="1:249" s="24" customFormat="1" x14ac:dyDescent="0.25">
      <c r="A833" s="24">
        <v>41</v>
      </c>
      <c r="B833" s="24" t="s">
        <v>592</v>
      </c>
      <c r="C833" s="24" t="s">
        <v>593</v>
      </c>
      <c r="D833" s="24">
        <v>1994</v>
      </c>
      <c r="E833" s="24">
        <v>1988</v>
      </c>
      <c r="F833" s="24" t="s">
        <v>419</v>
      </c>
      <c r="G833" s="24" t="s">
        <v>595</v>
      </c>
      <c r="H833" s="32" t="s">
        <v>2831</v>
      </c>
      <c r="I833" s="24">
        <v>38.03</v>
      </c>
      <c r="J833" s="24">
        <v>-84.51</v>
      </c>
      <c r="K833" s="24">
        <v>299.60000000000002</v>
      </c>
      <c r="Q833" s="42">
        <v>4</v>
      </c>
      <c r="R833" s="42" t="s">
        <v>1729</v>
      </c>
      <c r="S833" s="42"/>
      <c r="T833" s="42" t="s">
        <v>1943</v>
      </c>
      <c r="U833" s="42" t="s">
        <v>1383</v>
      </c>
      <c r="V833" s="42" t="s">
        <v>1722</v>
      </c>
      <c r="W833" s="42" t="s">
        <v>1383</v>
      </c>
      <c r="X833" s="42" t="s">
        <v>1383</v>
      </c>
      <c r="Y833" s="24">
        <v>1.05</v>
      </c>
      <c r="Z833" s="321">
        <v>7.3</v>
      </c>
      <c r="AA833" s="321">
        <v>70.2</v>
      </c>
      <c r="AB833" s="24" t="s">
        <v>451</v>
      </c>
      <c r="AC833" s="24">
        <v>5.48</v>
      </c>
      <c r="AD833" s="24">
        <v>1.1599999999999999</v>
      </c>
      <c r="AF833" s="24" t="s">
        <v>1340</v>
      </c>
      <c r="AG833" s="24" t="s">
        <v>132</v>
      </c>
      <c r="AH833" s="138" t="s">
        <v>132</v>
      </c>
      <c r="AI833" s="24" t="s">
        <v>133</v>
      </c>
      <c r="AJ833" s="140" t="s">
        <v>133</v>
      </c>
      <c r="AT833" s="24" t="s">
        <v>120</v>
      </c>
      <c r="AU833" s="24">
        <v>2</v>
      </c>
      <c r="AW833" s="24" t="s">
        <v>142</v>
      </c>
      <c r="BA833" s="53"/>
      <c r="BM833" s="395"/>
      <c r="BN833" s="395"/>
      <c r="BR833" s="395"/>
      <c r="BS833" s="395"/>
      <c r="EO833" s="24">
        <v>82.67</v>
      </c>
      <c r="EP833" s="24">
        <v>75.98</v>
      </c>
      <c r="ES833" s="24" t="s">
        <v>596</v>
      </c>
      <c r="IO833" s="24" t="s">
        <v>728</v>
      </c>
    </row>
    <row r="834" spans="1:249" s="24" customFormat="1" x14ac:dyDescent="0.25">
      <c r="A834" s="24">
        <v>41</v>
      </c>
      <c r="B834" s="24" t="s">
        <v>592</v>
      </c>
      <c r="C834" s="24" t="s">
        <v>593</v>
      </c>
      <c r="D834" s="24">
        <v>1994</v>
      </c>
      <c r="E834" s="24">
        <v>1988</v>
      </c>
      <c r="F834" s="24" t="s">
        <v>419</v>
      </c>
      <c r="G834" s="24" t="s">
        <v>595</v>
      </c>
      <c r="H834" s="32" t="s">
        <v>2831</v>
      </c>
      <c r="I834" s="24">
        <v>38.03</v>
      </c>
      <c r="J834" s="24">
        <v>-84.51</v>
      </c>
      <c r="K834" s="24">
        <v>299.60000000000002</v>
      </c>
      <c r="Q834" s="42">
        <v>4</v>
      </c>
      <c r="R834" s="42" t="s">
        <v>1729</v>
      </c>
      <c r="S834" s="42"/>
      <c r="T834" s="42" t="s">
        <v>1943</v>
      </c>
      <c r="U834" s="42" t="s">
        <v>1383</v>
      </c>
      <c r="V834" s="42" t="s">
        <v>1722</v>
      </c>
      <c r="W834" s="42" t="s">
        <v>1383</v>
      </c>
      <c r="X834" s="42" t="s">
        <v>1383</v>
      </c>
      <c r="Y834" s="24">
        <v>1.05</v>
      </c>
      <c r="Z834" s="321">
        <v>7.3</v>
      </c>
      <c r="AA834" s="321">
        <v>70.2</v>
      </c>
      <c r="AB834" s="24" t="s">
        <v>451</v>
      </c>
      <c r="AC834" s="24">
        <v>5.48</v>
      </c>
      <c r="AD834" s="24">
        <v>1.1599999999999999</v>
      </c>
      <c r="AF834" s="24" t="s">
        <v>1340</v>
      </c>
      <c r="AG834" s="24" t="s">
        <v>132</v>
      </c>
      <c r="AH834" s="138" t="s">
        <v>132</v>
      </c>
      <c r="AI834" s="24" t="s">
        <v>133</v>
      </c>
      <c r="AJ834" s="140" t="s">
        <v>133</v>
      </c>
      <c r="AT834" s="24" t="s">
        <v>120</v>
      </c>
      <c r="AU834" s="24">
        <v>2</v>
      </c>
      <c r="AW834" s="24" t="s">
        <v>142</v>
      </c>
      <c r="BA834" s="53"/>
      <c r="BM834" s="395"/>
      <c r="BN834" s="395"/>
      <c r="BR834" s="395"/>
      <c r="BS834" s="395"/>
      <c r="EO834" s="24">
        <v>66.94</v>
      </c>
      <c r="EP834" s="24">
        <v>24.65</v>
      </c>
      <c r="ES834" s="24" t="s">
        <v>596</v>
      </c>
      <c r="IO834" s="24" t="s">
        <v>728</v>
      </c>
    </row>
    <row r="835" spans="1:249" s="24" customFormat="1" x14ac:dyDescent="0.25">
      <c r="A835" s="24">
        <v>41</v>
      </c>
      <c r="B835" s="24" t="s">
        <v>592</v>
      </c>
      <c r="C835" s="24" t="s">
        <v>593</v>
      </c>
      <c r="D835" s="24">
        <v>1994</v>
      </c>
      <c r="E835" s="24">
        <v>1988</v>
      </c>
      <c r="F835" s="24" t="s">
        <v>419</v>
      </c>
      <c r="G835" s="24" t="s">
        <v>595</v>
      </c>
      <c r="H835" s="32" t="s">
        <v>2831</v>
      </c>
      <c r="I835" s="24">
        <v>38.03</v>
      </c>
      <c r="J835" s="24">
        <v>-84.51</v>
      </c>
      <c r="K835" s="24">
        <v>299.60000000000002</v>
      </c>
      <c r="Q835" s="42">
        <v>4</v>
      </c>
      <c r="R835" s="42" t="s">
        <v>1729</v>
      </c>
      <c r="S835" s="42"/>
      <c r="T835" s="42" t="s">
        <v>1944</v>
      </c>
      <c r="U835" s="42" t="s">
        <v>1383</v>
      </c>
      <c r="V835" s="42" t="s">
        <v>1722</v>
      </c>
      <c r="W835" s="42" t="s">
        <v>1383</v>
      </c>
      <c r="X835" s="42" t="s">
        <v>1383</v>
      </c>
      <c r="Y835" s="24">
        <v>1.05</v>
      </c>
      <c r="Z835" s="321">
        <v>7.3</v>
      </c>
      <c r="AA835" s="321">
        <v>70.2</v>
      </c>
      <c r="AB835" s="24" t="s">
        <v>451</v>
      </c>
      <c r="AC835" s="24">
        <v>5.48</v>
      </c>
      <c r="AD835" s="24">
        <v>1.1599999999999999</v>
      </c>
      <c r="AF835" s="24" t="s">
        <v>1340</v>
      </c>
      <c r="AG835" s="24" t="s">
        <v>132</v>
      </c>
      <c r="AH835" s="138" t="s">
        <v>132</v>
      </c>
      <c r="AI835" s="24" t="s">
        <v>133</v>
      </c>
      <c r="AJ835" s="140" t="s">
        <v>133</v>
      </c>
      <c r="AT835" s="24" t="s">
        <v>120</v>
      </c>
      <c r="AU835" s="24">
        <v>2</v>
      </c>
      <c r="AW835" s="24" t="s">
        <v>142</v>
      </c>
      <c r="BA835" s="53"/>
      <c r="BM835" s="395"/>
      <c r="BN835" s="395"/>
      <c r="BR835" s="395"/>
      <c r="BS835" s="395"/>
      <c r="EO835" s="24">
        <v>28.97</v>
      </c>
      <c r="EP835" s="24">
        <v>16.03</v>
      </c>
      <c r="ES835" s="24" t="s">
        <v>596</v>
      </c>
      <c r="IO835" s="24" t="s">
        <v>728</v>
      </c>
    </row>
    <row r="836" spans="1:249" s="24" customFormat="1" x14ac:dyDescent="0.25">
      <c r="A836" s="24">
        <v>41</v>
      </c>
      <c r="B836" s="24" t="s">
        <v>592</v>
      </c>
      <c r="C836" s="24" t="s">
        <v>593</v>
      </c>
      <c r="D836" s="24">
        <v>1994</v>
      </c>
      <c r="E836" s="24">
        <v>1988</v>
      </c>
      <c r="F836" s="24" t="s">
        <v>419</v>
      </c>
      <c r="G836" s="24" t="s">
        <v>595</v>
      </c>
      <c r="H836" s="32" t="s">
        <v>2831</v>
      </c>
      <c r="I836" s="24">
        <v>38.03</v>
      </c>
      <c r="J836" s="24">
        <v>-84.51</v>
      </c>
      <c r="K836" s="24">
        <v>299.60000000000002</v>
      </c>
      <c r="Q836" s="42">
        <v>4</v>
      </c>
      <c r="R836" s="42" t="s">
        <v>1729</v>
      </c>
      <c r="S836" s="42"/>
      <c r="T836" s="42" t="s">
        <v>1945</v>
      </c>
      <c r="U836" s="42" t="s">
        <v>1383</v>
      </c>
      <c r="V836" s="42" t="s">
        <v>1722</v>
      </c>
      <c r="W836" s="42" t="s">
        <v>1383</v>
      </c>
      <c r="X836" s="42" t="s">
        <v>1383</v>
      </c>
      <c r="Y836" s="24">
        <v>1.05</v>
      </c>
      <c r="Z836" s="321">
        <v>7.3</v>
      </c>
      <c r="AA836" s="321">
        <v>70.2</v>
      </c>
      <c r="AB836" s="24" t="s">
        <v>451</v>
      </c>
      <c r="AC836" s="24">
        <v>5.48</v>
      </c>
      <c r="AD836" s="24">
        <v>1.1599999999999999</v>
      </c>
      <c r="AF836" s="24" t="s">
        <v>1340</v>
      </c>
      <c r="AG836" s="24" t="s">
        <v>132</v>
      </c>
      <c r="AH836" s="138" t="s">
        <v>132</v>
      </c>
      <c r="AI836" s="24" t="s">
        <v>133</v>
      </c>
      <c r="AJ836" s="140" t="s">
        <v>133</v>
      </c>
      <c r="AT836" s="24" t="s">
        <v>120</v>
      </c>
      <c r="AU836" s="24">
        <v>2</v>
      </c>
      <c r="AW836" s="24" t="s">
        <v>142</v>
      </c>
      <c r="BA836" s="53"/>
      <c r="BM836" s="395"/>
      <c r="BN836" s="395"/>
      <c r="BR836" s="395"/>
      <c r="BS836" s="395"/>
      <c r="EO836" s="24">
        <v>43.01</v>
      </c>
      <c r="EP836" s="24">
        <v>58.39</v>
      </c>
      <c r="ES836" s="24" t="s">
        <v>596</v>
      </c>
      <c r="IO836" s="24" t="s">
        <v>728</v>
      </c>
    </row>
    <row r="837" spans="1:249" s="24" customFormat="1" x14ac:dyDescent="0.25">
      <c r="A837" s="24">
        <v>41</v>
      </c>
      <c r="B837" s="24" t="s">
        <v>592</v>
      </c>
      <c r="C837" s="24" t="s">
        <v>593</v>
      </c>
      <c r="D837" s="24">
        <v>1994</v>
      </c>
      <c r="E837" s="24">
        <v>1988</v>
      </c>
      <c r="F837" s="24" t="s">
        <v>419</v>
      </c>
      <c r="G837" s="24" t="s">
        <v>595</v>
      </c>
      <c r="H837" s="32" t="s">
        <v>2831</v>
      </c>
      <c r="I837" s="24">
        <v>38.03</v>
      </c>
      <c r="J837" s="24">
        <v>-84.51</v>
      </c>
      <c r="K837" s="24">
        <v>299.60000000000002</v>
      </c>
      <c r="Q837" s="42">
        <v>4</v>
      </c>
      <c r="R837" s="42" t="s">
        <v>1729</v>
      </c>
      <c r="S837" s="42"/>
      <c r="T837" s="42" t="s">
        <v>1946</v>
      </c>
      <c r="U837" s="42" t="s">
        <v>1383</v>
      </c>
      <c r="V837" s="42" t="s">
        <v>1722</v>
      </c>
      <c r="W837" s="42" t="s">
        <v>1383</v>
      </c>
      <c r="X837" s="42" t="s">
        <v>1383</v>
      </c>
      <c r="Y837" s="24">
        <v>1.05</v>
      </c>
      <c r="Z837" s="321">
        <v>7.3</v>
      </c>
      <c r="AA837" s="321">
        <v>70.2</v>
      </c>
      <c r="AB837" s="24" t="s">
        <v>451</v>
      </c>
      <c r="AC837" s="24">
        <v>5.48</v>
      </c>
      <c r="AD837" s="24">
        <v>1.1599999999999999</v>
      </c>
      <c r="AF837" s="24" t="s">
        <v>1340</v>
      </c>
      <c r="AG837" s="24" t="s">
        <v>132</v>
      </c>
      <c r="AH837" s="138" t="s">
        <v>132</v>
      </c>
      <c r="AI837" s="24" t="s">
        <v>133</v>
      </c>
      <c r="AJ837" s="140" t="s">
        <v>133</v>
      </c>
      <c r="AT837" s="24" t="s">
        <v>120</v>
      </c>
      <c r="AU837" s="24">
        <v>2</v>
      </c>
      <c r="AW837" s="24" t="s">
        <v>142</v>
      </c>
      <c r="BA837" s="53"/>
      <c r="BM837" s="395"/>
      <c r="BN837" s="395"/>
      <c r="BR837" s="395"/>
      <c r="BS837" s="395"/>
      <c r="EO837" s="24">
        <v>1.59</v>
      </c>
      <c r="EP837" s="24">
        <v>15.62</v>
      </c>
      <c r="ES837" s="24" t="s">
        <v>596</v>
      </c>
      <c r="IO837" s="24" t="s">
        <v>728</v>
      </c>
    </row>
    <row r="838" spans="1:249" s="24" customFormat="1" x14ac:dyDescent="0.25">
      <c r="A838" s="24">
        <v>41</v>
      </c>
      <c r="B838" s="24" t="s">
        <v>592</v>
      </c>
      <c r="C838" s="24" t="s">
        <v>593</v>
      </c>
      <c r="D838" s="24">
        <v>1994</v>
      </c>
      <c r="E838" s="24">
        <v>1988</v>
      </c>
      <c r="F838" s="24" t="s">
        <v>419</v>
      </c>
      <c r="G838" s="24" t="s">
        <v>595</v>
      </c>
      <c r="H838" s="32" t="s">
        <v>2831</v>
      </c>
      <c r="I838" s="24">
        <v>38.03</v>
      </c>
      <c r="J838" s="24">
        <v>-84.51</v>
      </c>
      <c r="K838" s="24">
        <v>299.60000000000002</v>
      </c>
      <c r="Q838" s="42">
        <v>4</v>
      </c>
      <c r="R838" s="42" t="s">
        <v>1729</v>
      </c>
      <c r="S838" s="42"/>
      <c r="T838" s="42" t="s">
        <v>1947</v>
      </c>
      <c r="U838" s="42" t="s">
        <v>1383</v>
      </c>
      <c r="V838" s="42" t="s">
        <v>1722</v>
      </c>
      <c r="W838" s="42" t="s">
        <v>1383</v>
      </c>
      <c r="X838" s="42" t="s">
        <v>1383</v>
      </c>
      <c r="Y838" s="24">
        <v>1.05</v>
      </c>
      <c r="Z838" s="321">
        <v>7.3</v>
      </c>
      <c r="AA838" s="321">
        <v>70.2</v>
      </c>
      <c r="AB838" s="24" t="s">
        <v>451</v>
      </c>
      <c r="AC838" s="24">
        <v>5.48</v>
      </c>
      <c r="AD838" s="24">
        <v>1.1599999999999999</v>
      </c>
      <c r="AF838" s="24" t="s">
        <v>1340</v>
      </c>
      <c r="AG838" s="24" t="s">
        <v>132</v>
      </c>
      <c r="AH838" s="138" t="s">
        <v>132</v>
      </c>
      <c r="AI838" s="24" t="s">
        <v>133</v>
      </c>
      <c r="AJ838" s="140" t="s">
        <v>133</v>
      </c>
      <c r="AT838" s="24" t="s">
        <v>120</v>
      </c>
      <c r="AU838" s="24">
        <v>2</v>
      </c>
      <c r="AW838" s="24" t="s">
        <v>142</v>
      </c>
      <c r="BA838" s="53"/>
      <c r="BM838" s="395"/>
      <c r="BN838" s="395"/>
      <c r="BR838" s="395"/>
      <c r="BS838" s="395"/>
      <c r="EO838" s="24">
        <v>4.8499999999999996</v>
      </c>
      <c r="EP838" s="24">
        <v>10.67</v>
      </c>
      <c r="ES838" s="24" t="s">
        <v>596</v>
      </c>
      <c r="IO838" s="24" t="s">
        <v>728</v>
      </c>
    </row>
    <row r="839" spans="1:249" s="24" customFormat="1" x14ac:dyDescent="0.25">
      <c r="A839" s="24">
        <v>41</v>
      </c>
      <c r="B839" s="24" t="s">
        <v>592</v>
      </c>
      <c r="C839" s="24" t="s">
        <v>593</v>
      </c>
      <c r="D839" s="24">
        <v>1994</v>
      </c>
      <c r="E839" s="24">
        <v>1988</v>
      </c>
      <c r="F839" s="24" t="s">
        <v>419</v>
      </c>
      <c r="G839" s="24" t="s">
        <v>595</v>
      </c>
      <c r="H839" s="32" t="s">
        <v>2831</v>
      </c>
      <c r="I839" s="24">
        <v>38.03</v>
      </c>
      <c r="J839" s="24">
        <v>-84.51</v>
      </c>
      <c r="K839" s="24">
        <v>299.60000000000002</v>
      </c>
      <c r="Q839" s="42">
        <v>4</v>
      </c>
      <c r="R839" s="42" t="s">
        <v>1729</v>
      </c>
      <c r="S839" s="42"/>
      <c r="T839" s="42" t="s">
        <v>1948</v>
      </c>
      <c r="U839" s="42" t="s">
        <v>1383</v>
      </c>
      <c r="V839" s="42" t="s">
        <v>1722</v>
      </c>
      <c r="W839" s="42" t="s">
        <v>1383</v>
      </c>
      <c r="X839" s="42" t="s">
        <v>1383</v>
      </c>
      <c r="Y839" s="24">
        <v>1.05</v>
      </c>
      <c r="Z839" s="321">
        <v>7.3</v>
      </c>
      <c r="AA839" s="321">
        <v>70.2</v>
      </c>
      <c r="AB839" s="24" t="s">
        <v>451</v>
      </c>
      <c r="AC839" s="24">
        <v>5.48</v>
      </c>
      <c r="AD839" s="24">
        <v>1.1599999999999999</v>
      </c>
      <c r="AF839" s="24" t="s">
        <v>1340</v>
      </c>
      <c r="AG839" s="24" t="s">
        <v>132</v>
      </c>
      <c r="AH839" s="138" t="s">
        <v>132</v>
      </c>
      <c r="AI839" s="24" t="s">
        <v>133</v>
      </c>
      <c r="AJ839" s="140" t="s">
        <v>133</v>
      </c>
      <c r="AT839" s="24" t="s">
        <v>120</v>
      </c>
      <c r="AU839" s="24">
        <v>2</v>
      </c>
      <c r="AW839" s="24" t="s">
        <v>142</v>
      </c>
      <c r="BA839" s="53"/>
      <c r="BM839" s="395"/>
      <c r="BN839" s="395"/>
      <c r="BR839" s="395"/>
      <c r="BS839" s="395"/>
      <c r="EO839" s="24">
        <v>0.13</v>
      </c>
      <c r="EP839" s="24">
        <v>4.4400000000000004</v>
      </c>
      <c r="ES839" s="24" t="s">
        <v>596</v>
      </c>
      <c r="IO839" s="24" t="s">
        <v>728</v>
      </c>
    </row>
    <row r="840" spans="1:249" s="24" customFormat="1" x14ac:dyDescent="0.25">
      <c r="A840" s="24">
        <v>41</v>
      </c>
      <c r="B840" s="24" t="s">
        <v>592</v>
      </c>
      <c r="C840" s="24" t="s">
        <v>593</v>
      </c>
      <c r="D840" s="24">
        <v>1994</v>
      </c>
      <c r="E840" s="24">
        <v>1988</v>
      </c>
      <c r="F840" s="24" t="s">
        <v>419</v>
      </c>
      <c r="G840" s="24" t="s">
        <v>595</v>
      </c>
      <c r="H840" s="32" t="s">
        <v>2831</v>
      </c>
      <c r="I840" s="24">
        <v>38.03</v>
      </c>
      <c r="J840" s="24">
        <v>-84.51</v>
      </c>
      <c r="K840" s="24">
        <v>299.60000000000002</v>
      </c>
      <c r="Q840" s="42">
        <v>4</v>
      </c>
      <c r="R840" s="42" t="s">
        <v>1729</v>
      </c>
      <c r="S840" s="42"/>
      <c r="T840" s="42" t="s">
        <v>1948</v>
      </c>
      <c r="U840" s="42" t="s">
        <v>1383</v>
      </c>
      <c r="V840" s="42" t="s">
        <v>1722</v>
      </c>
      <c r="W840" s="42" t="s">
        <v>1383</v>
      </c>
      <c r="X840" s="42" t="s">
        <v>1383</v>
      </c>
      <c r="Y840" s="24">
        <v>1.05</v>
      </c>
      <c r="Z840" s="321">
        <v>7.3</v>
      </c>
      <c r="AA840" s="321">
        <v>70.2</v>
      </c>
      <c r="AB840" s="24" t="s">
        <v>451</v>
      </c>
      <c r="AC840" s="24">
        <v>5.48</v>
      </c>
      <c r="AD840" s="24">
        <v>1.1599999999999999</v>
      </c>
      <c r="AF840" s="24" t="s">
        <v>1340</v>
      </c>
      <c r="AG840" s="24" t="s">
        <v>132</v>
      </c>
      <c r="AH840" s="138" t="s">
        <v>132</v>
      </c>
      <c r="AI840" s="24" t="s">
        <v>133</v>
      </c>
      <c r="AJ840" s="140" t="s">
        <v>133</v>
      </c>
      <c r="AT840" s="24" t="s">
        <v>120</v>
      </c>
      <c r="AU840" s="24">
        <v>2</v>
      </c>
      <c r="AW840" s="24" t="s">
        <v>142</v>
      </c>
      <c r="BA840" s="53"/>
      <c r="BM840" s="395"/>
      <c r="BN840" s="395"/>
      <c r="BR840" s="395"/>
      <c r="BS840" s="395"/>
      <c r="EO840" s="24">
        <v>72.64</v>
      </c>
      <c r="EP840" s="24">
        <v>95.51</v>
      </c>
      <c r="ES840" s="24" t="s">
        <v>596</v>
      </c>
      <c r="IO840" s="24" t="s">
        <v>728</v>
      </c>
    </row>
    <row r="841" spans="1:249" s="24" customFormat="1" x14ac:dyDescent="0.25">
      <c r="A841" s="24">
        <v>41</v>
      </c>
      <c r="B841" s="24" t="s">
        <v>592</v>
      </c>
      <c r="C841" s="24" t="s">
        <v>593</v>
      </c>
      <c r="D841" s="24">
        <v>1994</v>
      </c>
      <c r="E841" s="24">
        <v>1988</v>
      </c>
      <c r="F841" s="24" t="s">
        <v>419</v>
      </c>
      <c r="G841" s="24" t="s">
        <v>595</v>
      </c>
      <c r="H841" s="32" t="s">
        <v>2831</v>
      </c>
      <c r="I841" s="24">
        <v>38.03</v>
      </c>
      <c r="J841" s="24">
        <v>-84.51</v>
      </c>
      <c r="K841" s="24">
        <v>299.60000000000002</v>
      </c>
      <c r="Q841" s="42">
        <v>4</v>
      </c>
      <c r="R841" s="42" t="s">
        <v>1729</v>
      </c>
      <c r="S841" s="42"/>
      <c r="T841" s="42" t="s">
        <v>1954</v>
      </c>
      <c r="U841" s="42" t="s">
        <v>1383</v>
      </c>
      <c r="V841" s="42" t="s">
        <v>1722</v>
      </c>
      <c r="W841" s="42" t="s">
        <v>1383</v>
      </c>
      <c r="X841" s="42" t="s">
        <v>1383</v>
      </c>
      <c r="Y841" s="24">
        <v>1.05</v>
      </c>
      <c r="Z841" s="321">
        <v>7.3</v>
      </c>
      <c r="AA841" s="321">
        <v>70.2</v>
      </c>
      <c r="AB841" s="24" t="s">
        <v>451</v>
      </c>
      <c r="AC841" s="24">
        <v>5.48</v>
      </c>
      <c r="AD841" s="24">
        <v>1.1599999999999999</v>
      </c>
      <c r="AF841" s="24" t="s">
        <v>1340</v>
      </c>
      <c r="AG841" s="24" t="s">
        <v>132</v>
      </c>
      <c r="AH841" s="138" t="s">
        <v>132</v>
      </c>
      <c r="AI841" s="24" t="s">
        <v>133</v>
      </c>
      <c r="AJ841" s="140" t="s">
        <v>133</v>
      </c>
      <c r="AT841" s="24" t="s">
        <v>120</v>
      </c>
      <c r="AU841" s="24">
        <v>2</v>
      </c>
      <c r="AW841" s="24" t="s">
        <v>142</v>
      </c>
      <c r="BA841" s="53"/>
      <c r="BM841" s="395"/>
      <c r="BN841" s="395"/>
      <c r="BR841" s="395"/>
      <c r="BS841" s="395"/>
      <c r="EO841" s="24">
        <v>28.22</v>
      </c>
      <c r="EP841" s="24">
        <v>32.53</v>
      </c>
      <c r="ES841" s="24" t="s">
        <v>596</v>
      </c>
      <c r="IO841" s="24" t="s">
        <v>728</v>
      </c>
    </row>
    <row r="842" spans="1:249" s="24" customFormat="1" x14ac:dyDescent="0.25">
      <c r="A842" s="24">
        <v>41</v>
      </c>
      <c r="B842" s="24" t="s">
        <v>592</v>
      </c>
      <c r="C842" s="24" t="s">
        <v>593</v>
      </c>
      <c r="D842" s="24">
        <v>1994</v>
      </c>
      <c r="E842" s="24">
        <v>1988</v>
      </c>
      <c r="F842" s="24" t="s">
        <v>419</v>
      </c>
      <c r="G842" s="24" t="s">
        <v>595</v>
      </c>
      <c r="H842" s="32" t="s">
        <v>2831</v>
      </c>
      <c r="I842" s="24">
        <v>38.03</v>
      </c>
      <c r="J842" s="24">
        <v>-84.51</v>
      </c>
      <c r="K842" s="24">
        <v>299.60000000000002</v>
      </c>
      <c r="Q842" s="42">
        <v>4</v>
      </c>
      <c r="R842" s="42" t="s">
        <v>1729</v>
      </c>
      <c r="S842" s="42"/>
      <c r="T842" s="42" t="s">
        <v>1954</v>
      </c>
      <c r="U842" s="42" t="s">
        <v>1383</v>
      </c>
      <c r="V842" s="42" t="s">
        <v>1722</v>
      </c>
      <c r="W842" s="42" t="s">
        <v>1383</v>
      </c>
      <c r="X842" s="42" t="s">
        <v>1383</v>
      </c>
      <c r="Y842" s="24">
        <v>1.05</v>
      </c>
      <c r="Z842" s="321">
        <v>7.3</v>
      </c>
      <c r="AA842" s="321">
        <v>70.2</v>
      </c>
      <c r="AB842" s="24" t="s">
        <v>451</v>
      </c>
      <c r="AC842" s="24">
        <v>5.48</v>
      </c>
      <c r="AD842" s="24">
        <v>1.1599999999999999</v>
      </c>
      <c r="AF842" s="24" t="s">
        <v>1340</v>
      </c>
      <c r="AG842" s="24" t="s">
        <v>132</v>
      </c>
      <c r="AH842" s="138" t="s">
        <v>132</v>
      </c>
      <c r="AI842" s="24" t="s">
        <v>133</v>
      </c>
      <c r="AJ842" s="140" t="s">
        <v>133</v>
      </c>
      <c r="AT842" s="24" t="s">
        <v>120</v>
      </c>
      <c r="AU842" s="24">
        <v>2</v>
      </c>
      <c r="AW842" s="24" t="s">
        <v>142</v>
      </c>
      <c r="BA842" s="53"/>
      <c r="BM842" s="395"/>
      <c r="BN842" s="395"/>
      <c r="BR842" s="395"/>
      <c r="BS842" s="395"/>
      <c r="EO842" s="24">
        <v>73.099999999999994</v>
      </c>
      <c r="EP842" s="24">
        <v>69.22</v>
      </c>
      <c r="ES842" s="24" t="s">
        <v>596</v>
      </c>
      <c r="IO842" s="24" t="s">
        <v>728</v>
      </c>
    </row>
    <row r="843" spans="1:249" s="24" customFormat="1" x14ac:dyDescent="0.25">
      <c r="A843" s="24">
        <v>41</v>
      </c>
      <c r="B843" s="24" t="s">
        <v>592</v>
      </c>
      <c r="C843" s="24" t="s">
        <v>593</v>
      </c>
      <c r="D843" s="24">
        <v>1994</v>
      </c>
      <c r="E843" s="24">
        <v>1988</v>
      </c>
      <c r="F843" s="24" t="s">
        <v>419</v>
      </c>
      <c r="G843" s="24" t="s">
        <v>595</v>
      </c>
      <c r="H843" s="32" t="s">
        <v>2831</v>
      </c>
      <c r="I843" s="24">
        <v>38.03</v>
      </c>
      <c r="J843" s="24">
        <v>-84.51</v>
      </c>
      <c r="K843" s="24">
        <v>299.60000000000002</v>
      </c>
      <c r="Q843" s="42">
        <v>4</v>
      </c>
      <c r="R843" s="42" t="s">
        <v>1729</v>
      </c>
      <c r="S843" s="42"/>
      <c r="T843" s="42" t="s">
        <v>1954</v>
      </c>
      <c r="U843" s="42" t="s">
        <v>1383</v>
      </c>
      <c r="V843" s="42" t="s">
        <v>1722</v>
      </c>
      <c r="W843" s="42" t="s">
        <v>1383</v>
      </c>
      <c r="X843" s="42" t="s">
        <v>1383</v>
      </c>
      <c r="Y843" s="24">
        <v>1.05</v>
      </c>
      <c r="Z843" s="321">
        <v>7.3</v>
      </c>
      <c r="AA843" s="321">
        <v>70.2</v>
      </c>
      <c r="AB843" s="24" t="s">
        <v>451</v>
      </c>
      <c r="AC843" s="24">
        <v>5.48</v>
      </c>
      <c r="AD843" s="24">
        <v>1.1599999999999999</v>
      </c>
      <c r="AF843" s="24" t="s">
        <v>1340</v>
      </c>
      <c r="AG843" s="24" t="s">
        <v>132</v>
      </c>
      <c r="AH843" s="138" t="s">
        <v>132</v>
      </c>
      <c r="AI843" s="24" t="s">
        <v>133</v>
      </c>
      <c r="AJ843" s="140" t="s">
        <v>133</v>
      </c>
      <c r="AT843" s="24" t="s">
        <v>120</v>
      </c>
      <c r="AU843" s="24">
        <v>2</v>
      </c>
      <c r="AW843" s="24" t="s">
        <v>142</v>
      </c>
      <c r="BA843" s="53"/>
      <c r="BM843" s="395"/>
      <c r="BN843" s="395"/>
      <c r="BR843" s="395"/>
      <c r="BS843" s="395"/>
      <c r="EO843" s="24">
        <v>92.54</v>
      </c>
      <c r="EP843" s="24">
        <v>83.7</v>
      </c>
      <c r="ES843" s="24" t="s">
        <v>596</v>
      </c>
      <c r="IO843" s="24" t="s">
        <v>728</v>
      </c>
    </row>
    <row r="844" spans="1:249" s="32" customFormat="1" x14ac:dyDescent="0.25">
      <c r="A844" s="32">
        <v>41</v>
      </c>
      <c r="B844" s="32" t="s">
        <v>592</v>
      </c>
      <c r="C844" s="32" t="s">
        <v>593</v>
      </c>
      <c r="D844" s="32">
        <v>1994</v>
      </c>
      <c r="E844" s="32">
        <v>1989</v>
      </c>
      <c r="F844" s="32" t="s">
        <v>419</v>
      </c>
      <c r="G844" s="32" t="s">
        <v>595</v>
      </c>
      <c r="H844" s="32" t="s">
        <v>2831</v>
      </c>
      <c r="I844" s="32">
        <v>38.03</v>
      </c>
      <c r="J844" s="32">
        <v>-84.51</v>
      </c>
      <c r="K844" s="32">
        <v>299.60000000000002</v>
      </c>
      <c r="Q844" s="44">
        <v>5</v>
      </c>
      <c r="R844" s="44" t="s">
        <v>1729</v>
      </c>
      <c r="S844" s="44"/>
      <c r="T844" s="44" t="s">
        <v>603</v>
      </c>
      <c r="U844" s="44" t="s">
        <v>1383</v>
      </c>
      <c r="V844" s="44" t="s">
        <v>1722</v>
      </c>
      <c r="W844" s="44" t="s">
        <v>1383</v>
      </c>
      <c r="X844" s="44" t="s">
        <v>1383</v>
      </c>
      <c r="Y844" s="32">
        <v>1.05</v>
      </c>
      <c r="Z844" s="323">
        <v>7.3</v>
      </c>
      <c r="AA844" s="323">
        <v>70.2</v>
      </c>
      <c r="AB844" s="32" t="s">
        <v>451</v>
      </c>
      <c r="AC844" s="32">
        <v>5.48</v>
      </c>
      <c r="AD844" s="32">
        <v>1.1599999999999999</v>
      </c>
      <c r="AF844" s="32" t="s">
        <v>1340</v>
      </c>
      <c r="AG844" s="32" t="s">
        <v>132</v>
      </c>
      <c r="AH844" s="138" t="s">
        <v>132</v>
      </c>
      <c r="AI844" s="32" t="s">
        <v>133</v>
      </c>
      <c r="AJ844" s="140" t="s">
        <v>133</v>
      </c>
      <c r="AT844" s="32" t="s">
        <v>120</v>
      </c>
      <c r="AU844" s="32">
        <v>2</v>
      </c>
      <c r="AW844" s="32" t="s">
        <v>142</v>
      </c>
      <c r="BA844" s="53"/>
      <c r="BM844" s="397"/>
      <c r="BN844" s="397"/>
      <c r="BR844" s="397"/>
      <c r="BS844" s="397"/>
      <c r="EO844" s="32">
        <v>91.05</v>
      </c>
      <c r="EP844" s="32">
        <v>89.54</v>
      </c>
      <c r="ES844" s="32" t="s">
        <v>596</v>
      </c>
      <c r="IO844" s="32" t="s">
        <v>728</v>
      </c>
    </row>
    <row r="845" spans="1:249" s="32" customFormat="1" x14ac:dyDescent="0.25">
      <c r="A845" s="32">
        <v>41</v>
      </c>
      <c r="B845" s="32" t="s">
        <v>592</v>
      </c>
      <c r="C845" s="32" t="s">
        <v>593</v>
      </c>
      <c r="D845" s="32">
        <v>1994</v>
      </c>
      <c r="E845" s="32">
        <v>1989</v>
      </c>
      <c r="F845" s="32" t="s">
        <v>419</v>
      </c>
      <c r="G845" s="32" t="s">
        <v>595</v>
      </c>
      <c r="H845" s="32" t="s">
        <v>2831</v>
      </c>
      <c r="I845" s="32">
        <v>38.03</v>
      </c>
      <c r="J845" s="32">
        <v>-84.51</v>
      </c>
      <c r="K845" s="32">
        <v>299.60000000000002</v>
      </c>
      <c r="Q845" s="44">
        <v>5</v>
      </c>
      <c r="R845" s="44" t="s">
        <v>1729</v>
      </c>
      <c r="S845" s="44"/>
      <c r="T845" s="44" t="s">
        <v>604</v>
      </c>
      <c r="U845" s="44" t="s">
        <v>1383</v>
      </c>
      <c r="V845" s="44" t="s">
        <v>1722</v>
      </c>
      <c r="W845" s="44" t="s">
        <v>1383</v>
      </c>
      <c r="X845" s="44" t="s">
        <v>1383</v>
      </c>
      <c r="Y845" s="32">
        <v>1.05</v>
      </c>
      <c r="Z845" s="323">
        <v>7.3</v>
      </c>
      <c r="AA845" s="323">
        <v>70.2</v>
      </c>
      <c r="AB845" s="32" t="s">
        <v>451</v>
      </c>
      <c r="AC845" s="32">
        <v>5.48</v>
      </c>
      <c r="AD845" s="32">
        <v>1.1599999999999999</v>
      </c>
      <c r="AF845" s="32" t="s">
        <v>1340</v>
      </c>
      <c r="AG845" s="32" t="s">
        <v>132</v>
      </c>
      <c r="AH845" s="138" t="s">
        <v>132</v>
      </c>
      <c r="AI845" s="32" t="s">
        <v>133</v>
      </c>
      <c r="AJ845" s="140" t="s">
        <v>133</v>
      </c>
      <c r="AT845" s="32" t="s">
        <v>120</v>
      </c>
      <c r="AU845" s="32">
        <v>2</v>
      </c>
      <c r="AW845" s="32" t="s">
        <v>142</v>
      </c>
      <c r="BA845" s="53"/>
      <c r="BM845" s="397"/>
      <c r="BN845" s="397"/>
      <c r="BR845" s="397"/>
      <c r="BS845" s="397"/>
      <c r="EO845" s="32">
        <v>79.84</v>
      </c>
      <c r="EP845" s="32">
        <v>81.349999999999994</v>
      </c>
      <c r="ES845" s="32" t="s">
        <v>596</v>
      </c>
      <c r="IO845" s="32" t="s">
        <v>728</v>
      </c>
    </row>
    <row r="846" spans="1:249" s="32" customFormat="1" x14ac:dyDescent="0.25">
      <c r="A846" s="32">
        <v>41</v>
      </c>
      <c r="B846" s="32" t="s">
        <v>592</v>
      </c>
      <c r="C846" s="32" t="s">
        <v>593</v>
      </c>
      <c r="D846" s="32">
        <v>1994</v>
      </c>
      <c r="E846" s="32">
        <v>1989</v>
      </c>
      <c r="F846" s="32" t="s">
        <v>419</v>
      </c>
      <c r="G846" s="32" t="s">
        <v>595</v>
      </c>
      <c r="H846" s="32" t="s">
        <v>2831</v>
      </c>
      <c r="I846" s="32">
        <v>38.03</v>
      </c>
      <c r="J846" s="32">
        <v>-84.51</v>
      </c>
      <c r="K846" s="32">
        <v>299.60000000000002</v>
      </c>
      <c r="Q846" s="44">
        <v>5</v>
      </c>
      <c r="R846" s="44" t="s">
        <v>1729</v>
      </c>
      <c r="S846" s="44"/>
      <c r="T846" s="44" t="s">
        <v>213</v>
      </c>
      <c r="U846" s="44" t="s">
        <v>1383</v>
      </c>
      <c r="V846" s="44" t="s">
        <v>1722</v>
      </c>
      <c r="W846" s="44" t="s">
        <v>1383</v>
      </c>
      <c r="X846" s="44" t="s">
        <v>1383</v>
      </c>
      <c r="Y846" s="32">
        <v>1.05</v>
      </c>
      <c r="Z846" s="323">
        <v>7.3</v>
      </c>
      <c r="AA846" s="323">
        <v>70.2</v>
      </c>
      <c r="AB846" s="32" t="s">
        <v>451</v>
      </c>
      <c r="AC846" s="32">
        <v>5.48</v>
      </c>
      <c r="AD846" s="32">
        <v>1.1599999999999999</v>
      </c>
      <c r="AF846" s="32" t="s">
        <v>1340</v>
      </c>
      <c r="AG846" s="32" t="s">
        <v>132</v>
      </c>
      <c r="AH846" s="138" t="s">
        <v>132</v>
      </c>
      <c r="AI846" s="32" t="s">
        <v>133</v>
      </c>
      <c r="AJ846" s="140" t="s">
        <v>133</v>
      </c>
      <c r="AT846" s="32" t="s">
        <v>120</v>
      </c>
      <c r="AU846" s="32">
        <v>2</v>
      </c>
      <c r="AW846" s="32" t="s">
        <v>142</v>
      </c>
      <c r="BA846" s="53"/>
      <c r="BM846" s="397"/>
      <c r="BN846" s="397"/>
      <c r="BR846" s="397"/>
      <c r="BS846" s="397"/>
      <c r="EO846" s="32">
        <v>100</v>
      </c>
      <c r="EP846" s="32">
        <v>97</v>
      </c>
      <c r="ES846" s="32" t="s">
        <v>596</v>
      </c>
      <c r="IO846" s="32" t="s">
        <v>728</v>
      </c>
    </row>
    <row r="847" spans="1:249" s="32" customFormat="1" x14ac:dyDescent="0.25">
      <c r="A847" s="32">
        <v>41</v>
      </c>
      <c r="B847" s="32" t="s">
        <v>592</v>
      </c>
      <c r="C847" s="32" t="s">
        <v>593</v>
      </c>
      <c r="D847" s="32">
        <v>1994</v>
      </c>
      <c r="E847" s="32">
        <v>1989</v>
      </c>
      <c r="F847" s="32" t="s">
        <v>419</v>
      </c>
      <c r="G847" s="32" t="s">
        <v>595</v>
      </c>
      <c r="H847" s="32" t="s">
        <v>2831</v>
      </c>
      <c r="I847" s="32">
        <v>38.03</v>
      </c>
      <c r="J847" s="32">
        <v>-84.51</v>
      </c>
      <c r="K847" s="32">
        <v>299.60000000000002</v>
      </c>
      <c r="Q847" s="44">
        <v>5</v>
      </c>
      <c r="R847" s="44" t="s">
        <v>1729</v>
      </c>
      <c r="S847" s="44"/>
      <c r="T847" s="44" t="s">
        <v>601</v>
      </c>
      <c r="U847" s="44" t="s">
        <v>1383</v>
      </c>
      <c r="V847" s="44" t="s">
        <v>1722</v>
      </c>
      <c r="W847" s="44" t="s">
        <v>1383</v>
      </c>
      <c r="X847" s="44" t="s">
        <v>1383</v>
      </c>
      <c r="Y847" s="32">
        <v>1.05</v>
      </c>
      <c r="Z847" s="323">
        <v>7.3</v>
      </c>
      <c r="AA847" s="323">
        <v>70.2</v>
      </c>
      <c r="AB847" s="32" t="s">
        <v>451</v>
      </c>
      <c r="AC847" s="32">
        <v>5.48</v>
      </c>
      <c r="AD847" s="32">
        <v>1.1599999999999999</v>
      </c>
      <c r="AF847" s="32" t="s">
        <v>1340</v>
      </c>
      <c r="AG847" s="32" t="s">
        <v>132</v>
      </c>
      <c r="AH847" s="138" t="s">
        <v>132</v>
      </c>
      <c r="AI847" s="32" t="s">
        <v>133</v>
      </c>
      <c r="AJ847" s="140" t="s">
        <v>133</v>
      </c>
      <c r="AT847" s="32" t="s">
        <v>120</v>
      </c>
      <c r="AU847" s="32">
        <v>2</v>
      </c>
      <c r="AW847" s="32" t="s">
        <v>142</v>
      </c>
      <c r="BA847" s="53"/>
      <c r="BM847" s="397"/>
      <c r="BN847" s="397"/>
      <c r="BR847" s="397"/>
      <c r="BS847" s="397"/>
      <c r="EO847" s="32">
        <v>91.73</v>
      </c>
      <c r="EP847" s="32">
        <v>89</v>
      </c>
      <c r="ES847" s="32" t="s">
        <v>596</v>
      </c>
      <c r="IO847" s="32" t="s">
        <v>728</v>
      </c>
    </row>
    <row r="848" spans="1:249" s="32" customFormat="1" x14ac:dyDescent="0.25">
      <c r="A848" s="32">
        <v>41</v>
      </c>
      <c r="B848" s="32" t="s">
        <v>592</v>
      </c>
      <c r="C848" s="32" t="s">
        <v>593</v>
      </c>
      <c r="D848" s="32">
        <v>1994</v>
      </c>
      <c r="E848" s="32">
        <v>1989</v>
      </c>
      <c r="F848" s="32" t="s">
        <v>419</v>
      </c>
      <c r="G848" s="32" t="s">
        <v>595</v>
      </c>
      <c r="H848" s="32" t="s">
        <v>2831</v>
      </c>
      <c r="I848" s="32">
        <v>38.03</v>
      </c>
      <c r="J848" s="32">
        <v>-84.51</v>
      </c>
      <c r="K848" s="32">
        <v>299.60000000000002</v>
      </c>
      <c r="Q848" s="44">
        <v>5</v>
      </c>
      <c r="R848" s="44" t="s">
        <v>1729</v>
      </c>
      <c r="S848" s="44"/>
      <c r="T848" s="44" t="s">
        <v>202</v>
      </c>
      <c r="U848" s="44" t="s">
        <v>1383</v>
      </c>
      <c r="V848" s="44" t="s">
        <v>1722</v>
      </c>
      <c r="W848" s="44" t="s">
        <v>1383</v>
      </c>
      <c r="X848" s="44" t="s">
        <v>1383</v>
      </c>
      <c r="Y848" s="32">
        <v>1.05</v>
      </c>
      <c r="Z848" s="323">
        <v>7.3</v>
      </c>
      <c r="AA848" s="323">
        <v>70.2</v>
      </c>
      <c r="AB848" s="32" t="s">
        <v>451</v>
      </c>
      <c r="AC848" s="32">
        <v>5.48</v>
      </c>
      <c r="AD848" s="32">
        <v>1.1599999999999999</v>
      </c>
      <c r="AF848" s="32" t="s">
        <v>1340</v>
      </c>
      <c r="AG848" s="32" t="s">
        <v>132</v>
      </c>
      <c r="AH848" s="138" t="s">
        <v>132</v>
      </c>
      <c r="AI848" s="32" t="s">
        <v>133</v>
      </c>
      <c r="AJ848" s="140" t="s">
        <v>133</v>
      </c>
      <c r="AT848" s="32" t="s">
        <v>120</v>
      </c>
      <c r="AU848" s="32">
        <v>2</v>
      </c>
      <c r="AW848" s="32" t="s">
        <v>142</v>
      </c>
      <c r="BA848" s="53"/>
      <c r="BM848" s="397"/>
      <c r="BN848" s="397"/>
      <c r="BR848" s="397"/>
      <c r="BS848" s="397"/>
      <c r="EO848" s="32">
        <v>73.400000000000006</v>
      </c>
      <c r="EP848" s="32">
        <v>76.209999999999994</v>
      </c>
      <c r="ES848" s="32" t="s">
        <v>596</v>
      </c>
      <c r="IO848" s="32" t="s">
        <v>728</v>
      </c>
    </row>
    <row r="849" spans="1:249" s="32" customFormat="1" x14ac:dyDescent="0.25">
      <c r="A849" s="32">
        <v>41</v>
      </c>
      <c r="B849" s="32" t="s">
        <v>592</v>
      </c>
      <c r="C849" s="32" t="s">
        <v>593</v>
      </c>
      <c r="D849" s="32">
        <v>1994</v>
      </c>
      <c r="E849" s="32">
        <v>1989</v>
      </c>
      <c r="F849" s="32" t="s">
        <v>419</v>
      </c>
      <c r="G849" s="32" t="s">
        <v>595</v>
      </c>
      <c r="H849" s="32" t="s">
        <v>2831</v>
      </c>
      <c r="I849" s="32">
        <v>38.03</v>
      </c>
      <c r="J849" s="32">
        <v>-84.51</v>
      </c>
      <c r="K849" s="32">
        <v>299.60000000000002</v>
      </c>
      <c r="Q849" s="44">
        <v>5</v>
      </c>
      <c r="R849" s="44" t="s">
        <v>1729</v>
      </c>
      <c r="S849" s="44"/>
      <c r="T849" s="44" t="s">
        <v>597</v>
      </c>
      <c r="U849" s="44" t="s">
        <v>1383</v>
      </c>
      <c r="V849" s="44" t="s">
        <v>1722</v>
      </c>
      <c r="W849" s="44" t="s">
        <v>1383</v>
      </c>
      <c r="X849" s="44" t="s">
        <v>1383</v>
      </c>
      <c r="Y849" s="32">
        <v>1.05</v>
      </c>
      <c r="Z849" s="323">
        <v>7.3</v>
      </c>
      <c r="AA849" s="323">
        <v>70.2</v>
      </c>
      <c r="AB849" s="32" t="s">
        <v>451</v>
      </c>
      <c r="AC849" s="32">
        <v>5.48</v>
      </c>
      <c r="AD849" s="32">
        <v>1.1599999999999999</v>
      </c>
      <c r="AF849" s="32" t="s">
        <v>1340</v>
      </c>
      <c r="AG849" s="32" t="s">
        <v>132</v>
      </c>
      <c r="AH849" s="138" t="s">
        <v>132</v>
      </c>
      <c r="AI849" s="32" t="s">
        <v>133</v>
      </c>
      <c r="AJ849" s="140" t="s">
        <v>133</v>
      </c>
      <c r="AT849" s="32" t="s">
        <v>120</v>
      </c>
      <c r="AU849" s="32">
        <v>2</v>
      </c>
      <c r="AW849" s="32" t="s">
        <v>142</v>
      </c>
      <c r="BA849" s="53"/>
      <c r="BM849" s="397"/>
      <c r="BN849" s="397"/>
      <c r="BR849" s="397"/>
      <c r="BS849" s="397"/>
      <c r="EO849" s="32">
        <v>59.4</v>
      </c>
      <c r="EP849" s="32">
        <v>50.55</v>
      </c>
      <c r="ES849" s="32" t="s">
        <v>596</v>
      </c>
      <c r="IO849" s="32" t="s">
        <v>728</v>
      </c>
    </row>
    <row r="850" spans="1:249" s="32" customFormat="1" x14ac:dyDescent="0.25">
      <c r="A850" s="32">
        <v>41</v>
      </c>
      <c r="B850" s="32" t="s">
        <v>592</v>
      </c>
      <c r="C850" s="32" t="s">
        <v>593</v>
      </c>
      <c r="D850" s="32">
        <v>1994</v>
      </c>
      <c r="E850" s="32">
        <v>1989</v>
      </c>
      <c r="F850" s="32" t="s">
        <v>419</v>
      </c>
      <c r="G850" s="32" t="s">
        <v>595</v>
      </c>
      <c r="H850" s="32" t="s">
        <v>2831</v>
      </c>
      <c r="I850" s="32">
        <v>38.03</v>
      </c>
      <c r="J850" s="32">
        <v>-84.51</v>
      </c>
      <c r="K850" s="32">
        <v>299.60000000000002</v>
      </c>
      <c r="Q850" s="44">
        <v>5</v>
      </c>
      <c r="R850" s="44" t="s">
        <v>1729</v>
      </c>
      <c r="S850" s="44"/>
      <c r="T850" s="44" t="s">
        <v>227</v>
      </c>
      <c r="U850" s="44" t="s">
        <v>1383</v>
      </c>
      <c r="V850" s="44" t="s">
        <v>1722</v>
      </c>
      <c r="W850" s="44" t="s">
        <v>1383</v>
      </c>
      <c r="X850" s="44" t="s">
        <v>1383</v>
      </c>
      <c r="Y850" s="32">
        <v>1.05</v>
      </c>
      <c r="Z850" s="323">
        <v>7.3</v>
      </c>
      <c r="AA850" s="323">
        <v>70.2</v>
      </c>
      <c r="AB850" s="32" t="s">
        <v>451</v>
      </c>
      <c r="AC850" s="32">
        <v>5.48</v>
      </c>
      <c r="AD850" s="32">
        <v>1.1599999999999999</v>
      </c>
      <c r="AF850" s="32" t="s">
        <v>1340</v>
      </c>
      <c r="AG850" s="32" t="s">
        <v>132</v>
      </c>
      <c r="AH850" s="138" t="s">
        <v>132</v>
      </c>
      <c r="AI850" s="32" t="s">
        <v>133</v>
      </c>
      <c r="AJ850" s="140" t="s">
        <v>133</v>
      </c>
      <c r="AT850" s="32" t="s">
        <v>120</v>
      </c>
      <c r="AU850" s="32">
        <v>2</v>
      </c>
      <c r="AW850" s="32" t="s">
        <v>142</v>
      </c>
      <c r="BA850" s="53"/>
      <c r="BM850" s="397"/>
      <c r="BN850" s="397"/>
      <c r="BR850" s="397"/>
      <c r="BS850" s="397"/>
      <c r="EO850" s="32">
        <v>63.73</v>
      </c>
      <c r="EP850" s="32">
        <v>46</v>
      </c>
      <c r="ES850" s="32" t="s">
        <v>596</v>
      </c>
      <c r="IO850" s="32" t="s">
        <v>728</v>
      </c>
    </row>
    <row r="851" spans="1:249" s="24" customFormat="1" x14ac:dyDescent="0.25">
      <c r="A851" s="24">
        <v>41</v>
      </c>
      <c r="B851" s="24" t="s">
        <v>592</v>
      </c>
      <c r="C851" s="24" t="s">
        <v>593</v>
      </c>
      <c r="D851" s="24">
        <v>1994</v>
      </c>
      <c r="E851" s="24">
        <v>1986</v>
      </c>
      <c r="F851" s="24" t="s">
        <v>419</v>
      </c>
      <c r="G851" s="24" t="s">
        <v>595</v>
      </c>
      <c r="H851" s="32" t="s">
        <v>2831</v>
      </c>
      <c r="I851" s="24">
        <v>38.03</v>
      </c>
      <c r="J851" s="24">
        <v>-84.51</v>
      </c>
      <c r="K851" s="24">
        <v>299.60000000000002</v>
      </c>
      <c r="Q851" s="42">
        <v>2</v>
      </c>
      <c r="R851" s="42" t="s">
        <v>1729</v>
      </c>
      <c r="S851" s="42"/>
      <c r="T851" s="42" t="s">
        <v>227</v>
      </c>
      <c r="U851" s="42" t="s">
        <v>1383</v>
      </c>
      <c r="V851" s="42" t="s">
        <v>1722</v>
      </c>
      <c r="W851" s="42" t="s">
        <v>1383</v>
      </c>
      <c r="X851" s="42" t="s">
        <v>1383</v>
      </c>
      <c r="Y851" s="24">
        <v>1.05</v>
      </c>
      <c r="Z851" s="321">
        <v>7.3</v>
      </c>
      <c r="AA851" s="321">
        <v>70.2</v>
      </c>
      <c r="AB851" s="24" t="s">
        <v>451</v>
      </c>
      <c r="AC851" s="24">
        <v>5.48</v>
      </c>
      <c r="AD851" s="24">
        <v>1.1599999999999999</v>
      </c>
      <c r="AF851" s="24" t="s">
        <v>1340</v>
      </c>
      <c r="AG851" s="24" t="s">
        <v>244</v>
      </c>
      <c r="AH851" s="138" t="s">
        <v>578</v>
      </c>
      <c r="AI851" s="24" t="s">
        <v>133</v>
      </c>
      <c r="AJ851" s="140" t="s">
        <v>133</v>
      </c>
      <c r="AT851" s="24" t="s">
        <v>120</v>
      </c>
      <c r="AU851" s="24">
        <v>2</v>
      </c>
      <c r="AW851" s="24" t="s">
        <v>142</v>
      </c>
      <c r="BA851" s="53"/>
      <c r="BM851" s="395"/>
      <c r="BN851" s="395"/>
      <c r="BR851" s="395"/>
      <c r="BS851" s="395"/>
      <c r="EO851" s="24">
        <v>0.4</v>
      </c>
      <c r="EP851" s="24">
        <v>0.51</v>
      </c>
      <c r="ES851" s="24" t="s">
        <v>1690</v>
      </c>
      <c r="IO851" s="24" t="s">
        <v>728</v>
      </c>
    </row>
    <row r="852" spans="1:249" s="24" customFormat="1" x14ac:dyDescent="0.25">
      <c r="A852" s="24">
        <v>41</v>
      </c>
      <c r="B852" s="24" t="s">
        <v>592</v>
      </c>
      <c r="C852" s="24" t="s">
        <v>593</v>
      </c>
      <c r="D852" s="24">
        <v>1994</v>
      </c>
      <c r="E852" s="24">
        <v>1986</v>
      </c>
      <c r="F852" s="24" t="s">
        <v>419</v>
      </c>
      <c r="G852" s="24" t="s">
        <v>595</v>
      </c>
      <c r="H852" s="32" t="s">
        <v>2831</v>
      </c>
      <c r="I852" s="24">
        <v>38.03</v>
      </c>
      <c r="J852" s="24">
        <v>-84.51</v>
      </c>
      <c r="K852" s="24">
        <v>299.60000000000002</v>
      </c>
      <c r="Q852" s="42">
        <v>2</v>
      </c>
      <c r="R852" s="42" t="s">
        <v>1729</v>
      </c>
      <c r="S852" s="42"/>
      <c r="T852" s="42" t="s">
        <v>598</v>
      </c>
      <c r="U852" s="42" t="s">
        <v>1383</v>
      </c>
      <c r="V852" s="42" t="s">
        <v>1722</v>
      </c>
      <c r="W852" s="42" t="s">
        <v>1383</v>
      </c>
      <c r="X852" s="42" t="s">
        <v>1383</v>
      </c>
      <c r="Y852" s="24">
        <v>1.05</v>
      </c>
      <c r="Z852" s="321">
        <v>7.3</v>
      </c>
      <c r="AA852" s="321">
        <v>70.2</v>
      </c>
      <c r="AB852" s="24" t="s">
        <v>451</v>
      </c>
      <c r="AC852" s="24">
        <v>5.48</v>
      </c>
      <c r="AD852" s="24">
        <v>1.1599999999999999</v>
      </c>
      <c r="AF852" s="24" t="s">
        <v>1340</v>
      </c>
      <c r="AG852" s="24" t="s">
        <v>244</v>
      </c>
      <c r="AH852" s="138" t="s">
        <v>578</v>
      </c>
      <c r="AI852" s="24" t="s">
        <v>133</v>
      </c>
      <c r="AJ852" s="140" t="s">
        <v>133</v>
      </c>
      <c r="AT852" s="24" t="s">
        <v>120</v>
      </c>
      <c r="AU852" s="24">
        <v>2</v>
      </c>
      <c r="AW852" s="24" t="s">
        <v>142</v>
      </c>
      <c r="BA852" s="53"/>
      <c r="BM852" s="395"/>
      <c r="BN852" s="395"/>
      <c r="BR852" s="395"/>
      <c r="BS852" s="395"/>
      <c r="EO852" s="24">
        <v>0.187</v>
      </c>
      <c r="EP852" s="24">
        <v>0.3</v>
      </c>
      <c r="ES852" s="24" t="s">
        <v>1690</v>
      </c>
      <c r="IO852" s="24" t="s">
        <v>728</v>
      </c>
    </row>
    <row r="853" spans="1:249" s="24" customFormat="1" x14ac:dyDescent="0.25">
      <c r="A853" s="24">
        <v>41</v>
      </c>
      <c r="B853" s="24" t="s">
        <v>592</v>
      </c>
      <c r="C853" s="24" t="s">
        <v>593</v>
      </c>
      <c r="D853" s="24">
        <v>1994</v>
      </c>
      <c r="E853" s="24">
        <v>1986</v>
      </c>
      <c r="F853" s="24" t="s">
        <v>419</v>
      </c>
      <c r="G853" s="24" t="s">
        <v>595</v>
      </c>
      <c r="H853" s="32" t="s">
        <v>2831</v>
      </c>
      <c r="I853" s="24">
        <v>38.03</v>
      </c>
      <c r="J853" s="24">
        <v>-84.51</v>
      </c>
      <c r="K853" s="24">
        <v>299.60000000000002</v>
      </c>
      <c r="Q853" s="42">
        <v>2</v>
      </c>
      <c r="R853" s="42" t="s">
        <v>1729</v>
      </c>
      <c r="S853" s="42"/>
      <c r="T853" s="42" t="s">
        <v>599</v>
      </c>
      <c r="U853" s="42" t="s">
        <v>1383</v>
      </c>
      <c r="V853" s="42" t="s">
        <v>1722</v>
      </c>
      <c r="W853" s="42" t="s">
        <v>1383</v>
      </c>
      <c r="X853" s="42" t="s">
        <v>1383</v>
      </c>
      <c r="Y853" s="24">
        <v>1.05</v>
      </c>
      <c r="Z853" s="321">
        <v>7.3</v>
      </c>
      <c r="AA853" s="321">
        <v>70.2</v>
      </c>
      <c r="AB853" s="24" t="s">
        <v>451</v>
      </c>
      <c r="AC853" s="24">
        <v>5.48</v>
      </c>
      <c r="AD853" s="24">
        <v>1.1599999999999999</v>
      </c>
      <c r="AF853" s="24" t="s">
        <v>1340</v>
      </c>
      <c r="AG853" s="24" t="s">
        <v>244</v>
      </c>
      <c r="AH853" s="138" t="s">
        <v>578</v>
      </c>
      <c r="AI853" s="24" t="s">
        <v>133</v>
      </c>
      <c r="AJ853" s="140" t="s">
        <v>133</v>
      </c>
      <c r="AT853" s="24" t="s">
        <v>120</v>
      </c>
      <c r="AU853" s="24">
        <v>2</v>
      </c>
      <c r="AW853" s="24" t="s">
        <v>142</v>
      </c>
      <c r="BA853" s="53"/>
      <c r="BM853" s="395"/>
      <c r="BN853" s="395"/>
      <c r="BR853" s="395"/>
      <c r="BS853" s="395"/>
      <c r="EO853" s="24">
        <v>3.5000000000000003E-2</v>
      </c>
      <c r="EP853" s="24">
        <v>0.05</v>
      </c>
      <c r="ES853" s="24" t="s">
        <v>1690</v>
      </c>
      <c r="IO853" s="24" t="s">
        <v>728</v>
      </c>
    </row>
    <row r="854" spans="1:249" s="24" customFormat="1" x14ac:dyDescent="0.25">
      <c r="A854" s="24">
        <v>41</v>
      </c>
      <c r="B854" s="24" t="s">
        <v>592</v>
      </c>
      <c r="C854" s="24" t="s">
        <v>593</v>
      </c>
      <c r="D854" s="24">
        <v>1994</v>
      </c>
      <c r="E854" s="24">
        <v>1986</v>
      </c>
      <c r="F854" s="24" t="s">
        <v>419</v>
      </c>
      <c r="G854" s="24" t="s">
        <v>595</v>
      </c>
      <c r="H854" s="32" t="s">
        <v>2831</v>
      </c>
      <c r="I854" s="24">
        <v>38.03</v>
      </c>
      <c r="J854" s="24">
        <v>-84.51</v>
      </c>
      <c r="K854" s="24">
        <v>299.60000000000002</v>
      </c>
      <c r="Q854" s="42">
        <v>2</v>
      </c>
      <c r="R854" s="42" t="s">
        <v>1729</v>
      </c>
      <c r="S854" s="42"/>
      <c r="T854" s="42" t="s">
        <v>520</v>
      </c>
      <c r="U854" s="42" t="s">
        <v>1383</v>
      </c>
      <c r="V854" s="42" t="s">
        <v>1722</v>
      </c>
      <c r="W854" s="42" t="s">
        <v>1383</v>
      </c>
      <c r="X854" s="42" t="s">
        <v>1383</v>
      </c>
      <c r="Y854" s="24">
        <v>1.05</v>
      </c>
      <c r="Z854" s="321">
        <v>7.3</v>
      </c>
      <c r="AA854" s="321">
        <v>70.2</v>
      </c>
      <c r="AB854" s="24" t="s">
        <v>451</v>
      </c>
      <c r="AC854" s="24">
        <v>5.48</v>
      </c>
      <c r="AD854" s="24">
        <v>1.1599999999999999</v>
      </c>
      <c r="AF854" s="24" t="s">
        <v>1340</v>
      </c>
      <c r="AG854" s="24" t="s">
        <v>244</v>
      </c>
      <c r="AH854" s="138" t="s">
        <v>578</v>
      </c>
      <c r="AI854" s="24" t="s">
        <v>133</v>
      </c>
      <c r="AJ854" s="140" t="s">
        <v>133</v>
      </c>
      <c r="AT854" s="24" t="s">
        <v>120</v>
      </c>
      <c r="AU854" s="24">
        <v>2</v>
      </c>
      <c r="AW854" s="24" t="s">
        <v>142</v>
      </c>
      <c r="BA854" s="53"/>
      <c r="BM854" s="395"/>
      <c r="BN854" s="395"/>
      <c r="BR854" s="395"/>
      <c r="BS854" s="395"/>
      <c r="EO854" s="24">
        <v>0.08</v>
      </c>
      <c r="EP854" s="24">
        <v>0.04</v>
      </c>
      <c r="ES854" s="24" t="s">
        <v>1690</v>
      </c>
      <c r="IO854" s="24" t="s">
        <v>728</v>
      </c>
    </row>
    <row r="855" spans="1:249" s="32" customFormat="1" x14ac:dyDescent="0.25">
      <c r="A855" s="32">
        <v>41</v>
      </c>
      <c r="B855" s="32" t="s">
        <v>592</v>
      </c>
      <c r="C855" s="32" t="s">
        <v>593</v>
      </c>
      <c r="D855" s="32">
        <v>1994</v>
      </c>
      <c r="E855" s="32">
        <v>1987</v>
      </c>
      <c r="F855" s="32" t="s">
        <v>419</v>
      </c>
      <c r="G855" s="32" t="s">
        <v>595</v>
      </c>
      <c r="H855" s="32" t="s">
        <v>2831</v>
      </c>
      <c r="I855" s="32">
        <v>38.03</v>
      </c>
      <c r="J855" s="32">
        <v>-84.51</v>
      </c>
      <c r="K855" s="32">
        <v>299.60000000000002</v>
      </c>
      <c r="Q855" s="44">
        <v>3</v>
      </c>
      <c r="R855" s="44" t="s">
        <v>1729</v>
      </c>
      <c r="S855" s="44"/>
      <c r="T855" s="44" t="s">
        <v>603</v>
      </c>
      <c r="U855" s="44" t="s">
        <v>1383</v>
      </c>
      <c r="V855" s="44" t="s">
        <v>1722</v>
      </c>
      <c r="W855" s="44" t="s">
        <v>1383</v>
      </c>
      <c r="X855" s="44" t="s">
        <v>1383</v>
      </c>
      <c r="Y855" s="32">
        <v>1.05</v>
      </c>
      <c r="Z855" s="323">
        <v>7.3</v>
      </c>
      <c r="AA855" s="323">
        <v>70.2</v>
      </c>
      <c r="AB855" s="32" t="s">
        <v>451</v>
      </c>
      <c r="AC855" s="32">
        <v>5.48</v>
      </c>
      <c r="AD855" s="32">
        <v>1.1599999999999999</v>
      </c>
      <c r="AF855" s="32" t="s">
        <v>1340</v>
      </c>
      <c r="AG855" s="32" t="s">
        <v>244</v>
      </c>
      <c r="AH855" s="138" t="s">
        <v>578</v>
      </c>
      <c r="AI855" s="32" t="s">
        <v>133</v>
      </c>
      <c r="AJ855" s="140" t="s">
        <v>133</v>
      </c>
      <c r="AT855" s="32" t="s">
        <v>120</v>
      </c>
      <c r="AU855" s="32">
        <v>2</v>
      </c>
      <c r="AW855" s="32" t="s">
        <v>142</v>
      </c>
      <c r="BA855" s="53"/>
      <c r="BM855" s="397"/>
      <c r="BN855" s="397"/>
      <c r="BR855" s="397"/>
      <c r="BS855" s="397"/>
      <c r="EO855" s="32">
        <v>0.36</v>
      </c>
      <c r="EP855" s="32">
        <v>0.47699999999999998</v>
      </c>
      <c r="ES855" s="32" t="s">
        <v>1690</v>
      </c>
      <c r="IO855" s="32" t="s">
        <v>728</v>
      </c>
    </row>
    <row r="856" spans="1:249" s="32" customFormat="1" x14ac:dyDescent="0.25">
      <c r="A856" s="32">
        <v>41</v>
      </c>
      <c r="B856" s="32" t="s">
        <v>592</v>
      </c>
      <c r="C856" s="32" t="s">
        <v>593</v>
      </c>
      <c r="D856" s="32">
        <v>1994</v>
      </c>
      <c r="E856" s="32">
        <v>1987</v>
      </c>
      <c r="F856" s="32" t="s">
        <v>419</v>
      </c>
      <c r="G856" s="32" t="s">
        <v>595</v>
      </c>
      <c r="H856" s="32" t="s">
        <v>2831</v>
      </c>
      <c r="I856" s="32">
        <v>38.03</v>
      </c>
      <c r="J856" s="32">
        <v>-84.51</v>
      </c>
      <c r="K856" s="32">
        <v>299.60000000000002</v>
      </c>
      <c r="Q856" s="44">
        <v>3</v>
      </c>
      <c r="R856" s="44" t="s">
        <v>1729</v>
      </c>
      <c r="S856" s="44"/>
      <c r="T856" s="44" t="s">
        <v>604</v>
      </c>
      <c r="U856" s="44" t="s">
        <v>1383</v>
      </c>
      <c r="V856" s="44" t="s">
        <v>1722</v>
      </c>
      <c r="W856" s="44" t="s">
        <v>1383</v>
      </c>
      <c r="X856" s="44" t="s">
        <v>1383</v>
      </c>
      <c r="Y856" s="32">
        <v>1.05</v>
      </c>
      <c r="Z856" s="323">
        <v>7.3</v>
      </c>
      <c r="AA856" s="323">
        <v>70.2</v>
      </c>
      <c r="AB856" s="32" t="s">
        <v>451</v>
      </c>
      <c r="AC856" s="32">
        <v>5.48</v>
      </c>
      <c r="AD856" s="32">
        <v>1.1599999999999999</v>
      </c>
      <c r="AF856" s="32" t="s">
        <v>1340</v>
      </c>
      <c r="AG856" s="32" t="s">
        <v>244</v>
      </c>
      <c r="AH856" s="138" t="s">
        <v>578</v>
      </c>
      <c r="AI856" s="32" t="s">
        <v>133</v>
      </c>
      <c r="AJ856" s="140" t="s">
        <v>133</v>
      </c>
      <c r="AT856" s="32" t="s">
        <v>120</v>
      </c>
      <c r="AU856" s="32">
        <v>2</v>
      </c>
      <c r="AW856" s="32" t="s">
        <v>142</v>
      </c>
      <c r="BA856" s="53"/>
      <c r="BM856" s="397"/>
      <c r="BN856" s="397"/>
      <c r="BR856" s="397"/>
      <c r="BS856" s="397"/>
      <c r="EO856" s="32">
        <v>0.32</v>
      </c>
      <c r="EP856" s="32">
        <v>0.42</v>
      </c>
      <c r="ES856" s="32" t="s">
        <v>1690</v>
      </c>
      <c r="IO856" s="32" t="s">
        <v>728</v>
      </c>
    </row>
    <row r="857" spans="1:249" s="32" customFormat="1" x14ac:dyDescent="0.25">
      <c r="A857" s="32">
        <v>41</v>
      </c>
      <c r="B857" s="32" t="s">
        <v>592</v>
      </c>
      <c r="C857" s="32" t="s">
        <v>593</v>
      </c>
      <c r="D857" s="32">
        <v>1994</v>
      </c>
      <c r="E857" s="32">
        <v>1987</v>
      </c>
      <c r="F857" s="32" t="s">
        <v>419</v>
      </c>
      <c r="G857" s="32" t="s">
        <v>595</v>
      </c>
      <c r="H857" s="32" t="s">
        <v>2831</v>
      </c>
      <c r="I857" s="32">
        <v>38.03</v>
      </c>
      <c r="J857" s="32">
        <v>-84.51</v>
      </c>
      <c r="K857" s="32">
        <v>299.60000000000002</v>
      </c>
      <c r="Q857" s="44">
        <v>3</v>
      </c>
      <c r="R857" s="44" t="s">
        <v>1729</v>
      </c>
      <c r="S857" s="44"/>
      <c r="T857" s="44" t="s">
        <v>213</v>
      </c>
      <c r="U857" s="44" t="s">
        <v>1383</v>
      </c>
      <c r="V857" s="44" t="s">
        <v>1722</v>
      </c>
      <c r="W857" s="44" t="s">
        <v>1383</v>
      </c>
      <c r="X857" s="44" t="s">
        <v>1383</v>
      </c>
      <c r="Y857" s="32">
        <v>1.05</v>
      </c>
      <c r="Z857" s="323">
        <v>7.3</v>
      </c>
      <c r="AA857" s="323">
        <v>70.2</v>
      </c>
      <c r="AB857" s="32" t="s">
        <v>451</v>
      </c>
      <c r="AC857" s="32">
        <v>5.48</v>
      </c>
      <c r="AD857" s="32">
        <v>1.1599999999999999</v>
      </c>
      <c r="AF857" s="32" t="s">
        <v>1340</v>
      </c>
      <c r="AG857" s="32" t="s">
        <v>244</v>
      </c>
      <c r="AH857" s="138" t="s">
        <v>578</v>
      </c>
      <c r="AI857" s="32" t="s">
        <v>133</v>
      </c>
      <c r="AJ857" s="140" t="s">
        <v>133</v>
      </c>
      <c r="AT857" s="32" t="s">
        <v>120</v>
      </c>
      <c r="AU857" s="32">
        <v>2</v>
      </c>
      <c r="AW857" s="32" t="s">
        <v>142</v>
      </c>
      <c r="BA857" s="53"/>
      <c r="BM857" s="397"/>
      <c r="BN857" s="397"/>
      <c r="BR857" s="397"/>
      <c r="BS857" s="397"/>
      <c r="EO857" s="32">
        <v>0.28999999999999998</v>
      </c>
      <c r="EP857" s="32">
        <v>0.36499999999999999</v>
      </c>
      <c r="ES857" s="32" t="s">
        <v>1690</v>
      </c>
      <c r="IO857" s="32" t="s">
        <v>728</v>
      </c>
    </row>
    <row r="858" spans="1:249" s="32" customFormat="1" x14ac:dyDescent="0.25">
      <c r="A858" s="32">
        <v>41</v>
      </c>
      <c r="B858" s="32" t="s">
        <v>592</v>
      </c>
      <c r="C858" s="32" t="s">
        <v>593</v>
      </c>
      <c r="D858" s="32">
        <v>1994</v>
      </c>
      <c r="E858" s="32">
        <v>1987</v>
      </c>
      <c r="F858" s="32" t="s">
        <v>419</v>
      </c>
      <c r="G858" s="32" t="s">
        <v>595</v>
      </c>
      <c r="H858" s="32" t="s">
        <v>2831</v>
      </c>
      <c r="I858" s="32">
        <v>38.03</v>
      </c>
      <c r="J858" s="32">
        <v>-84.51</v>
      </c>
      <c r="K858" s="32">
        <v>299.60000000000002</v>
      </c>
      <c r="Q858" s="44">
        <v>3</v>
      </c>
      <c r="R858" s="44" t="s">
        <v>1729</v>
      </c>
      <c r="S858" s="44"/>
      <c r="T858" s="44" t="s">
        <v>601</v>
      </c>
      <c r="U858" s="44" t="s">
        <v>1383</v>
      </c>
      <c r="V858" s="44" t="s">
        <v>1722</v>
      </c>
      <c r="W858" s="44" t="s">
        <v>1383</v>
      </c>
      <c r="X858" s="44" t="s">
        <v>1383</v>
      </c>
      <c r="Y858" s="32">
        <v>1.05</v>
      </c>
      <c r="Z858" s="323">
        <v>7.3</v>
      </c>
      <c r="AA858" s="323">
        <v>70.2</v>
      </c>
      <c r="AB858" s="32" t="s">
        <v>451</v>
      </c>
      <c r="AC858" s="32">
        <v>5.48</v>
      </c>
      <c r="AD858" s="32">
        <v>1.1599999999999999</v>
      </c>
      <c r="AF858" s="32" t="s">
        <v>1340</v>
      </c>
      <c r="AG858" s="32" t="s">
        <v>244</v>
      </c>
      <c r="AH858" s="138" t="s">
        <v>578</v>
      </c>
      <c r="AI858" s="32" t="s">
        <v>133</v>
      </c>
      <c r="AJ858" s="140" t="s">
        <v>133</v>
      </c>
      <c r="AT858" s="32" t="s">
        <v>120</v>
      </c>
      <c r="AU858" s="32">
        <v>2</v>
      </c>
      <c r="AW858" s="32" t="s">
        <v>142</v>
      </c>
      <c r="BA858" s="53"/>
      <c r="BM858" s="397"/>
      <c r="BN858" s="397"/>
      <c r="BR858" s="397"/>
      <c r="BS858" s="397"/>
      <c r="EO858" s="32">
        <v>0.24399999999999999</v>
      </c>
      <c r="EP858" s="32">
        <v>0.24</v>
      </c>
      <c r="ES858" s="32" t="s">
        <v>1690</v>
      </c>
      <c r="IO858" s="32" t="s">
        <v>728</v>
      </c>
    </row>
    <row r="859" spans="1:249" s="32" customFormat="1" x14ac:dyDescent="0.25">
      <c r="A859" s="32">
        <v>41</v>
      </c>
      <c r="B859" s="32" t="s">
        <v>592</v>
      </c>
      <c r="C859" s="32" t="s">
        <v>593</v>
      </c>
      <c r="D859" s="32">
        <v>1994</v>
      </c>
      <c r="E859" s="32">
        <v>1987</v>
      </c>
      <c r="F859" s="32" t="s">
        <v>419</v>
      </c>
      <c r="G859" s="32" t="s">
        <v>595</v>
      </c>
      <c r="H859" s="32" t="s">
        <v>2831</v>
      </c>
      <c r="I859" s="32">
        <v>38.03</v>
      </c>
      <c r="J859" s="32">
        <v>-84.51</v>
      </c>
      <c r="K859" s="32">
        <v>299.60000000000002</v>
      </c>
      <c r="Q859" s="44">
        <v>3</v>
      </c>
      <c r="R859" s="44" t="s">
        <v>1729</v>
      </c>
      <c r="S859" s="44"/>
      <c r="T859" s="44" t="s">
        <v>202</v>
      </c>
      <c r="U859" s="44" t="s">
        <v>1383</v>
      </c>
      <c r="V859" s="44" t="s">
        <v>1722</v>
      </c>
      <c r="W859" s="44" t="s">
        <v>1383</v>
      </c>
      <c r="X859" s="44" t="s">
        <v>1383</v>
      </c>
      <c r="Y859" s="32">
        <v>1.05</v>
      </c>
      <c r="Z859" s="323">
        <v>7.3</v>
      </c>
      <c r="AA859" s="323">
        <v>70.2</v>
      </c>
      <c r="AB859" s="32" t="s">
        <v>451</v>
      </c>
      <c r="AC859" s="32">
        <v>5.48</v>
      </c>
      <c r="AD859" s="32">
        <v>1.1599999999999999</v>
      </c>
      <c r="AF859" s="32" t="s">
        <v>1340</v>
      </c>
      <c r="AG859" s="32" t="s">
        <v>244</v>
      </c>
      <c r="AH859" s="138" t="s">
        <v>578</v>
      </c>
      <c r="AI859" s="32" t="s">
        <v>133</v>
      </c>
      <c r="AJ859" s="140" t="s">
        <v>133</v>
      </c>
      <c r="AT859" s="32" t="s">
        <v>120</v>
      </c>
      <c r="AU859" s="32">
        <v>2</v>
      </c>
      <c r="AW859" s="32" t="s">
        <v>142</v>
      </c>
      <c r="BA859" s="53"/>
      <c r="BM859" s="397"/>
      <c r="BN859" s="397"/>
      <c r="BR859" s="397"/>
      <c r="BS859" s="397"/>
      <c r="EO859" s="32">
        <v>0.20599999999999999</v>
      </c>
      <c r="EP859" s="32">
        <v>0.21</v>
      </c>
      <c r="ES859" s="32" t="s">
        <v>1690</v>
      </c>
      <c r="IO859" s="32" t="s">
        <v>728</v>
      </c>
    </row>
    <row r="860" spans="1:249" s="32" customFormat="1" x14ac:dyDescent="0.25">
      <c r="A860" s="32">
        <v>41</v>
      </c>
      <c r="B860" s="32" t="s">
        <v>592</v>
      </c>
      <c r="C860" s="32" t="s">
        <v>593</v>
      </c>
      <c r="D860" s="32">
        <v>1994</v>
      </c>
      <c r="E860" s="32">
        <v>1987</v>
      </c>
      <c r="F860" s="32" t="s">
        <v>419</v>
      </c>
      <c r="G860" s="32" t="s">
        <v>595</v>
      </c>
      <c r="H860" s="32" t="s">
        <v>2831</v>
      </c>
      <c r="I860" s="32">
        <v>38.03</v>
      </c>
      <c r="J860" s="32">
        <v>-84.51</v>
      </c>
      <c r="K860" s="32">
        <v>299.60000000000002</v>
      </c>
      <c r="Q860" s="44">
        <v>3</v>
      </c>
      <c r="R860" s="44" t="s">
        <v>1729</v>
      </c>
      <c r="S860" s="44"/>
      <c r="T860" s="44" t="s">
        <v>597</v>
      </c>
      <c r="U860" s="44" t="s">
        <v>1383</v>
      </c>
      <c r="V860" s="44" t="s">
        <v>1722</v>
      </c>
      <c r="W860" s="44" t="s">
        <v>1383</v>
      </c>
      <c r="X860" s="44" t="s">
        <v>1383</v>
      </c>
      <c r="Y860" s="32">
        <v>1.05</v>
      </c>
      <c r="Z860" s="323">
        <v>7.3</v>
      </c>
      <c r="AA860" s="323">
        <v>70.2</v>
      </c>
      <c r="AB860" s="32" t="s">
        <v>451</v>
      </c>
      <c r="AC860" s="32">
        <v>5.48</v>
      </c>
      <c r="AD860" s="32">
        <v>1.1599999999999999</v>
      </c>
      <c r="AF860" s="32" t="s">
        <v>1340</v>
      </c>
      <c r="AG860" s="32" t="s">
        <v>244</v>
      </c>
      <c r="AH860" s="138" t="s">
        <v>578</v>
      </c>
      <c r="AI860" s="32" t="s">
        <v>133</v>
      </c>
      <c r="AJ860" s="140" t="s">
        <v>133</v>
      </c>
      <c r="AT860" s="32" t="s">
        <v>120</v>
      </c>
      <c r="AU860" s="32">
        <v>2</v>
      </c>
      <c r="AW860" s="32" t="s">
        <v>142</v>
      </c>
      <c r="BA860" s="53"/>
      <c r="BM860" s="397"/>
      <c r="BN860" s="397"/>
      <c r="BR860" s="397"/>
      <c r="BS860" s="397"/>
      <c r="EO860" s="32">
        <v>0.3</v>
      </c>
      <c r="EP860" s="32">
        <v>0.23</v>
      </c>
      <c r="ES860" s="32" t="s">
        <v>1690</v>
      </c>
      <c r="IO860" s="32" t="s">
        <v>728</v>
      </c>
    </row>
    <row r="861" spans="1:249" s="32" customFormat="1" x14ac:dyDescent="0.25">
      <c r="A861" s="32">
        <v>41</v>
      </c>
      <c r="B861" s="32" t="s">
        <v>592</v>
      </c>
      <c r="C861" s="32" t="s">
        <v>593</v>
      </c>
      <c r="D861" s="32">
        <v>1994</v>
      </c>
      <c r="E861" s="32">
        <v>1987</v>
      </c>
      <c r="F861" s="32" t="s">
        <v>419</v>
      </c>
      <c r="G861" s="32" t="s">
        <v>595</v>
      </c>
      <c r="H861" s="32" t="s">
        <v>2831</v>
      </c>
      <c r="I861" s="32">
        <v>38.03</v>
      </c>
      <c r="J861" s="32">
        <v>-84.51</v>
      </c>
      <c r="K861" s="32">
        <v>299.60000000000002</v>
      </c>
      <c r="Q861" s="44">
        <v>3</v>
      </c>
      <c r="R861" s="44" t="s">
        <v>1729</v>
      </c>
      <c r="S861" s="44"/>
      <c r="T861" s="44" t="s">
        <v>227</v>
      </c>
      <c r="U861" s="44" t="s">
        <v>1383</v>
      </c>
      <c r="V861" s="44" t="s">
        <v>1722</v>
      </c>
      <c r="W861" s="44" t="s">
        <v>1383</v>
      </c>
      <c r="X861" s="44" t="s">
        <v>1383</v>
      </c>
      <c r="Y861" s="32">
        <v>1.05</v>
      </c>
      <c r="Z861" s="323">
        <v>7.3</v>
      </c>
      <c r="AA861" s="323">
        <v>70.2</v>
      </c>
      <c r="AB861" s="32" t="s">
        <v>451</v>
      </c>
      <c r="AC861" s="32">
        <v>5.48</v>
      </c>
      <c r="AD861" s="32">
        <v>1.1599999999999999</v>
      </c>
      <c r="AF861" s="32" t="s">
        <v>1340</v>
      </c>
      <c r="AG861" s="32" t="s">
        <v>244</v>
      </c>
      <c r="AH861" s="138" t="s">
        <v>578</v>
      </c>
      <c r="AI861" s="32" t="s">
        <v>133</v>
      </c>
      <c r="AJ861" s="140" t="s">
        <v>133</v>
      </c>
      <c r="AT861" s="32" t="s">
        <v>120</v>
      </c>
      <c r="AU861" s="32">
        <v>2</v>
      </c>
      <c r="AW861" s="32" t="s">
        <v>142</v>
      </c>
      <c r="BA861" s="53"/>
      <c r="BM861" s="397"/>
      <c r="BN861" s="397"/>
      <c r="BR861" s="397"/>
      <c r="BS861" s="397"/>
      <c r="EO861" s="32">
        <v>0.36499999999999999</v>
      </c>
      <c r="EP861" s="32">
        <v>0.17799999999999999</v>
      </c>
      <c r="ES861" s="32" t="s">
        <v>1690</v>
      </c>
      <c r="IO861" s="32" t="s">
        <v>728</v>
      </c>
    </row>
    <row r="862" spans="1:249" s="32" customFormat="1" x14ac:dyDescent="0.25">
      <c r="A862" s="32">
        <v>41</v>
      </c>
      <c r="B862" s="32" t="s">
        <v>592</v>
      </c>
      <c r="C862" s="32" t="s">
        <v>593</v>
      </c>
      <c r="D862" s="32">
        <v>1994</v>
      </c>
      <c r="E862" s="32">
        <v>1987</v>
      </c>
      <c r="F862" s="32" t="s">
        <v>419</v>
      </c>
      <c r="G862" s="32" t="s">
        <v>595</v>
      </c>
      <c r="H862" s="32" t="s">
        <v>2831</v>
      </c>
      <c r="I862" s="32">
        <v>38.03</v>
      </c>
      <c r="J862" s="32">
        <v>-84.51</v>
      </c>
      <c r="K862" s="32">
        <v>299.60000000000002</v>
      </c>
      <c r="Q862" s="44">
        <v>3</v>
      </c>
      <c r="R862" s="44" t="s">
        <v>1729</v>
      </c>
      <c r="S862" s="44"/>
      <c r="T862" s="44" t="s">
        <v>598</v>
      </c>
      <c r="U862" s="44" t="s">
        <v>1383</v>
      </c>
      <c r="V862" s="44" t="s">
        <v>1722</v>
      </c>
      <c r="W862" s="44" t="s">
        <v>1383</v>
      </c>
      <c r="X862" s="44" t="s">
        <v>1383</v>
      </c>
      <c r="Y862" s="32">
        <v>1.05</v>
      </c>
      <c r="Z862" s="323">
        <v>7.3</v>
      </c>
      <c r="AA862" s="323">
        <v>70.2</v>
      </c>
      <c r="AB862" s="32" t="s">
        <v>451</v>
      </c>
      <c r="AC862" s="32">
        <v>5.48</v>
      </c>
      <c r="AD862" s="32">
        <v>1.1599999999999999</v>
      </c>
      <c r="AF862" s="32" t="s">
        <v>1340</v>
      </c>
      <c r="AG862" s="32" t="s">
        <v>244</v>
      </c>
      <c r="AH862" s="138" t="s">
        <v>578</v>
      </c>
      <c r="AI862" s="32" t="s">
        <v>133</v>
      </c>
      <c r="AJ862" s="140" t="s">
        <v>133</v>
      </c>
      <c r="AT862" s="32" t="s">
        <v>120</v>
      </c>
      <c r="AU862" s="32">
        <v>2</v>
      </c>
      <c r="AW862" s="32" t="s">
        <v>142</v>
      </c>
      <c r="BA862" s="53"/>
      <c r="BM862" s="397"/>
      <c r="BN862" s="397"/>
      <c r="BR862" s="397"/>
      <c r="BS862" s="397"/>
      <c r="EO862" s="32">
        <v>0.4</v>
      </c>
      <c r="EP862" s="32">
        <v>0.16</v>
      </c>
      <c r="ES862" s="32" t="s">
        <v>1690</v>
      </c>
      <c r="IO862" s="32" t="s">
        <v>728</v>
      </c>
    </row>
    <row r="863" spans="1:249" s="32" customFormat="1" x14ac:dyDescent="0.25">
      <c r="A863" s="32">
        <v>41</v>
      </c>
      <c r="B863" s="32" t="s">
        <v>592</v>
      </c>
      <c r="C863" s="32" t="s">
        <v>593</v>
      </c>
      <c r="D863" s="32">
        <v>1994</v>
      </c>
      <c r="E863" s="32">
        <v>1987</v>
      </c>
      <c r="F863" s="32" t="s">
        <v>419</v>
      </c>
      <c r="G863" s="32" t="s">
        <v>595</v>
      </c>
      <c r="H863" s="32" t="s">
        <v>2831</v>
      </c>
      <c r="I863" s="32">
        <v>38.03</v>
      </c>
      <c r="J863" s="32">
        <v>-84.51</v>
      </c>
      <c r="K863" s="32">
        <v>299.60000000000002</v>
      </c>
      <c r="Q863" s="44">
        <v>3</v>
      </c>
      <c r="R863" s="44" t="s">
        <v>1729</v>
      </c>
      <c r="S863" s="44"/>
      <c r="T863" s="44" t="s">
        <v>602</v>
      </c>
      <c r="U863" s="44" t="s">
        <v>1383</v>
      </c>
      <c r="V863" s="44" t="s">
        <v>1722</v>
      </c>
      <c r="W863" s="44" t="s">
        <v>1383</v>
      </c>
      <c r="X863" s="44" t="s">
        <v>1383</v>
      </c>
      <c r="Y863" s="32">
        <v>1.05</v>
      </c>
      <c r="Z863" s="323">
        <v>7.3</v>
      </c>
      <c r="AA863" s="323">
        <v>70.2</v>
      </c>
      <c r="AB863" s="32" t="s">
        <v>451</v>
      </c>
      <c r="AC863" s="32">
        <v>5.48</v>
      </c>
      <c r="AD863" s="32">
        <v>1.1599999999999999</v>
      </c>
      <c r="AF863" s="32" t="s">
        <v>1340</v>
      </c>
      <c r="AG863" s="32" t="s">
        <v>244</v>
      </c>
      <c r="AH863" s="138" t="s">
        <v>578</v>
      </c>
      <c r="AI863" s="32" t="s">
        <v>133</v>
      </c>
      <c r="AJ863" s="140" t="s">
        <v>133</v>
      </c>
      <c r="AT863" s="32" t="s">
        <v>120</v>
      </c>
      <c r="AU863" s="32">
        <v>2</v>
      </c>
      <c r="AW863" s="32" t="s">
        <v>142</v>
      </c>
      <c r="BA863" s="53"/>
      <c r="BM863" s="397"/>
      <c r="BN863" s="397"/>
      <c r="BR863" s="397"/>
      <c r="BS863" s="397"/>
      <c r="EO863" s="32">
        <v>0.45</v>
      </c>
      <c r="EP863" s="32">
        <v>0.156</v>
      </c>
      <c r="ES863" s="32" t="s">
        <v>1690</v>
      </c>
      <c r="IO863" s="32" t="s">
        <v>728</v>
      </c>
    </row>
    <row r="864" spans="1:249" s="32" customFormat="1" x14ac:dyDescent="0.25">
      <c r="A864" s="32">
        <v>41</v>
      </c>
      <c r="B864" s="32" t="s">
        <v>592</v>
      </c>
      <c r="C864" s="32" t="s">
        <v>593</v>
      </c>
      <c r="D864" s="32">
        <v>1994</v>
      </c>
      <c r="E864" s="32">
        <v>1987</v>
      </c>
      <c r="F864" s="32" t="s">
        <v>419</v>
      </c>
      <c r="G864" s="32" t="s">
        <v>595</v>
      </c>
      <c r="H864" s="32" t="s">
        <v>2831</v>
      </c>
      <c r="I864" s="32">
        <v>38.03</v>
      </c>
      <c r="J864" s="32">
        <v>-84.51</v>
      </c>
      <c r="K864" s="32">
        <v>299.60000000000002</v>
      </c>
      <c r="Q864" s="44">
        <v>3</v>
      </c>
      <c r="R864" s="44" t="s">
        <v>1729</v>
      </c>
      <c r="S864" s="44"/>
      <c r="T864" s="44" t="s">
        <v>520</v>
      </c>
      <c r="U864" s="44" t="s">
        <v>1383</v>
      </c>
      <c r="V864" s="44" t="s">
        <v>1722</v>
      </c>
      <c r="W864" s="44" t="s">
        <v>1383</v>
      </c>
      <c r="X864" s="44" t="s">
        <v>1383</v>
      </c>
      <c r="Y864" s="32">
        <v>1.05</v>
      </c>
      <c r="Z864" s="323">
        <v>7.3</v>
      </c>
      <c r="AA864" s="323">
        <v>70.2</v>
      </c>
      <c r="AB864" s="32" t="s">
        <v>451</v>
      </c>
      <c r="AC864" s="32">
        <v>5.48</v>
      </c>
      <c r="AD864" s="32">
        <v>1.1599999999999999</v>
      </c>
      <c r="AF864" s="32" t="s">
        <v>1340</v>
      </c>
      <c r="AG864" s="32" t="s">
        <v>244</v>
      </c>
      <c r="AH864" s="138" t="s">
        <v>578</v>
      </c>
      <c r="AI864" s="32" t="s">
        <v>133</v>
      </c>
      <c r="AJ864" s="140" t="s">
        <v>133</v>
      </c>
      <c r="AT864" s="32" t="s">
        <v>120</v>
      </c>
      <c r="AU864" s="32">
        <v>2</v>
      </c>
      <c r="AW864" s="32" t="s">
        <v>142</v>
      </c>
      <c r="BA864" s="53"/>
      <c r="BM864" s="397"/>
      <c r="BN864" s="397"/>
      <c r="BR864" s="397"/>
      <c r="BS864" s="397"/>
      <c r="EO864" s="32">
        <v>0.49</v>
      </c>
      <c r="EP864" s="32">
        <v>0.21</v>
      </c>
      <c r="ES864" s="32" t="s">
        <v>1690</v>
      </c>
      <c r="IO864" s="32" t="s">
        <v>728</v>
      </c>
    </row>
    <row r="865" spans="1:249" s="32" customFormat="1" x14ac:dyDescent="0.25">
      <c r="A865" s="32">
        <v>41</v>
      </c>
      <c r="B865" s="32" t="s">
        <v>592</v>
      </c>
      <c r="C865" s="32" t="s">
        <v>593</v>
      </c>
      <c r="D865" s="32">
        <v>1994</v>
      </c>
      <c r="E865" s="32">
        <v>1987</v>
      </c>
      <c r="F865" s="32" t="s">
        <v>419</v>
      </c>
      <c r="G865" s="32" t="s">
        <v>595</v>
      </c>
      <c r="H865" s="32" t="s">
        <v>2831</v>
      </c>
      <c r="I865" s="32">
        <v>38.03</v>
      </c>
      <c r="J865" s="32">
        <v>-84.51</v>
      </c>
      <c r="K865" s="32">
        <v>299.60000000000002</v>
      </c>
      <c r="Q865" s="44">
        <v>3</v>
      </c>
      <c r="R865" s="44" t="s">
        <v>1729</v>
      </c>
      <c r="S865" s="44"/>
      <c r="T865" s="44" t="s">
        <v>600</v>
      </c>
      <c r="U865" s="44" t="s">
        <v>1383</v>
      </c>
      <c r="V865" s="44" t="s">
        <v>1722</v>
      </c>
      <c r="W865" s="44" t="s">
        <v>1383</v>
      </c>
      <c r="X865" s="44" t="s">
        <v>1383</v>
      </c>
      <c r="Y865" s="32">
        <v>1.05</v>
      </c>
      <c r="Z865" s="323">
        <v>7.3</v>
      </c>
      <c r="AA865" s="323">
        <v>70.2</v>
      </c>
      <c r="AB865" s="32" t="s">
        <v>451</v>
      </c>
      <c r="AC865" s="32">
        <v>5.48</v>
      </c>
      <c r="AD865" s="32">
        <v>1.1599999999999999</v>
      </c>
      <c r="AF865" s="32" t="s">
        <v>1340</v>
      </c>
      <c r="AG865" s="32" t="s">
        <v>244</v>
      </c>
      <c r="AH865" s="138" t="s">
        <v>578</v>
      </c>
      <c r="AI865" s="32" t="s">
        <v>133</v>
      </c>
      <c r="AJ865" s="140" t="s">
        <v>133</v>
      </c>
      <c r="AT865" s="32" t="s">
        <v>120</v>
      </c>
      <c r="AU865" s="32">
        <v>2</v>
      </c>
      <c r="AW865" s="32" t="s">
        <v>142</v>
      </c>
      <c r="BA865" s="53"/>
      <c r="BM865" s="397"/>
      <c r="BN865" s="397"/>
      <c r="BR865" s="397"/>
      <c r="BS865" s="397"/>
      <c r="EO865" s="32">
        <v>0.438</v>
      </c>
      <c r="EP865" s="32">
        <v>0.218</v>
      </c>
      <c r="ES865" s="32" t="s">
        <v>1690</v>
      </c>
      <c r="IO865" s="32" t="s">
        <v>728</v>
      </c>
    </row>
    <row r="866" spans="1:249" s="24" customFormat="1" x14ac:dyDescent="0.25">
      <c r="A866" s="24">
        <v>41</v>
      </c>
      <c r="B866" s="24" t="s">
        <v>592</v>
      </c>
      <c r="C866" s="24" t="s">
        <v>593</v>
      </c>
      <c r="D866" s="24">
        <v>1994</v>
      </c>
      <c r="E866" s="24">
        <v>1988</v>
      </c>
      <c r="F866" s="24" t="s">
        <v>419</v>
      </c>
      <c r="G866" s="24" t="s">
        <v>595</v>
      </c>
      <c r="H866" s="32" t="s">
        <v>2831</v>
      </c>
      <c r="I866" s="24">
        <v>38.03</v>
      </c>
      <c r="J866" s="24">
        <v>-84.51</v>
      </c>
      <c r="K866" s="24">
        <v>299.60000000000002</v>
      </c>
      <c r="Q866" s="42">
        <v>4</v>
      </c>
      <c r="R866" s="42" t="s">
        <v>1729</v>
      </c>
      <c r="S866" s="42"/>
      <c r="T866" s="42" t="s">
        <v>603</v>
      </c>
      <c r="U866" s="42" t="s">
        <v>1383</v>
      </c>
      <c r="V866" s="42" t="s">
        <v>1722</v>
      </c>
      <c r="W866" s="42" t="s">
        <v>1383</v>
      </c>
      <c r="X866" s="42" t="s">
        <v>1383</v>
      </c>
      <c r="Y866" s="24">
        <v>1.05</v>
      </c>
      <c r="Z866" s="321">
        <v>7.3</v>
      </c>
      <c r="AA866" s="321">
        <v>70.2</v>
      </c>
      <c r="AB866" s="24" t="s">
        <v>451</v>
      </c>
      <c r="AC866" s="24">
        <v>5.48</v>
      </c>
      <c r="AD866" s="24">
        <v>1.1599999999999999</v>
      </c>
      <c r="AF866" s="24" t="s">
        <v>1340</v>
      </c>
      <c r="AG866" s="24" t="s">
        <v>244</v>
      </c>
      <c r="AH866" s="138" t="s">
        <v>578</v>
      </c>
      <c r="AI866" s="24" t="s">
        <v>133</v>
      </c>
      <c r="AJ866" s="140" t="s">
        <v>133</v>
      </c>
      <c r="AT866" s="24" t="s">
        <v>120</v>
      </c>
      <c r="AU866" s="24">
        <v>2</v>
      </c>
      <c r="AW866" s="24" t="s">
        <v>142</v>
      </c>
      <c r="BA866" s="53"/>
      <c r="BM866" s="395"/>
      <c r="BN866" s="395"/>
      <c r="BR866" s="395"/>
      <c r="BS866" s="395"/>
      <c r="EO866" s="24">
        <v>0.16300000000000001</v>
      </c>
      <c r="EP866" s="24">
        <v>3.5000000000000003E-2</v>
      </c>
      <c r="ES866" s="24" t="s">
        <v>1690</v>
      </c>
      <c r="IO866" s="24" t="s">
        <v>728</v>
      </c>
    </row>
    <row r="867" spans="1:249" s="24" customFormat="1" x14ac:dyDescent="0.25">
      <c r="A867" s="24">
        <v>41</v>
      </c>
      <c r="B867" s="24" t="s">
        <v>592</v>
      </c>
      <c r="C867" s="24" t="s">
        <v>593</v>
      </c>
      <c r="D867" s="24">
        <v>1994</v>
      </c>
      <c r="E867" s="24">
        <v>1988</v>
      </c>
      <c r="F867" s="24" t="s">
        <v>419</v>
      </c>
      <c r="G867" s="24" t="s">
        <v>595</v>
      </c>
      <c r="H867" s="32" t="s">
        <v>2831</v>
      </c>
      <c r="I867" s="24">
        <v>38.03</v>
      </c>
      <c r="J867" s="24">
        <v>-84.51</v>
      </c>
      <c r="K867" s="24">
        <v>299.60000000000002</v>
      </c>
      <c r="Q867" s="42">
        <v>4</v>
      </c>
      <c r="R867" s="42" t="s">
        <v>1729</v>
      </c>
      <c r="S867" s="42"/>
      <c r="T867" s="42" t="s">
        <v>604</v>
      </c>
      <c r="U867" s="42" t="s">
        <v>1383</v>
      </c>
      <c r="V867" s="42" t="s">
        <v>1722</v>
      </c>
      <c r="W867" s="42" t="s">
        <v>1383</v>
      </c>
      <c r="X867" s="42" t="s">
        <v>1383</v>
      </c>
      <c r="Y867" s="24">
        <v>1.05</v>
      </c>
      <c r="Z867" s="321">
        <v>7.3</v>
      </c>
      <c r="AA867" s="321">
        <v>70.2</v>
      </c>
      <c r="AB867" s="24" t="s">
        <v>451</v>
      </c>
      <c r="AC867" s="24">
        <v>5.48</v>
      </c>
      <c r="AD867" s="24">
        <v>1.1599999999999999</v>
      </c>
      <c r="AF867" s="24" t="s">
        <v>1340</v>
      </c>
      <c r="AG867" s="24" t="s">
        <v>244</v>
      </c>
      <c r="AH867" s="138" t="s">
        <v>578</v>
      </c>
      <c r="AI867" s="24" t="s">
        <v>133</v>
      </c>
      <c r="AJ867" s="140" t="s">
        <v>133</v>
      </c>
      <c r="AT867" s="24" t="s">
        <v>120</v>
      </c>
      <c r="AU867" s="24">
        <v>2</v>
      </c>
      <c r="AW867" s="24" t="s">
        <v>142</v>
      </c>
      <c r="BA867" s="53"/>
      <c r="BM867" s="395"/>
      <c r="BN867" s="395"/>
      <c r="BR867" s="395"/>
      <c r="BS867" s="395"/>
      <c r="EO867" s="24">
        <v>0.2</v>
      </c>
      <c r="EP867" s="24">
        <v>0.113</v>
      </c>
      <c r="ES867" s="24" t="s">
        <v>1690</v>
      </c>
      <c r="IO867" s="24" t="s">
        <v>728</v>
      </c>
    </row>
    <row r="868" spans="1:249" s="24" customFormat="1" x14ac:dyDescent="0.25">
      <c r="A868" s="24">
        <v>41</v>
      </c>
      <c r="B868" s="24" t="s">
        <v>592</v>
      </c>
      <c r="C868" s="24" t="s">
        <v>593</v>
      </c>
      <c r="D868" s="24">
        <v>1994</v>
      </c>
      <c r="E868" s="24">
        <v>1988</v>
      </c>
      <c r="F868" s="24" t="s">
        <v>419</v>
      </c>
      <c r="G868" s="24" t="s">
        <v>595</v>
      </c>
      <c r="H868" s="32" t="s">
        <v>2831</v>
      </c>
      <c r="I868" s="24">
        <v>38.03</v>
      </c>
      <c r="J868" s="24">
        <v>-84.51</v>
      </c>
      <c r="K868" s="24">
        <v>299.60000000000002</v>
      </c>
      <c r="Q868" s="42">
        <v>4</v>
      </c>
      <c r="R868" s="42" t="s">
        <v>1729</v>
      </c>
      <c r="S868" s="42"/>
      <c r="T868" s="42" t="s">
        <v>213</v>
      </c>
      <c r="U868" s="42" t="s">
        <v>1383</v>
      </c>
      <c r="V868" s="42" t="s">
        <v>1722</v>
      </c>
      <c r="W868" s="42" t="s">
        <v>1383</v>
      </c>
      <c r="X868" s="42" t="s">
        <v>1383</v>
      </c>
      <c r="Y868" s="24">
        <v>1.05</v>
      </c>
      <c r="Z868" s="321">
        <v>7.3</v>
      </c>
      <c r="AA868" s="321">
        <v>70.2</v>
      </c>
      <c r="AB868" s="24" t="s">
        <v>451</v>
      </c>
      <c r="AC868" s="24">
        <v>5.48</v>
      </c>
      <c r="AD868" s="24">
        <v>1.1599999999999999</v>
      </c>
      <c r="AF868" s="24" t="s">
        <v>1340</v>
      </c>
      <c r="AG868" s="24" t="s">
        <v>244</v>
      </c>
      <c r="AH868" s="138" t="s">
        <v>578</v>
      </c>
      <c r="AI868" s="24" t="s">
        <v>133</v>
      </c>
      <c r="AJ868" s="140" t="s">
        <v>133</v>
      </c>
      <c r="AT868" s="24" t="s">
        <v>120</v>
      </c>
      <c r="AU868" s="24">
        <v>2</v>
      </c>
      <c r="AW868" s="24" t="s">
        <v>142</v>
      </c>
      <c r="BA868" s="53"/>
      <c r="BM868" s="395"/>
      <c r="BN868" s="395"/>
      <c r="BR868" s="395"/>
      <c r="BS868" s="395"/>
      <c r="EO868" s="24">
        <v>0.21</v>
      </c>
      <c r="EP868" s="24">
        <v>0.15</v>
      </c>
      <c r="ES868" s="24" t="s">
        <v>1690</v>
      </c>
      <c r="IO868" s="24" t="s">
        <v>728</v>
      </c>
    </row>
    <row r="869" spans="1:249" s="24" customFormat="1" x14ac:dyDescent="0.25">
      <c r="A869" s="24">
        <v>41</v>
      </c>
      <c r="B869" s="24" t="s">
        <v>592</v>
      </c>
      <c r="C869" s="24" t="s">
        <v>593</v>
      </c>
      <c r="D869" s="24">
        <v>1994</v>
      </c>
      <c r="E869" s="24">
        <v>1988</v>
      </c>
      <c r="F869" s="24" t="s">
        <v>419</v>
      </c>
      <c r="G869" s="24" t="s">
        <v>595</v>
      </c>
      <c r="H869" s="32" t="s">
        <v>2831</v>
      </c>
      <c r="I869" s="24">
        <v>38.03</v>
      </c>
      <c r="J869" s="24">
        <v>-84.51</v>
      </c>
      <c r="K869" s="24">
        <v>299.60000000000002</v>
      </c>
      <c r="Q869" s="42">
        <v>4</v>
      </c>
      <c r="R869" s="42" t="s">
        <v>1729</v>
      </c>
      <c r="S869" s="42"/>
      <c r="T869" s="42" t="s">
        <v>601</v>
      </c>
      <c r="U869" s="42" t="s">
        <v>1383</v>
      </c>
      <c r="V869" s="42" t="s">
        <v>1722</v>
      </c>
      <c r="W869" s="42" t="s">
        <v>1383</v>
      </c>
      <c r="X869" s="42" t="s">
        <v>1383</v>
      </c>
      <c r="Y869" s="24">
        <v>1.05</v>
      </c>
      <c r="Z869" s="321">
        <v>7.3</v>
      </c>
      <c r="AA869" s="321">
        <v>70.2</v>
      </c>
      <c r="AB869" s="24" t="s">
        <v>451</v>
      </c>
      <c r="AC869" s="24">
        <v>5.48</v>
      </c>
      <c r="AD869" s="24">
        <v>1.1599999999999999</v>
      </c>
      <c r="AF869" s="24" t="s">
        <v>1340</v>
      </c>
      <c r="AG869" s="24" t="s">
        <v>244</v>
      </c>
      <c r="AH869" s="138" t="s">
        <v>578</v>
      </c>
      <c r="AI869" s="24" t="s">
        <v>133</v>
      </c>
      <c r="AJ869" s="140" t="s">
        <v>133</v>
      </c>
      <c r="AT869" s="24" t="s">
        <v>120</v>
      </c>
      <c r="AU869" s="24">
        <v>2</v>
      </c>
      <c r="AW869" s="24" t="s">
        <v>142</v>
      </c>
      <c r="BA869" s="53"/>
      <c r="BM869" s="395"/>
      <c r="BN869" s="395"/>
      <c r="BR869" s="395"/>
      <c r="BS869" s="395"/>
      <c r="EO869" s="24">
        <v>0.3</v>
      </c>
      <c r="EP869" s="24">
        <v>0.19</v>
      </c>
      <c r="ES869" s="24" t="s">
        <v>1690</v>
      </c>
      <c r="IO869" s="24" t="s">
        <v>728</v>
      </c>
    </row>
    <row r="870" spans="1:249" s="24" customFormat="1" x14ac:dyDescent="0.25">
      <c r="A870" s="24">
        <v>41</v>
      </c>
      <c r="B870" s="24" t="s">
        <v>592</v>
      </c>
      <c r="C870" s="24" t="s">
        <v>593</v>
      </c>
      <c r="D870" s="24">
        <v>1994</v>
      </c>
      <c r="E870" s="24">
        <v>1988</v>
      </c>
      <c r="F870" s="24" t="s">
        <v>419</v>
      </c>
      <c r="G870" s="24" t="s">
        <v>595</v>
      </c>
      <c r="H870" s="32" t="s">
        <v>2831</v>
      </c>
      <c r="I870" s="24">
        <v>38.03</v>
      </c>
      <c r="J870" s="24">
        <v>-84.51</v>
      </c>
      <c r="K870" s="24">
        <v>299.60000000000002</v>
      </c>
      <c r="Q870" s="42">
        <v>4</v>
      </c>
      <c r="R870" s="42" t="s">
        <v>1729</v>
      </c>
      <c r="S870" s="42"/>
      <c r="T870" s="42" t="s">
        <v>202</v>
      </c>
      <c r="U870" s="42" t="s">
        <v>1383</v>
      </c>
      <c r="V870" s="42" t="s">
        <v>1722</v>
      </c>
      <c r="W870" s="42" t="s">
        <v>1383</v>
      </c>
      <c r="X870" s="42" t="s">
        <v>1383</v>
      </c>
      <c r="Y870" s="24">
        <v>1.05</v>
      </c>
      <c r="Z870" s="321">
        <v>7.3</v>
      </c>
      <c r="AA870" s="321">
        <v>70.2</v>
      </c>
      <c r="AB870" s="24" t="s">
        <v>451</v>
      </c>
      <c r="AC870" s="24">
        <v>5.48</v>
      </c>
      <c r="AD870" s="24">
        <v>1.1599999999999999</v>
      </c>
      <c r="AF870" s="24" t="s">
        <v>1340</v>
      </c>
      <c r="AG870" s="24" t="s">
        <v>244</v>
      </c>
      <c r="AH870" s="138" t="s">
        <v>578</v>
      </c>
      <c r="AI870" s="24" t="s">
        <v>133</v>
      </c>
      <c r="AJ870" s="140" t="s">
        <v>133</v>
      </c>
      <c r="AT870" s="24" t="s">
        <v>120</v>
      </c>
      <c r="AU870" s="24">
        <v>2</v>
      </c>
      <c r="AW870" s="24" t="s">
        <v>142</v>
      </c>
      <c r="BA870" s="53"/>
      <c r="BM870" s="395"/>
      <c r="BN870" s="395"/>
      <c r="BR870" s="395"/>
      <c r="BS870" s="395"/>
      <c r="EO870" s="24">
        <v>0.33150000000000002</v>
      </c>
      <c r="EP870" s="24">
        <v>0.22</v>
      </c>
      <c r="ES870" s="24" t="s">
        <v>1690</v>
      </c>
      <c r="IO870" s="24" t="s">
        <v>728</v>
      </c>
    </row>
    <row r="871" spans="1:249" s="24" customFormat="1" x14ac:dyDescent="0.25">
      <c r="A871" s="24">
        <v>41</v>
      </c>
      <c r="B871" s="24" t="s">
        <v>592</v>
      </c>
      <c r="C871" s="24" t="s">
        <v>593</v>
      </c>
      <c r="D871" s="24">
        <v>1994</v>
      </c>
      <c r="E871" s="24">
        <v>1988</v>
      </c>
      <c r="F871" s="24" t="s">
        <v>419</v>
      </c>
      <c r="G871" s="24" t="s">
        <v>595</v>
      </c>
      <c r="H871" s="32" t="s">
        <v>2831</v>
      </c>
      <c r="I871" s="24">
        <v>38.03</v>
      </c>
      <c r="J871" s="24">
        <v>-84.51</v>
      </c>
      <c r="K871" s="24">
        <v>299.60000000000002</v>
      </c>
      <c r="Q871" s="42">
        <v>4</v>
      </c>
      <c r="R871" s="42" t="s">
        <v>1729</v>
      </c>
      <c r="S871" s="42"/>
      <c r="T871" s="42" t="s">
        <v>597</v>
      </c>
      <c r="U871" s="42" t="s">
        <v>1383</v>
      </c>
      <c r="V871" s="42" t="s">
        <v>1722</v>
      </c>
      <c r="W871" s="42" t="s">
        <v>1383</v>
      </c>
      <c r="X871" s="42" t="s">
        <v>1383</v>
      </c>
      <c r="Y871" s="24">
        <v>1.05</v>
      </c>
      <c r="Z871" s="321">
        <v>7.3</v>
      </c>
      <c r="AA871" s="321">
        <v>70.2</v>
      </c>
      <c r="AB871" s="24" t="s">
        <v>451</v>
      </c>
      <c r="AC871" s="24">
        <v>5.48</v>
      </c>
      <c r="AD871" s="24">
        <v>1.1599999999999999</v>
      </c>
      <c r="AF871" s="24" t="s">
        <v>1340</v>
      </c>
      <c r="AG871" s="24" t="s">
        <v>244</v>
      </c>
      <c r="AH871" s="138" t="s">
        <v>578</v>
      </c>
      <c r="AI871" s="24" t="s">
        <v>133</v>
      </c>
      <c r="AJ871" s="140" t="s">
        <v>133</v>
      </c>
      <c r="AT871" s="24" t="s">
        <v>120</v>
      </c>
      <c r="AU871" s="24">
        <v>2</v>
      </c>
      <c r="AW871" s="24" t="s">
        <v>142</v>
      </c>
      <c r="BA871" s="53"/>
      <c r="BM871" s="395"/>
      <c r="BN871" s="395"/>
      <c r="BR871" s="395"/>
      <c r="BS871" s="395"/>
      <c r="EO871" s="24">
        <v>0.34799999999999998</v>
      </c>
      <c r="EP871" s="24">
        <v>0.25</v>
      </c>
      <c r="ES871" s="24" t="s">
        <v>1690</v>
      </c>
      <c r="IO871" s="24" t="s">
        <v>728</v>
      </c>
    </row>
    <row r="872" spans="1:249" s="24" customFormat="1" x14ac:dyDescent="0.25">
      <c r="A872" s="24">
        <v>41</v>
      </c>
      <c r="B872" s="24" t="s">
        <v>592</v>
      </c>
      <c r="C872" s="24" t="s">
        <v>593</v>
      </c>
      <c r="D872" s="24">
        <v>1994</v>
      </c>
      <c r="E872" s="24">
        <v>1988</v>
      </c>
      <c r="F872" s="24" t="s">
        <v>419</v>
      </c>
      <c r="G872" s="24" t="s">
        <v>595</v>
      </c>
      <c r="H872" s="32" t="s">
        <v>2831</v>
      </c>
      <c r="I872" s="24">
        <v>38.03</v>
      </c>
      <c r="J872" s="24">
        <v>-84.51</v>
      </c>
      <c r="K872" s="24">
        <v>299.60000000000002</v>
      </c>
      <c r="Q872" s="42">
        <v>4</v>
      </c>
      <c r="R872" s="42" t="s">
        <v>1729</v>
      </c>
      <c r="S872" s="42"/>
      <c r="T872" s="42" t="s">
        <v>227</v>
      </c>
      <c r="U872" s="42" t="s">
        <v>1383</v>
      </c>
      <c r="V872" s="42" t="s">
        <v>1722</v>
      </c>
      <c r="W872" s="42" t="s">
        <v>1383</v>
      </c>
      <c r="X872" s="42" t="s">
        <v>1383</v>
      </c>
      <c r="Y872" s="24">
        <v>1.05</v>
      </c>
      <c r="Z872" s="321">
        <v>7.3</v>
      </c>
      <c r="AA872" s="321">
        <v>70.2</v>
      </c>
      <c r="AB872" s="24" t="s">
        <v>451</v>
      </c>
      <c r="AC872" s="24">
        <v>5.48</v>
      </c>
      <c r="AD872" s="24">
        <v>1.1599999999999999</v>
      </c>
      <c r="AF872" s="24" t="s">
        <v>1340</v>
      </c>
      <c r="AG872" s="24" t="s">
        <v>244</v>
      </c>
      <c r="AH872" s="138" t="s">
        <v>578</v>
      </c>
      <c r="AI872" s="24" t="s">
        <v>133</v>
      </c>
      <c r="AJ872" s="140" t="s">
        <v>133</v>
      </c>
      <c r="AT872" s="24" t="s">
        <v>120</v>
      </c>
      <c r="AU872" s="24">
        <v>2</v>
      </c>
      <c r="AW872" s="24" t="s">
        <v>142</v>
      </c>
      <c r="BA872" s="53"/>
      <c r="BM872" s="395"/>
      <c r="BN872" s="395"/>
      <c r="BR872" s="395"/>
      <c r="BS872" s="395"/>
      <c r="EO872" s="24">
        <v>0.36</v>
      </c>
      <c r="EP872" s="24">
        <v>0.24</v>
      </c>
      <c r="ES872" s="24" t="s">
        <v>1690</v>
      </c>
      <c r="IO872" s="24" t="s">
        <v>728</v>
      </c>
    </row>
    <row r="873" spans="1:249" s="24" customFormat="1" x14ac:dyDescent="0.25">
      <c r="A873" s="24">
        <v>41</v>
      </c>
      <c r="B873" s="24" t="s">
        <v>592</v>
      </c>
      <c r="C873" s="24" t="s">
        <v>593</v>
      </c>
      <c r="D873" s="24">
        <v>1994</v>
      </c>
      <c r="E873" s="24">
        <v>1988</v>
      </c>
      <c r="F873" s="24" t="s">
        <v>419</v>
      </c>
      <c r="G873" s="24" t="s">
        <v>595</v>
      </c>
      <c r="H873" s="32" t="s">
        <v>2831</v>
      </c>
      <c r="I873" s="24">
        <v>38.03</v>
      </c>
      <c r="J873" s="24">
        <v>-84.51</v>
      </c>
      <c r="K873" s="24">
        <v>299.60000000000002</v>
      </c>
      <c r="Q873" s="42">
        <v>4</v>
      </c>
      <c r="R873" s="42" t="s">
        <v>1729</v>
      </c>
      <c r="S873" s="42"/>
      <c r="T873" s="42" t="s">
        <v>228</v>
      </c>
      <c r="U873" s="42" t="s">
        <v>1383</v>
      </c>
      <c r="V873" s="42" t="s">
        <v>1722</v>
      </c>
      <c r="W873" s="42" t="s">
        <v>1383</v>
      </c>
      <c r="X873" s="42" t="s">
        <v>1383</v>
      </c>
      <c r="Y873" s="24">
        <v>1.05</v>
      </c>
      <c r="Z873" s="321">
        <v>7.3</v>
      </c>
      <c r="AA873" s="321">
        <v>70.2</v>
      </c>
      <c r="AB873" s="24" t="s">
        <v>451</v>
      </c>
      <c r="AC873" s="24">
        <v>5.48</v>
      </c>
      <c r="AD873" s="24">
        <v>1.1599999999999999</v>
      </c>
      <c r="AF873" s="24" t="s">
        <v>1340</v>
      </c>
      <c r="AG873" s="24" t="s">
        <v>244</v>
      </c>
      <c r="AH873" s="138" t="s">
        <v>578</v>
      </c>
      <c r="AI873" s="24" t="s">
        <v>133</v>
      </c>
      <c r="AJ873" s="140" t="s">
        <v>133</v>
      </c>
      <c r="AT873" s="24" t="s">
        <v>120</v>
      </c>
      <c r="AU873" s="24">
        <v>2</v>
      </c>
      <c r="AW873" s="24" t="s">
        <v>142</v>
      </c>
      <c r="BA873" s="53"/>
      <c r="BM873" s="395"/>
      <c r="BN873" s="395"/>
      <c r="BR873" s="395"/>
      <c r="BS873" s="395"/>
      <c r="EO873" s="24">
        <v>0.37</v>
      </c>
      <c r="EP873" s="24">
        <v>0.22</v>
      </c>
      <c r="ES873" s="24" t="s">
        <v>1690</v>
      </c>
      <c r="IO873" s="24" t="s">
        <v>728</v>
      </c>
    </row>
    <row r="874" spans="1:249" s="24" customFormat="1" x14ac:dyDescent="0.25">
      <c r="A874" s="24">
        <v>41</v>
      </c>
      <c r="B874" s="24" t="s">
        <v>592</v>
      </c>
      <c r="C874" s="24" t="s">
        <v>593</v>
      </c>
      <c r="D874" s="24">
        <v>1994</v>
      </c>
      <c r="E874" s="24">
        <v>1988</v>
      </c>
      <c r="F874" s="24" t="s">
        <v>419</v>
      </c>
      <c r="G874" s="24" t="s">
        <v>595</v>
      </c>
      <c r="H874" s="32" t="s">
        <v>2831</v>
      </c>
      <c r="I874" s="24">
        <v>38.03</v>
      </c>
      <c r="J874" s="24">
        <v>-84.51</v>
      </c>
      <c r="K874" s="24">
        <v>299.60000000000002</v>
      </c>
      <c r="Q874" s="42">
        <v>4</v>
      </c>
      <c r="R874" s="42" t="s">
        <v>1729</v>
      </c>
      <c r="S874" s="42"/>
      <c r="T874" s="42" t="s">
        <v>229</v>
      </c>
      <c r="U874" s="42" t="s">
        <v>1383</v>
      </c>
      <c r="V874" s="42" t="s">
        <v>1722</v>
      </c>
      <c r="W874" s="42" t="s">
        <v>1383</v>
      </c>
      <c r="X874" s="42" t="s">
        <v>1383</v>
      </c>
      <c r="Y874" s="24">
        <v>1.05</v>
      </c>
      <c r="Z874" s="321">
        <v>7.3</v>
      </c>
      <c r="AA874" s="321">
        <v>70.2</v>
      </c>
      <c r="AB874" s="24" t="s">
        <v>451</v>
      </c>
      <c r="AC874" s="24">
        <v>5.48</v>
      </c>
      <c r="AD874" s="24">
        <v>1.1599999999999999</v>
      </c>
      <c r="AF874" s="24" t="s">
        <v>1340</v>
      </c>
      <c r="AG874" s="24" t="s">
        <v>244</v>
      </c>
      <c r="AH874" s="138" t="s">
        <v>578</v>
      </c>
      <c r="AI874" s="24" t="s">
        <v>133</v>
      </c>
      <c r="AJ874" s="140" t="s">
        <v>133</v>
      </c>
      <c r="AT874" s="24" t="s">
        <v>120</v>
      </c>
      <c r="AU874" s="24">
        <v>2</v>
      </c>
      <c r="AW874" s="24" t="s">
        <v>142</v>
      </c>
      <c r="BA874" s="53"/>
      <c r="BM874" s="395"/>
      <c r="BN874" s="395"/>
      <c r="BR874" s="395"/>
      <c r="BS874" s="395"/>
      <c r="EO874" s="24">
        <v>0.41199999999999998</v>
      </c>
      <c r="EP874" s="24">
        <v>0.187</v>
      </c>
      <c r="ES874" s="24" t="s">
        <v>1690</v>
      </c>
      <c r="IO874" s="24" t="s">
        <v>728</v>
      </c>
    </row>
    <row r="875" spans="1:249" s="24" customFormat="1" x14ac:dyDescent="0.25">
      <c r="A875" s="24">
        <v>41</v>
      </c>
      <c r="B875" s="24" t="s">
        <v>592</v>
      </c>
      <c r="C875" s="24" t="s">
        <v>593</v>
      </c>
      <c r="D875" s="24">
        <v>1994</v>
      </c>
      <c r="E875" s="24">
        <v>1988</v>
      </c>
      <c r="F875" s="24" t="s">
        <v>419</v>
      </c>
      <c r="G875" s="24" t="s">
        <v>595</v>
      </c>
      <c r="H875" s="32" t="s">
        <v>2831</v>
      </c>
      <c r="I875" s="24">
        <v>38.03</v>
      </c>
      <c r="J875" s="24">
        <v>-84.51</v>
      </c>
      <c r="K875" s="24">
        <v>299.60000000000002</v>
      </c>
      <c r="Q875" s="42">
        <v>4</v>
      </c>
      <c r="R875" s="42" t="s">
        <v>1729</v>
      </c>
      <c r="S875" s="42"/>
      <c r="T875" s="42" t="s">
        <v>599</v>
      </c>
      <c r="U875" s="42" t="s">
        <v>1383</v>
      </c>
      <c r="V875" s="42" t="s">
        <v>1722</v>
      </c>
      <c r="W875" s="42" t="s">
        <v>1383</v>
      </c>
      <c r="X875" s="42" t="s">
        <v>1383</v>
      </c>
      <c r="Y875" s="24">
        <v>1.05</v>
      </c>
      <c r="Z875" s="321">
        <v>7.3</v>
      </c>
      <c r="AA875" s="321">
        <v>70.2</v>
      </c>
      <c r="AB875" s="24" t="s">
        <v>451</v>
      </c>
      <c r="AC875" s="24">
        <v>5.48</v>
      </c>
      <c r="AD875" s="24">
        <v>1.1599999999999999</v>
      </c>
      <c r="AF875" s="24" t="s">
        <v>1340</v>
      </c>
      <c r="AG875" s="24" t="s">
        <v>244</v>
      </c>
      <c r="AH875" s="138" t="s">
        <v>578</v>
      </c>
      <c r="AI875" s="24" t="s">
        <v>133</v>
      </c>
      <c r="AJ875" s="140" t="s">
        <v>133</v>
      </c>
      <c r="AT875" s="24" t="s">
        <v>120</v>
      </c>
      <c r="AU875" s="24">
        <v>2</v>
      </c>
      <c r="AW875" s="24" t="s">
        <v>142</v>
      </c>
      <c r="BA875" s="53"/>
      <c r="BM875" s="395"/>
      <c r="BN875" s="395"/>
      <c r="BR875" s="395"/>
      <c r="BS875" s="395"/>
      <c r="EO875" s="24">
        <v>0.40960000000000002</v>
      </c>
      <c r="EP875" s="24">
        <v>0.215</v>
      </c>
      <c r="ES875" s="24" t="s">
        <v>1690</v>
      </c>
      <c r="IO875" s="24" t="s">
        <v>728</v>
      </c>
    </row>
    <row r="876" spans="1:249" s="24" customFormat="1" x14ac:dyDescent="0.25">
      <c r="A876" s="24">
        <v>41</v>
      </c>
      <c r="B876" s="24" t="s">
        <v>592</v>
      </c>
      <c r="C876" s="24" t="s">
        <v>593</v>
      </c>
      <c r="D876" s="24">
        <v>1994</v>
      </c>
      <c r="E876" s="24">
        <v>1988</v>
      </c>
      <c r="F876" s="24" t="s">
        <v>419</v>
      </c>
      <c r="G876" s="24" t="s">
        <v>595</v>
      </c>
      <c r="H876" s="32" t="s">
        <v>2831</v>
      </c>
      <c r="I876" s="24">
        <v>38.03</v>
      </c>
      <c r="J876" s="24">
        <v>-84.51</v>
      </c>
      <c r="K876" s="24">
        <v>299.60000000000002</v>
      </c>
      <c r="Q876" s="42">
        <v>4</v>
      </c>
      <c r="R876" s="42" t="s">
        <v>1729</v>
      </c>
      <c r="S876" s="42"/>
      <c r="T876" s="42" t="s">
        <v>520</v>
      </c>
      <c r="U876" s="42" t="s">
        <v>1383</v>
      </c>
      <c r="V876" s="42" t="s">
        <v>1722</v>
      </c>
      <c r="W876" s="42" t="s">
        <v>1383</v>
      </c>
      <c r="X876" s="42" t="s">
        <v>1383</v>
      </c>
      <c r="Y876" s="24">
        <v>1.05</v>
      </c>
      <c r="Z876" s="321">
        <v>7.3</v>
      </c>
      <c r="AA876" s="321">
        <v>70.2</v>
      </c>
      <c r="AB876" s="24" t="s">
        <v>451</v>
      </c>
      <c r="AC876" s="24">
        <v>5.48</v>
      </c>
      <c r="AD876" s="24">
        <v>1.1599999999999999</v>
      </c>
      <c r="AF876" s="24" t="s">
        <v>1340</v>
      </c>
      <c r="AG876" s="24" t="s">
        <v>244</v>
      </c>
      <c r="AH876" s="138" t="s">
        <v>578</v>
      </c>
      <c r="AI876" s="24" t="s">
        <v>133</v>
      </c>
      <c r="AJ876" s="140" t="s">
        <v>133</v>
      </c>
      <c r="AT876" s="24" t="s">
        <v>120</v>
      </c>
      <c r="AU876" s="24">
        <v>2</v>
      </c>
      <c r="AW876" s="24" t="s">
        <v>142</v>
      </c>
      <c r="BA876" s="53"/>
      <c r="BM876" s="395"/>
      <c r="BN876" s="395"/>
      <c r="BR876" s="395"/>
      <c r="BS876" s="395"/>
      <c r="EO876" s="24">
        <v>0.41899999999999998</v>
      </c>
      <c r="EP876" s="24">
        <v>0.253</v>
      </c>
      <c r="ES876" s="24" t="s">
        <v>1690</v>
      </c>
      <c r="IO876" s="24" t="s">
        <v>728</v>
      </c>
    </row>
    <row r="877" spans="1:249" s="24" customFormat="1" x14ac:dyDescent="0.25">
      <c r="A877" s="24">
        <v>41</v>
      </c>
      <c r="B877" s="24" t="s">
        <v>592</v>
      </c>
      <c r="C877" s="24" t="s">
        <v>593</v>
      </c>
      <c r="D877" s="24">
        <v>1994</v>
      </c>
      <c r="E877" s="24">
        <v>1988</v>
      </c>
      <c r="F877" s="24" t="s">
        <v>419</v>
      </c>
      <c r="G877" s="24" t="s">
        <v>595</v>
      </c>
      <c r="H877" s="32" t="s">
        <v>2831</v>
      </c>
      <c r="I877" s="24">
        <v>38.03</v>
      </c>
      <c r="J877" s="24">
        <v>-84.51</v>
      </c>
      <c r="K877" s="24">
        <v>299.60000000000002</v>
      </c>
      <c r="Q877" s="42">
        <v>4</v>
      </c>
      <c r="R877" s="42" t="s">
        <v>1729</v>
      </c>
      <c r="S877" s="42"/>
      <c r="T877" s="42" t="s">
        <v>600</v>
      </c>
      <c r="U877" s="42" t="s">
        <v>1383</v>
      </c>
      <c r="V877" s="42" t="s">
        <v>1722</v>
      </c>
      <c r="W877" s="42" t="s">
        <v>1383</v>
      </c>
      <c r="X877" s="42" t="s">
        <v>1383</v>
      </c>
      <c r="Y877" s="24">
        <v>1.05</v>
      </c>
      <c r="Z877" s="321">
        <v>7.3</v>
      </c>
      <c r="AA877" s="321">
        <v>70.2</v>
      </c>
      <c r="AB877" s="24" t="s">
        <v>451</v>
      </c>
      <c r="AC877" s="24">
        <v>5.48</v>
      </c>
      <c r="AD877" s="24">
        <v>1.1599999999999999</v>
      </c>
      <c r="AF877" s="24" t="s">
        <v>1340</v>
      </c>
      <c r="AG877" s="24" t="s">
        <v>244</v>
      </c>
      <c r="AH877" s="138" t="s">
        <v>578</v>
      </c>
      <c r="AI877" s="24" t="s">
        <v>133</v>
      </c>
      <c r="AJ877" s="140" t="s">
        <v>133</v>
      </c>
      <c r="AT877" s="24" t="s">
        <v>120</v>
      </c>
      <c r="AU877" s="24">
        <v>2</v>
      </c>
      <c r="AW877" s="24" t="s">
        <v>142</v>
      </c>
      <c r="BA877" s="53"/>
      <c r="BM877" s="395"/>
      <c r="BN877" s="395"/>
      <c r="BR877" s="395"/>
      <c r="BS877" s="395"/>
      <c r="EO877" s="24">
        <v>0.48299999999999998</v>
      </c>
      <c r="EP877" s="24">
        <v>0.40699999999999997</v>
      </c>
      <c r="ES877" s="24" t="s">
        <v>1690</v>
      </c>
      <c r="IO877" s="24" t="s">
        <v>728</v>
      </c>
    </row>
    <row r="878" spans="1:249" s="32" customFormat="1" x14ac:dyDescent="0.25">
      <c r="A878" s="32">
        <v>41</v>
      </c>
      <c r="B878" s="32" t="s">
        <v>592</v>
      </c>
      <c r="C878" s="32" t="s">
        <v>593</v>
      </c>
      <c r="D878" s="32">
        <v>1994</v>
      </c>
      <c r="E878" s="32">
        <v>1989</v>
      </c>
      <c r="F878" s="32" t="s">
        <v>419</v>
      </c>
      <c r="G878" s="32" t="s">
        <v>595</v>
      </c>
      <c r="H878" s="32" t="s">
        <v>2831</v>
      </c>
      <c r="I878" s="32">
        <v>38.03</v>
      </c>
      <c r="J878" s="32">
        <v>-84.51</v>
      </c>
      <c r="K878" s="32">
        <v>299.60000000000002</v>
      </c>
      <c r="Q878" s="44">
        <v>5</v>
      </c>
      <c r="R878" s="44" t="s">
        <v>1729</v>
      </c>
      <c r="S878" s="44"/>
      <c r="T878" s="44" t="s">
        <v>603</v>
      </c>
      <c r="U878" s="44" t="s">
        <v>1383</v>
      </c>
      <c r="V878" s="44" t="s">
        <v>1722</v>
      </c>
      <c r="W878" s="44" t="s">
        <v>1383</v>
      </c>
      <c r="X878" s="44" t="s">
        <v>1383</v>
      </c>
      <c r="Y878" s="32">
        <v>1.05</v>
      </c>
      <c r="Z878" s="323">
        <v>7.3</v>
      </c>
      <c r="AA878" s="323">
        <v>70.2</v>
      </c>
      <c r="AB878" s="32" t="s">
        <v>451</v>
      </c>
      <c r="AC878" s="32">
        <v>5.48</v>
      </c>
      <c r="AD878" s="32">
        <v>1.1599999999999999</v>
      </c>
      <c r="AF878" s="32" t="s">
        <v>1340</v>
      </c>
      <c r="AG878" s="32" t="s">
        <v>244</v>
      </c>
      <c r="AH878" s="138" t="s">
        <v>578</v>
      </c>
      <c r="AI878" s="32" t="s">
        <v>133</v>
      </c>
      <c r="AJ878" s="140" t="s">
        <v>133</v>
      </c>
      <c r="AT878" s="32" t="s">
        <v>120</v>
      </c>
      <c r="AU878" s="32">
        <v>2</v>
      </c>
      <c r="AW878" s="32" t="s">
        <v>142</v>
      </c>
      <c r="BA878" s="53"/>
      <c r="BM878" s="397"/>
      <c r="BN878" s="397"/>
      <c r="BR878" s="397"/>
      <c r="BS878" s="397"/>
      <c r="EO878" s="32">
        <v>0.01</v>
      </c>
      <c r="EP878" s="32">
        <v>0.01</v>
      </c>
      <c r="ES878" s="32" t="s">
        <v>1690</v>
      </c>
      <c r="IO878" s="32" t="s">
        <v>728</v>
      </c>
    </row>
    <row r="879" spans="1:249" s="32" customFormat="1" x14ac:dyDescent="0.25">
      <c r="A879" s="32">
        <v>41</v>
      </c>
      <c r="B879" s="32" t="s">
        <v>592</v>
      </c>
      <c r="C879" s="32" t="s">
        <v>593</v>
      </c>
      <c r="D879" s="32">
        <v>1994</v>
      </c>
      <c r="E879" s="32">
        <v>1989</v>
      </c>
      <c r="F879" s="32" t="s">
        <v>419</v>
      </c>
      <c r="G879" s="32" t="s">
        <v>595</v>
      </c>
      <c r="H879" s="32" t="s">
        <v>2831</v>
      </c>
      <c r="I879" s="32">
        <v>38.03</v>
      </c>
      <c r="J879" s="32">
        <v>-84.51</v>
      </c>
      <c r="K879" s="32">
        <v>299.60000000000002</v>
      </c>
      <c r="Q879" s="44">
        <v>5</v>
      </c>
      <c r="R879" s="44" t="s">
        <v>1729</v>
      </c>
      <c r="S879" s="44"/>
      <c r="T879" s="44" t="s">
        <v>604</v>
      </c>
      <c r="U879" s="44" t="s">
        <v>1383</v>
      </c>
      <c r="V879" s="44" t="s">
        <v>1722</v>
      </c>
      <c r="W879" s="44" t="s">
        <v>1383</v>
      </c>
      <c r="X879" s="44" t="s">
        <v>1383</v>
      </c>
      <c r="Y879" s="32">
        <v>1.05</v>
      </c>
      <c r="Z879" s="323">
        <v>7.3</v>
      </c>
      <c r="AA879" s="323">
        <v>70.2</v>
      </c>
      <c r="AB879" s="32" t="s">
        <v>451</v>
      </c>
      <c r="AC879" s="32">
        <v>5.48</v>
      </c>
      <c r="AD879" s="32">
        <v>1.1599999999999999</v>
      </c>
      <c r="AF879" s="32" t="s">
        <v>1340</v>
      </c>
      <c r="AG879" s="32" t="s">
        <v>244</v>
      </c>
      <c r="AH879" s="138" t="s">
        <v>578</v>
      </c>
      <c r="AI879" s="32" t="s">
        <v>133</v>
      </c>
      <c r="AJ879" s="140" t="s">
        <v>133</v>
      </c>
      <c r="AT879" s="32" t="s">
        <v>120</v>
      </c>
      <c r="AU879" s="32">
        <v>2</v>
      </c>
      <c r="AW879" s="32" t="s">
        <v>142</v>
      </c>
      <c r="BA879" s="53"/>
      <c r="BM879" s="397"/>
      <c r="BN879" s="397"/>
      <c r="BR879" s="397"/>
      <c r="BS879" s="397"/>
      <c r="EO879" s="32">
        <v>0.01</v>
      </c>
      <c r="EP879" s="32">
        <v>0.03</v>
      </c>
      <c r="ES879" s="32" t="s">
        <v>1690</v>
      </c>
      <c r="IO879" s="32" t="s">
        <v>728</v>
      </c>
    </row>
    <row r="880" spans="1:249" s="32" customFormat="1" x14ac:dyDescent="0.25">
      <c r="A880" s="32">
        <v>41</v>
      </c>
      <c r="B880" s="32" t="s">
        <v>592</v>
      </c>
      <c r="C880" s="32" t="s">
        <v>593</v>
      </c>
      <c r="D880" s="32">
        <v>1994</v>
      </c>
      <c r="E880" s="32">
        <v>1989</v>
      </c>
      <c r="F880" s="32" t="s">
        <v>419</v>
      </c>
      <c r="G880" s="32" t="s">
        <v>595</v>
      </c>
      <c r="H880" s="32" t="s">
        <v>2831</v>
      </c>
      <c r="I880" s="32">
        <v>38.03</v>
      </c>
      <c r="J880" s="32">
        <v>-84.51</v>
      </c>
      <c r="K880" s="32">
        <v>299.60000000000002</v>
      </c>
      <c r="Q880" s="44">
        <v>5</v>
      </c>
      <c r="R880" s="44" t="s">
        <v>1729</v>
      </c>
      <c r="S880" s="44"/>
      <c r="T880" s="44" t="s">
        <v>213</v>
      </c>
      <c r="U880" s="44" t="s">
        <v>1383</v>
      </c>
      <c r="V880" s="44" t="s">
        <v>1722</v>
      </c>
      <c r="W880" s="44" t="s">
        <v>1383</v>
      </c>
      <c r="X880" s="44" t="s">
        <v>1383</v>
      </c>
      <c r="Y880" s="32">
        <v>1.05</v>
      </c>
      <c r="Z880" s="323">
        <v>7.3</v>
      </c>
      <c r="AA880" s="323">
        <v>70.2</v>
      </c>
      <c r="AB880" s="32" t="s">
        <v>451</v>
      </c>
      <c r="AC880" s="32">
        <v>5.48</v>
      </c>
      <c r="AD880" s="32">
        <v>1.1599999999999999</v>
      </c>
      <c r="AF880" s="32" t="s">
        <v>1340</v>
      </c>
      <c r="AG880" s="32" t="s">
        <v>244</v>
      </c>
      <c r="AH880" s="138" t="s">
        <v>578</v>
      </c>
      <c r="AI880" s="32" t="s">
        <v>133</v>
      </c>
      <c r="AJ880" s="140" t="s">
        <v>133</v>
      </c>
      <c r="AT880" s="32" t="s">
        <v>120</v>
      </c>
      <c r="AU880" s="32">
        <v>2</v>
      </c>
      <c r="AW880" s="32" t="s">
        <v>142</v>
      </c>
      <c r="BA880" s="53"/>
      <c r="BM880" s="397"/>
      <c r="BN880" s="397"/>
      <c r="BR880" s="397"/>
      <c r="BS880" s="397"/>
      <c r="EO880" s="32">
        <v>0.01</v>
      </c>
      <c r="EP880" s="32">
        <v>0.04</v>
      </c>
      <c r="ES880" s="32" t="s">
        <v>1690</v>
      </c>
      <c r="IO880" s="32" t="s">
        <v>728</v>
      </c>
    </row>
    <row r="881" spans="1:249" s="32" customFormat="1" x14ac:dyDescent="0.25">
      <c r="A881" s="32">
        <v>41</v>
      </c>
      <c r="B881" s="32" t="s">
        <v>592</v>
      </c>
      <c r="C881" s="32" t="s">
        <v>593</v>
      </c>
      <c r="D881" s="32">
        <v>1994</v>
      </c>
      <c r="E881" s="32">
        <v>1989</v>
      </c>
      <c r="F881" s="32" t="s">
        <v>419</v>
      </c>
      <c r="G881" s="32" t="s">
        <v>595</v>
      </c>
      <c r="H881" s="32" t="s">
        <v>2831</v>
      </c>
      <c r="I881" s="32">
        <v>38.03</v>
      </c>
      <c r="J881" s="32">
        <v>-84.51</v>
      </c>
      <c r="K881" s="32">
        <v>299.60000000000002</v>
      </c>
      <c r="Q881" s="44">
        <v>5</v>
      </c>
      <c r="R881" s="44" t="s">
        <v>1729</v>
      </c>
      <c r="S881" s="44"/>
      <c r="T881" s="44" t="s">
        <v>601</v>
      </c>
      <c r="U881" s="44" t="s">
        <v>1383</v>
      </c>
      <c r="V881" s="44" t="s">
        <v>1722</v>
      </c>
      <c r="W881" s="44" t="s">
        <v>1383</v>
      </c>
      <c r="X881" s="44" t="s">
        <v>1383</v>
      </c>
      <c r="Y881" s="32">
        <v>1.05</v>
      </c>
      <c r="Z881" s="323">
        <v>7.3</v>
      </c>
      <c r="AA881" s="323">
        <v>70.2</v>
      </c>
      <c r="AB881" s="32" t="s">
        <v>451</v>
      </c>
      <c r="AC881" s="32">
        <v>5.48</v>
      </c>
      <c r="AD881" s="32">
        <v>1.1599999999999999</v>
      </c>
      <c r="AF881" s="32" t="s">
        <v>1340</v>
      </c>
      <c r="AG881" s="32" t="s">
        <v>244</v>
      </c>
      <c r="AH881" s="138" t="s">
        <v>578</v>
      </c>
      <c r="AI881" s="32" t="s">
        <v>133</v>
      </c>
      <c r="AJ881" s="140" t="s">
        <v>133</v>
      </c>
      <c r="AT881" s="32" t="s">
        <v>120</v>
      </c>
      <c r="AU881" s="32">
        <v>2</v>
      </c>
      <c r="AW881" s="32" t="s">
        <v>142</v>
      </c>
      <c r="BA881" s="53"/>
      <c r="BM881" s="397"/>
      <c r="BN881" s="397"/>
      <c r="BR881" s="397"/>
      <c r="BS881" s="397"/>
      <c r="EO881" s="32">
        <v>2.7E-2</v>
      </c>
      <c r="EP881" s="32">
        <v>0.01</v>
      </c>
      <c r="ES881" s="32" t="s">
        <v>1690</v>
      </c>
      <c r="IO881" s="32" t="s">
        <v>728</v>
      </c>
    </row>
    <row r="882" spans="1:249" s="32" customFormat="1" x14ac:dyDescent="0.25">
      <c r="A882" s="32">
        <v>41</v>
      </c>
      <c r="B882" s="32" t="s">
        <v>592</v>
      </c>
      <c r="C882" s="32" t="s">
        <v>593</v>
      </c>
      <c r="D882" s="32">
        <v>1994</v>
      </c>
      <c r="E882" s="32">
        <v>1989</v>
      </c>
      <c r="F882" s="32" t="s">
        <v>419</v>
      </c>
      <c r="G882" s="32" t="s">
        <v>595</v>
      </c>
      <c r="H882" s="32" t="s">
        <v>2831</v>
      </c>
      <c r="I882" s="32">
        <v>38.03</v>
      </c>
      <c r="J882" s="32">
        <v>-84.51</v>
      </c>
      <c r="K882" s="32">
        <v>299.60000000000002</v>
      </c>
      <c r="Q882" s="44">
        <v>5</v>
      </c>
      <c r="R882" s="44" t="s">
        <v>1729</v>
      </c>
      <c r="S882" s="44"/>
      <c r="T882" s="44" t="s">
        <v>202</v>
      </c>
      <c r="U882" s="44" t="s">
        <v>1383</v>
      </c>
      <c r="V882" s="44" t="s">
        <v>1722</v>
      </c>
      <c r="W882" s="44" t="s">
        <v>1383</v>
      </c>
      <c r="X882" s="44" t="s">
        <v>1383</v>
      </c>
      <c r="Y882" s="32">
        <v>1.05</v>
      </c>
      <c r="Z882" s="323">
        <v>7.3</v>
      </c>
      <c r="AA882" s="323">
        <v>70.2</v>
      </c>
      <c r="AB882" s="32" t="s">
        <v>451</v>
      </c>
      <c r="AC882" s="32">
        <v>5.48</v>
      </c>
      <c r="AD882" s="32">
        <v>1.1599999999999999</v>
      </c>
      <c r="AF882" s="32" t="s">
        <v>1340</v>
      </c>
      <c r="AG882" s="32" t="s">
        <v>244</v>
      </c>
      <c r="AH882" s="138" t="s">
        <v>578</v>
      </c>
      <c r="AI882" s="32" t="s">
        <v>133</v>
      </c>
      <c r="AJ882" s="140" t="s">
        <v>133</v>
      </c>
      <c r="AT882" s="32" t="s">
        <v>120</v>
      </c>
      <c r="AU882" s="32">
        <v>2</v>
      </c>
      <c r="AW882" s="32" t="s">
        <v>142</v>
      </c>
      <c r="BA882" s="53"/>
      <c r="BM882" s="397"/>
      <c r="BN882" s="397"/>
      <c r="BR882" s="397"/>
      <c r="BS882" s="397"/>
      <c r="EO882" s="32">
        <v>5.0999999999999997E-2</v>
      </c>
      <c r="EP882" s="32">
        <v>0.01</v>
      </c>
      <c r="ES882" s="32" t="s">
        <v>1690</v>
      </c>
      <c r="IO882" s="32" t="s">
        <v>728</v>
      </c>
    </row>
    <row r="883" spans="1:249" s="32" customFormat="1" x14ac:dyDescent="0.25">
      <c r="A883" s="32">
        <v>41</v>
      </c>
      <c r="B883" s="32" t="s">
        <v>592</v>
      </c>
      <c r="C883" s="32" t="s">
        <v>593</v>
      </c>
      <c r="D883" s="32">
        <v>1994</v>
      </c>
      <c r="E883" s="32">
        <v>1989</v>
      </c>
      <c r="F883" s="32" t="s">
        <v>419</v>
      </c>
      <c r="G883" s="32" t="s">
        <v>595</v>
      </c>
      <c r="H883" s="32" t="s">
        <v>2831</v>
      </c>
      <c r="I883" s="32">
        <v>38.03</v>
      </c>
      <c r="J883" s="32">
        <v>-84.51</v>
      </c>
      <c r="K883" s="32">
        <v>299.60000000000002</v>
      </c>
      <c r="Q883" s="44">
        <v>5</v>
      </c>
      <c r="R883" s="44" t="s">
        <v>1729</v>
      </c>
      <c r="S883" s="44"/>
      <c r="T883" s="44" t="s">
        <v>597</v>
      </c>
      <c r="U883" s="44" t="s">
        <v>1383</v>
      </c>
      <c r="V883" s="44" t="s">
        <v>1722</v>
      </c>
      <c r="W883" s="44" t="s">
        <v>1383</v>
      </c>
      <c r="X883" s="44" t="s">
        <v>1383</v>
      </c>
      <c r="Y883" s="32">
        <v>1.05</v>
      </c>
      <c r="Z883" s="323">
        <v>7.3</v>
      </c>
      <c r="AA883" s="323">
        <v>70.2</v>
      </c>
      <c r="AB883" s="32" t="s">
        <v>451</v>
      </c>
      <c r="AC883" s="32">
        <v>5.48</v>
      </c>
      <c r="AD883" s="32">
        <v>1.1599999999999999</v>
      </c>
      <c r="AF883" s="32" t="s">
        <v>1340</v>
      </c>
      <c r="AG883" s="32" t="s">
        <v>244</v>
      </c>
      <c r="AH883" s="138" t="s">
        <v>578</v>
      </c>
      <c r="AI883" s="32" t="s">
        <v>133</v>
      </c>
      <c r="AJ883" s="140" t="s">
        <v>133</v>
      </c>
      <c r="AT883" s="32" t="s">
        <v>120</v>
      </c>
      <c r="AU883" s="32">
        <v>2</v>
      </c>
      <c r="AW883" s="32" t="s">
        <v>142</v>
      </c>
      <c r="BA883" s="53"/>
      <c r="BM883" s="397"/>
      <c r="BN883" s="397"/>
      <c r="BR883" s="397"/>
      <c r="BS883" s="397"/>
      <c r="EO883" s="32">
        <v>8.4000000000000005E-2</v>
      </c>
      <c r="EP883" s="32">
        <v>0.02</v>
      </c>
      <c r="ES883" s="32" t="s">
        <v>1690</v>
      </c>
      <c r="IO883" s="32" t="s">
        <v>728</v>
      </c>
    </row>
    <row r="884" spans="1:249" s="32" customFormat="1" x14ac:dyDescent="0.25">
      <c r="A884" s="32">
        <v>41</v>
      </c>
      <c r="B884" s="32" t="s">
        <v>592</v>
      </c>
      <c r="C884" s="32" t="s">
        <v>593</v>
      </c>
      <c r="D884" s="32">
        <v>1994</v>
      </c>
      <c r="E884" s="32">
        <v>1989</v>
      </c>
      <c r="F884" s="32" t="s">
        <v>419</v>
      </c>
      <c r="G884" s="32" t="s">
        <v>595</v>
      </c>
      <c r="H884" s="32" t="s">
        <v>2831</v>
      </c>
      <c r="I884" s="32">
        <v>38.03</v>
      </c>
      <c r="J884" s="32">
        <v>-84.51</v>
      </c>
      <c r="K884" s="32">
        <v>299.60000000000002</v>
      </c>
      <c r="Q884" s="44">
        <v>5</v>
      </c>
      <c r="R884" s="44" t="s">
        <v>1729</v>
      </c>
      <c r="S884" s="44"/>
      <c r="T884" s="44" t="s">
        <v>227</v>
      </c>
      <c r="U884" s="44" t="s">
        <v>1383</v>
      </c>
      <c r="V884" s="44" t="s">
        <v>1722</v>
      </c>
      <c r="W884" s="44" t="s">
        <v>1383</v>
      </c>
      <c r="X884" s="44" t="s">
        <v>1383</v>
      </c>
      <c r="Y884" s="32">
        <v>1.05</v>
      </c>
      <c r="Z884" s="323">
        <v>7.3</v>
      </c>
      <c r="AA884" s="323">
        <v>70.2</v>
      </c>
      <c r="AB884" s="32" t="s">
        <v>451</v>
      </c>
      <c r="AC884" s="32">
        <v>5.48</v>
      </c>
      <c r="AD884" s="32">
        <v>1.1599999999999999</v>
      </c>
      <c r="AF884" s="32" t="s">
        <v>1340</v>
      </c>
      <c r="AG884" s="32" t="s">
        <v>244</v>
      </c>
      <c r="AH884" s="138" t="s">
        <v>578</v>
      </c>
      <c r="AI884" s="32" t="s">
        <v>133</v>
      </c>
      <c r="AJ884" s="140" t="s">
        <v>133</v>
      </c>
      <c r="AT884" s="32" t="s">
        <v>120</v>
      </c>
      <c r="AU884" s="32">
        <v>2</v>
      </c>
      <c r="AW884" s="32" t="s">
        <v>142</v>
      </c>
      <c r="BA884" s="53"/>
      <c r="BM884" s="397"/>
      <c r="BN884" s="397"/>
      <c r="BR884" s="397"/>
      <c r="BS884" s="397"/>
      <c r="EO884" s="32">
        <v>9.8000000000000004E-2</v>
      </c>
      <c r="EP884" s="32">
        <v>0.02</v>
      </c>
      <c r="ES884" s="32" t="s">
        <v>1690</v>
      </c>
      <c r="IO884" s="32" t="s">
        <v>728</v>
      </c>
    </row>
    <row r="885" spans="1:249" s="5" customFormat="1" x14ac:dyDescent="0.25">
      <c r="A885" s="5">
        <v>42</v>
      </c>
      <c r="B885" s="5" t="s">
        <v>605</v>
      </c>
      <c r="C885" s="5" t="s">
        <v>606</v>
      </c>
      <c r="D885" s="5">
        <v>1989</v>
      </c>
      <c r="E885" s="5">
        <v>1987</v>
      </c>
      <c r="F885" s="5" t="s">
        <v>419</v>
      </c>
      <c r="G885" s="5" t="s">
        <v>608</v>
      </c>
      <c r="H885" s="32" t="s">
        <v>2831</v>
      </c>
      <c r="I885" s="206">
        <v>34.137</v>
      </c>
      <c r="J885" s="5">
        <v>-85.09</v>
      </c>
      <c r="K885" s="5">
        <v>223.8</v>
      </c>
      <c r="Q885" s="52">
        <v>3</v>
      </c>
      <c r="R885" s="52">
        <v>3</v>
      </c>
      <c r="S885" s="52"/>
      <c r="T885" s="52" t="s">
        <v>1955</v>
      </c>
      <c r="U885" s="52" t="s">
        <v>1398</v>
      </c>
      <c r="V885" s="52" t="s">
        <v>1729</v>
      </c>
      <c r="W885" s="52" t="s">
        <v>1398</v>
      </c>
      <c r="X885" s="52" t="s">
        <v>1383</v>
      </c>
      <c r="Z885" s="332"/>
      <c r="AA885" s="332"/>
      <c r="AB885" s="5" t="s">
        <v>673</v>
      </c>
      <c r="AD885" s="5">
        <f>(1.01+0.87+0.79)/3</f>
        <v>0.89</v>
      </c>
      <c r="AF885" s="5" t="s">
        <v>1328</v>
      </c>
      <c r="AG885" s="5" t="s">
        <v>117</v>
      </c>
      <c r="AH885" s="138" t="s">
        <v>1585</v>
      </c>
      <c r="AI885" s="5" t="s">
        <v>133</v>
      </c>
      <c r="AJ885" s="141" t="s">
        <v>133</v>
      </c>
      <c r="AT885" s="5" t="s">
        <v>120</v>
      </c>
      <c r="AU885" s="5">
        <v>4</v>
      </c>
      <c r="AW885" s="5" t="s">
        <v>336</v>
      </c>
      <c r="AY885" s="5">
        <v>1775</v>
      </c>
      <c r="AZ885" s="5">
        <f>AY885/32</f>
        <v>55.46875</v>
      </c>
      <c r="BA885" s="54"/>
      <c r="BM885" s="403"/>
      <c r="BN885" s="403"/>
      <c r="BR885" s="403">
        <v>1.01</v>
      </c>
      <c r="BS885" s="403">
        <v>1.18</v>
      </c>
      <c r="BV885" s="5" t="s">
        <v>164</v>
      </c>
      <c r="BW885" s="5">
        <v>1300</v>
      </c>
      <c r="BX885" s="5">
        <v>1400</v>
      </c>
      <c r="CA885" s="5" t="s">
        <v>1684</v>
      </c>
      <c r="CQ885" s="5">
        <v>99999</v>
      </c>
      <c r="CR885" s="5">
        <v>99999</v>
      </c>
      <c r="CU885" s="5" t="s">
        <v>1162</v>
      </c>
      <c r="DF885" s="5">
        <v>56.3</v>
      </c>
      <c r="DG885" s="5">
        <v>65.099999999999994</v>
      </c>
      <c r="DJ885" s="5" t="s">
        <v>610</v>
      </c>
      <c r="GM885" s="39"/>
      <c r="GQ885" s="39"/>
      <c r="IK885" s="5">
        <v>99999</v>
      </c>
      <c r="IO885" s="5" t="s">
        <v>612</v>
      </c>
    </row>
    <row r="886" spans="1:249" s="5" customFormat="1" x14ac:dyDescent="0.25">
      <c r="A886" s="5">
        <v>42</v>
      </c>
      <c r="B886" s="5" t="s">
        <v>605</v>
      </c>
      <c r="C886" s="5" t="s">
        <v>606</v>
      </c>
      <c r="D886" s="5">
        <v>1989</v>
      </c>
      <c r="E886" s="5">
        <v>1987</v>
      </c>
      <c r="F886" s="5" t="s">
        <v>419</v>
      </c>
      <c r="G886" s="5" t="s">
        <v>608</v>
      </c>
      <c r="H886" s="32" t="s">
        <v>2831</v>
      </c>
      <c r="I886" s="206">
        <v>34.137</v>
      </c>
      <c r="J886" s="5">
        <v>-85.09</v>
      </c>
      <c r="K886" s="5">
        <v>223.8</v>
      </c>
      <c r="Q886" s="52">
        <v>3</v>
      </c>
      <c r="R886" s="52">
        <v>3</v>
      </c>
      <c r="S886" s="52"/>
      <c r="T886" s="52" t="s">
        <v>1955</v>
      </c>
      <c r="U886" s="52" t="s">
        <v>1398</v>
      </c>
      <c r="V886" s="52" t="s">
        <v>1729</v>
      </c>
      <c r="W886" s="52" t="s">
        <v>1398</v>
      </c>
      <c r="X886" s="52" t="s">
        <v>1383</v>
      </c>
      <c r="Z886" s="332"/>
      <c r="AA886" s="332"/>
      <c r="AB886" s="5" t="s">
        <v>673</v>
      </c>
      <c r="AD886" s="5">
        <f t="shared" ref="AD886:AD893" si="214">(1.01+0.87+0.79)/3</f>
        <v>0.89</v>
      </c>
      <c r="AF886" s="5" t="s">
        <v>1328</v>
      </c>
      <c r="AG886" s="5" t="s">
        <v>1525</v>
      </c>
      <c r="AH886" s="138" t="s">
        <v>578</v>
      </c>
      <c r="AI886" s="5" t="s">
        <v>133</v>
      </c>
      <c r="AJ886" s="141" t="s">
        <v>133</v>
      </c>
      <c r="AT886" s="5" t="s">
        <v>120</v>
      </c>
      <c r="AU886" s="5">
        <v>4</v>
      </c>
      <c r="AW886" s="5" t="s">
        <v>336</v>
      </c>
      <c r="AY886" s="5">
        <v>3544</v>
      </c>
      <c r="AZ886" s="5">
        <f>AY886/108</f>
        <v>32.814814814814817</v>
      </c>
      <c r="BA886" s="54"/>
      <c r="BM886" s="403"/>
      <c r="BN886" s="403"/>
      <c r="BR886" s="403">
        <v>1.01</v>
      </c>
      <c r="BS886" s="403">
        <v>1.28</v>
      </c>
      <c r="BV886" s="5" t="s">
        <v>164</v>
      </c>
      <c r="BW886" s="5">
        <v>1300</v>
      </c>
      <c r="BX886" s="5">
        <v>1500</v>
      </c>
      <c r="CA886" s="5" t="s">
        <v>1684</v>
      </c>
      <c r="CQ886" s="5">
        <v>99999</v>
      </c>
      <c r="CR886" s="5">
        <v>99999</v>
      </c>
      <c r="CU886" s="5" t="s">
        <v>1162</v>
      </c>
      <c r="DF886" s="5">
        <v>56.3</v>
      </c>
      <c r="DG886" s="5">
        <v>55</v>
      </c>
      <c r="DJ886" s="5" t="s">
        <v>610</v>
      </c>
      <c r="GM886" s="39"/>
      <c r="GQ886" s="39"/>
      <c r="IK886" s="5">
        <v>99999</v>
      </c>
      <c r="IO886" s="5" t="s">
        <v>612</v>
      </c>
    </row>
    <row r="887" spans="1:249" s="5" customFormat="1" x14ac:dyDescent="0.25">
      <c r="A887" s="5">
        <v>42</v>
      </c>
      <c r="B887" s="5" t="s">
        <v>605</v>
      </c>
      <c r="C887" s="5" t="s">
        <v>606</v>
      </c>
      <c r="D887" s="5">
        <v>1989</v>
      </c>
      <c r="E887" s="5">
        <v>1987</v>
      </c>
      <c r="F887" s="5" t="s">
        <v>419</v>
      </c>
      <c r="G887" s="5" t="s">
        <v>608</v>
      </c>
      <c r="H887" s="32" t="s">
        <v>2831</v>
      </c>
      <c r="I887" s="206">
        <v>34.137</v>
      </c>
      <c r="J887" s="5">
        <v>-85.09</v>
      </c>
      <c r="K887" s="5">
        <v>223.8</v>
      </c>
      <c r="Q887" s="52">
        <v>3</v>
      </c>
      <c r="R887" s="52">
        <v>3</v>
      </c>
      <c r="S887" s="52"/>
      <c r="T887" s="52" t="s">
        <v>1955</v>
      </c>
      <c r="U887" s="52" t="s">
        <v>1398</v>
      </c>
      <c r="V887" s="52" t="s">
        <v>1729</v>
      </c>
      <c r="W887" s="52" t="s">
        <v>1398</v>
      </c>
      <c r="X887" s="52" t="s">
        <v>1383</v>
      </c>
      <c r="Z887" s="332"/>
      <c r="AA887" s="332"/>
      <c r="AB887" s="5" t="s">
        <v>673</v>
      </c>
      <c r="AD887" s="5">
        <f t="shared" si="214"/>
        <v>0.89</v>
      </c>
      <c r="AF887" s="5" t="s">
        <v>1328</v>
      </c>
      <c r="AG887" s="5" t="s">
        <v>244</v>
      </c>
      <c r="AH887" s="138" t="s">
        <v>578</v>
      </c>
      <c r="AI887" s="5" t="s">
        <v>133</v>
      </c>
      <c r="AJ887" s="141" t="s">
        <v>133</v>
      </c>
      <c r="AT887" s="5" t="s">
        <v>120</v>
      </c>
      <c r="AU887" s="5">
        <v>4</v>
      </c>
      <c r="AW887" s="5" t="s">
        <v>336</v>
      </c>
      <c r="AY887" s="5">
        <v>3433</v>
      </c>
      <c r="AZ887" s="5">
        <f>AY887/128</f>
        <v>26.8203125</v>
      </c>
      <c r="BA887" s="54"/>
      <c r="BM887" s="403"/>
      <c r="BN887" s="403"/>
      <c r="BR887" s="403">
        <v>1.01</v>
      </c>
      <c r="BS887" s="403">
        <v>1.18</v>
      </c>
      <c r="BV887" s="5" t="s">
        <v>164</v>
      </c>
      <c r="BW887" s="5">
        <v>1300</v>
      </c>
      <c r="BX887" s="5">
        <v>1500</v>
      </c>
      <c r="CA887" s="5" t="s">
        <v>1684</v>
      </c>
      <c r="CQ887" s="5">
        <v>99999</v>
      </c>
      <c r="CR887" s="5">
        <v>99999</v>
      </c>
      <c r="CU887" s="5" t="s">
        <v>1162</v>
      </c>
      <c r="DF887" s="5">
        <v>56.3</v>
      </c>
      <c r="DG887" s="5">
        <v>58.2</v>
      </c>
      <c r="DJ887" s="5" t="s">
        <v>610</v>
      </c>
      <c r="DU887" s="5">
        <v>23.4</v>
      </c>
      <c r="DV887" s="5">
        <v>38.799999999999997</v>
      </c>
      <c r="GM887" s="39"/>
      <c r="GQ887" s="39"/>
      <c r="IK887" s="5">
        <v>99999</v>
      </c>
      <c r="IO887" s="5" t="s">
        <v>612</v>
      </c>
    </row>
    <row r="888" spans="1:249" s="5" customFormat="1" x14ac:dyDescent="0.25">
      <c r="A888" s="5">
        <v>42</v>
      </c>
      <c r="B888" s="5" t="s">
        <v>605</v>
      </c>
      <c r="C888" s="5" t="s">
        <v>606</v>
      </c>
      <c r="D888" s="5">
        <v>1989</v>
      </c>
      <c r="E888" s="5">
        <v>1987</v>
      </c>
      <c r="F888" s="5" t="s">
        <v>419</v>
      </c>
      <c r="G888" s="5" t="s">
        <v>608</v>
      </c>
      <c r="H888" s="32" t="s">
        <v>2831</v>
      </c>
      <c r="I888" s="206">
        <v>34.137</v>
      </c>
      <c r="J888" s="5">
        <v>-85.09</v>
      </c>
      <c r="K888" s="5">
        <v>223.8</v>
      </c>
      <c r="Q888" s="52">
        <v>3</v>
      </c>
      <c r="R888" s="52">
        <v>3</v>
      </c>
      <c r="S888" s="52"/>
      <c r="T888" s="52" t="s">
        <v>1955</v>
      </c>
      <c r="U888" s="52" t="s">
        <v>1405</v>
      </c>
      <c r="V888" s="52" t="s">
        <v>1729</v>
      </c>
      <c r="W888" s="52" t="s">
        <v>1398</v>
      </c>
      <c r="X888" s="52" t="s">
        <v>1383</v>
      </c>
      <c r="Z888" s="332"/>
      <c r="AA888" s="332"/>
      <c r="AB888" s="5" t="s">
        <v>673</v>
      </c>
      <c r="AD888" s="5">
        <f t="shared" si="214"/>
        <v>0.89</v>
      </c>
      <c r="AF888" s="5" t="s">
        <v>1328</v>
      </c>
      <c r="AG888" s="5" t="s">
        <v>117</v>
      </c>
      <c r="AH888" s="138" t="s">
        <v>1585</v>
      </c>
      <c r="AI888" s="5" t="s">
        <v>133</v>
      </c>
      <c r="AJ888" s="141" t="s">
        <v>133</v>
      </c>
      <c r="AT888" s="5" t="s">
        <v>120</v>
      </c>
      <c r="AU888" s="5">
        <v>4</v>
      </c>
      <c r="AW888" s="5" t="s">
        <v>336</v>
      </c>
      <c r="AY888" s="5">
        <v>1775</v>
      </c>
      <c r="AZ888" s="5">
        <f>AY888/32</f>
        <v>55.46875</v>
      </c>
      <c r="BA888" s="54"/>
      <c r="BM888" s="403"/>
      <c r="BN888" s="403"/>
      <c r="BR888" s="403">
        <v>0.87</v>
      </c>
      <c r="BS888" s="403">
        <v>0.95</v>
      </c>
      <c r="BV888" s="5" t="s">
        <v>164</v>
      </c>
      <c r="BW888" s="5">
        <v>1000</v>
      </c>
      <c r="BX888" s="5">
        <v>1200</v>
      </c>
      <c r="CA888" s="5" t="s">
        <v>1684</v>
      </c>
      <c r="CQ888" s="5">
        <v>99999</v>
      </c>
      <c r="CR888" s="5">
        <v>99999</v>
      </c>
      <c r="CU888" s="5" t="s">
        <v>1162</v>
      </c>
      <c r="GM888" s="39"/>
      <c r="GQ888" s="39"/>
      <c r="IK888" s="5">
        <v>99999</v>
      </c>
      <c r="IO888" s="5" t="s">
        <v>612</v>
      </c>
    </row>
    <row r="889" spans="1:249" s="5" customFormat="1" x14ac:dyDescent="0.25">
      <c r="A889" s="5">
        <v>42</v>
      </c>
      <c r="B889" s="5" t="s">
        <v>605</v>
      </c>
      <c r="C889" s="5" t="s">
        <v>606</v>
      </c>
      <c r="D889" s="5">
        <v>1989</v>
      </c>
      <c r="E889" s="5">
        <v>1987</v>
      </c>
      <c r="F889" s="5" t="s">
        <v>419</v>
      </c>
      <c r="G889" s="5" t="s">
        <v>608</v>
      </c>
      <c r="H889" s="32" t="s">
        <v>2831</v>
      </c>
      <c r="I889" s="206">
        <v>34.137</v>
      </c>
      <c r="J889" s="5">
        <v>-85.09</v>
      </c>
      <c r="K889" s="5">
        <v>223.8</v>
      </c>
      <c r="Q889" s="52">
        <v>3</v>
      </c>
      <c r="R889" s="52">
        <v>3</v>
      </c>
      <c r="S889" s="52"/>
      <c r="T889" s="52" t="s">
        <v>1955</v>
      </c>
      <c r="U889" s="52" t="s">
        <v>1405</v>
      </c>
      <c r="V889" s="52" t="s">
        <v>1729</v>
      </c>
      <c r="W889" s="52" t="s">
        <v>1398</v>
      </c>
      <c r="X889" s="52" t="s">
        <v>1383</v>
      </c>
      <c r="Z889" s="332"/>
      <c r="AA889" s="332"/>
      <c r="AB889" s="5" t="s">
        <v>673</v>
      </c>
      <c r="AD889" s="5">
        <f t="shared" si="214"/>
        <v>0.89</v>
      </c>
      <c r="AF889" s="5" t="s">
        <v>1328</v>
      </c>
      <c r="AG889" s="5" t="s">
        <v>1525</v>
      </c>
      <c r="AH889" s="138" t="s">
        <v>578</v>
      </c>
      <c r="AI889" s="5" t="s">
        <v>133</v>
      </c>
      <c r="AJ889" s="141" t="s">
        <v>133</v>
      </c>
      <c r="AT889" s="5" t="s">
        <v>120</v>
      </c>
      <c r="AU889" s="5">
        <v>4</v>
      </c>
      <c r="AW889" s="5" t="s">
        <v>336</v>
      </c>
      <c r="AY889" s="5">
        <v>3544</v>
      </c>
      <c r="AZ889" s="5">
        <f>AY889/108</f>
        <v>32.814814814814817</v>
      </c>
      <c r="BA889" s="54"/>
      <c r="BM889" s="403"/>
      <c r="BN889" s="403"/>
      <c r="BR889" s="403">
        <v>0.87</v>
      </c>
      <c r="BS889" s="403">
        <v>1.03</v>
      </c>
      <c r="BV889" s="5" t="s">
        <v>164</v>
      </c>
      <c r="BW889" s="5">
        <v>1000</v>
      </c>
      <c r="BX889" s="5">
        <v>1200</v>
      </c>
      <c r="CA889" s="5" t="s">
        <v>1684</v>
      </c>
      <c r="CQ889" s="5">
        <v>99999</v>
      </c>
      <c r="CR889" s="5">
        <v>99999</v>
      </c>
      <c r="CU889" s="5" t="s">
        <v>1162</v>
      </c>
      <c r="GM889" s="39"/>
      <c r="GQ889" s="39"/>
      <c r="IK889" s="5">
        <v>99999</v>
      </c>
      <c r="IO889" s="5" t="s">
        <v>612</v>
      </c>
    </row>
    <row r="890" spans="1:249" s="5" customFormat="1" x14ac:dyDescent="0.25">
      <c r="A890" s="5">
        <v>42</v>
      </c>
      <c r="B890" s="5" t="s">
        <v>605</v>
      </c>
      <c r="C890" s="5" t="s">
        <v>606</v>
      </c>
      <c r="D890" s="5">
        <v>1989</v>
      </c>
      <c r="E890" s="5">
        <v>1987</v>
      </c>
      <c r="F890" s="5" t="s">
        <v>419</v>
      </c>
      <c r="G890" s="5" t="s">
        <v>608</v>
      </c>
      <c r="H890" s="32" t="s">
        <v>2831</v>
      </c>
      <c r="I890" s="206">
        <v>34.137</v>
      </c>
      <c r="J890" s="5">
        <v>-85.09</v>
      </c>
      <c r="K890" s="5">
        <v>223.8</v>
      </c>
      <c r="Q890" s="52">
        <v>3</v>
      </c>
      <c r="R890" s="52">
        <v>3</v>
      </c>
      <c r="S890" s="52"/>
      <c r="T890" s="52" t="s">
        <v>1955</v>
      </c>
      <c r="U890" s="52" t="s">
        <v>1405</v>
      </c>
      <c r="V890" s="52" t="s">
        <v>1729</v>
      </c>
      <c r="W890" s="52" t="s">
        <v>1398</v>
      </c>
      <c r="X890" s="52" t="s">
        <v>1383</v>
      </c>
      <c r="Z890" s="332"/>
      <c r="AA890" s="332"/>
      <c r="AB890" s="5" t="s">
        <v>673</v>
      </c>
      <c r="AD890" s="5">
        <f t="shared" si="214"/>
        <v>0.89</v>
      </c>
      <c r="AF890" s="5" t="s">
        <v>1328</v>
      </c>
      <c r="AG890" s="5" t="s">
        <v>244</v>
      </c>
      <c r="AH890" s="138" t="s">
        <v>578</v>
      </c>
      <c r="AI890" s="5" t="s">
        <v>133</v>
      </c>
      <c r="AJ890" s="141" t="s">
        <v>133</v>
      </c>
      <c r="AT890" s="5" t="s">
        <v>120</v>
      </c>
      <c r="AU890" s="5">
        <v>4</v>
      </c>
      <c r="AW890" s="5" t="s">
        <v>336</v>
      </c>
      <c r="AY890" s="5">
        <v>3433</v>
      </c>
      <c r="AZ890" s="5">
        <f>AY890/128</f>
        <v>26.8203125</v>
      </c>
      <c r="BA890" s="54"/>
      <c r="BM890" s="403"/>
      <c r="BN890" s="403"/>
      <c r="BR890" s="403">
        <v>0.87</v>
      </c>
      <c r="BS890" s="403">
        <v>0.93</v>
      </c>
      <c r="BV890" s="5" t="s">
        <v>164</v>
      </c>
      <c r="BW890" s="5">
        <v>1000</v>
      </c>
      <c r="BX890" s="5">
        <v>1200</v>
      </c>
      <c r="CA890" s="5" t="s">
        <v>1684</v>
      </c>
      <c r="CQ890" s="5">
        <v>99999</v>
      </c>
      <c r="CR890" s="5">
        <v>99999</v>
      </c>
      <c r="CU890" s="5" t="s">
        <v>1162</v>
      </c>
      <c r="GM890" s="39"/>
      <c r="GQ890" s="39"/>
      <c r="IK890" s="5">
        <v>99999</v>
      </c>
      <c r="IO890" s="5" t="s">
        <v>612</v>
      </c>
    </row>
    <row r="891" spans="1:249" s="5" customFormat="1" x14ac:dyDescent="0.25">
      <c r="A891" s="5">
        <v>42</v>
      </c>
      <c r="B891" s="5" t="s">
        <v>605</v>
      </c>
      <c r="C891" s="5" t="s">
        <v>606</v>
      </c>
      <c r="D891" s="5">
        <v>1989</v>
      </c>
      <c r="E891" s="5">
        <v>1987</v>
      </c>
      <c r="F891" s="5" t="s">
        <v>419</v>
      </c>
      <c r="G891" s="5" t="s">
        <v>608</v>
      </c>
      <c r="H891" s="32" t="s">
        <v>2831</v>
      </c>
      <c r="I891" s="206">
        <v>34.137</v>
      </c>
      <c r="J891" s="5">
        <v>-85.09</v>
      </c>
      <c r="K891" s="5">
        <v>223.8</v>
      </c>
      <c r="Q891" s="52">
        <v>3</v>
      </c>
      <c r="R891" s="52">
        <v>3</v>
      </c>
      <c r="S891" s="52"/>
      <c r="T891" s="52" t="s">
        <v>1955</v>
      </c>
      <c r="U891" s="52" t="s">
        <v>1396</v>
      </c>
      <c r="V891" s="52" t="s">
        <v>1726</v>
      </c>
      <c r="W891" s="52" t="s">
        <v>1398</v>
      </c>
      <c r="X891" s="52" t="s">
        <v>1383</v>
      </c>
      <c r="Z891" s="332"/>
      <c r="AA891" s="332"/>
      <c r="AB891" s="5" t="s">
        <v>673</v>
      </c>
      <c r="AD891" s="5">
        <f t="shared" si="214"/>
        <v>0.89</v>
      </c>
      <c r="AF891" s="5" t="s">
        <v>1328</v>
      </c>
      <c r="AG891" s="5" t="s">
        <v>117</v>
      </c>
      <c r="AH891" s="138" t="s">
        <v>1585</v>
      </c>
      <c r="AI891" s="5" t="s">
        <v>133</v>
      </c>
      <c r="AJ891" s="141" t="s">
        <v>133</v>
      </c>
      <c r="AT891" s="5" t="s">
        <v>120</v>
      </c>
      <c r="AU891" s="5">
        <v>4</v>
      </c>
      <c r="AW891" s="5" t="s">
        <v>336</v>
      </c>
      <c r="AY891" s="5">
        <v>1775</v>
      </c>
      <c r="AZ891" s="5">
        <f>AY891/32</f>
        <v>55.46875</v>
      </c>
      <c r="BA891" s="54"/>
      <c r="BM891" s="403"/>
      <c r="BN891" s="403"/>
      <c r="BR891" s="403">
        <v>0.79</v>
      </c>
      <c r="BS891" s="403">
        <v>0.93</v>
      </c>
      <c r="BV891" s="5" t="s">
        <v>164</v>
      </c>
      <c r="BW891" s="5">
        <v>1100</v>
      </c>
      <c r="BX891" s="5">
        <v>1100</v>
      </c>
      <c r="CA891" s="5" t="s">
        <v>1684</v>
      </c>
      <c r="CQ891" s="5">
        <v>99999</v>
      </c>
      <c r="CR891" s="5">
        <v>99999</v>
      </c>
      <c r="CU891" s="5" t="s">
        <v>1162</v>
      </c>
      <c r="GM891" s="39"/>
      <c r="GQ891" s="39"/>
      <c r="IK891" s="5">
        <v>99999</v>
      </c>
      <c r="IO891" s="5" t="s">
        <v>612</v>
      </c>
    </row>
    <row r="892" spans="1:249" s="5" customFormat="1" x14ac:dyDescent="0.25">
      <c r="A892" s="5">
        <v>42</v>
      </c>
      <c r="B892" s="5" t="s">
        <v>605</v>
      </c>
      <c r="C892" s="5" t="s">
        <v>606</v>
      </c>
      <c r="D892" s="5">
        <v>1989</v>
      </c>
      <c r="E892" s="5">
        <v>1987</v>
      </c>
      <c r="F892" s="5" t="s">
        <v>419</v>
      </c>
      <c r="G892" s="5" t="s">
        <v>608</v>
      </c>
      <c r="H892" s="32" t="s">
        <v>2831</v>
      </c>
      <c r="I892" s="206">
        <v>34.137</v>
      </c>
      <c r="J892" s="5">
        <v>-85.09</v>
      </c>
      <c r="K892" s="5">
        <v>223.8</v>
      </c>
      <c r="Q892" s="52">
        <v>3</v>
      </c>
      <c r="R892" s="52">
        <v>3</v>
      </c>
      <c r="S892" s="52"/>
      <c r="T892" s="52" t="s">
        <v>1955</v>
      </c>
      <c r="U892" s="52" t="s">
        <v>1396</v>
      </c>
      <c r="V892" s="52" t="s">
        <v>1726</v>
      </c>
      <c r="W892" s="52" t="s">
        <v>1398</v>
      </c>
      <c r="X892" s="52" t="s">
        <v>1383</v>
      </c>
      <c r="Z892" s="332"/>
      <c r="AA892" s="332"/>
      <c r="AB892" s="5" t="s">
        <v>673</v>
      </c>
      <c r="AD892" s="5">
        <f t="shared" si="214"/>
        <v>0.89</v>
      </c>
      <c r="AF892" s="5" t="s">
        <v>1328</v>
      </c>
      <c r="AG892" s="5" t="s">
        <v>1525</v>
      </c>
      <c r="AH892" s="138" t="s">
        <v>578</v>
      </c>
      <c r="AI892" s="5" t="s">
        <v>133</v>
      </c>
      <c r="AJ892" s="141" t="s">
        <v>133</v>
      </c>
      <c r="AT892" s="5" t="s">
        <v>120</v>
      </c>
      <c r="AU892" s="5">
        <v>4</v>
      </c>
      <c r="AW892" s="5" t="s">
        <v>336</v>
      </c>
      <c r="AY892" s="5">
        <v>3544</v>
      </c>
      <c r="AZ892" s="5">
        <f>AY892/108</f>
        <v>32.814814814814817</v>
      </c>
      <c r="BA892" s="54"/>
      <c r="BM892" s="403"/>
      <c r="BN892" s="403"/>
      <c r="BR892" s="403">
        <v>0.79</v>
      </c>
      <c r="BS892" s="403">
        <v>1.01</v>
      </c>
      <c r="BV892" s="5" t="s">
        <v>164</v>
      </c>
      <c r="BW892" s="5">
        <v>1100</v>
      </c>
      <c r="BX892" s="5">
        <v>1200</v>
      </c>
      <c r="CA892" s="5" t="s">
        <v>1684</v>
      </c>
      <c r="CQ892" s="5">
        <v>99999</v>
      </c>
      <c r="CR892" s="5">
        <v>99999</v>
      </c>
      <c r="CU892" s="5" t="s">
        <v>1162</v>
      </c>
      <c r="GM892" s="39"/>
      <c r="GQ892" s="39"/>
      <c r="IK892" s="5">
        <v>99999</v>
      </c>
      <c r="IO892" s="5" t="s">
        <v>612</v>
      </c>
    </row>
    <row r="893" spans="1:249" s="5" customFormat="1" x14ac:dyDescent="0.25">
      <c r="A893" s="5">
        <v>42</v>
      </c>
      <c r="B893" s="5" t="s">
        <v>605</v>
      </c>
      <c r="C893" s="5" t="s">
        <v>606</v>
      </c>
      <c r="D893" s="5">
        <v>1989</v>
      </c>
      <c r="E893" s="5">
        <v>1987</v>
      </c>
      <c r="F893" s="5" t="s">
        <v>419</v>
      </c>
      <c r="G893" s="5" t="s">
        <v>608</v>
      </c>
      <c r="H893" s="32" t="s">
        <v>2831</v>
      </c>
      <c r="I893" s="206">
        <v>34.137</v>
      </c>
      <c r="J893" s="5">
        <v>-85.09</v>
      </c>
      <c r="K893" s="5">
        <v>223.8</v>
      </c>
      <c r="Q893" s="52">
        <v>3</v>
      </c>
      <c r="R893" s="52">
        <v>3</v>
      </c>
      <c r="S893" s="52"/>
      <c r="T893" s="52" t="s">
        <v>1955</v>
      </c>
      <c r="U893" s="52" t="s">
        <v>1396</v>
      </c>
      <c r="V893" s="52" t="s">
        <v>1726</v>
      </c>
      <c r="W893" s="52" t="s">
        <v>1398</v>
      </c>
      <c r="X893" s="52" t="s">
        <v>1383</v>
      </c>
      <c r="Z893" s="332"/>
      <c r="AA893" s="332"/>
      <c r="AB893" s="5" t="s">
        <v>673</v>
      </c>
      <c r="AD893" s="5">
        <f t="shared" si="214"/>
        <v>0.89</v>
      </c>
      <c r="AF893" s="5" t="s">
        <v>1328</v>
      </c>
      <c r="AG893" s="5" t="s">
        <v>244</v>
      </c>
      <c r="AH893" s="138" t="s">
        <v>578</v>
      </c>
      <c r="AI893" s="5" t="s">
        <v>133</v>
      </c>
      <c r="AJ893" s="141" t="s">
        <v>133</v>
      </c>
      <c r="AT893" s="5" t="s">
        <v>120</v>
      </c>
      <c r="AU893" s="5">
        <v>4</v>
      </c>
      <c r="AW893" s="5" t="s">
        <v>336</v>
      </c>
      <c r="AY893" s="5">
        <v>3433</v>
      </c>
      <c r="AZ893" s="5">
        <f>AY893/128</f>
        <v>26.8203125</v>
      </c>
      <c r="BA893" s="54"/>
      <c r="BM893" s="403"/>
      <c r="BN893" s="403"/>
      <c r="BR893" s="403">
        <v>0.79</v>
      </c>
      <c r="BS893" s="403">
        <v>0.79</v>
      </c>
      <c r="BV893" s="5" t="s">
        <v>164</v>
      </c>
      <c r="BW893" s="5">
        <v>1100</v>
      </c>
      <c r="BX893" s="5">
        <v>1100</v>
      </c>
      <c r="CA893" s="5" t="s">
        <v>1684</v>
      </c>
      <c r="CQ893" s="5">
        <v>99999</v>
      </c>
      <c r="CR893" s="5">
        <v>99999</v>
      </c>
      <c r="CU893" s="5" t="s">
        <v>1162</v>
      </c>
      <c r="GM893" s="39"/>
      <c r="GQ893" s="39"/>
      <c r="IK893" s="5">
        <v>99999</v>
      </c>
      <c r="IO893" s="5" t="s">
        <v>612</v>
      </c>
    </row>
    <row r="894" spans="1:249" s="28" customFormat="1" x14ac:dyDescent="0.25">
      <c r="A894" s="28">
        <v>42</v>
      </c>
      <c r="B894" s="28" t="s">
        <v>605</v>
      </c>
      <c r="C894" s="28" t="s">
        <v>606</v>
      </c>
      <c r="D894" s="28">
        <v>1989</v>
      </c>
      <c r="E894" s="28">
        <v>1987</v>
      </c>
      <c r="F894" s="28" t="s">
        <v>419</v>
      </c>
      <c r="G894" s="28" t="s">
        <v>609</v>
      </c>
      <c r="H894" s="32" t="s">
        <v>2831</v>
      </c>
      <c r="I894" s="207">
        <v>31.62</v>
      </c>
      <c r="J894" s="28">
        <v>-81.91</v>
      </c>
      <c r="K894" s="28">
        <v>33.700000000000003</v>
      </c>
      <c r="Q894" s="46">
        <v>3</v>
      </c>
      <c r="R894" s="46">
        <v>3</v>
      </c>
      <c r="S894" s="46"/>
      <c r="T894" s="46" t="s">
        <v>1955</v>
      </c>
      <c r="U894" s="46" t="s">
        <v>1398</v>
      </c>
      <c r="V894" s="46" t="s">
        <v>1729</v>
      </c>
      <c r="W894" s="46" t="s">
        <v>1398</v>
      </c>
      <c r="X894" s="46" t="s">
        <v>1383</v>
      </c>
      <c r="Z894" s="326"/>
      <c r="AA894" s="326"/>
      <c r="AB894" s="28" t="s">
        <v>519</v>
      </c>
      <c r="AC894" s="28">
        <v>5.5</v>
      </c>
      <c r="AD894" s="28">
        <v>0.72</v>
      </c>
      <c r="AF894" s="28" t="s">
        <v>1328</v>
      </c>
      <c r="AG894" s="28" t="s">
        <v>117</v>
      </c>
      <c r="AH894" s="138" t="s">
        <v>1585</v>
      </c>
      <c r="AI894" s="28" t="s">
        <v>221</v>
      </c>
      <c r="AJ894" s="141" t="s">
        <v>221</v>
      </c>
      <c r="AT894" s="28" t="s">
        <v>120</v>
      </c>
      <c r="AU894" s="28">
        <v>4</v>
      </c>
      <c r="AW894" s="28" t="s">
        <v>336</v>
      </c>
      <c r="AY894" s="28">
        <v>1775</v>
      </c>
      <c r="AZ894" s="28">
        <v>55.46875</v>
      </c>
      <c r="BA894" s="54"/>
      <c r="BM894" s="401"/>
      <c r="BN894" s="401"/>
      <c r="BR894" s="401">
        <f>8.5/10</f>
        <v>0.85</v>
      </c>
      <c r="BS894" s="401">
        <v>0.89</v>
      </c>
      <c r="BV894" s="28" t="s">
        <v>164</v>
      </c>
      <c r="BW894" s="28">
        <f>1000</f>
        <v>1000</v>
      </c>
      <c r="BX894" s="28">
        <f>1100</f>
        <v>1100</v>
      </c>
      <c r="CA894" s="28" t="s">
        <v>1684</v>
      </c>
      <c r="CB894" s="28">
        <v>21</v>
      </c>
      <c r="CC894" s="28">
        <v>20.3</v>
      </c>
      <c r="CL894" s="28">
        <v>5</v>
      </c>
      <c r="CM894" s="28">
        <v>5</v>
      </c>
      <c r="CQ894" s="28">
        <v>99999</v>
      </c>
      <c r="CR894" s="28">
        <v>99999</v>
      </c>
      <c r="CU894" s="28" t="s">
        <v>1162</v>
      </c>
      <c r="DF894" s="28">
        <v>28.9</v>
      </c>
      <c r="DG894" s="28">
        <v>32.6</v>
      </c>
      <c r="DJ894" s="28" t="s">
        <v>610</v>
      </c>
      <c r="DU894" s="28">
        <v>37.799999999999997</v>
      </c>
      <c r="DV894" s="28">
        <v>42.3</v>
      </c>
      <c r="IK894" s="28">
        <v>99999</v>
      </c>
      <c r="IO894" s="28" t="s">
        <v>612</v>
      </c>
    </row>
    <row r="895" spans="1:249" s="28" customFormat="1" x14ac:dyDescent="0.25">
      <c r="A895" s="28">
        <v>42</v>
      </c>
      <c r="B895" s="28" t="s">
        <v>605</v>
      </c>
      <c r="C895" s="28" t="s">
        <v>606</v>
      </c>
      <c r="D895" s="28">
        <v>1989</v>
      </c>
      <c r="E895" s="28">
        <v>1987</v>
      </c>
      <c r="F895" s="28" t="s">
        <v>419</v>
      </c>
      <c r="G895" s="28" t="s">
        <v>609</v>
      </c>
      <c r="H895" s="32" t="s">
        <v>2831</v>
      </c>
      <c r="I895" s="207">
        <v>31.62</v>
      </c>
      <c r="J895" s="28">
        <v>-81.91</v>
      </c>
      <c r="K895" s="28">
        <v>33.700000000000003</v>
      </c>
      <c r="Q895" s="46">
        <v>3</v>
      </c>
      <c r="R895" s="46">
        <v>3</v>
      </c>
      <c r="S895" s="46"/>
      <c r="T895" s="46" t="s">
        <v>1955</v>
      </c>
      <c r="U895" s="46" t="s">
        <v>1398</v>
      </c>
      <c r="V895" s="46" t="s">
        <v>1729</v>
      </c>
      <c r="W895" s="46" t="s">
        <v>1398</v>
      </c>
      <c r="X895" s="46" t="s">
        <v>1383</v>
      </c>
      <c r="Z895" s="326"/>
      <c r="AA895" s="326"/>
      <c r="AB895" s="28" t="s">
        <v>519</v>
      </c>
      <c r="AC895" s="28">
        <v>5.5</v>
      </c>
      <c r="AD895" s="28">
        <v>0.72</v>
      </c>
      <c r="AF895" s="28" t="s">
        <v>1328</v>
      </c>
      <c r="AG895" s="28" t="s">
        <v>1525</v>
      </c>
      <c r="AH895" s="138" t="s">
        <v>578</v>
      </c>
      <c r="AI895" s="28" t="s">
        <v>221</v>
      </c>
      <c r="AJ895" s="141" t="s">
        <v>221</v>
      </c>
      <c r="AT895" s="28" t="s">
        <v>120</v>
      </c>
      <c r="AU895" s="28">
        <v>4</v>
      </c>
      <c r="AW895" s="28" t="s">
        <v>336</v>
      </c>
      <c r="AY895" s="28">
        <v>3544</v>
      </c>
      <c r="AZ895" s="28">
        <v>32.814814814814817</v>
      </c>
      <c r="BA895" s="54"/>
      <c r="BM895" s="401"/>
      <c r="BN895" s="401"/>
      <c r="BR895" s="401">
        <f t="shared" ref="BR895:BR896" si="215">8.5/10</f>
        <v>0.85</v>
      </c>
      <c r="BS895" s="401">
        <v>1.06</v>
      </c>
      <c r="BV895" s="28" t="s">
        <v>164</v>
      </c>
      <c r="BW895" s="28">
        <f>1000</f>
        <v>1000</v>
      </c>
      <c r="BX895" s="28">
        <v>1300</v>
      </c>
      <c r="CA895" s="28" t="s">
        <v>1684</v>
      </c>
      <c r="CB895" s="28">
        <v>21</v>
      </c>
      <c r="CC895" s="28">
        <v>14.5</v>
      </c>
      <c r="CL895" s="28">
        <v>5</v>
      </c>
      <c r="CM895" s="28">
        <v>4.9000000000000004</v>
      </c>
      <c r="CQ895" s="28">
        <v>99999</v>
      </c>
      <c r="CR895" s="28">
        <v>99999</v>
      </c>
      <c r="CU895" s="28" t="s">
        <v>1162</v>
      </c>
      <c r="DF895" s="28">
        <v>28.9</v>
      </c>
      <c r="DG895" s="28">
        <v>37.9</v>
      </c>
      <c r="DJ895" s="28" t="s">
        <v>610</v>
      </c>
      <c r="IK895" s="28">
        <v>99999</v>
      </c>
      <c r="IO895" s="28" t="s">
        <v>612</v>
      </c>
    </row>
    <row r="896" spans="1:249" s="28" customFormat="1" x14ac:dyDescent="0.25">
      <c r="A896" s="28">
        <v>42</v>
      </c>
      <c r="B896" s="28" t="s">
        <v>605</v>
      </c>
      <c r="C896" s="28" t="s">
        <v>606</v>
      </c>
      <c r="D896" s="28">
        <v>1989</v>
      </c>
      <c r="E896" s="28">
        <v>1987</v>
      </c>
      <c r="F896" s="28" t="s">
        <v>419</v>
      </c>
      <c r="G896" s="28" t="s">
        <v>609</v>
      </c>
      <c r="H896" s="32" t="s">
        <v>2831</v>
      </c>
      <c r="I896" s="207">
        <v>31.62</v>
      </c>
      <c r="J896" s="28">
        <v>-81.91</v>
      </c>
      <c r="K896" s="28">
        <v>33.700000000000003</v>
      </c>
      <c r="Q896" s="46">
        <v>3</v>
      </c>
      <c r="R896" s="46">
        <v>3</v>
      </c>
      <c r="S896" s="46"/>
      <c r="T896" s="46" t="s">
        <v>1955</v>
      </c>
      <c r="U896" s="46" t="s">
        <v>1398</v>
      </c>
      <c r="V896" s="46" t="s">
        <v>1729</v>
      </c>
      <c r="W896" s="46" t="s">
        <v>1398</v>
      </c>
      <c r="X896" s="46" t="s">
        <v>1383</v>
      </c>
      <c r="Z896" s="326"/>
      <c r="AA896" s="326"/>
      <c r="AB896" s="28" t="s">
        <v>519</v>
      </c>
      <c r="AC896" s="28">
        <v>5.5</v>
      </c>
      <c r="AD896" s="28">
        <v>0.72</v>
      </c>
      <c r="AF896" s="28" t="s">
        <v>1328</v>
      </c>
      <c r="AG896" s="28" t="s">
        <v>244</v>
      </c>
      <c r="AH896" s="138" t="s">
        <v>578</v>
      </c>
      <c r="AI896" s="28" t="s">
        <v>221</v>
      </c>
      <c r="AJ896" s="141" t="s">
        <v>221</v>
      </c>
      <c r="AT896" s="28" t="s">
        <v>120</v>
      </c>
      <c r="AU896" s="28">
        <v>4</v>
      </c>
      <c r="AW896" s="28" t="s">
        <v>336</v>
      </c>
      <c r="AY896" s="28">
        <v>3433</v>
      </c>
      <c r="AZ896" s="28">
        <v>26.8203125</v>
      </c>
      <c r="BA896" s="54"/>
      <c r="BM896" s="401"/>
      <c r="BN896" s="401"/>
      <c r="BR896" s="401">
        <f t="shared" si="215"/>
        <v>0.85</v>
      </c>
      <c r="BS896" s="401">
        <v>1.02</v>
      </c>
      <c r="BV896" s="28" t="s">
        <v>164</v>
      </c>
      <c r="BW896" s="28">
        <f>1000</f>
        <v>1000</v>
      </c>
      <c r="BX896" s="28">
        <v>1300</v>
      </c>
      <c r="CA896" s="28" t="s">
        <v>1684</v>
      </c>
      <c r="CB896" s="28">
        <v>21</v>
      </c>
      <c r="CC896" s="28">
        <v>18.8</v>
      </c>
      <c r="CL896" s="28">
        <v>5</v>
      </c>
      <c r="CM896" s="28">
        <v>4.8</v>
      </c>
      <c r="CQ896" s="28">
        <v>99999</v>
      </c>
      <c r="CR896" s="28">
        <v>99999</v>
      </c>
      <c r="CU896" s="28" t="s">
        <v>1162</v>
      </c>
      <c r="DF896" s="28">
        <v>28.9</v>
      </c>
      <c r="DG896" s="28">
        <v>36.700000000000003</v>
      </c>
      <c r="DJ896" s="28" t="s">
        <v>610</v>
      </c>
      <c r="DU896" s="28">
        <v>37.799999999999997</v>
      </c>
      <c r="DV896" s="28">
        <v>58.4</v>
      </c>
      <c r="IK896" s="28">
        <v>99999</v>
      </c>
      <c r="IO896" s="28" t="s">
        <v>612</v>
      </c>
    </row>
    <row r="897" spans="1:250" s="28" customFormat="1" x14ac:dyDescent="0.25">
      <c r="A897" s="28">
        <v>42</v>
      </c>
      <c r="B897" s="28" t="s">
        <v>605</v>
      </c>
      <c r="C897" s="28" t="s">
        <v>606</v>
      </c>
      <c r="D897" s="28">
        <v>1989</v>
      </c>
      <c r="E897" s="28">
        <v>1987</v>
      </c>
      <c r="F897" s="28" t="s">
        <v>419</v>
      </c>
      <c r="G897" s="28" t="s">
        <v>609</v>
      </c>
      <c r="H897" s="32" t="s">
        <v>2831</v>
      </c>
      <c r="I897" s="207">
        <v>31.62</v>
      </c>
      <c r="J897" s="28">
        <v>-81.91</v>
      </c>
      <c r="K897" s="28">
        <v>33.700000000000003</v>
      </c>
      <c r="Q897" s="46">
        <v>3</v>
      </c>
      <c r="R897" s="46">
        <v>3</v>
      </c>
      <c r="S897" s="46"/>
      <c r="T897" s="46" t="s">
        <v>1955</v>
      </c>
      <c r="U897" s="46" t="s">
        <v>1405</v>
      </c>
      <c r="V897" s="46" t="s">
        <v>1729</v>
      </c>
      <c r="W897" s="46" t="s">
        <v>1398</v>
      </c>
      <c r="X897" s="46" t="s">
        <v>1383</v>
      </c>
      <c r="Z897" s="326"/>
      <c r="AA897" s="326"/>
      <c r="AB897" s="28" t="s">
        <v>519</v>
      </c>
      <c r="AC897" s="28">
        <v>5.5</v>
      </c>
      <c r="AD897" s="28">
        <v>0.72</v>
      </c>
      <c r="AF897" s="28" t="s">
        <v>1328</v>
      </c>
      <c r="AG897" s="28" t="s">
        <v>117</v>
      </c>
      <c r="AH897" s="138" t="s">
        <v>1585</v>
      </c>
      <c r="AI897" s="28" t="s">
        <v>221</v>
      </c>
      <c r="AJ897" s="141" t="s">
        <v>221</v>
      </c>
      <c r="AT897" s="28" t="s">
        <v>120</v>
      </c>
      <c r="AU897" s="28">
        <v>4</v>
      </c>
      <c r="AW897" s="28" t="s">
        <v>336</v>
      </c>
      <c r="AY897" s="28">
        <v>1775</v>
      </c>
      <c r="AZ897" s="28">
        <v>55.46875</v>
      </c>
      <c r="BA897" s="54"/>
      <c r="BM897" s="401"/>
      <c r="BN897" s="401"/>
      <c r="BR897" s="401">
        <f>0.72</f>
        <v>0.72</v>
      </c>
      <c r="BS897" s="401">
        <v>0.73</v>
      </c>
      <c r="BV897" s="28" t="s">
        <v>164</v>
      </c>
      <c r="BW897" s="28">
        <v>900</v>
      </c>
      <c r="BX897" s="28">
        <v>1000</v>
      </c>
      <c r="CA897" s="28" t="s">
        <v>1684</v>
      </c>
      <c r="CB897" s="28">
        <v>18</v>
      </c>
      <c r="CC897" s="28">
        <v>14.7</v>
      </c>
      <c r="CL897" s="28">
        <v>5.6</v>
      </c>
      <c r="CM897" s="28">
        <v>5.5</v>
      </c>
      <c r="CQ897" s="28">
        <v>99999</v>
      </c>
      <c r="CR897" s="28">
        <v>99999</v>
      </c>
      <c r="CU897" s="28" t="s">
        <v>1162</v>
      </c>
      <c r="IK897" s="28">
        <v>99999</v>
      </c>
      <c r="IO897" s="28" t="s">
        <v>612</v>
      </c>
    </row>
    <row r="898" spans="1:250" s="28" customFormat="1" x14ac:dyDescent="0.25">
      <c r="A898" s="28">
        <v>42</v>
      </c>
      <c r="B898" s="28" t="s">
        <v>605</v>
      </c>
      <c r="C898" s="28" t="s">
        <v>606</v>
      </c>
      <c r="D898" s="28">
        <v>1989</v>
      </c>
      <c r="E898" s="28">
        <v>1987</v>
      </c>
      <c r="F898" s="28" t="s">
        <v>419</v>
      </c>
      <c r="G898" s="28" t="s">
        <v>609</v>
      </c>
      <c r="H898" s="32" t="s">
        <v>2831</v>
      </c>
      <c r="I898" s="207">
        <v>31.62</v>
      </c>
      <c r="J898" s="28">
        <v>-81.91</v>
      </c>
      <c r="K898" s="28">
        <v>33.700000000000003</v>
      </c>
      <c r="Q898" s="46">
        <v>3</v>
      </c>
      <c r="R898" s="46">
        <v>3</v>
      </c>
      <c r="S898" s="46"/>
      <c r="T898" s="46" t="s">
        <v>1955</v>
      </c>
      <c r="U898" s="46" t="s">
        <v>1405</v>
      </c>
      <c r="V898" s="46" t="s">
        <v>1729</v>
      </c>
      <c r="W898" s="46" t="s">
        <v>1398</v>
      </c>
      <c r="X898" s="46" t="s">
        <v>1383</v>
      </c>
      <c r="Z898" s="326"/>
      <c r="AA898" s="326"/>
      <c r="AB898" s="28" t="s">
        <v>519</v>
      </c>
      <c r="AC898" s="28">
        <v>5.5</v>
      </c>
      <c r="AD898" s="28">
        <v>0.72</v>
      </c>
      <c r="AF898" s="28" t="s">
        <v>1328</v>
      </c>
      <c r="AG898" s="28" t="s">
        <v>1525</v>
      </c>
      <c r="AH898" s="138" t="s">
        <v>578</v>
      </c>
      <c r="AI898" s="28" t="s">
        <v>221</v>
      </c>
      <c r="AJ898" s="141" t="s">
        <v>221</v>
      </c>
      <c r="AT898" s="28" t="s">
        <v>120</v>
      </c>
      <c r="AU898" s="28">
        <v>4</v>
      </c>
      <c r="AW898" s="28" t="s">
        <v>336</v>
      </c>
      <c r="AY898" s="28">
        <v>3544</v>
      </c>
      <c r="AZ898" s="28">
        <v>32.814814814814817</v>
      </c>
      <c r="BA898" s="54"/>
      <c r="BM898" s="401"/>
      <c r="BN898" s="401"/>
      <c r="BR898" s="401">
        <f t="shared" ref="BR898:BR899" si="216">0.72</f>
        <v>0.72</v>
      </c>
      <c r="BS898" s="401">
        <v>0.77</v>
      </c>
      <c r="BV898" s="28" t="s">
        <v>164</v>
      </c>
      <c r="BW898" s="28">
        <v>900</v>
      </c>
      <c r="BX898" s="28">
        <v>1000</v>
      </c>
      <c r="CA898" s="28" t="s">
        <v>1684</v>
      </c>
      <c r="CB898" s="28">
        <v>18</v>
      </c>
      <c r="CC898" s="28">
        <v>11.5</v>
      </c>
      <c r="CL898" s="28">
        <v>5.6</v>
      </c>
      <c r="CM898" s="28">
        <v>5</v>
      </c>
      <c r="CQ898" s="28">
        <v>99999</v>
      </c>
      <c r="CR898" s="28">
        <v>99999</v>
      </c>
      <c r="CU898" s="28" t="s">
        <v>1162</v>
      </c>
      <c r="IK898" s="28">
        <v>99999</v>
      </c>
      <c r="IO898" s="28" t="s">
        <v>612</v>
      </c>
    </row>
    <row r="899" spans="1:250" s="28" customFormat="1" x14ac:dyDescent="0.25">
      <c r="A899" s="28">
        <v>42</v>
      </c>
      <c r="B899" s="28" t="s">
        <v>605</v>
      </c>
      <c r="C899" s="28" t="s">
        <v>606</v>
      </c>
      <c r="D899" s="28">
        <v>1989</v>
      </c>
      <c r="E899" s="28">
        <v>1987</v>
      </c>
      <c r="F899" s="28" t="s">
        <v>419</v>
      </c>
      <c r="G899" s="28" t="s">
        <v>609</v>
      </c>
      <c r="H899" s="32" t="s">
        <v>2831</v>
      </c>
      <c r="I899" s="207">
        <v>31.62</v>
      </c>
      <c r="J899" s="28">
        <v>-81.91</v>
      </c>
      <c r="K899" s="28">
        <v>33.700000000000003</v>
      </c>
      <c r="Q899" s="46">
        <v>3</v>
      </c>
      <c r="R899" s="46">
        <v>3</v>
      </c>
      <c r="S899" s="46"/>
      <c r="T899" s="46" t="s">
        <v>1955</v>
      </c>
      <c r="U899" s="46" t="s">
        <v>1405</v>
      </c>
      <c r="V899" s="46" t="s">
        <v>1729</v>
      </c>
      <c r="W899" s="46" t="s">
        <v>1398</v>
      </c>
      <c r="X899" s="46" t="s">
        <v>1383</v>
      </c>
      <c r="Z899" s="326"/>
      <c r="AA899" s="326"/>
      <c r="AB899" s="28" t="s">
        <v>519</v>
      </c>
      <c r="AC899" s="28">
        <v>5.5</v>
      </c>
      <c r="AD899" s="28">
        <v>0.72</v>
      </c>
      <c r="AF899" s="28" t="s">
        <v>1328</v>
      </c>
      <c r="AG899" s="28" t="s">
        <v>244</v>
      </c>
      <c r="AH899" s="138" t="s">
        <v>578</v>
      </c>
      <c r="AI899" s="28" t="s">
        <v>221</v>
      </c>
      <c r="AJ899" s="141" t="s">
        <v>221</v>
      </c>
      <c r="AT899" s="28" t="s">
        <v>120</v>
      </c>
      <c r="AU899" s="28">
        <v>4</v>
      </c>
      <c r="AW899" s="28" t="s">
        <v>336</v>
      </c>
      <c r="AY899" s="28">
        <v>3433</v>
      </c>
      <c r="AZ899" s="28">
        <v>26.8203125</v>
      </c>
      <c r="BA899" s="54"/>
      <c r="BM899" s="401"/>
      <c r="BN899" s="401"/>
      <c r="BR899" s="401">
        <f t="shared" si="216"/>
        <v>0.72</v>
      </c>
      <c r="BS899" s="401">
        <v>0.74</v>
      </c>
      <c r="BV899" s="28" t="s">
        <v>164</v>
      </c>
      <c r="BW899" s="28">
        <v>900</v>
      </c>
      <c r="BX899" s="28">
        <v>1000</v>
      </c>
      <c r="CA899" s="28" t="s">
        <v>1684</v>
      </c>
      <c r="CB899" s="28">
        <v>18</v>
      </c>
      <c r="CC899" s="28">
        <v>12.4</v>
      </c>
      <c r="CL899" s="28">
        <v>5.6</v>
      </c>
      <c r="CM899" s="28">
        <v>5.3</v>
      </c>
      <c r="CQ899" s="28">
        <v>99999</v>
      </c>
      <c r="CR899" s="28">
        <v>99999</v>
      </c>
      <c r="CU899" s="28" t="s">
        <v>1162</v>
      </c>
      <c r="IK899" s="28">
        <v>99999</v>
      </c>
      <c r="IO899" s="28" t="s">
        <v>612</v>
      </c>
    </row>
    <row r="900" spans="1:250" s="28" customFormat="1" x14ac:dyDescent="0.25">
      <c r="A900" s="28">
        <v>42</v>
      </c>
      <c r="B900" s="28" t="s">
        <v>605</v>
      </c>
      <c r="C900" s="28" t="s">
        <v>606</v>
      </c>
      <c r="D900" s="28">
        <v>1989</v>
      </c>
      <c r="E900" s="28">
        <v>1987</v>
      </c>
      <c r="F900" s="28" t="s">
        <v>419</v>
      </c>
      <c r="G900" s="28" t="s">
        <v>609</v>
      </c>
      <c r="H900" s="32" t="s">
        <v>2831</v>
      </c>
      <c r="I900" s="207">
        <v>31.62</v>
      </c>
      <c r="J900" s="28">
        <v>-81.91</v>
      </c>
      <c r="K900" s="28">
        <v>33.700000000000003</v>
      </c>
      <c r="Q900" s="46">
        <v>3</v>
      </c>
      <c r="R900" s="46">
        <v>3</v>
      </c>
      <c r="S900" s="46"/>
      <c r="T900" s="46" t="s">
        <v>1955</v>
      </c>
      <c r="U900" s="46" t="s">
        <v>1396</v>
      </c>
      <c r="V900" s="46" t="s">
        <v>1726</v>
      </c>
      <c r="W900" s="46" t="s">
        <v>1398</v>
      </c>
      <c r="X900" s="46" t="s">
        <v>1383</v>
      </c>
      <c r="Z900" s="326"/>
      <c r="AA900" s="326"/>
      <c r="AB900" s="28" t="s">
        <v>519</v>
      </c>
      <c r="AC900" s="28">
        <v>5.5</v>
      </c>
      <c r="AD900" s="28">
        <v>0.72</v>
      </c>
      <c r="AF900" s="28" t="s">
        <v>1328</v>
      </c>
      <c r="AG900" s="28" t="s">
        <v>117</v>
      </c>
      <c r="AH900" s="138" t="s">
        <v>1585</v>
      </c>
      <c r="AI900" s="28" t="s">
        <v>221</v>
      </c>
      <c r="AJ900" s="141" t="s">
        <v>221</v>
      </c>
      <c r="AT900" s="28" t="s">
        <v>120</v>
      </c>
      <c r="AU900" s="28">
        <v>4</v>
      </c>
      <c r="AW900" s="28" t="s">
        <v>336</v>
      </c>
      <c r="AY900" s="28">
        <v>1775</v>
      </c>
      <c r="AZ900" s="28">
        <v>55.46875</v>
      </c>
      <c r="BA900" s="54"/>
      <c r="BM900" s="401"/>
      <c r="BN900" s="401"/>
      <c r="BR900" s="401">
        <v>0.68</v>
      </c>
      <c r="BS900" s="401">
        <v>0.66</v>
      </c>
      <c r="BV900" s="28" t="s">
        <v>164</v>
      </c>
      <c r="BW900" s="28">
        <v>900</v>
      </c>
      <c r="BX900" s="28">
        <v>900</v>
      </c>
      <c r="CA900" s="28" t="s">
        <v>1684</v>
      </c>
      <c r="CB900" s="28">
        <v>16</v>
      </c>
      <c r="CC900" s="28">
        <v>14.4</v>
      </c>
      <c r="CL900" s="28">
        <v>6</v>
      </c>
      <c r="CM900" s="28">
        <v>5.9</v>
      </c>
      <c r="CQ900" s="28">
        <v>99999</v>
      </c>
      <c r="CR900" s="28">
        <v>99999</v>
      </c>
      <c r="CU900" s="28" t="s">
        <v>1162</v>
      </c>
      <c r="IK900" s="28">
        <v>99999</v>
      </c>
      <c r="IO900" s="28" t="s">
        <v>612</v>
      </c>
    </row>
    <row r="901" spans="1:250" s="28" customFormat="1" x14ac:dyDescent="0.25">
      <c r="A901" s="28">
        <v>42</v>
      </c>
      <c r="B901" s="28" t="s">
        <v>605</v>
      </c>
      <c r="C901" s="28" t="s">
        <v>606</v>
      </c>
      <c r="D901" s="28">
        <v>1989</v>
      </c>
      <c r="E901" s="28">
        <v>1987</v>
      </c>
      <c r="F901" s="28" t="s">
        <v>419</v>
      </c>
      <c r="G901" s="28" t="s">
        <v>609</v>
      </c>
      <c r="H901" s="32" t="s">
        <v>2831</v>
      </c>
      <c r="I901" s="207">
        <v>31.62</v>
      </c>
      <c r="J901" s="28">
        <v>-81.91</v>
      </c>
      <c r="K901" s="28">
        <v>33.700000000000003</v>
      </c>
      <c r="Q901" s="46">
        <v>3</v>
      </c>
      <c r="R901" s="46">
        <v>3</v>
      </c>
      <c r="S901" s="46"/>
      <c r="T901" s="46" t="s">
        <v>1955</v>
      </c>
      <c r="U901" s="52" t="s">
        <v>1396</v>
      </c>
      <c r="V901" s="52" t="s">
        <v>1726</v>
      </c>
      <c r="W901" s="52" t="s">
        <v>1398</v>
      </c>
      <c r="X901" s="52" t="s">
        <v>1383</v>
      </c>
      <c r="Z901" s="326"/>
      <c r="AA901" s="326"/>
      <c r="AB901" s="28" t="s">
        <v>519</v>
      </c>
      <c r="AC901" s="28">
        <v>5.5</v>
      </c>
      <c r="AD901" s="28">
        <v>0.72</v>
      </c>
      <c r="AF901" s="28" t="s">
        <v>1328</v>
      </c>
      <c r="AG901" s="28" t="s">
        <v>1525</v>
      </c>
      <c r="AH901" s="138" t="s">
        <v>578</v>
      </c>
      <c r="AI901" s="28" t="s">
        <v>221</v>
      </c>
      <c r="AJ901" s="141" t="s">
        <v>221</v>
      </c>
      <c r="AT901" s="28" t="s">
        <v>120</v>
      </c>
      <c r="AU901" s="28">
        <v>4</v>
      </c>
      <c r="AW901" s="28" t="s">
        <v>336</v>
      </c>
      <c r="AY901" s="28">
        <v>3544</v>
      </c>
      <c r="AZ901" s="28">
        <v>32.814814814814817</v>
      </c>
      <c r="BA901" s="54"/>
      <c r="BM901" s="401"/>
      <c r="BN901" s="401"/>
      <c r="BR901" s="401">
        <v>0.68</v>
      </c>
      <c r="BS901" s="401">
        <v>0.71</v>
      </c>
      <c r="BV901" s="28" t="s">
        <v>164</v>
      </c>
      <c r="BW901" s="28">
        <v>900</v>
      </c>
      <c r="BX901" s="28">
        <v>900</v>
      </c>
      <c r="CA901" s="28" t="s">
        <v>1684</v>
      </c>
      <c r="CB901" s="28">
        <v>16</v>
      </c>
      <c r="CC901" s="28">
        <v>10.5</v>
      </c>
      <c r="CL901" s="28">
        <v>6</v>
      </c>
      <c r="CM901" s="28">
        <v>5.5</v>
      </c>
      <c r="CQ901" s="28">
        <v>99999</v>
      </c>
      <c r="CR901" s="28">
        <v>99999</v>
      </c>
      <c r="CU901" s="28" t="s">
        <v>1162</v>
      </c>
      <c r="IK901" s="28">
        <v>99999</v>
      </c>
      <c r="IO901" s="28" t="s">
        <v>612</v>
      </c>
    </row>
    <row r="902" spans="1:250" s="28" customFormat="1" x14ac:dyDescent="0.25">
      <c r="A902" s="28">
        <v>42</v>
      </c>
      <c r="B902" s="28" t="s">
        <v>605</v>
      </c>
      <c r="C902" s="28" t="s">
        <v>606</v>
      </c>
      <c r="D902" s="28">
        <v>1989</v>
      </c>
      <c r="E902" s="28">
        <v>1987</v>
      </c>
      <c r="F902" s="28" t="s">
        <v>419</v>
      </c>
      <c r="G902" s="28" t="s">
        <v>609</v>
      </c>
      <c r="H902" s="32" t="s">
        <v>2831</v>
      </c>
      <c r="I902" s="207">
        <v>31.62</v>
      </c>
      <c r="J902" s="28">
        <v>-81.91</v>
      </c>
      <c r="K902" s="28">
        <v>33.700000000000003</v>
      </c>
      <c r="Q902" s="46">
        <v>3</v>
      </c>
      <c r="R902" s="46">
        <v>3</v>
      </c>
      <c r="S902" s="46"/>
      <c r="T902" s="46" t="s">
        <v>1955</v>
      </c>
      <c r="U902" s="52" t="s">
        <v>1396</v>
      </c>
      <c r="V902" s="52" t="s">
        <v>1726</v>
      </c>
      <c r="W902" s="52" t="s">
        <v>1398</v>
      </c>
      <c r="X902" s="52" t="s">
        <v>1383</v>
      </c>
      <c r="Z902" s="326"/>
      <c r="AA902" s="326"/>
      <c r="AB902" s="28" t="s">
        <v>519</v>
      </c>
      <c r="AC902" s="28">
        <v>5.5</v>
      </c>
      <c r="AD902" s="28">
        <v>0.72</v>
      </c>
      <c r="AF902" s="28" t="s">
        <v>1328</v>
      </c>
      <c r="AG902" s="28" t="s">
        <v>244</v>
      </c>
      <c r="AH902" s="138" t="s">
        <v>578</v>
      </c>
      <c r="AI902" s="28" t="s">
        <v>221</v>
      </c>
      <c r="AJ902" s="141" t="s">
        <v>221</v>
      </c>
      <c r="AT902" s="28" t="s">
        <v>120</v>
      </c>
      <c r="AU902" s="28">
        <v>4</v>
      </c>
      <c r="AW902" s="28" t="s">
        <v>336</v>
      </c>
      <c r="AY902" s="28">
        <v>3433</v>
      </c>
      <c r="AZ902" s="28">
        <v>26.8203125</v>
      </c>
      <c r="BA902" s="54"/>
      <c r="BM902" s="401"/>
      <c r="BN902" s="401"/>
      <c r="BR902" s="401">
        <v>0.68</v>
      </c>
      <c r="BS902" s="401">
        <v>0.67</v>
      </c>
      <c r="BV902" s="28" t="s">
        <v>164</v>
      </c>
      <c r="BW902" s="28">
        <v>900</v>
      </c>
      <c r="BX902" s="28">
        <v>900</v>
      </c>
      <c r="CA902" s="28" t="s">
        <v>1684</v>
      </c>
      <c r="CB902" s="28">
        <v>16</v>
      </c>
      <c r="CC902" s="28">
        <v>10.8</v>
      </c>
      <c r="CL902" s="28">
        <v>6</v>
      </c>
      <c r="CM902" s="28">
        <v>5.9</v>
      </c>
      <c r="CQ902" s="28">
        <v>99999</v>
      </c>
      <c r="CR902" s="28">
        <v>99999</v>
      </c>
      <c r="CU902" s="28" t="s">
        <v>1162</v>
      </c>
      <c r="IK902" s="28">
        <v>99999</v>
      </c>
      <c r="IO902" s="28" t="s">
        <v>612</v>
      </c>
    </row>
    <row r="903" spans="1:250" s="34" customFormat="1" x14ac:dyDescent="0.25">
      <c r="A903" s="34">
        <v>43</v>
      </c>
      <c r="B903" s="34" t="s">
        <v>615</v>
      </c>
      <c r="C903" s="34" t="s">
        <v>616</v>
      </c>
      <c r="D903" s="34">
        <v>1999</v>
      </c>
      <c r="E903" s="34">
        <v>1995</v>
      </c>
      <c r="F903" s="34" t="s">
        <v>419</v>
      </c>
      <c r="G903" s="34" t="s">
        <v>129</v>
      </c>
      <c r="H903" s="32" t="s">
        <v>2831</v>
      </c>
      <c r="I903" s="34">
        <v>45.231000000000002</v>
      </c>
      <c r="J903" s="34">
        <v>-122.756</v>
      </c>
      <c r="K903" s="34">
        <v>48.4</v>
      </c>
      <c r="O903" s="34">
        <v>1040</v>
      </c>
      <c r="P903" s="34" t="s">
        <v>134</v>
      </c>
      <c r="Q903" s="48">
        <v>1</v>
      </c>
      <c r="R903" s="48">
        <v>1</v>
      </c>
      <c r="S903" s="48"/>
      <c r="T903" s="48" t="s">
        <v>229</v>
      </c>
      <c r="U903" s="48" t="s">
        <v>1383</v>
      </c>
      <c r="V903" s="48" t="s">
        <v>1722</v>
      </c>
      <c r="W903" s="48" t="s">
        <v>1383</v>
      </c>
      <c r="X903" s="48" t="s">
        <v>1383</v>
      </c>
      <c r="Z903" s="328">
        <v>31.3</v>
      </c>
      <c r="AA903" s="328">
        <v>54</v>
      </c>
      <c r="AB903" s="34" t="s">
        <v>451</v>
      </c>
      <c r="AF903" s="34" t="s">
        <v>1341</v>
      </c>
      <c r="AG903" s="34" t="s">
        <v>618</v>
      </c>
      <c r="AH903" s="138" t="s">
        <v>132</v>
      </c>
      <c r="AI903" s="34" t="s">
        <v>1607</v>
      </c>
      <c r="AJ903" s="140" t="s">
        <v>1620</v>
      </c>
      <c r="AK903" s="34" t="s">
        <v>617</v>
      </c>
      <c r="AL903" s="34" t="s">
        <v>617</v>
      </c>
      <c r="AM903" s="34" t="s">
        <v>178</v>
      </c>
      <c r="AT903" s="34" t="s">
        <v>120</v>
      </c>
      <c r="AU903" s="34">
        <v>4</v>
      </c>
      <c r="AW903" s="34" t="s">
        <v>142</v>
      </c>
      <c r="BM903" s="404"/>
      <c r="BN903" s="404"/>
      <c r="BR903" s="404">
        <f>18.3/10</f>
        <v>1.83</v>
      </c>
      <c r="BS903" s="404">
        <v>1.66</v>
      </c>
      <c r="BV903" s="34" t="s">
        <v>619</v>
      </c>
      <c r="GM903" s="34">
        <v>52.5</v>
      </c>
      <c r="GN903" s="34">
        <v>56.5</v>
      </c>
      <c r="GQ903" s="34" t="s">
        <v>623</v>
      </c>
      <c r="GR903" s="34">
        <v>62.1</v>
      </c>
      <c r="GS903" s="34">
        <v>59.3</v>
      </c>
      <c r="IA903" s="34">
        <v>135</v>
      </c>
      <c r="IB903" s="34">
        <v>196</v>
      </c>
      <c r="IE903" s="34" t="s">
        <v>621</v>
      </c>
      <c r="IO903" s="34" t="s">
        <v>624</v>
      </c>
    </row>
    <row r="904" spans="1:250" s="34" customFormat="1" x14ac:dyDescent="0.25">
      <c r="A904" s="34">
        <v>43</v>
      </c>
      <c r="B904" s="34" t="s">
        <v>615</v>
      </c>
      <c r="C904" s="34" t="s">
        <v>616</v>
      </c>
      <c r="D904" s="34">
        <v>1999</v>
      </c>
      <c r="E904" s="34">
        <v>1995</v>
      </c>
      <c r="F904" s="34" t="s">
        <v>419</v>
      </c>
      <c r="G904" s="34" t="s">
        <v>129</v>
      </c>
      <c r="H904" s="32" t="s">
        <v>2831</v>
      </c>
      <c r="I904" s="34">
        <v>45.231000000000002</v>
      </c>
      <c r="J904" s="34">
        <v>-122.756</v>
      </c>
      <c r="K904" s="34">
        <v>48.4</v>
      </c>
      <c r="O904" s="34">
        <v>1040</v>
      </c>
      <c r="P904" s="34" t="s">
        <v>134</v>
      </c>
      <c r="Q904" s="48">
        <v>1</v>
      </c>
      <c r="R904" s="48">
        <v>1</v>
      </c>
      <c r="S904" s="48"/>
      <c r="T904" s="48" t="s">
        <v>229</v>
      </c>
      <c r="U904" s="48" t="s">
        <v>1383</v>
      </c>
      <c r="V904" s="48" t="s">
        <v>1722</v>
      </c>
      <c r="W904" s="48" t="s">
        <v>1383</v>
      </c>
      <c r="X904" s="48" t="s">
        <v>1383</v>
      </c>
      <c r="Z904" s="328">
        <v>31.3</v>
      </c>
      <c r="AA904" s="328">
        <v>54</v>
      </c>
      <c r="AB904" s="34" t="s">
        <v>451</v>
      </c>
      <c r="AF904" s="34" t="s">
        <v>1341</v>
      </c>
      <c r="AG904" s="34" t="s">
        <v>578</v>
      </c>
      <c r="AH904" s="138" t="s">
        <v>578</v>
      </c>
      <c r="AI904" s="34" t="s">
        <v>1607</v>
      </c>
      <c r="AJ904" s="140" t="s">
        <v>1620</v>
      </c>
      <c r="AK904" s="34" t="s">
        <v>617</v>
      </c>
      <c r="AL904" s="34" t="s">
        <v>617</v>
      </c>
      <c r="AM904" s="34" t="s">
        <v>178</v>
      </c>
      <c r="AT904" s="34" t="s">
        <v>120</v>
      </c>
      <c r="AU904" s="34">
        <v>4</v>
      </c>
      <c r="AW904" s="34" t="s">
        <v>142</v>
      </c>
      <c r="BM904" s="404"/>
      <c r="BN904" s="404"/>
      <c r="BR904" s="404">
        <f>18.3/10</f>
        <v>1.83</v>
      </c>
      <c r="BS904" s="404">
        <v>1.76</v>
      </c>
      <c r="BV904" s="34" t="s">
        <v>619</v>
      </c>
      <c r="GM904" s="34">
        <v>52.5</v>
      </c>
      <c r="GN904" s="34">
        <v>64.900000000000006</v>
      </c>
      <c r="GQ904" s="34" t="s">
        <v>623</v>
      </c>
      <c r="GR904" s="34">
        <v>62.1</v>
      </c>
      <c r="GS904" s="34">
        <v>62.1</v>
      </c>
      <c r="IA904" s="34">
        <v>135</v>
      </c>
      <c r="IB904" s="34">
        <v>206</v>
      </c>
      <c r="IE904" s="34" t="s">
        <v>621</v>
      </c>
      <c r="IO904" s="34" t="s">
        <v>624</v>
      </c>
    </row>
    <row r="905" spans="1:250" s="24" customFormat="1" x14ac:dyDescent="0.25">
      <c r="A905" s="24">
        <v>43</v>
      </c>
      <c r="B905" s="24" t="s">
        <v>615</v>
      </c>
      <c r="C905" s="24" t="s">
        <v>616</v>
      </c>
      <c r="D905" s="24">
        <v>1999</v>
      </c>
      <c r="E905" s="24">
        <v>1996</v>
      </c>
      <c r="F905" s="24" t="s">
        <v>419</v>
      </c>
      <c r="G905" s="24" t="s">
        <v>129</v>
      </c>
      <c r="H905" s="32" t="s">
        <v>2831</v>
      </c>
      <c r="I905" s="24">
        <v>45.231000000000002</v>
      </c>
      <c r="J905" s="24">
        <v>-122.756</v>
      </c>
      <c r="K905" s="24">
        <v>48.4</v>
      </c>
      <c r="O905" s="24">
        <v>1040</v>
      </c>
      <c r="P905" s="24" t="s">
        <v>134</v>
      </c>
      <c r="Q905" s="42">
        <v>2</v>
      </c>
      <c r="R905" s="42">
        <v>2</v>
      </c>
      <c r="S905" s="42"/>
      <c r="T905" s="42" t="s">
        <v>597</v>
      </c>
      <c r="U905" s="42" t="s">
        <v>1383</v>
      </c>
      <c r="V905" s="42" t="s">
        <v>1722</v>
      </c>
      <c r="W905" s="42" t="s">
        <v>1383</v>
      </c>
      <c r="X905" s="42" t="s">
        <v>1383</v>
      </c>
      <c r="Z905" s="321">
        <v>31.3</v>
      </c>
      <c r="AA905" s="321">
        <v>54</v>
      </c>
      <c r="AB905" s="24" t="s">
        <v>451</v>
      </c>
      <c r="AF905" s="24" t="s">
        <v>1341</v>
      </c>
      <c r="AG905" s="24" t="s">
        <v>618</v>
      </c>
      <c r="AH905" s="138" t="s">
        <v>132</v>
      </c>
      <c r="AI905" s="34" t="s">
        <v>1607</v>
      </c>
      <c r="AJ905" s="140" t="s">
        <v>1620</v>
      </c>
      <c r="AK905" s="24" t="s">
        <v>617</v>
      </c>
      <c r="AL905" s="24" t="s">
        <v>617</v>
      </c>
      <c r="AM905" s="24" t="s">
        <v>178</v>
      </c>
      <c r="AT905" s="24" t="s">
        <v>120</v>
      </c>
      <c r="AU905" s="24">
        <v>4</v>
      </c>
      <c r="AW905" s="24" t="s">
        <v>142</v>
      </c>
      <c r="BM905" s="395"/>
      <c r="BN905" s="395"/>
      <c r="BR905" s="395">
        <v>1.64</v>
      </c>
      <c r="BS905" s="395">
        <v>1.46</v>
      </c>
      <c r="BV905" s="24" t="s">
        <v>619</v>
      </c>
      <c r="BW905" s="24">
        <v>839</v>
      </c>
      <c r="BX905" s="24">
        <v>718</v>
      </c>
      <c r="CA905" s="24" t="s">
        <v>620</v>
      </c>
      <c r="GM905" s="24">
        <v>51.9</v>
      </c>
      <c r="GN905" s="24">
        <v>64.8</v>
      </c>
      <c r="GQ905" s="24" t="s">
        <v>623</v>
      </c>
      <c r="GR905" s="24">
        <v>30.3</v>
      </c>
      <c r="GS905" s="24">
        <v>47.6</v>
      </c>
      <c r="GW905" s="24">
        <v>10.4</v>
      </c>
      <c r="GX905" s="24">
        <v>16.600000000000001</v>
      </c>
      <c r="IA905" s="24">
        <v>109</v>
      </c>
      <c r="IB905" s="24">
        <v>91</v>
      </c>
      <c r="IE905" s="24" t="s">
        <v>621</v>
      </c>
      <c r="IO905" s="24" t="s">
        <v>624</v>
      </c>
    </row>
    <row r="906" spans="1:250" s="24" customFormat="1" x14ac:dyDescent="0.25">
      <c r="A906" s="24">
        <v>43</v>
      </c>
      <c r="B906" s="24" t="s">
        <v>615</v>
      </c>
      <c r="C906" s="24" t="s">
        <v>616</v>
      </c>
      <c r="D906" s="24">
        <v>1999</v>
      </c>
      <c r="E906" s="24">
        <v>1996</v>
      </c>
      <c r="F906" s="24" t="s">
        <v>419</v>
      </c>
      <c r="G906" s="24" t="s">
        <v>129</v>
      </c>
      <c r="H906" s="32" t="s">
        <v>2831</v>
      </c>
      <c r="I906" s="24">
        <v>45.231000000000002</v>
      </c>
      <c r="J906" s="24">
        <v>-122.756</v>
      </c>
      <c r="K906" s="24">
        <v>48.4</v>
      </c>
      <c r="O906" s="24">
        <v>1040</v>
      </c>
      <c r="P906" s="24" t="s">
        <v>134</v>
      </c>
      <c r="Q906" s="42">
        <v>2</v>
      </c>
      <c r="R906" s="42">
        <v>2</v>
      </c>
      <c r="S906" s="42"/>
      <c r="T906" s="42" t="s">
        <v>597</v>
      </c>
      <c r="U906" s="42" t="s">
        <v>1383</v>
      </c>
      <c r="V906" s="42" t="s">
        <v>1722</v>
      </c>
      <c r="W906" s="42" t="s">
        <v>1383</v>
      </c>
      <c r="X906" s="42" t="s">
        <v>1383</v>
      </c>
      <c r="Z906" s="321">
        <v>31.3</v>
      </c>
      <c r="AA906" s="321">
        <v>54</v>
      </c>
      <c r="AB906" s="24" t="s">
        <v>451</v>
      </c>
      <c r="AF906" s="24" t="s">
        <v>1341</v>
      </c>
      <c r="AG906" s="24" t="s">
        <v>578</v>
      </c>
      <c r="AH906" s="138" t="s">
        <v>578</v>
      </c>
      <c r="AI906" s="34" t="s">
        <v>1607</v>
      </c>
      <c r="AJ906" s="140" t="s">
        <v>1620</v>
      </c>
      <c r="AK906" s="24" t="s">
        <v>617</v>
      </c>
      <c r="AL906" s="24" t="s">
        <v>617</v>
      </c>
      <c r="AM906" s="24" t="s">
        <v>178</v>
      </c>
      <c r="AT906" s="24" t="s">
        <v>120</v>
      </c>
      <c r="AU906" s="24">
        <v>4</v>
      </c>
      <c r="AW906" s="24" t="s">
        <v>142</v>
      </c>
      <c r="BM906" s="395"/>
      <c r="BN906" s="395"/>
      <c r="BR906" s="395">
        <v>1.64</v>
      </c>
      <c r="BS906" s="395">
        <v>1.63</v>
      </c>
      <c r="BV906" s="24" t="s">
        <v>619</v>
      </c>
      <c r="BW906" s="24">
        <v>839</v>
      </c>
      <c r="BX906" s="24">
        <v>753</v>
      </c>
      <c r="CA906" s="24" t="s">
        <v>620</v>
      </c>
      <c r="GM906" s="24">
        <v>51.9</v>
      </c>
      <c r="GN906" s="24">
        <v>73.099999999999994</v>
      </c>
      <c r="GQ906" s="24" t="s">
        <v>623</v>
      </c>
      <c r="GR906" s="24">
        <v>30.3</v>
      </c>
      <c r="GS906" s="24">
        <v>45.4</v>
      </c>
      <c r="GW906" s="24">
        <v>10.4</v>
      </c>
      <c r="GX906" s="24">
        <v>13.4</v>
      </c>
      <c r="IA906" s="24">
        <v>109</v>
      </c>
      <c r="IB906" s="24">
        <v>104</v>
      </c>
      <c r="IE906" s="24" t="s">
        <v>621</v>
      </c>
      <c r="IO906" s="24" t="s">
        <v>624</v>
      </c>
    </row>
    <row r="907" spans="1:250" s="24" customFormat="1" x14ac:dyDescent="0.25">
      <c r="A907" s="24">
        <v>43</v>
      </c>
      <c r="B907" s="24" t="s">
        <v>615</v>
      </c>
      <c r="C907" s="24" t="s">
        <v>616</v>
      </c>
      <c r="D907" s="24">
        <v>1999</v>
      </c>
      <c r="E907" s="24">
        <v>1996</v>
      </c>
      <c r="F907" s="24" t="s">
        <v>419</v>
      </c>
      <c r="G907" s="24" t="s">
        <v>129</v>
      </c>
      <c r="H907" s="32" t="s">
        <v>2831</v>
      </c>
      <c r="I907" s="24">
        <v>45.231000000000002</v>
      </c>
      <c r="J907" s="24">
        <v>-122.756</v>
      </c>
      <c r="K907" s="24">
        <v>48.4</v>
      </c>
      <c r="O907" s="24">
        <v>1040</v>
      </c>
      <c r="P907" s="24" t="s">
        <v>134</v>
      </c>
      <c r="Q907" s="42">
        <v>2</v>
      </c>
      <c r="R907" s="42">
        <v>2</v>
      </c>
      <c r="S907" s="42"/>
      <c r="T907" s="42" t="s">
        <v>229</v>
      </c>
      <c r="U907" s="42" t="s">
        <v>1383</v>
      </c>
      <c r="V907" s="42" t="s">
        <v>1722</v>
      </c>
      <c r="W907" s="42" t="s">
        <v>1383</v>
      </c>
      <c r="X907" s="42" t="s">
        <v>1383</v>
      </c>
      <c r="Z907" s="321">
        <v>31.3</v>
      </c>
      <c r="AA907" s="321">
        <v>54</v>
      </c>
      <c r="AB907" s="24" t="s">
        <v>451</v>
      </c>
      <c r="AF907" s="24" t="s">
        <v>1341</v>
      </c>
      <c r="AG907" s="24" t="s">
        <v>618</v>
      </c>
      <c r="AH907" s="138" t="s">
        <v>132</v>
      </c>
      <c r="AI907" s="34" t="s">
        <v>1607</v>
      </c>
      <c r="AJ907" s="140" t="s">
        <v>1620</v>
      </c>
      <c r="AK907" s="24" t="s">
        <v>617</v>
      </c>
      <c r="AL907" s="24" t="s">
        <v>617</v>
      </c>
      <c r="AM907" s="24" t="s">
        <v>178</v>
      </c>
      <c r="AT907" s="24" t="s">
        <v>120</v>
      </c>
      <c r="AU907" s="24">
        <v>4</v>
      </c>
      <c r="AW907" s="24" t="s">
        <v>142</v>
      </c>
      <c r="BM907" s="395"/>
      <c r="BN907" s="395"/>
      <c r="BR907" s="395">
        <v>1.75</v>
      </c>
      <c r="BS907" s="395">
        <v>1.43</v>
      </c>
      <c r="BV907" s="24" t="s">
        <v>619</v>
      </c>
      <c r="BW907" s="24">
        <v>843</v>
      </c>
      <c r="BX907" s="24">
        <v>792</v>
      </c>
      <c r="CA907" s="24" t="s">
        <v>620</v>
      </c>
      <c r="GM907" s="24">
        <v>77.400000000000006</v>
      </c>
      <c r="GN907" s="24">
        <v>109.2</v>
      </c>
      <c r="GQ907" s="24" t="s">
        <v>623</v>
      </c>
      <c r="GR907" s="24">
        <v>43.3</v>
      </c>
      <c r="GS907" s="24">
        <v>48.4</v>
      </c>
      <c r="GW907" s="24">
        <v>7.1</v>
      </c>
      <c r="GX907" s="24">
        <v>8.3000000000000007</v>
      </c>
      <c r="IA907" s="24">
        <v>112</v>
      </c>
      <c r="IB907" s="24">
        <v>115</v>
      </c>
      <c r="IE907" s="24" t="s">
        <v>621</v>
      </c>
      <c r="IO907" s="24" t="s">
        <v>624</v>
      </c>
    </row>
    <row r="908" spans="1:250" s="24" customFormat="1" x14ac:dyDescent="0.25">
      <c r="A908" s="24">
        <v>43</v>
      </c>
      <c r="B908" s="24" t="s">
        <v>615</v>
      </c>
      <c r="C908" s="24" t="s">
        <v>616</v>
      </c>
      <c r="D908" s="24">
        <v>1999</v>
      </c>
      <c r="E908" s="24">
        <v>1996</v>
      </c>
      <c r="F908" s="24" t="s">
        <v>419</v>
      </c>
      <c r="G908" s="24" t="s">
        <v>129</v>
      </c>
      <c r="H908" s="32" t="s">
        <v>2831</v>
      </c>
      <c r="I908" s="24">
        <v>45.231000000000002</v>
      </c>
      <c r="J908" s="24">
        <v>-122.756</v>
      </c>
      <c r="K908" s="24">
        <v>48.4</v>
      </c>
      <c r="O908" s="24">
        <v>1040</v>
      </c>
      <c r="P908" s="24" t="s">
        <v>134</v>
      </c>
      <c r="Q908" s="42">
        <v>2</v>
      </c>
      <c r="R908" s="42">
        <v>2</v>
      </c>
      <c r="S908" s="42"/>
      <c r="T908" s="42" t="s">
        <v>229</v>
      </c>
      <c r="U908" s="42" t="s">
        <v>1383</v>
      </c>
      <c r="V908" s="42" t="s">
        <v>1722</v>
      </c>
      <c r="W908" s="42" t="s">
        <v>1383</v>
      </c>
      <c r="X908" s="42" t="s">
        <v>1383</v>
      </c>
      <c r="Z908" s="321">
        <v>31.3</v>
      </c>
      <c r="AA908" s="321">
        <v>54</v>
      </c>
      <c r="AB908" s="24" t="s">
        <v>451</v>
      </c>
      <c r="AF908" s="24" t="s">
        <v>1341</v>
      </c>
      <c r="AG908" s="24" t="s">
        <v>578</v>
      </c>
      <c r="AH908" s="138" t="s">
        <v>578</v>
      </c>
      <c r="AI908" s="34" t="s">
        <v>1607</v>
      </c>
      <c r="AJ908" s="140" t="s">
        <v>1620</v>
      </c>
      <c r="AK908" s="24" t="s">
        <v>617</v>
      </c>
      <c r="AL908" s="24" t="s">
        <v>617</v>
      </c>
      <c r="AM908" s="24" t="s">
        <v>178</v>
      </c>
      <c r="AT908" s="24" t="s">
        <v>120</v>
      </c>
      <c r="AU908" s="24">
        <v>4</v>
      </c>
      <c r="AW908" s="24" t="s">
        <v>142</v>
      </c>
      <c r="BM908" s="395"/>
      <c r="BN908" s="395"/>
      <c r="BR908" s="395">
        <v>1.75</v>
      </c>
      <c r="BS908" s="395">
        <v>1.73</v>
      </c>
      <c r="BV908" s="24" t="s">
        <v>619</v>
      </c>
      <c r="BW908" s="24">
        <v>843</v>
      </c>
      <c r="BX908" s="24">
        <v>809</v>
      </c>
      <c r="CA908" s="24" t="s">
        <v>620</v>
      </c>
      <c r="GM908" s="24">
        <v>77.400000000000006</v>
      </c>
      <c r="GN908" s="24">
        <v>115.2</v>
      </c>
      <c r="GQ908" s="24" t="s">
        <v>623</v>
      </c>
      <c r="GR908" s="24">
        <v>43.3</v>
      </c>
      <c r="GS908" s="24">
        <v>59</v>
      </c>
      <c r="GW908" s="24">
        <v>7.1</v>
      </c>
      <c r="GX908" s="24">
        <v>9.6999999999999993</v>
      </c>
      <c r="IA908" s="24">
        <v>112</v>
      </c>
      <c r="IB908" s="24">
        <v>124</v>
      </c>
      <c r="IE908" s="24" t="s">
        <v>621</v>
      </c>
      <c r="IO908" s="24" t="s">
        <v>624</v>
      </c>
    </row>
    <row r="909" spans="1:250" s="28" customFormat="1" x14ac:dyDescent="0.25">
      <c r="A909" s="28">
        <v>44</v>
      </c>
      <c r="B909" s="28" t="s">
        <v>625</v>
      </c>
      <c r="C909" s="28" t="s">
        <v>626</v>
      </c>
      <c r="D909" s="28">
        <v>2000</v>
      </c>
      <c r="E909" s="28">
        <v>1996</v>
      </c>
      <c r="F909" s="28" t="s">
        <v>627</v>
      </c>
      <c r="G909" s="28" t="s">
        <v>628</v>
      </c>
      <c r="H909" s="32" t="s">
        <v>2831</v>
      </c>
      <c r="I909" s="28">
        <v>45.01</v>
      </c>
      <c r="J909" s="28">
        <v>-122.78</v>
      </c>
      <c r="K909" s="28">
        <v>78.5</v>
      </c>
      <c r="O909" s="28">
        <v>1040</v>
      </c>
      <c r="P909" s="28" t="s">
        <v>134</v>
      </c>
      <c r="Q909" s="46" t="s">
        <v>1856</v>
      </c>
      <c r="R909" s="46" t="s">
        <v>1856</v>
      </c>
      <c r="S909" s="46"/>
      <c r="T909" s="46" t="s">
        <v>1962</v>
      </c>
      <c r="U909" s="46" t="s">
        <v>1384</v>
      </c>
      <c r="V909" s="46" t="s">
        <v>1723</v>
      </c>
      <c r="W909" s="46" t="s">
        <v>1384</v>
      </c>
      <c r="X909" s="46" t="s">
        <v>1384</v>
      </c>
      <c r="Z909" s="326">
        <v>7</v>
      </c>
      <c r="AA909" s="326">
        <v>67</v>
      </c>
      <c r="AB909" s="28" t="s">
        <v>548</v>
      </c>
      <c r="AF909" s="28" t="s">
        <v>1290</v>
      </c>
      <c r="AG909" s="28" t="s">
        <v>132</v>
      </c>
      <c r="AH909" s="138" t="s">
        <v>132</v>
      </c>
      <c r="AI909" s="28" t="s">
        <v>634</v>
      </c>
      <c r="AJ909" s="141" t="s">
        <v>1617</v>
      </c>
      <c r="AK909" s="28" t="s">
        <v>637</v>
      </c>
      <c r="AL909" s="28" t="s">
        <v>637</v>
      </c>
      <c r="AM909" s="28" t="s">
        <v>178</v>
      </c>
      <c r="AT909" s="28" t="s">
        <v>120</v>
      </c>
      <c r="AU909" s="28">
        <v>4</v>
      </c>
      <c r="AW909" s="28" t="s">
        <v>336</v>
      </c>
      <c r="BM909" s="401"/>
      <c r="BN909" s="401"/>
      <c r="BR909" s="401">
        <v>1.95</v>
      </c>
      <c r="BS909" s="401">
        <v>1.9300000000000002</v>
      </c>
      <c r="BV909" s="28" t="s">
        <v>1678</v>
      </c>
      <c r="BW909" s="28">
        <f>1.6*1000</f>
        <v>1600</v>
      </c>
      <c r="BX909" s="28">
        <v>1700</v>
      </c>
      <c r="CA909" s="28" t="s">
        <v>235</v>
      </c>
      <c r="CG909" s="28">
        <f>0.69*390</f>
        <v>269.09999999999997</v>
      </c>
      <c r="CH909" s="28">
        <f>0.65*390</f>
        <v>253.5</v>
      </c>
      <c r="CL909" s="28">
        <v>5.74</v>
      </c>
      <c r="CM909" s="28">
        <v>5.74</v>
      </c>
      <c r="CQ909" s="28">
        <v>26.32</v>
      </c>
      <c r="CR909" s="28">
        <v>27.04</v>
      </c>
      <c r="DA909" s="28">
        <v>11.82</v>
      </c>
      <c r="DB909" s="28">
        <v>11.63</v>
      </c>
      <c r="DE909" s="28" t="s">
        <v>642</v>
      </c>
      <c r="IO909" s="28" t="s">
        <v>660</v>
      </c>
      <c r="IP909" s="28" t="s">
        <v>1609</v>
      </c>
    </row>
    <row r="910" spans="1:250" s="28" customFormat="1" x14ac:dyDescent="0.25">
      <c r="A910" s="28">
        <v>44</v>
      </c>
      <c r="B910" s="28" t="s">
        <v>625</v>
      </c>
      <c r="C910" s="28" t="s">
        <v>626</v>
      </c>
      <c r="D910" s="28">
        <v>2000</v>
      </c>
      <c r="E910" s="28">
        <v>1996</v>
      </c>
      <c r="F910" s="28" t="s">
        <v>627</v>
      </c>
      <c r="G910" s="28" t="s">
        <v>629</v>
      </c>
      <c r="H910" s="32" t="s">
        <v>2831</v>
      </c>
      <c r="I910" s="28">
        <v>44.94</v>
      </c>
      <c r="J910" s="28">
        <v>-123.04</v>
      </c>
      <c r="K910" s="28">
        <v>49.3</v>
      </c>
      <c r="O910" s="28">
        <v>1040</v>
      </c>
      <c r="P910" s="28" t="s">
        <v>134</v>
      </c>
      <c r="Q910" s="46" t="s">
        <v>1856</v>
      </c>
      <c r="R910" s="46" t="s">
        <v>1856</v>
      </c>
      <c r="S910" s="46"/>
      <c r="T910" s="46" t="s">
        <v>1962</v>
      </c>
      <c r="U910" s="46" t="s">
        <v>1384</v>
      </c>
      <c r="V910" s="46" t="s">
        <v>1723</v>
      </c>
      <c r="W910" s="46" t="s">
        <v>1384</v>
      </c>
      <c r="X910" s="46" t="s">
        <v>1384</v>
      </c>
      <c r="Z910" s="326">
        <v>43</v>
      </c>
      <c r="AA910" s="326">
        <v>41</v>
      </c>
      <c r="AB910" s="28" t="s">
        <v>140</v>
      </c>
      <c r="AF910" s="28" t="s">
        <v>1290</v>
      </c>
      <c r="AG910" s="28" t="s">
        <v>1580</v>
      </c>
      <c r="AH910" s="138" t="s">
        <v>1586</v>
      </c>
      <c r="AI910" s="28" t="s">
        <v>133</v>
      </c>
      <c r="AJ910" s="141" t="s">
        <v>1617</v>
      </c>
      <c r="AK910" s="28" t="s">
        <v>638</v>
      </c>
      <c r="AL910" s="28" t="s">
        <v>638</v>
      </c>
      <c r="AM910" s="28" t="s">
        <v>178</v>
      </c>
      <c r="AT910" s="28" t="s">
        <v>120</v>
      </c>
      <c r="AU910" s="28">
        <v>4</v>
      </c>
      <c r="AW910" s="28" t="s">
        <v>336</v>
      </c>
      <c r="BM910" s="401"/>
      <c r="BN910" s="401"/>
      <c r="BR910" s="401">
        <v>1.95</v>
      </c>
      <c r="BS910" s="401">
        <v>1.9300000000000002</v>
      </c>
      <c r="BV910" s="28" t="s">
        <v>1678</v>
      </c>
      <c r="BW910" s="28">
        <f t="shared" ref="BW910" si="217">1.6*1000</f>
        <v>1600</v>
      </c>
      <c r="BX910" s="28">
        <v>1700</v>
      </c>
      <c r="CA910" s="28" t="s">
        <v>235</v>
      </c>
      <c r="CG910" s="28">
        <f t="shared" ref="CG910" si="218">0.69*390</f>
        <v>269.09999999999997</v>
      </c>
      <c r="CH910" s="28">
        <f t="shared" ref="CH910" si="219">0.65*390</f>
        <v>253.5</v>
      </c>
      <c r="CL910" s="28">
        <v>5.74</v>
      </c>
      <c r="CM910" s="28">
        <v>5.74</v>
      </c>
      <c r="CQ910" s="28">
        <v>26.32</v>
      </c>
      <c r="CR910" s="28">
        <v>27.04</v>
      </c>
      <c r="DA910" s="28">
        <v>11.82</v>
      </c>
      <c r="DB910" s="28">
        <v>11.63</v>
      </c>
      <c r="DE910" s="28" t="s">
        <v>642</v>
      </c>
      <c r="IO910" s="28" t="s">
        <v>660</v>
      </c>
      <c r="IP910" s="28" t="s">
        <v>1609</v>
      </c>
    </row>
    <row r="911" spans="1:250" s="28" customFormat="1" x14ac:dyDescent="0.25">
      <c r="A911" s="28">
        <v>44</v>
      </c>
      <c r="B911" s="28" t="s">
        <v>625</v>
      </c>
      <c r="C911" s="28" t="s">
        <v>626</v>
      </c>
      <c r="D911" s="28">
        <v>2000</v>
      </c>
      <c r="E911" s="28">
        <v>1996</v>
      </c>
      <c r="F911" s="28" t="s">
        <v>627</v>
      </c>
      <c r="G911" s="28" t="s">
        <v>631</v>
      </c>
      <c r="H911" s="32" t="s">
        <v>2831</v>
      </c>
      <c r="I911" s="28">
        <v>45.15</v>
      </c>
      <c r="J911" s="28">
        <v>-122.58</v>
      </c>
      <c r="K911" s="28">
        <v>112.8</v>
      </c>
      <c r="O911" s="28">
        <v>1040</v>
      </c>
      <c r="P911" s="28" t="s">
        <v>134</v>
      </c>
      <c r="Q911" s="46" t="s">
        <v>1856</v>
      </c>
      <c r="R911" s="46" t="s">
        <v>1856</v>
      </c>
      <c r="S911" s="46"/>
      <c r="T911" s="46" t="s">
        <v>1962</v>
      </c>
      <c r="U911" s="46" t="s">
        <v>1384</v>
      </c>
      <c r="V911" s="46" t="s">
        <v>1723</v>
      </c>
      <c r="W911" s="46" t="s">
        <v>1384</v>
      </c>
      <c r="X911" s="46" t="s">
        <v>1384</v>
      </c>
      <c r="Z911" s="326">
        <v>10</v>
      </c>
      <c r="AA911" s="326">
        <v>70</v>
      </c>
      <c r="AB911" s="28" t="s">
        <v>451</v>
      </c>
      <c r="AF911" s="28" t="s">
        <v>1290</v>
      </c>
      <c r="AG911" s="28" t="s">
        <v>521</v>
      </c>
      <c r="AH911" s="138" t="s">
        <v>1585</v>
      </c>
      <c r="AI911" s="28" t="s">
        <v>133</v>
      </c>
      <c r="AJ911" s="141" t="s">
        <v>1617</v>
      </c>
      <c r="AK911" s="28" t="s">
        <v>637</v>
      </c>
      <c r="AL911" s="28" t="s">
        <v>637</v>
      </c>
      <c r="AM911" s="28" t="s">
        <v>178</v>
      </c>
      <c r="AT911" s="28" t="s">
        <v>120</v>
      </c>
      <c r="AU911" s="28">
        <v>4</v>
      </c>
      <c r="AW911" s="28" t="s">
        <v>336</v>
      </c>
      <c r="BM911" s="401"/>
      <c r="BN911" s="401"/>
      <c r="BR911" s="401"/>
      <c r="BS911" s="401"/>
      <c r="IO911" s="28" t="s">
        <v>660</v>
      </c>
      <c r="IP911" s="28" t="s">
        <v>1609</v>
      </c>
    </row>
    <row r="912" spans="1:250" s="28" customFormat="1" x14ac:dyDescent="0.25">
      <c r="A912" s="28">
        <v>44</v>
      </c>
      <c r="B912" s="28" t="s">
        <v>625</v>
      </c>
      <c r="C912" s="28" t="s">
        <v>626</v>
      </c>
      <c r="D912" s="28">
        <v>2000</v>
      </c>
      <c r="E912" s="28">
        <v>1996</v>
      </c>
      <c r="F912" s="28" t="s">
        <v>627</v>
      </c>
      <c r="G912" s="28" t="s">
        <v>630</v>
      </c>
      <c r="H912" s="32" t="s">
        <v>2831</v>
      </c>
      <c r="I912" s="28">
        <v>45.11</v>
      </c>
      <c r="J912" s="28">
        <v>-122.9</v>
      </c>
      <c r="K912" s="28">
        <v>57.3</v>
      </c>
      <c r="O912" s="28">
        <v>1040</v>
      </c>
      <c r="P912" s="28" t="s">
        <v>134</v>
      </c>
      <c r="Q912" s="46" t="s">
        <v>1856</v>
      </c>
      <c r="R912" s="46" t="s">
        <v>1856</v>
      </c>
      <c r="S912" s="46"/>
      <c r="T912" s="46" t="s">
        <v>1962</v>
      </c>
      <c r="U912" s="46" t="s">
        <v>1384</v>
      </c>
      <c r="V912" s="46" t="s">
        <v>1723</v>
      </c>
      <c r="W912" s="46" t="s">
        <v>1384</v>
      </c>
      <c r="X912" s="46" t="s">
        <v>1384</v>
      </c>
      <c r="Z912" s="326">
        <v>9</v>
      </c>
      <c r="AA912" s="326">
        <v>70</v>
      </c>
      <c r="AB912" s="28" t="s">
        <v>451</v>
      </c>
      <c r="AF912" s="28" t="s">
        <v>1290</v>
      </c>
      <c r="AG912" s="28" t="s">
        <v>244</v>
      </c>
      <c r="AH912" s="138" t="s">
        <v>578</v>
      </c>
      <c r="AI912" s="28" t="s">
        <v>133</v>
      </c>
      <c r="AJ912" s="141" t="s">
        <v>1617</v>
      </c>
      <c r="AK912" s="28" t="s">
        <v>639</v>
      </c>
      <c r="AL912" s="28" t="s">
        <v>639</v>
      </c>
      <c r="AM912" s="28" t="s">
        <v>178</v>
      </c>
      <c r="AT912" s="28" t="s">
        <v>120</v>
      </c>
      <c r="AU912" s="28">
        <v>4</v>
      </c>
      <c r="AW912" s="28" t="s">
        <v>336</v>
      </c>
      <c r="BM912" s="401"/>
      <c r="BN912" s="401"/>
      <c r="BR912" s="401"/>
      <c r="BS912" s="401"/>
      <c r="IO912" s="28" t="s">
        <v>660</v>
      </c>
      <c r="IP912" s="28" t="s">
        <v>1609</v>
      </c>
    </row>
    <row r="913" spans="1:250" s="21" customFormat="1" x14ac:dyDescent="0.25">
      <c r="A913" s="21">
        <v>44</v>
      </c>
      <c r="B913" s="21" t="s">
        <v>625</v>
      </c>
      <c r="C913" s="21" t="s">
        <v>626</v>
      </c>
      <c r="D913" s="21">
        <v>2000</v>
      </c>
      <c r="E913" s="21">
        <v>1996</v>
      </c>
      <c r="F913" s="21" t="s">
        <v>627</v>
      </c>
      <c r="G913" s="21" t="s">
        <v>632</v>
      </c>
      <c r="H913" s="32" t="s">
        <v>2831</v>
      </c>
      <c r="I913" s="21">
        <v>45.231000000000002</v>
      </c>
      <c r="J913" s="21">
        <v>-122.756</v>
      </c>
      <c r="K913" s="21">
        <v>48.4</v>
      </c>
      <c r="O913" s="21">
        <v>1040</v>
      </c>
      <c r="P913" s="21" t="s">
        <v>134</v>
      </c>
      <c r="Q913" s="21">
        <v>8</v>
      </c>
      <c r="R913" s="21">
        <v>10</v>
      </c>
      <c r="T913" s="43" t="s">
        <v>1961</v>
      </c>
      <c r="U913" s="43" t="s">
        <v>1384</v>
      </c>
      <c r="V913" s="43" t="s">
        <v>1723</v>
      </c>
      <c r="W913" s="43" t="s">
        <v>1384</v>
      </c>
      <c r="X913" s="43" t="s">
        <v>1384</v>
      </c>
      <c r="Y913" s="43"/>
      <c r="Z913" s="322">
        <v>28</v>
      </c>
      <c r="AA913" s="322">
        <v>54</v>
      </c>
      <c r="AB913" s="21" t="s">
        <v>451</v>
      </c>
      <c r="AF913" s="21" t="s">
        <v>1290</v>
      </c>
      <c r="AG913" s="21" t="s">
        <v>1579</v>
      </c>
      <c r="AH913" s="138" t="s">
        <v>1586</v>
      </c>
      <c r="AI913" s="21" t="s">
        <v>635</v>
      </c>
      <c r="AJ913" s="141" t="s">
        <v>1617</v>
      </c>
      <c r="AK913" s="21" t="s">
        <v>640</v>
      </c>
      <c r="AL913" s="21" t="s">
        <v>640</v>
      </c>
      <c r="AM913" s="21" t="s">
        <v>178</v>
      </c>
      <c r="AT913" s="21" t="s">
        <v>120</v>
      </c>
      <c r="AU913" s="21">
        <v>4</v>
      </c>
      <c r="AW913" s="21" t="s">
        <v>336</v>
      </c>
      <c r="BM913" s="396"/>
      <c r="BN913" s="396"/>
      <c r="BR913" s="396">
        <v>1.8199999999999998</v>
      </c>
      <c r="BS913" s="396">
        <v>1.6</v>
      </c>
      <c r="BV913" s="21" t="s">
        <v>1678</v>
      </c>
      <c r="BW913" s="21">
        <v>1300</v>
      </c>
      <c r="BX913" s="21">
        <v>1200</v>
      </c>
      <c r="CA913" s="21" t="s">
        <v>235</v>
      </c>
      <c r="CG913" s="21">
        <f>0.45*390</f>
        <v>175.5</v>
      </c>
      <c r="CH913" s="21">
        <f>0.49*390</f>
        <v>191.1</v>
      </c>
      <c r="CK913" s="28"/>
      <c r="CL913" s="21">
        <v>5.3</v>
      </c>
      <c r="CM913" s="21">
        <v>4.9000000000000004</v>
      </c>
      <c r="CQ913" s="21">
        <v>23.4</v>
      </c>
      <c r="CR913" s="21">
        <v>22.96</v>
      </c>
      <c r="DA913" s="21">
        <v>6.3</v>
      </c>
      <c r="DB913" s="21">
        <v>7.55</v>
      </c>
      <c r="DE913" s="21" t="s">
        <v>642</v>
      </c>
      <c r="IO913" s="28" t="s">
        <v>660</v>
      </c>
      <c r="IP913" s="28" t="s">
        <v>1609</v>
      </c>
    </row>
    <row r="914" spans="1:250" s="21" customFormat="1" x14ac:dyDescent="0.25">
      <c r="A914" s="21">
        <v>44</v>
      </c>
      <c r="B914" s="21" t="s">
        <v>625</v>
      </c>
      <c r="C914" s="21" t="s">
        <v>626</v>
      </c>
      <c r="D914" s="21">
        <v>2000</v>
      </c>
      <c r="E914" s="21">
        <v>1996</v>
      </c>
      <c r="F914" s="21" t="s">
        <v>627</v>
      </c>
      <c r="G914" s="21" t="s">
        <v>633</v>
      </c>
      <c r="H914" s="32" t="s">
        <v>2831</v>
      </c>
      <c r="I914" s="21">
        <v>44.94</v>
      </c>
      <c r="J914" s="21">
        <v>-122.93</v>
      </c>
      <c r="K914" s="21">
        <v>66.5</v>
      </c>
      <c r="O914" s="21">
        <v>1040</v>
      </c>
      <c r="P914" s="21" t="s">
        <v>134</v>
      </c>
      <c r="Q914" s="43" t="s">
        <v>1963</v>
      </c>
      <c r="R914" s="43" t="s">
        <v>1938</v>
      </c>
      <c r="S914" s="43"/>
      <c r="T914" s="43" t="s">
        <v>1956</v>
      </c>
      <c r="U914" s="43" t="s">
        <v>1384</v>
      </c>
      <c r="V914" s="43" t="s">
        <v>1723</v>
      </c>
      <c r="W914" s="43" t="s">
        <v>1384</v>
      </c>
      <c r="X914" s="43" t="s">
        <v>1384</v>
      </c>
      <c r="Z914" s="322">
        <v>22</v>
      </c>
      <c r="AA914" s="322">
        <v>52</v>
      </c>
      <c r="AB914" s="21" t="s">
        <v>451</v>
      </c>
      <c r="AF914" s="21" t="s">
        <v>1290</v>
      </c>
      <c r="AG914" s="21" t="s">
        <v>636</v>
      </c>
      <c r="AH914" s="138" t="s">
        <v>636</v>
      </c>
      <c r="AI914" s="21" t="s">
        <v>133</v>
      </c>
      <c r="AJ914" s="141" t="s">
        <v>1617</v>
      </c>
      <c r="AK914" s="21" t="s">
        <v>641</v>
      </c>
      <c r="AL914" s="21" t="s">
        <v>641</v>
      </c>
      <c r="AM914" s="21" t="s">
        <v>178</v>
      </c>
      <c r="AT914" s="21" t="s">
        <v>120</v>
      </c>
      <c r="AU914" s="21">
        <v>4</v>
      </c>
      <c r="AW914" s="21" t="s">
        <v>336</v>
      </c>
      <c r="BM914" s="396"/>
      <c r="BN914" s="396"/>
      <c r="BR914" s="396">
        <v>1.53</v>
      </c>
      <c r="BS914" s="396">
        <v>1.7399999999999998</v>
      </c>
      <c r="BV914" s="21" t="s">
        <v>1678</v>
      </c>
      <c r="BW914" s="21">
        <v>1500</v>
      </c>
      <c r="BX914" s="21">
        <v>1400</v>
      </c>
      <c r="CA914" s="21" t="s">
        <v>235</v>
      </c>
      <c r="CG914" s="21">
        <f>0.6*390</f>
        <v>234</v>
      </c>
      <c r="CH914" s="21">
        <f>0.73*390</f>
        <v>284.7</v>
      </c>
      <c r="CK914" s="28"/>
      <c r="CL914" s="21">
        <v>5.53</v>
      </c>
      <c r="CM914" s="21">
        <v>5.5</v>
      </c>
      <c r="CQ914" s="21">
        <v>33.97</v>
      </c>
      <c r="CR914" s="21">
        <v>31.45</v>
      </c>
      <c r="DA914" s="21">
        <v>16.079999999999998</v>
      </c>
      <c r="DB914" s="21">
        <v>16.55</v>
      </c>
      <c r="DE914" s="21" t="s">
        <v>642</v>
      </c>
      <c r="IO914" s="28" t="s">
        <v>660</v>
      </c>
      <c r="IP914" s="28" t="s">
        <v>1609</v>
      </c>
    </row>
    <row r="915" spans="1:250" s="28" customFormat="1" x14ac:dyDescent="0.25">
      <c r="A915" s="28">
        <v>44</v>
      </c>
      <c r="B915" s="28" t="s">
        <v>625</v>
      </c>
      <c r="C915" s="28" t="s">
        <v>626</v>
      </c>
      <c r="D915" s="28">
        <v>2000</v>
      </c>
      <c r="E915" s="28">
        <v>1996</v>
      </c>
      <c r="F915" s="28" t="s">
        <v>627</v>
      </c>
      <c r="G915" s="28" t="s">
        <v>1610</v>
      </c>
      <c r="H915" s="32" t="s">
        <v>2831</v>
      </c>
      <c r="I915" s="28">
        <v>45.01</v>
      </c>
      <c r="J915" s="28">
        <v>-122.78</v>
      </c>
      <c r="K915" s="28">
        <v>78.5</v>
      </c>
      <c r="O915" s="28">
        <v>1040</v>
      </c>
      <c r="P915" s="28" t="s">
        <v>134</v>
      </c>
      <c r="Q915" s="46" t="s">
        <v>1729</v>
      </c>
      <c r="R915" s="46" t="s">
        <v>1729</v>
      </c>
      <c r="S915" s="46"/>
      <c r="T915" s="46" t="s">
        <v>656</v>
      </c>
      <c r="U915" s="46" t="s">
        <v>1384</v>
      </c>
      <c r="V915" s="46" t="s">
        <v>1723</v>
      </c>
      <c r="W915" s="46" t="s">
        <v>1384</v>
      </c>
      <c r="X915" s="46" t="s">
        <v>1384</v>
      </c>
      <c r="Z915" s="326">
        <v>7</v>
      </c>
      <c r="AA915" s="326">
        <v>67</v>
      </c>
      <c r="AB915" s="28" t="s">
        <v>548</v>
      </c>
      <c r="AF915" s="28" t="s">
        <v>1290</v>
      </c>
      <c r="AG915" s="28" t="s">
        <v>132</v>
      </c>
      <c r="AH915" s="138" t="s">
        <v>132</v>
      </c>
      <c r="AI915" s="28" t="s">
        <v>634</v>
      </c>
      <c r="AJ915" s="141" t="s">
        <v>1617</v>
      </c>
      <c r="AK915" s="28" t="s">
        <v>637</v>
      </c>
      <c r="AL915" s="28" t="s">
        <v>637</v>
      </c>
      <c r="AM915" s="28" t="s">
        <v>178</v>
      </c>
      <c r="AT915" s="28" t="s">
        <v>120</v>
      </c>
      <c r="AU915" s="28">
        <v>4</v>
      </c>
      <c r="AW915" s="28" t="s">
        <v>336</v>
      </c>
      <c r="BM915" s="401"/>
      <c r="BN915" s="401"/>
      <c r="BR915" s="401"/>
      <c r="BS915" s="401"/>
      <c r="GM915" s="28">
        <v>102.23</v>
      </c>
      <c r="GN915" s="28">
        <v>102.23</v>
      </c>
      <c r="GQ915" s="28" t="s">
        <v>623</v>
      </c>
      <c r="IA915" s="28">
        <v>119.18</v>
      </c>
      <c r="IB915" s="28">
        <v>119.18</v>
      </c>
      <c r="IO915" s="28" t="s">
        <v>660</v>
      </c>
      <c r="IP915" s="28" t="s">
        <v>1609</v>
      </c>
    </row>
    <row r="916" spans="1:250" s="28" customFormat="1" x14ac:dyDescent="0.25">
      <c r="A916" s="28">
        <v>44</v>
      </c>
      <c r="B916" s="28" t="s">
        <v>625</v>
      </c>
      <c r="C916" s="28" t="s">
        <v>626</v>
      </c>
      <c r="D916" s="28">
        <v>2000</v>
      </c>
      <c r="E916" s="28">
        <v>1997</v>
      </c>
      <c r="F916" s="28" t="s">
        <v>627</v>
      </c>
      <c r="G916" s="28" t="s">
        <v>1610</v>
      </c>
      <c r="H916" s="32" t="s">
        <v>2831</v>
      </c>
      <c r="I916" s="28">
        <v>45.01</v>
      </c>
      <c r="J916" s="28">
        <v>-122.78</v>
      </c>
      <c r="K916" s="28">
        <v>78.5</v>
      </c>
      <c r="O916" s="28">
        <v>1040</v>
      </c>
      <c r="P916" s="28" t="s">
        <v>134</v>
      </c>
      <c r="Q916" s="46" t="s">
        <v>1852</v>
      </c>
      <c r="R916" s="46" t="s">
        <v>1729</v>
      </c>
      <c r="S916" s="46"/>
      <c r="T916" s="46" t="s">
        <v>657</v>
      </c>
      <c r="U916" s="46" t="s">
        <v>1384</v>
      </c>
      <c r="V916" s="46" t="s">
        <v>1723</v>
      </c>
      <c r="W916" s="46" t="s">
        <v>1384</v>
      </c>
      <c r="X916" s="46" t="s">
        <v>1384</v>
      </c>
      <c r="Z916" s="326">
        <v>7</v>
      </c>
      <c r="AA916" s="326">
        <v>67</v>
      </c>
      <c r="AB916" s="28" t="s">
        <v>548</v>
      </c>
      <c r="AF916" s="28" t="s">
        <v>1290</v>
      </c>
      <c r="AG916" s="28" t="s">
        <v>132</v>
      </c>
      <c r="AH916" s="138" t="s">
        <v>132</v>
      </c>
      <c r="AI916" s="28" t="s">
        <v>634</v>
      </c>
      <c r="AJ916" s="141" t="s">
        <v>1617</v>
      </c>
      <c r="AK916" s="28" t="s">
        <v>637</v>
      </c>
      <c r="AL916" s="28" t="s">
        <v>637</v>
      </c>
      <c r="AM916" s="28" t="s">
        <v>178</v>
      </c>
      <c r="AT916" s="28" t="s">
        <v>120</v>
      </c>
      <c r="AU916" s="28">
        <v>4</v>
      </c>
      <c r="AW916" s="28" t="s">
        <v>336</v>
      </c>
      <c r="BM916" s="401"/>
      <c r="BN916" s="401"/>
      <c r="BR916" s="401"/>
      <c r="BS916" s="401"/>
      <c r="GM916" s="28">
        <v>125.4</v>
      </c>
      <c r="GN916" s="28">
        <v>148.54</v>
      </c>
      <c r="GQ916" s="28" t="s">
        <v>623</v>
      </c>
      <c r="IA916" s="28">
        <v>177</v>
      </c>
      <c r="IB916" s="28">
        <v>213.62</v>
      </c>
      <c r="IO916" s="28" t="s">
        <v>660</v>
      </c>
      <c r="IP916" s="28" t="s">
        <v>1609</v>
      </c>
    </row>
    <row r="917" spans="1:250" s="28" customFormat="1" x14ac:dyDescent="0.25">
      <c r="A917" s="28">
        <v>44</v>
      </c>
      <c r="B917" s="28" t="s">
        <v>625</v>
      </c>
      <c r="C917" s="28" t="s">
        <v>626</v>
      </c>
      <c r="D917" s="28">
        <v>2000</v>
      </c>
      <c r="E917" s="28">
        <v>1997</v>
      </c>
      <c r="F917" s="28" t="s">
        <v>627</v>
      </c>
      <c r="G917" s="28" t="s">
        <v>1610</v>
      </c>
      <c r="H917" s="32" t="s">
        <v>2831</v>
      </c>
      <c r="I917" s="28">
        <v>45.01</v>
      </c>
      <c r="J917" s="28">
        <v>-122.78</v>
      </c>
      <c r="K917" s="28">
        <v>78.5</v>
      </c>
      <c r="O917" s="28">
        <v>1040</v>
      </c>
      <c r="P917" s="28" t="s">
        <v>134</v>
      </c>
      <c r="Q917" s="46" t="s">
        <v>1852</v>
      </c>
      <c r="R917" s="46" t="s">
        <v>1729</v>
      </c>
      <c r="S917" s="46"/>
      <c r="T917" s="46" t="s">
        <v>656</v>
      </c>
      <c r="U917" s="46" t="s">
        <v>1384</v>
      </c>
      <c r="V917" s="46" t="s">
        <v>1723</v>
      </c>
      <c r="W917" s="46" t="s">
        <v>1384</v>
      </c>
      <c r="X917" s="46" t="s">
        <v>1384</v>
      </c>
      <c r="Z917" s="326">
        <v>7</v>
      </c>
      <c r="AA917" s="326">
        <v>67</v>
      </c>
      <c r="AB917" s="28" t="s">
        <v>548</v>
      </c>
      <c r="AF917" s="28" t="s">
        <v>1290</v>
      </c>
      <c r="AG917" s="28" t="s">
        <v>132</v>
      </c>
      <c r="AH917" s="138" t="s">
        <v>132</v>
      </c>
      <c r="AI917" s="28" t="s">
        <v>634</v>
      </c>
      <c r="AJ917" s="141" t="s">
        <v>1617</v>
      </c>
      <c r="AK917" s="28" t="s">
        <v>637</v>
      </c>
      <c r="AL917" s="28" t="s">
        <v>637</v>
      </c>
      <c r="AM917" s="28" t="s">
        <v>178</v>
      </c>
      <c r="AT917" s="28" t="s">
        <v>120</v>
      </c>
      <c r="AU917" s="28">
        <v>4</v>
      </c>
      <c r="AW917" s="28" t="s">
        <v>336</v>
      </c>
      <c r="BM917" s="401"/>
      <c r="BN917" s="401"/>
      <c r="BR917" s="401"/>
      <c r="BS917" s="401"/>
      <c r="GM917" s="28">
        <v>125.85</v>
      </c>
      <c r="GN917" s="28">
        <v>129.63</v>
      </c>
      <c r="GQ917" s="28" t="s">
        <v>623</v>
      </c>
      <c r="IA917" s="28">
        <v>137.91</v>
      </c>
      <c r="IB917" s="28">
        <v>193.93</v>
      </c>
      <c r="IO917" s="28" t="s">
        <v>660</v>
      </c>
      <c r="IP917" s="28" t="s">
        <v>1609</v>
      </c>
    </row>
    <row r="918" spans="1:250" s="28" customFormat="1" x14ac:dyDescent="0.25">
      <c r="A918" s="28">
        <v>44</v>
      </c>
      <c r="B918" s="28" t="s">
        <v>625</v>
      </c>
      <c r="C918" s="28" t="s">
        <v>626</v>
      </c>
      <c r="D918" s="28">
        <v>2000</v>
      </c>
      <c r="E918" s="28">
        <v>1997</v>
      </c>
      <c r="F918" s="28" t="s">
        <v>627</v>
      </c>
      <c r="G918" s="28" t="s">
        <v>1610</v>
      </c>
      <c r="H918" s="32" t="s">
        <v>2831</v>
      </c>
      <c r="I918" s="28">
        <v>45.01</v>
      </c>
      <c r="J918" s="28">
        <v>-122.78</v>
      </c>
      <c r="K918" s="28">
        <v>78.5</v>
      </c>
      <c r="O918" s="28">
        <v>1040</v>
      </c>
      <c r="P918" s="28" t="s">
        <v>134</v>
      </c>
      <c r="Q918" s="46" t="s">
        <v>1852</v>
      </c>
      <c r="R918" s="46" t="s">
        <v>1729</v>
      </c>
      <c r="S918" s="46"/>
      <c r="T918" s="46" t="s">
        <v>658</v>
      </c>
      <c r="U918" s="46" t="s">
        <v>1384</v>
      </c>
      <c r="V918" s="46" t="s">
        <v>1723</v>
      </c>
      <c r="W918" s="46" t="s">
        <v>1384</v>
      </c>
      <c r="X918" s="46" t="s">
        <v>1384</v>
      </c>
      <c r="Z918" s="326">
        <v>7</v>
      </c>
      <c r="AA918" s="326">
        <v>67</v>
      </c>
      <c r="AB918" s="28" t="s">
        <v>548</v>
      </c>
      <c r="AF918" s="28" t="s">
        <v>1290</v>
      </c>
      <c r="AG918" s="28" t="s">
        <v>132</v>
      </c>
      <c r="AH918" s="138" t="s">
        <v>132</v>
      </c>
      <c r="AI918" s="28" t="s">
        <v>634</v>
      </c>
      <c r="AJ918" s="141" t="s">
        <v>1617</v>
      </c>
      <c r="AK918" s="28" t="s">
        <v>637</v>
      </c>
      <c r="AL918" s="28" t="s">
        <v>637</v>
      </c>
      <c r="AM918" s="28" t="s">
        <v>178</v>
      </c>
      <c r="AT918" s="28" t="s">
        <v>120</v>
      </c>
      <c r="AU918" s="28">
        <v>4</v>
      </c>
      <c r="AW918" s="28" t="s">
        <v>336</v>
      </c>
      <c r="BM918" s="401"/>
      <c r="BN918" s="401"/>
      <c r="BR918" s="401"/>
      <c r="BS918" s="401"/>
      <c r="GM918" s="28">
        <v>127.98</v>
      </c>
      <c r="GN918" s="28">
        <v>133.03</v>
      </c>
      <c r="GQ918" s="28" t="s">
        <v>623</v>
      </c>
      <c r="IA918" s="28">
        <v>182.81</v>
      </c>
      <c r="IB918" s="28">
        <v>225.86</v>
      </c>
      <c r="IO918" s="28" t="s">
        <v>660</v>
      </c>
      <c r="IP918" s="28" t="s">
        <v>1609</v>
      </c>
    </row>
    <row r="919" spans="1:250" s="28" customFormat="1" x14ac:dyDescent="0.25">
      <c r="A919" s="28">
        <v>44</v>
      </c>
      <c r="B919" s="28" t="s">
        <v>625</v>
      </c>
      <c r="C919" s="28" t="s">
        <v>626</v>
      </c>
      <c r="D919" s="28">
        <v>2000</v>
      </c>
      <c r="E919" s="28">
        <v>1998</v>
      </c>
      <c r="F919" s="28" t="s">
        <v>627</v>
      </c>
      <c r="G919" s="28" t="s">
        <v>1610</v>
      </c>
      <c r="H919" s="32" t="s">
        <v>2831</v>
      </c>
      <c r="I919" s="28">
        <v>45.01</v>
      </c>
      <c r="J919" s="28">
        <v>-122.78</v>
      </c>
      <c r="K919" s="28">
        <v>78.5</v>
      </c>
      <c r="O919" s="28">
        <v>1040</v>
      </c>
      <c r="P919" s="28" t="s">
        <v>134</v>
      </c>
      <c r="Q919" s="46" t="s">
        <v>1741</v>
      </c>
      <c r="R919" s="46" t="s">
        <v>1729</v>
      </c>
      <c r="S919" s="46"/>
      <c r="T919" s="46" t="s">
        <v>657</v>
      </c>
      <c r="U919" s="46" t="s">
        <v>1384</v>
      </c>
      <c r="V919" s="46" t="s">
        <v>1723</v>
      </c>
      <c r="W919" s="46" t="s">
        <v>1384</v>
      </c>
      <c r="X919" s="46" t="s">
        <v>1384</v>
      </c>
      <c r="Z919" s="326">
        <v>7</v>
      </c>
      <c r="AA919" s="326">
        <v>67</v>
      </c>
      <c r="AB919" s="28" t="s">
        <v>548</v>
      </c>
      <c r="AF919" s="28" t="s">
        <v>1290</v>
      </c>
      <c r="AG919" s="28" t="s">
        <v>132</v>
      </c>
      <c r="AH919" s="138" t="s">
        <v>132</v>
      </c>
      <c r="AI919" s="28" t="s">
        <v>634</v>
      </c>
      <c r="AJ919" s="141" t="s">
        <v>1617</v>
      </c>
      <c r="AK919" s="28" t="s">
        <v>637</v>
      </c>
      <c r="AL919" s="28" t="s">
        <v>637</v>
      </c>
      <c r="AM919" s="28" t="s">
        <v>178</v>
      </c>
      <c r="AT919" s="28" t="s">
        <v>120</v>
      </c>
      <c r="AU919" s="28">
        <v>4</v>
      </c>
      <c r="AW919" s="28" t="s">
        <v>336</v>
      </c>
      <c r="BM919" s="401"/>
      <c r="BN919" s="401"/>
      <c r="BR919" s="401"/>
      <c r="BS919" s="401"/>
      <c r="GM919" s="28">
        <v>136.43</v>
      </c>
      <c r="GN919" s="28">
        <v>146.94</v>
      </c>
      <c r="GQ919" s="28" t="s">
        <v>623</v>
      </c>
      <c r="IA919" s="28">
        <v>257.87</v>
      </c>
      <c r="IB919" s="28">
        <v>296.64</v>
      </c>
      <c r="IO919" s="28" t="s">
        <v>660</v>
      </c>
      <c r="IP919" s="28" t="s">
        <v>1609</v>
      </c>
    </row>
    <row r="920" spans="1:250" s="28" customFormat="1" x14ac:dyDescent="0.25">
      <c r="A920" s="28">
        <v>44</v>
      </c>
      <c r="B920" s="28" t="s">
        <v>625</v>
      </c>
      <c r="C920" s="28" t="s">
        <v>626</v>
      </c>
      <c r="D920" s="28">
        <v>2000</v>
      </c>
      <c r="E920" s="28">
        <v>1998</v>
      </c>
      <c r="F920" s="28" t="s">
        <v>627</v>
      </c>
      <c r="G920" s="28" t="s">
        <v>1610</v>
      </c>
      <c r="H920" s="32" t="s">
        <v>2831</v>
      </c>
      <c r="I920" s="28">
        <v>45.01</v>
      </c>
      <c r="J920" s="28">
        <v>-122.78</v>
      </c>
      <c r="K920" s="28">
        <v>78.5</v>
      </c>
      <c r="O920" s="28">
        <v>1040</v>
      </c>
      <c r="P920" s="28" t="s">
        <v>134</v>
      </c>
      <c r="Q920" s="46" t="s">
        <v>1741</v>
      </c>
      <c r="R920" s="46" t="s">
        <v>1729</v>
      </c>
      <c r="S920" s="46"/>
      <c r="T920" s="46" t="s">
        <v>656</v>
      </c>
      <c r="U920" s="46" t="s">
        <v>1384</v>
      </c>
      <c r="V920" s="46" t="s">
        <v>1723</v>
      </c>
      <c r="W920" s="46" t="s">
        <v>1384</v>
      </c>
      <c r="X920" s="46" t="s">
        <v>1384</v>
      </c>
      <c r="Z920" s="326">
        <v>7</v>
      </c>
      <c r="AA920" s="326">
        <v>67</v>
      </c>
      <c r="AB920" s="28" t="s">
        <v>548</v>
      </c>
      <c r="AF920" s="28" t="s">
        <v>1290</v>
      </c>
      <c r="AG920" s="28" t="s">
        <v>132</v>
      </c>
      <c r="AH920" s="138" t="s">
        <v>132</v>
      </c>
      <c r="AI920" s="28" t="s">
        <v>634</v>
      </c>
      <c r="AJ920" s="141" t="s">
        <v>1617</v>
      </c>
      <c r="AK920" s="28" t="s">
        <v>637</v>
      </c>
      <c r="AL920" s="28" t="s">
        <v>637</v>
      </c>
      <c r="AM920" s="28" t="s">
        <v>178</v>
      </c>
      <c r="AT920" s="28" t="s">
        <v>120</v>
      </c>
      <c r="AU920" s="28">
        <v>4</v>
      </c>
      <c r="AW920" s="28" t="s">
        <v>336</v>
      </c>
      <c r="BM920" s="401"/>
      <c r="BN920" s="401"/>
      <c r="BR920" s="401"/>
      <c r="BS920" s="401"/>
      <c r="GM920" s="28">
        <v>81.77</v>
      </c>
      <c r="GN920" s="28">
        <v>105.75</v>
      </c>
      <c r="GQ920" s="28" t="s">
        <v>623</v>
      </c>
      <c r="IA920" s="28">
        <v>119.67</v>
      </c>
      <c r="IB920" s="28">
        <v>158.43</v>
      </c>
      <c r="IO920" s="28" t="s">
        <v>660</v>
      </c>
      <c r="IP920" s="28" t="s">
        <v>1609</v>
      </c>
    </row>
    <row r="921" spans="1:250" s="28" customFormat="1" x14ac:dyDescent="0.25">
      <c r="A921" s="28">
        <v>44</v>
      </c>
      <c r="B921" s="28" t="s">
        <v>625</v>
      </c>
      <c r="C921" s="28" t="s">
        <v>626</v>
      </c>
      <c r="D921" s="28">
        <v>2000</v>
      </c>
      <c r="E921" s="28">
        <v>1998</v>
      </c>
      <c r="F921" s="28" t="s">
        <v>627</v>
      </c>
      <c r="G921" s="28" t="s">
        <v>1610</v>
      </c>
      <c r="H921" s="32" t="s">
        <v>2831</v>
      </c>
      <c r="I921" s="28">
        <v>45.01</v>
      </c>
      <c r="J921" s="28">
        <v>-122.78</v>
      </c>
      <c r="K921" s="28">
        <v>78.5</v>
      </c>
      <c r="O921" s="28">
        <v>1040</v>
      </c>
      <c r="P921" s="28" t="s">
        <v>134</v>
      </c>
      <c r="Q921" s="46" t="s">
        <v>1741</v>
      </c>
      <c r="R921" s="46" t="s">
        <v>1729</v>
      </c>
      <c r="S921" s="46"/>
      <c r="T921" s="46" t="s">
        <v>658</v>
      </c>
      <c r="U921" s="46" t="s">
        <v>1384</v>
      </c>
      <c r="V921" s="46" t="s">
        <v>1723</v>
      </c>
      <c r="W921" s="46" t="s">
        <v>1384</v>
      </c>
      <c r="X921" s="46" t="s">
        <v>1384</v>
      </c>
      <c r="Z921" s="326">
        <v>7</v>
      </c>
      <c r="AA921" s="326">
        <v>67</v>
      </c>
      <c r="AB921" s="28" t="s">
        <v>548</v>
      </c>
      <c r="AF921" s="28" t="s">
        <v>1290</v>
      </c>
      <c r="AG921" s="28" t="s">
        <v>132</v>
      </c>
      <c r="AH921" s="138" t="s">
        <v>132</v>
      </c>
      <c r="AI921" s="28" t="s">
        <v>634</v>
      </c>
      <c r="AJ921" s="141" t="s">
        <v>1617</v>
      </c>
      <c r="AK921" s="28" t="s">
        <v>637</v>
      </c>
      <c r="AL921" s="28" t="s">
        <v>637</v>
      </c>
      <c r="AM921" s="28" t="s">
        <v>178</v>
      </c>
      <c r="AT921" s="28" t="s">
        <v>120</v>
      </c>
      <c r="AU921" s="28">
        <v>4</v>
      </c>
      <c r="AW921" s="28" t="s">
        <v>336</v>
      </c>
      <c r="BM921" s="401"/>
      <c r="BN921" s="401"/>
      <c r="BR921" s="401"/>
      <c r="BS921" s="401"/>
      <c r="GM921" s="28">
        <v>82.63</v>
      </c>
      <c r="GN921" s="28">
        <v>101.57</v>
      </c>
      <c r="GQ921" s="28" t="s">
        <v>623</v>
      </c>
      <c r="IA921" s="28">
        <v>125.77</v>
      </c>
      <c r="IB921" s="28">
        <v>173.19</v>
      </c>
      <c r="IO921" s="28" t="s">
        <v>660</v>
      </c>
      <c r="IP921" s="28" t="s">
        <v>1609</v>
      </c>
    </row>
    <row r="922" spans="1:250" s="21" customFormat="1" x14ac:dyDescent="0.25">
      <c r="A922" s="21">
        <v>44</v>
      </c>
      <c r="B922" s="21" t="s">
        <v>625</v>
      </c>
      <c r="C922" s="21" t="s">
        <v>626</v>
      </c>
      <c r="D922" s="21">
        <v>2000</v>
      </c>
      <c r="E922" s="21">
        <v>1996</v>
      </c>
      <c r="F922" s="21" t="s">
        <v>627</v>
      </c>
      <c r="G922" s="21" t="s">
        <v>632</v>
      </c>
      <c r="H922" s="32" t="s">
        <v>2831</v>
      </c>
      <c r="I922" s="21">
        <v>45.231000000000002</v>
      </c>
      <c r="J922" s="21">
        <v>-122.756</v>
      </c>
      <c r="K922" s="21">
        <v>48.4</v>
      </c>
      <c r="O922" s="21">
        <v>1040</v>
      </c>
      <c r="P922" s="21" t="s">
        <v>134</v>
      </c>
      <c r="Q922" s="21">
        <v>8</v>
      </c>
      <c r="R922" s="21">
        <v>10</v>
      </c>
      <c r="T922" s="43" t="s">
        <v>1957</v>
      </c>
      <c r="U922" s="43" t="s">
        <v>1384</v>
      </c>
      <c r="V922" s="43" t="s">
        <v>1723</v>
      </c>
      <c r="W922" s="43" t="s">
        <v>1384</v>
      </c>
      <c r="X922" s="43" t="s">
        <v>1384</v>
      </c>
      <c r="Y922" s="43"/>
      <c r="Z922" s="322">
        <v>28</v>
      </c>
      <c r="AA922" s="322">
        <v>54</v>
      </c>
      <c r="AB922" s="21" t="s">
        <v>451</v>
      </c>
      <c r="AF922" s="21" t="s">
        <v>1290</v>
      </c>
      <c r="AG922" s="21" t="s">
        <v>792</v>
      </c>
      <c r="AH922" s="138" t="s">
        <v>1585</v>
      </c>
      <c r="AI922" s="21" t="s">
        <v>635</v>
      </c>
      <c r="AJ922" s="141" t="s">
        <v>1617</v>
      </c>
      <c r="AK922" s="21" t="s">
        <v>640</v>
      </c>
      <c r="AL922" s="21" t="s">
        <v>640</v>
      </c>
      <c r="AM922" s="21" t="s">
        <v>178</v>
      </c>
      <c r="AT922" s="21" t="s">
        <v>120</v>
      </c>
      <c r="AU922" s="21">
        <v>4</v>
      </c>
      <c r="AW922" s="21" t="s">
        <v>336</v>
      </c>
      <c r="BM922" s="396"/>
      <c r="BN922" s="396"/>
      <c r="BR922" s="396"/>
      <c r="BS922" s="396"/>
      <c r="CK922" s="28"/>
      <c r="GM922" s="21">
        <v>54.72</v>
      </c>
      <c r="GN922" s="21">
        <v>63.83</v>
      </c>
      <c r="GQ922" s="21" t="s">
        <v>623</v>
      </c>
      <c r="IA922" s="21">
        <v>58.24</v>
      </c>
      <c r="IB922" s="21">
        <v>65.680000000000007</v>
      </c>
      <c r="IO922" s="28" t="s">
        <v>660</v>
      </c>
      <c r="IP922" s="28" t="s">
        <v>1609</v>
      </c>
    </row>
    <row r="923" spans="1:250" s="21" customFormat="1" x14ac:dyDescent="0.25">
      <c r="A923" s="21">
        <v>44</v>
      </c>
      <c r="B923" s="21" t="s">
        <v>625</v>
      </c>
      <c r="C923" s="21" t="s">
        <v>626</v>
      </c>
      <c r="D923" s="21">
        <v>2000</v>
      </c>
      <c r="E923" s="21">
        <v>1997</v>
      </c>
      <c r="F923" s="21" t="s">
        <v>627</v>
      </c>
      <c r="G923" s="21" t="s">
        <v>632</v>
      </c>
      <c r="H923" s="32" t="s">
        <v>2831</v>
      </c>
      <c r="I923" s="21">
        <v>45.231000000000002</v>
      </c>
      <c r="J923" s="21">
        <v>-122.756</v>
      </c>
      <c r="K923" s="21">
        <v>48.4</v>
      </c>
      <c r="O923" s="21">
        <v>1040</v>
      </c>
      <c r="P923" s="21" t="s">
        <v>134</v>
      </c>
      <c r="Q923" s="21">
        <v>9</v>
      </c>
      <c r="R923" s="21">
        <v>10</v>
      </c>
      <c r="T923" s="43" t="s">
        <v>1958</v>
      </c>
      <c r="U923" s="43" t="s">
        <v>1384</v>
      </c>
      <c r="V923" s="43" t="s">
        <v>1723</v>
      </c>
      <c r="W923" s="43" t="s">
        <v>1384</v>
      </c>
      <c r="X923" s="43" t="s">
        <v>1384</v>
      </c>
      <c r="Y923" s="43"/>
      <c r="Z923" s="322">
        <v>28</v>
      </c>
      <c r="AA923" s="322">
        <v>54</v>
      </c>
      <c r="AB923" s="21" t="s">
        <v>451</v>
      </c>
      <c r="AF923" s="21" t="s">
        <v>1290</v>
      </c>
      <c r="AG923" s="21" t="s">
        <v>792</v>
      </c>
      <c r="AH923" s="138" t="s">
        <v>1585</v>
      </c>
      <c r="AI923" s="21" t="s">
        <v>635</v>
      </c>
      <c r="AJ923" s="141" t="s">
        <v>1617</v>
      </c>
      <c r="AK923" s="21" t="s">
        <v>640</v>
      </c>
      <c r="AL923" s="21" t="s">
        <v>640</v>
      </c>
      <c r="AM923" s="21" t="s">
        <v>178</v>
      </c>
      <c r="AT923" s="21" t="s">
        <v>120</v>
      </c>
      <c r="AU923" s="21">
        <v>4</v>
      </c>
      <c r="AW923" s="21" t="s">
        <v>336</v>
      </c>
      <c r="BM923" s="396"/>
      <c r="BN923" s="396"/>
      <c r="BR923" s="396"/>
      <c r="BS923" s="396"/>
      <c r="CK923" s="28"/>
      <c r="GM923" s="21">
        <v>103.23</v>
      </c>
      <c r="GN923" s="21">
        <v>85.85</v>
      </c>
      <c r="GQ923" s="21" t="s">
        <v>623</v>
      </c>
      <c r="IA923" s="21">
        <v>129.22999999999999</v>
      </c>
      <c r="IB923" s="21">
        <v>84.61</v>
      </c>
      <c r="IO923" s="28" t="s">
        <v>660</v>
      </c>
      <c r="IP923" s="28" t="s">
        <v>1609</v>
      </c>
    </row>
    <row r="924" spans="1:250" s="21" customFormat="1" x14ac:dyDescent="0.25">
      <c r="A924" s="21">
        <v>44</v>
      </c>
      <c r="B924" s="21" t="s">
        <v>625</v>
      </c>
      <c r="C924" s="21" t="s">
        <v>626</v>
      </c>
      <c r="D924" s="21">
        <v>2000</v>
      </c>
      <c r="E924" s="21">
        <v>1997</v>
      </c>
      <c r="F924" s="21" t="s">
        <v>627</v>
      </c>
      <c r="G924" s="21" t="s">
        <v>632</v>
      </c>
      <c r="H924" s="32" t="s">
        <v>2831</v>
      </c>
      <c r="I924" s="21">
        <v>45.231000000000002</v>
      </c>
      <c r="J924" s="21">
        <v>-122.756</v>
      </c>
      <c r="K924" s="21">
        <v>48.4</v>
      </c>
      <c r="O924" s="21">
        <v>1040</v>
      </c>
      <c r="P924" s="21" t="s">
        <v>134</v>
      </c>
      <c r="Q924" s="21">
        <v>9</v>
      </c>
      <c r="R924" s="21">
        <v>10</v>
      </c>
      <c r="T924" s="43" t="s">
        <v>1959</v>
      </c>
      <c r="U924" s="43" t="s">
        <v>1384</v>
      </c>
      <c r="V924" s="43" t="s">
        <v>1723</v>
      </c>
      <c r="W924" s="43" t="s">
        <v>1384</v>
      </c>
      <c r="X924" s="43" t="s">
        <v>1384</v>
      </c>
      <c r="Y924" s="43"/>
      <c r="Z924" s="322">
        <v>28</v>
      </c>
      <c r="AA924" s="322">
        <v>54</v>
      </c>
      <c r="AB924" s="21" t="s">
        <v>451</v>
      </c>
      <c r="AF924" s="21" t="s">
        <v>1290</v>
      </c>
      <c r="AG924" s="21" t="s">
        <v>792</v>
      </c>
      <c r="AH924" s="138" t="s">
        <v>1585</v>
      </c>
      <c r="AI924" s="21" t="s">
        <v>635</v>
      </c>
      <c r="AJ924" s="141" t="s">
        <v>1617</v>
      </c>
      <c r="AK924" s="21" t="s">
        <v>640</v>
      </c>
      <c r="AL924" s="21" t="s">
        <v>640</v>
      </c>
      <c r="AM924" s="21" t="s">
        <v>178</v>
      </c>
      <c r="AT924" s="21" t="s">
        <v>120</v>
      </c>
      <c r="AU924" s="21">
        <v>4</v>
      </c>
      <c r="AW924" s="21" t="s">
        <v>336</v>
      </c>
      <c r="BM924" s="396"/>
      <c r="BN924" s="396"/>
      <c r="BR924" s="396"/>
      <c r="BS924" s="396"/>
      <c r="CK924" s="28"/>
      <c r="GM924" s="21">
        <v>57.78</v>
      </c>
      <c r="GN924" s="21">
        <v>58.6</v>
      </c>
      <c r="GQ924" s="21" t="s">
        <v>623</v>
      </c>
      <c r="IA924" s="21">
        <v>70.59</v>
      </c>
      <c r="IB924" s="21">
        <v>48.29</v>
      </c>
      <c r="IO924" s="28" t="s">
        <v>660</v>
      </c>
      <c r="IP924" s="28" t="s">
        <v>1609</v>
      </c>
    </row>
    <row r="925" spans="1:250" s="21" customFormat="1" x14ac:dyDescent="0.25">
      <c r="A925" s="21">
        <v>44</v>
      </c>
      <c r="B925" s="21" t="s">
        <v>625</v>
      </c>
      <c r="C925" s="21" t="s">
        <v>626</v>
      </c>
      <c r="D925" s="21">
        <v>2000</v>
      </c>
      <c r="E925" s="21">
        <v>1997</v>
      </c>
      <c r="F925" s="21" t="s">
        <v>627</v>
      </c>
      <c r="G925" s="21" t="s">
        <v>632</v>
      </c>
      <c r="H925" s="32" t="s">
        <v>2831</v>
      </c>
      <c r="I925" s="21">
        <v>45.231000000000002</v>
      </c>
      <c r="J925" s="21">
        <v>-122.756</v>
      </c>
      <c r="K925" s="21">
        <v>48.4</v>
      </c>
      <c r="O925" s="21">
        <v>1040</v>
      </c>
      <c r="P925" s="21" t="s">
        <v>134</v>
      </c>
      <c r="Q925" s="21">
        <v>9</v>
      </c>
      <c r="R925" s="21">
        <v>10</v>
      </c>
      <c r="T925" s="43" t="s">
        <v>1960</v>
      </c>
      <c r="U925" s="43" t="s">
        <v>1384</v>
      </c>
      <c r="V925" s="43" t="s">
        <v>1723</v>
      </c>
      <c r="W925" s="43" t="s">
        <v>1384</v>
      </c>
      <c r="X925" s="43" t="s">
        <v>1384</v>
      </c>
      <c r="Y925" s="43"/>
      <c r="Z925" s="322">
        <v>28</v>
      </c>
      <c r="AA925" s="322">
        <v>54</v>
      </c>
      <c r="AB925" s="21" t="s">
        <v>451</v>
      </c>
      <c r="AF925" s="21" t="s">
        <v>1290</v>
      </c>
      <c r="AG925" s="21" t="s">
        <v>792</v>
      </c>
      <c r="AH925" s="138" t="s">
        <v>1585</v>
      </c>
      <c r="AI925" s="21" t="s">
        <v>635</v>
      </c>
      <c r="AJ925" s="141" t="s">
        <v>1617</v>
      </c>
      <c r="AK925" s="21" t="s">
        <v>640</v>
      </c>
      <c r="AL925" s="21" t="s">
        <v>640</v>
      </c>
      <c r="AM925" s="21" t="s">
        <v>178</v>
      </c>
      <c r="AT925" s="21" t="s">
        <v>120</v>
      </c>
      <c r="AU925" s="21">
        <v>4</v>
      </c>
      <c r="AW925" s="21" t="s">
        <v>336</v>
      </c>
      <c r="BM925" s="396"/>
      <c r="BN925" s="396"/>
      <c r="BR925" s="396"/>
      <c r="BS925" s="396"/>
      <c r="CK925" s="28"/>
      <c r="GM925" s="21">
        <v>61.58</v>
      </c>
      <c r="GN925" s="21">
        <v>65.72</v>
      </c>
      <c r="GQ925" s="21" t="s">
        <v>623</v>
      </c>
      <c r="IA925" s="21">
        <v>85.28</v>
      </c>
      <c r="IB925" s="21">
        <v>66.150000000000006</v>
      </c>
      <c r="IO925" s="28" t="s">
        <v>660</v>
      </c>
      <c r="IP925" s="28" t="s">
        <v>1609</v>
      </c>
    </row>
    <row r="926" spans="1:250" s="21" customFormat="1" x14ac:dyDescent="0.25">
      <c r="A926" s="21">
        <v>44</v>
      </c>
      <c r="B926" s="21" t="s">
        <v>625</v>
      </c>
      <c r="C926" s="21" t="s">
        <v>626</v>
      </c>
      <c r="D926" s="21">
        <v>2000</v>
      </c>
      <c r="E926" s="21">
        <v>1998</v>
      </c>
      <c r="F926" s="21" t="s">
        <v>627</v>
      </c>
      <c r="G926" s="21" t="s">
        <v>632</v>
      </c>
      <c r="H926" s="32" t="s">
        <v>2831</v>
      </c>
      <c r="I926" s="21">
        <v>45.231000000000002</v>
      </c>
      <c r="J926" s="21">
        <v>-122.756</v>
      </c>
      <c r="K926" s="21">
        <v>48.4</v>
      </c>
      <c r="O926" s="21">
        <v>1040</v>
      </c>
      <c r="P926" s="21" t="s">
        <v>134</v>
      </c>
      <c r="Q926" s="21">
        <v>10</v>
      </c>
      <c r="R926" s="21">
        <v>10</v>
      </c>
      <c r="T926" s="43" t="s">
        <v>1958</v>
      </c>
      <c r="U926" s="43" t="s">
        <v>1384</v>
      </c>
      <c r="V926" s="43" t="s">
        <v>1723</v>
      </c>
      <c r="W926" s="43" t="s">
        <v>1384</v>
      </c>
      <c r="X926" s="43" t="s">
        <v>1384</v>
      </c>
      <c r="Y926" s="43"/>
      <c r="Z926" s="322">
        <v>28</v>
      </c>
      <c r="AA926" s="322">
        <v>54</v>
      </c>
      <c r="AB926" s="21" t="s">
        <v>451</v>
      </c>
      <c r="AF926" s="21" t="s">
        <v>1290</v>
      </c>
      <c r="AG926" s="21" t="s">
        <v>792</v>
      </c>
      <c r="AH926" s="138" t="s">
        <v>1585</v>
      </c>
      <c r="AI926" s="21" t="s">
        <v>635</v>
      </c>
      <c r="AJ926" s="141" t="s">
        <v>1617</v>
      </c>
      <c r="AK926" s="21" t="s">
        <v>640</v>
      </c>
      <c r="AL926" s="21" t="s">
        <v>640</v>
      </c>
      <c r="AM926" s="21" t="s">
        <v>178</v>
      </c>
      <c r="AT926" s="21" t="s">
        <v>120</v>
      </c>
      <c r="AU926" s="21">
        <v>4</v>
      </c>
      <c r="AW926" s="21" t="s">
        <v>336</v>
      </c>
      <c r="BM926" s="396"/>
      <c r="BN926" s="396"/>
      <c r="BR926" s="396"/>
      <c r="BS926" s="396"/>
      <c r="CK926" s="28"/>
      <c r="GM926" s="21">
        <v>69.11</v>
      </c>
      <c r="GN926" s="21">
        <v>69.11</v>
      </c>
      <c r="GQ926" s="21" t="s">
        <v>623</v>
      </c>
      <c r="IA926" s="21">
        <v>102.08</v>
      </c>
      <c r="IB926" s="21">
        <v>64.88</v>
      </c>
      <c r="IO926" s="28" t="s">
        <v>660</v>
      </c>
      <c r="IP926" s="28" t="s">
        <v>1609</v>
      </c>
    </row>
    <row r="927" spans="1:250" s="21" customFormat="1" x14ac:dyDescent="0.25">
      <c r="A927" s="21">
        <v>44</v>
      </c>
      <c r="B927" s="21" t="s">
        <v>625</v>
      </c>
      <c r="C927" s="21" t="s">
        <v>626</v>
      </c>
      <c r="D927" s="21">
        <v>2000</v>
      </c>
      <c r="E927" s="21">
        <v>1998</v>
      </c>
      <c r="F927" s="21" t="s">
        <v>627</v>
      </c>
      <c r="G927" s="21" t="s">
        <v>632</v>
      </c>
      <c r="H927" s="32" t="s">
        <v>2831</v>
      </c>
      <c r="I927" s="21">
        <v>45.231000000000002</v>
      </c>
      <c r="J927" s="21">
        <v>-122.756</v>
      </c>
      <c r="K927" s="21">
        <v>48.4</v>
      </c>
      <c r="O927" s="21">
        <v>1040</v>
      </c>
      <c r="P927" s="21" t="s">
        <v>134</v>
      </c>
      <c r="Q927" s="21">
        <v>10</v>
      </c>
      <c r="R927" s="21">
        <v>10</v>
      </c>
      <c r="T927" s="43" t="s">
        <v>1959</v>
      </c>
      <c r="U927" s="43" t="s">
        <v>1384</v>
      </c>
      <c r="V927" s="43" t="s">
        <v>1723</v>
      </c>
      <c r="W927" s="43" t="s">
        <v>1384</v>
      </c>
      <c r="X927" s="43" t="s">
        <v>1384</v>
      </c>
      <c r="Y927" s="43"/>
      <c r="Z927" s="322">
        <v>28</v>
      </c>
      <c r="AA927" s="322">
        <v>54</v>
      </c>
      <c r="AB927" s="21" t="s">
        <v>451</v>
      </c>
      <c r="AF927" s="21" t="s">
        <v>1290</v>
      </c>
      <c r="AG927" s="21" t="s">
        <v>792</v>
      </c>
      <c r="AH927" s="138" t="s">
        <v>1585</v>
      </c>
      <c r="AI927" s="21" t="s">
        <v>635</v>
      </c>
      <c r="AJ927" s="141" t="s">
        <v>1617</v>
      </c>
      <c r="AK927" s="21" t="s">
        <v>640</v>
      </c>
      <c r="AL927" s="21" t="s">
        <v>640</v>
      </c>
      <c r="AM927" s="21" t="s">
        <v>178</v>
      </c>
      <c r="AT927" s="21" t="s">
        <v>120</v>
      </c>
      <c r="AU927" s="21">
        <v>4</v>
      </c>
      <c r="AW927" s="21" t="s">
        <v>336</v>
      </c>
      <c r="BM927" s="396"/>
      <c r="BN927" s="396"/>
      <c r="BR927" s="396"/>
      <c r="BS927" s="396"/>
      <c r="CK927" s="28"/>
      <c r="GM927" s="21">
        <v>64.63</v>
      </c>
      <c r="GN927" s="21">
        <v>64.63</v>
      </c>
      <c r="GQ927" s="21" t="s">
        <v>623</v>
      </c>
      <c r="IA927" s="21">
        <v>76.38</v>
      </c>
      <c r="IB927" s="21">
        <v>76.38</v>
      </c>
      <c r="IO927" s="28" t="s">
        <v>660</v>
      </c>
      <c r="IP927" s="28" t="s">
        <v>1609</v>
      </c>
    </row>
    <row r="928" spans="1:250" s="21" customFormat="1" x14ac:dyDescent="0.25">
      <c r="A928" s="21">
        <v>44</v>
      </c>
      <c r="B928" s="21" t="s">
        <v>625</v>
      </c>
      <c r="C928" s="21" t="s">
        <v>626</v>
      </c>
      <c r="D928" s="21">
        <v>2000</v>
      </c>
      <c r="E928" s="21">
        <v>1998</v>
      </c>
      <c r="F928" s="21" t="s">
        <v>627</v>
      </c>
      <c r="G928" s="21" t="s">
        <v>632</v>
      </c>
      <c r="H928" s="32" t="s">
        <v>2831</v>
      </c>
      <c r="I928" s="21">
        <v>45.231000000000002</v>
      </c>
      <c r="J928" s="21">
        <v>-122.756</v>
      </c>
      <c r="K928" s="21">
        <v>48.4</v>
      </c>
      <c r="O928" s="21">
        <v>1040</v>
      </c>
      <c r="P928" s="21" t="s">
        <v>134</v>
      </c>
      <c r="Q928" s="21">
        <v>10</v>
      </c>
      <c r="R928" s="21">
        <v>10</v>
      </c>
      <c r="T928" s="43" t="s">
        <v>1960</v>
      </c>
      <c r="U928" s="43" t="s">
        <v>1384</v>
      </c>
      <c r="V928" s="43" t="s">
        <v>1723</v>
      </c>
      <c r="W928" s="43" t="s">
        <v>1384</v>
      </c>
      <c r="X928" s="43" t="s">
        <v>1384</v>
      </c>
      <c r="Y928" s="43"/>
      <c r="Z928" s="322">
        <v>28</v>
      </c>
      <c r="AA928" s="322">
        <v>54</v>
      </c>
      <c r="AB928" s="21" t="s">
        <v>451</v>
      </c>
      <c r="AF928" s="21" t="s">
        <v>1290</v>
      </c>
      <c r="AG928" s="21" t="s">
        <v>792</v>
      </c>
      <c r="AH928" s="138" t="s">
        <v>1585</v>
      </c>
      <c r="AI928" s="21" t="s">
        <v>635</v>
      </c>
      <c r="AJ928" s="141" t="s">
        <v>1617</v>
      </c>
      <c r="AK928" s="21" t="s">
        <v>640</v>
      </c>
      <c r="AL928" s="21" t="s">
        <v>640</v>
      </c>
      <c r="AM928" s="21" t="s">
        <v>178</v>
      </c>
      <c r="AT928" s="21" t="s">
        <v>120</v>
      </c>
      <c r="AU928" s="21">
        <v>4</v>
      </c>
      <c r="AW928" s="21" t="s">
        <v>336</v>
      </c>
      <c r="BM928" s="396"/>
      <c r="BN928" s="396"/>
      <c r="BR928" s="396"/>
      <c r="BS928" s="396"/>
      <c r="CK928" s="28"/>
      <c r="GM928" s="21">
        <v>63.47</v>
      </c>
      <c r="GN928" s="21">
        <v>65.540000000000006</v>
      </c>
      <c r="GQ928" s="21" t="s">
        <v>623</v>
      </c>
      <c r="IA928" s="21">
        <v>71.930000000000007</v>
      </c>
      <c r="IB928" s="21">
        <v>48.55</v>
      </c>
      <c r="IO928" s="28" t="s">
        <v>660</v>
      </c>
      <c r="IP928" s="28" t="s">
        <v>1609</v>
      </c>
    </row>
    <row r="929" spans="1:250" s="33" customFormat="1" x14ac:dyDescent="0.25">
      <c r="A929" s="33">
        <v>44</v>
      </c>
      <c r="B929" s="33" t="s">
        <v>625</v>
      </c>
      <c r="C929" s="33" t="s">
        <v>626</v>
      </c>
      <c r="D929" s="33">
        <v>2000</v>
      </c>
      <c r="E929" s="33">
        <v>1996</v>
      </c>
      <c r="F929" s="33" t="s">
        <v>627</v>
      </c>
      <c r="G929" s="33" t="s">
        <v>632</v>
      </c>
      <c r="H929" s="32" t="s">
        <v>2831</v>
      </c>
      <c r="I929" s="33">
        <v>45.231000000000002</v>
      </c>
      <c r="J929" s="33">
        <v>-122.756</v>
      </c>
      <c r="K929" s="33">
        <v>48.4</v>
      </c>
      <c r="O929" s="33">
        <v>1040</v>
      </c>
      <c r="P929" s="33" t="s">
        <v>134</v>
      </c>
      <c r="Q929" s="33">
        <v>8</v>
      </c>
      <c r="R929" s="33">
        <v>10</v>
      </c>
      <c r="T929" s="46" t="s">
        <v>1959</v>
      </c>
      <c r="U929" s="47" t="s">
        <v>1384</v>
      </c>
      <c r="V929" s="47" t="s">
        <v>1723</v>
      </c>
      <c r="W929" s="47" t="s">
        <v>1384</v>
      </c>
      <c r="X929" s="47" t="s">
        <v>1384</v>
      </c>
      <c r="Y929" s="47"/>
      <c r="Z929" s="327">
        <v>28</v>
      </c>
      <c r="AA929" s="327">
        <v>54</v>
      </c>
      <c r="AB929" s="33" t="s">
        <v>451</v>
      </c>
      <c r="AF929" s="33" t="s">
        <v>1290</v>
      </c>
      <c r="AG929" s="33" t="s">
        <v>1579</v>
      </c>
      <c r="AH929" s="138" t="s">
        <v>1586</v>
      </c>
      <c r="AI929" s="33" t="s">
        <v>635</v>
      </c>
      <c r="AJ929" s="141" t="s">
        <v>1617</v>
      </c>
      <c r="AK929" s="33" t="s">
        <v>640</v>
      </c>
      <c r="AL929" s="33" t="s">
        <v>640</v>
      </c>
      <c r="AM929" s="33" t="s">
        <v>178</v>
      </c>
      <c r="AT929" s="33" t="s">
        <v>120</v>
      </c>
      <c r="AU929" s="33">
        <v>4</v>
      </c>
      <c r="AW929" s="33" t="s">
        <v>336</v>
      </c>
      <c r="BM929" s="402"/>
      <c r="BN929" s="402"/>
      <c r="BR929" s="402"/>
      <c r="BS929" s="402"/>
      <c r="GM929" s="33">
        <v>54.72</v>
      </c>
      <c r="GN929" s="33">
        <v>61.34</v>
      </c>
      <c r="GQ929" s="33" t="s">
        <v>623</v>
      </c>
      <c r="IA929" s="33">
        <v>58.24</v>
      </c>
      <c r="IB929" s="33">
        <v>65.680000000000007</v>
      </c>
      <c r="IO929" s="28" t="s">
        <v>660</v>
      </c>
      <c r="IP929" s="28" t="s">
        <v>1609</v>
      </c>
    </row>
    <row r="930" spans="1:250" s="33" customFormat="1" x14ac:dyDescent="0.25">
      <c r="A930" s="33">
        <v>44</v>
      </c>
      <c r="B930" s="33" t="s">
        <v>625</v>
      </c>
      <c r="C930" s="33" t="s">
        <v>626</v>
      </c>
      <c r="D930" s="33">
        <v>2000</v>
      </c>
      <c r="E930" s="33">
        <v>1997</v>
      </c>
      <c r="F930" s="33" t="s">
        <v>627</v>
      </c>
      <c r="G930" s="33" t="s">
        <v>632</v>
      </c>
      <c r="H930" s="32" t="s">
        <v>2831</v>
      </c>
      <c r="I930" s="33">
        <v>45.231000000000002</v>
      </c>
      <c r="J930" s="33">
        <v>-122.756</v>
      </c>
      <c r="K930" s="33">
        <v>48.4</v>
      </c>
      <c r="O930" s="33">
        <v>1040</v>
      </c>
      <c r="P930" s="33" t="s">
        <v>134</v>
      </c>
      <c r="Q930" s="33">
        <v>9</v>
      </c>
      <c r="R930" s="33">
        <v>10</v>
      </c>
      <c r="T930" s="46" t="s">
        <v>1958</v>
      </c>
      <c r="U930" s="47" t="s">
        <v>1384</v>
      </c>
      <c r="V930" s="47" t="s">
        <v>1723</v>
      </c>
      <c r="W930" s="47" t="s">
        <v>1384</v>
      </c>
      <c r="X930" s="47" t="s">
        <v>1384</v>
      </c>
      <c r="Y930" s="47"/>
      <c r="Z930" s="327">
        <v>28</v>
      </c>
      <c r="AA930" s="327">
        <v>54</v>
      </c>
      <c r="AB930" s="33" t="s">
        <v>451</v>
      </c>
      <c r="AF930" s="33" t="s">
        <v>1290</v>
      </c>
      <c r="AG930" s="33" t="s">
        <v>1579</v>
      </c>
      <c r="AH930" s="138" t="s">
        <v>1586</v>
      </c>
      <c r="AI930" s="33" t="s">
        <v>635</v>
      </c>
      <c r="AJ930" s="141" t="s">
        <v>1617</v>
      </c>
      <c r="AK930" s="33" t="s">
        <v>640</v>
      </c>
      <c r="AL930" s="33" t="s">
        <v>640</v>
      </c>
      <c r="AM930" s="33" t="s">
        <v>178</v>
      </c>
      <c r="AT930" s="33" t="s">
        <v>120</v>
      </c>
      <c r="AU930" s="33">
        <v>4</v>
      </c>
      <c r="AW930" s="33" t="s">
        <v>336</v>
      </c>
      <c r="BM930" s="402"/>
      <c r="BN930" s="402"/>
      <c r="BR930" s="402"/>
      <c r="BS930" s="402"/>
      <c r="GM930" s="33">
        <v>103.23</v>
      </c>
      <c r="GN930" s="33">
        <v>80.47</v>
      </c>
      <c r="GQ930" s="33" t="s">
        <v>623</v>
      </c>
      <c r="IA930" s="33">
        <v>129.22999999999999</v>
      </c>
      <c r="IB930" s="33">
        <v>134.54</v>
      </c>
      <c r="IO930" s="28" t="s">
        <v>660</v>
      </c>
      <c r="IP930" s="28" t="s">
        <v>1609</v>
      </c>
    </row>
    <row r="931" spans="1:250" s="33" customFormat="1" x14ac:dyDescent="0.25">
      <c r="A931" s="33">
        <v>44</v>
      </c>
      <c r="B931" s="33" t="s">
        <v>625</v>
      </c>
      <c r="C931" s="33" t="s">
        <v>626</v>
      </c>
      <c r="D931" s="33">
        <v>2000</v>
      </c>
      <c r="E931" s="33">
        <v>1997</v>
      </c>
      <c r="F931" s="33" t="s">
        <v>627</v>
      </c>
      <c r="G931" s="33" t="s">
        <v>632</v>
      </c>
      <c r="H931" s="32" t="s">
        <v>2831</v>
      </c>
      <c r="I931" s="33">
        <v>45.231000000000002</v>
      </c>
      <c r="J931" s="33">
        <v>-122.756</v>
      </c>
      <c r="K931" s="33">
        <v>48.4</v>
      </c>
      <c r="O931" s="33">
        <v>1040</v>
      </c>
      <c r="P931" s="33" t="s">
        <v>134</v>
      </c>
      <c r="Q931" s="33">
        <v>9</v>
      </c>
      <c r="R931" s="33">
        <v>10</v>
      </c>
      <c r="T931" s="46" t="s">
        <v>1959</v>
      </c>
      <c r="U931" s="47" t="s">
        <v>1384</v>
      </c>
      <c r="V931" s="47" t="s">
        <v>1723</v>
      </c>
      <c r="W931" s="47" t="s">
        <v>1384</v>
      </c>
      <c r="X931" s="47" t="s">
        <v>1384</v>
      </c>
      <c r="Y931" s="47"/>
      <c r="Z931" s="327">
        <v>28</v>
      </c>
      <c r="AA931" s="327">
        <v>54</v>
      </c>
      <c r="AB931" s="33" t="s">
        <v>451</v>
      </c>
      <c r="AF931" s="33" t="s">
        <v>1290</v>
      </c>
      <c r="AG931" s="33" t="s">
        <v>1579</v>
      </c>
      <c r="AH931" s="138" t="s">
        <v>1586</v>
      </c>
      <c r="AI931" s="33" t="s">
        <v>635</v>
      </c>
      <c r="AJ931" s="141" t="s">
        <v>1617</v>
      </c>
      <c r="AK931" s="33" t="s">
        <v>640</v>
      </c>
      <c r="AL931" s="33" t="s">
        <v>640</v>
      </c>
      <c r="AM931" s="33" t="s">
        <v>178</v>
      </c>
      <c r="AT931" s="33" t="s">
        <v>120</v>
      </c>
      <c r="AU931" s="33">
        <v>4</v>
      </c>
      <c r="AW931" s="33" t="s">
        <v>336</v>
      </c>
      <c r="BM931" s="402"/>
      <c r="BN931" s="402"/>
      <c r="BR931" s="402"/>
      <c r="BS931" s="402"/>
      <c r="GM931" s="33">
        <v>57.78</v>
      </c>
      <c r="GN931" s="33">
        <v>66.88</v>
      </c>
      <c r="GQ931" s="33" t="s">
        <v>623</v>
      </c>
      <c r="IA931" s="33">
        <v>70.59</v>
      </c>
      <c r="IB931" s="33">
        <v>81.22</v>
      </c>
      <c r="IO931" s="28" t="s">
        <v>660</v>
      </c>
      <c r="IP931" s="28" t="s">
        <v>1609</v>
      </c>
    </row>
    <row r="932" spans="1:250" s="33" customFormat="1" x14ac:dyDescent="0.25">
      <c r="A932" s="33">
        <v>44</v>
      </c>
      <c r="B932" s="33" t="s">
        <v>625</v>
      </c>
      <c r="C932" s="33" t="s">
        <v>626</v>
      </c>
      <c r="D932" s="33">
        <v>2000</v>
      </c>
      <c r="E932" s="33">
        <v>1997</v>
      </c>
      <c r="F932" s="33" t="s">
        <v>627</v>
      </c>
      <c r="G932" s="33" t="s">
        <v>632</v>
      </c>
      <c r="H932" s="32" t="s">
        <v>2831</v>
      </c>
      <c r="I932" s="33">
        <v>45.231000000000002</v>
      </c>
      <c r="J932" s="33">
        <v>-122.756</v>
      </c>
      <c r="K932" s="33">
        <v>48.4</v>
      </c>
      <c r="O932" s="33">
        <v>1040</v>
      </c>
      <c r="P932" s="33" t="s">
        <v>134</v>
      </c>
      <c r="Q932" s="33">
        <v>9</v>
      </c>
      <c r="R932" s="33">
        <v>10</v>
      </c>
      <c r="T932" s="46" t="s">
        <v>1960</v>
      </c>
      <c r="U932" s="47" t="s">
        <v>1384</v>
      </c>
      <c r="V932" s="47" t="s">
        <v>1723</v>
      </c>
      <c r="W932" s="47" t="s">
        <v>1384</v>
      </c>
      <c r="X932" s="47" t="s">
        <v>1384</v>
      </c>
      <c r="Y932" s="47"/>
      <c r="Z932" s="327">
        <v>28</v>
      </c>
      <c r="AA932" s="327">
        <v>54</v>
      </c>
      <c r="AB932" s="33" t="s">
        <v>451</v>
      </c>
      <c r="AF932" s="33" t="s">
        <v>1290</v>
      </c>
      <c r="AG932" s="33" t="s">
        <v>1579</v>
      </c>
      <c r="AH932" s="138" t="s">
        <v>1586</v>
      </c>
      <c r="AI932" s="33" t="s">
        <v>635</v>
      </c>
      <c r="AJ932" s="141" t="s">
        <v>1617</v>
      </c>
      <c r="AK932" s="33" t="s">
        <v>640</v>
      </c>
      <c r="AL932" s="33" t="s">
        <v>640</v>
      </c>
      <c r="AM932" s="33" t="s">
        <v>178</v>
      </c>
      <c r="AT932" s="33" t="s">
        <v>120</v>
      </c>
      <c r="AU932" s="33">
        <v>4</v>
      </c>
      <c r="AW932" s="33" t="s">
        <v>336</v>
      </c>
      <c r="BM932" s="402"/>
      <c r="BN932" s="402"/>
      <c r="BR932" s="402"/>
      <c r="BS932" s="402"/>
      <c r="GM932" s="33">
        <v>61.58</v>
      </c>
      <c r="GN932" s="33">
        <v>83.11</v>
      </c>
      <c r="GQ932" s="33" t="s">
        <v>623</v>
      </c>
      <c r="IA932" s="33">
        <v>85.28</v>
      </c>
      <c r="IB932" s="33">
        <v>111.84</v>
      </c>
      <c r="IO932" s="28" t="s">
        <v>660</v>
      </c>
      <c r="IP932" s="28" t="s">
        <v>1609</v>
      </c>
    </row>
    <row r="933" spans="1:250" s="33" customFormat="1" x14ac:dyDescent="0.25">
      <c r="A933" s="33">
        <v>44</v>
      </c>
      <c r="B933" s="33" t="s">
        <v>625</v>
      </c>
      <c r="C933" s="33" t="s">
        <v>626</v>
      </c>
      <c r="D933" s="33">
        <v>2000</v>
      </c>
      <c r="E933" s="33">
        <v>1998</v>
      </c>
      <c r="F933" s="33" t="s">
        <v>627</v>
      </c>
      <c r="G933" s="33" t="s">
        <v>632</v>
      </c>
      <c r="H933" s="32" t="s">
        <v>2831</v>
      </c>
      <c r="I933" s="33">
        <v>45.231000000000002</v>
      </c>
      <c r="J933" s="33">
        <v>-122.756</v>
      </c>
      <c r="K933" s="33">
        <v>48.4</v>
      </c>
      <c r="O933" s="33">
        <v>1040</v>
      </c>
      <c r="P933" s="33" t="s">
        <v>134</v>
      </c>
      <c r="Q933" s="33">
        <v>10</v>
      </c>
      <c r="R933" s="33">
        <v>10</v>
      </c>
      <c r="T933" s="46" t="s">
        <v>1958</v>
      </c>
      <c r="U933" s="47" t="s">
        <v>1384</v>
      </c>
      <c r="V933" s="47" t="s">
        <v>1723</v>
      </c>
      <c r="W933" s="47" t="s">
        <v>1384</v>
      </c>
      <c r="X933" s="47" t="s">
        <v>1384</v>
      </c>
      <c r="Y933" s="47"/>
      <c r="Z933" s="327">
        <v>28</v>
      </c>
      <c r="AA933" s="327">
        <v>54</v>
      </c>
      <c r="AB933" s="33" t="s">
        <v>451</v>
      </c>
      <c r="AF933" s="33" t="s">
        <v>1290</v>
      </c>
      <c r="AG933" s="33" t="s">
        <v>1579</v>
      </c>
      <c r="AH933" s="138" t="s">
        <v>1586</v>
      </c>
      <c r="AI933" s="33" t="s">
        <v>635</v>
      </c>
      <c r="AJ933" s="141" t="s">
        <v>1617</v>
      </c>
      <c r="AK933" s="33" t="s">
        <v>640</v>
      </c>
      <c r="AL933" s="33" t="s">
        <v>640</v>
      </c>
      <c r="AM933" s="33" t="s">
        <v>178</v>
      </c>
      <c r="AT933" s="33" t="s">
        <v>120</v>
      </c>
      <c r="AU933" s="33">
        <v>4</v>
      </c>
      <c r="AW933" s="33" t="s">
        <v>336</v>
      </c>
      <c r="BM933" s="402"/>
      <c r="BN933" s="402"/>
      <c r="BR933" s="402"/>
      <c r="BS933" s="402"/>
      <c r="GM933" s="33">
        <v>69.11</v>
      </c>
      <c r="GN933" s="33">
        <v>98.9</v>
      </c>
      <c r="GQ933" s="33" t="s">
        <v>623</v>
      </c>
      <c r="IA933" s="33">
        <v>102.08</v>
      </c>
      <c r="IB933" s="33">
        <v>145.63999999999999</v>
      </c>
      <c r="IO933" s="28" t="s">
        <v>660</v>
      </c>
      <c r="IP933" s="28" t="s">
        <v>1609</v>
      </c>
    </row>
    <row r="934" spans="1:250" s="33" customFormat="1" x14ac:dyDescent="0.25">
      <c r="A934" s="33">
        <v>44</v>
      </c>
      <c r="B934" s="33" t="s">
        <v>625</v>
      </c>
      <c r="C934" s="33" t="s">
        <v>626</v>
      </c>
      <c r="D934" s="33">
        <v>2000</v>
      </c>
      <c r="E934" s="33">
        <v>1998</v>
      </c>
      <c r="F934" s="33" t="s">
        <v>627</v>
      </c>
      <c r="G934" s="33" t="s">
        <v>632</v>
      </c>
      <c r="H934" s="32" t="s">
        <v>2831</v>
      </c>
      <c r="I934" s="33">
        <v>45.231000000000002</v>
      </c>
      <c r="J934" s="33">
        <v>-122.756</v>
      </c>
      <c r="K934" s="33">
        <v>48.4</v>
      </c>
      <c r="O934" s="33">
        <v>1040</v>
      </c>
      <c r="P934" s="33" t="s">
        <v>134</v>
      </c>
      <c r="Q934" s="33">
        <v>10</v>
      </c>
      <c r="R934" s="33">
        <v>10</v>
      </c>
      <c r="T934" s="46" t="s">
        <v>1959</v>
      </c>
      <c r="U934" s="47" t="s">
        <v>1384</v>
      </c>
      <c r="V934" s="47" t="s">
        <v>1723</v>
      </c>
      <c r="W934" s="47" t="s">
        <v>1384</v>
      </c>
      <c r="X934" s="47" t="s">
        <v>1384</v>
      </c>
      <c r="Y934" s="47"/>
      <c r="Z934" s="327">
        <v>28</v>
      </c>
      <c r="AA934" s="327">
        <v>54</v>
      </c>
      <c r="AB934" s="33" t="s">
        <v>451</v>
      </c>
      <c r="AF934" s="33" t="s">
        <v>1290</v>
      </c>
      <c r="AG934" s="33" t="s">
        <v>1579</v>
      </c>
      <c r="AH934" s="138" t="s">
        <v>1586</v>
      </c>
      <c r="AI934" s="33" t="s">
        <v>635</v>
      </c>
      <c r="AJ934" s="141" t="s">
        <v>1617</v>
      </c>
      <c r="AK934" s="33" t="s">
        <v>640</v>
      </c>
      <c r="AL934" s="33" t="s">
        <v>640</v>
      </c>
      <c r="AM934" s="33" t="s">
        <v>178</v>
      </c>
      <c r="AT934" s="33" t="s">
        <v>120</v>
      </c>
      <c r="AU934" s="33">
        <v>4</v>
      </c>
      <c r="AW934" s="33" t="s">
        <v>336</v>
      </c>
      <c r="BM934" s="402"/>
      <c r="BN934" s="402"/>
      <c r="BR934" s="402"/>
      <c r="BS934" s="402"/>
      <c r="GM934" s="33">
        <v>64.63</v>
      </c>
      <c r="GN934" s="33">
        <v>77.459999999999994</v>
      </c>
      <c r="GQ934" s="33" t="s">
        <v>623</v>
      </c>
      <c r="IA934" s="33">
        <v>76.38</v>
      </c>
      <c r="IB934" s="33">
        <v>95.5</v>
      </c>
      <c r="IO934" s="28" t="s">
        <v>660</v>
      </c>
      <c r="IP934" s="28" t="s">
        <v>1609</v>
      </c>
    </row>
    <row r="935" spans="1:250" s="33" customFormat="1" x14ac:dyDescent="0.25">
      <c r="A935" s="33">
        <v>44</v>
      </c>
      <c r="B935" s="33" t="s">
        <v>625</v>
      </c>
      <c r="C935" s="33" t="s">
        <v>626</v>
      </c>
      <c r="D935" s="33">
        <v>2000</v>
      </c>
      <c r="E935" s="33">
        <v>1998</v>
      </c>
      <c r="F935" s="33" t="s">
        <v>627</v>
      </c>
      <c r="G935" s="33" t="s">
        <v>632</v>
      </c>
      <c r="H935" s="32" t="s">
        <v>2831</v>
      </c>
      <c r="I935" s="33">
        <v>45.231000000000002</v>
      </c>
      <c r="J935" s="33">
        <v>-122.756</v>
      </c>
      <c r="K935" s="33">
        <v>48.4</v>
      </c>
      <c r="O935" s="33">
        <v>1040</v>
      </c>
      <c r="P935" s="33" t="s">
        <v>134</v>
      </c>
      <c r="Q935" s="33">
        <v>10</v>
      </c>
      <c r="R935" s="33">
        <v>10</v>
      </c>
      <c r="T935" s="46" t="s">
        <v>1960</v>
      </c>
      <c r="U935" s="47" t="s">
        <v>1384</v>
      </c>
      <c r="V935" s="47" t="s">
        <v>1723</v>
      </c>
      <c r="W935" s="47" t="s">
        <v>1384</v>
      </c>
      <c r="X935" s="47" t="s">
        <v>1384</v>
      </c>
      <c r="Y935" s="47"/>
      <c r="Z935" s="327">
        <v>28</v>
      </c>
      <c r="AA935" s="327">
        <v>54</v>
      </c>
      <c r="AB935" s="33" t="s">
        <v>451</v>
      </c>
      <c r="AF935" s="33" t="s">
        <v>1290</v>
      </c>
      <c r="AG935" s="33" t="s">
        <v>1579</v>
      </c>
      <c r="AH935" s="138" t="s">
        <v>1586</v>
      </c>
      <c r="AI935" s="33" t="s">
        <v>635</v>
      </c>
      <c r="AJ935" s="141" t="s">
        <v>1617</v>
      </c>
      <c r="AK935" s="33" t="s">
        <v>640</v>
      </c>
      <c r="AL935" s="33" t="s">
        <v>640</v>
      </c>
      <c r="AM935" s="33" t="s">
        <v>178</v>
      </c>
      <c r="AT935" s="33" t="s">
        <v>120</v>
      </c>
      <c r="AU935" s="33">
        <v>4</v>
      </c>
      <c r="AW935" s="33" t="s">
        <v>336</v>
      </c>
      <c r="BM935" s="402"/>
      <c r="BN935" s="402"/>
      <c r="BR935" s="402"/>
      <c r="BS935" s="402"/>
      <c r="GM935" s="33">
        <v>63.47</v>
      </c>
      <c r="GN935" s="33">
        <v>80</v>
      </c>
      <c r="GQ935" s="33" t="s">
        <v>623</v>
      </c>
      <c r="IA935" s="33">
        <v>71.930000000000007</v>
      </c>
      <c r="IB935" s="33">
        <v>91.05</v>
      </c>
      <c r="IO935" s="28" t="s">
        <v>660</v>
      </c>
      <c r="IP935" s="28" t="s">
        <v>1609</v>
      </c>
    </row>
    <row r="936" spans="1:250" s="21" customFormat="1" x14ac:dyDescent="0.25">
      <c r="A936" s="21">
        <v>44</v>
      </c>
      <c r="B936" s="21" t="s">
        <v>625</v>
      </c>
      <c r="C936" s="21" t="s">
        <v>626</v>
      </c>
      <c r="D936" s="21">
        <v>2000</v>
      </c>
      <c r="E936" s="21">
        <v>1996</v>
      </c>
      <c r="F936" s="21" t="s">
        <v>627</v>
      </c>
      <c r="G936" s="21" t="s">
        <v>633</v>
      </c>
      <c r="H936" s="32" t="s">
        <v>2831</v>
      </c>
      <c r="I936" s="21">
        <v>44.94</v>
      </c>
      <c r="J936" s="21">
        <v>-122.93</v>
      </c>
      <c r="K936" s="21">
        <v>66.5</v>
      </c>
      <c r="O936" s="21">
        <v>1040</v>
      </c>
      <c r="P936" s="21" t="s">
        <v>134</v>
      </c>
      <c r="Q936" s="21">
        <v>4</v>
      </c>
      <c r="R936" s="21">
        <v>6</v>
      </c>
      <c r="T936" s="43" t="s">
        <v>1964</v>
      </c>
      <c r="U936" s="43" t="s">
        <v>1384</v>
      </c>
      <c r="V936" s="43" t="s">
        <v>1723</v>
      </c>
      <c r="W936" s="43" t="s">
        <v>1384</v>
      </c>
      <c r="X936" s="43" t="s">
        <v>1384</v>
      </c>
      <c r="Z936" s="322">
        <v>22</v>
      </c>
      <c r="AA936" s="322">
        <v>52</v>
      </c>
      <c r="AB936" s="21" t="s">
        <v>451</v>
      </c>
      <c r="AF936" s="21" t="s">
        <v>1290</v>
      </c>
      <c r="AG936" s="21" t="s">
        <v>636</v>
      </c>
      <c r="AH936" s="138" t="s">
        <v>636</v>
      </c>
      <c r="AI936" s="21" t="s">
        <v>133</v>
      </c>
      <c r="AJ936" s="141" t="s">
        <v>1617</v>
      </c>
      <c r="AK936" s="21" t="s">
        <v>641</v>
      </c>
      <c r="AL936" s="21" t="s">
        <v>641</v>
      </c>
      <c r="AM936" s="21" t="s">
        <v>178</v>
      </c>
      <c r="AT936" s="21" t="s">
        <v>120</v>
      </c>
      <c r="AU936" s="21">
        <v>4</v>
      </c>
      <c r="AW936" s="21" t="s">
        <v>336</v>
      </c>
      <c r="BM936" s="396"/>
      <c r="BN936" s="396"/>
      <c r="BR936" s="396"/>
      <c r="BS936" s="396"/>
      <c r="CK936" s="28"/>
      <c r="GM936" s="21">
        <v>62.61</v>
      </c>
      <c r="GN936" s="21">
        <v>109.32</v>
      </c>
      <c r="GQ936" s="21" t="s">
        <v>623</v>
      </c>
      <c r="IA936" s="21">
        <v>71.44</v>
      </c>
      <c r="IB936" s="21">
        <v>113.75</v>
      </c>
      <c r="IO936" s="28" t="s">
        <v>660</v>
      </c>
      <c r="IP936" s="28" t="s">
        <v>1609</v>
      </c>
    </row>
    <row r="937" spans="1:250" s="21" customFormat="1" x14ac:dyDescent="0.25">
      <c r="A937" s="21">
        <v>44</v>
      </c>
      <c r="B937" s="21" t="s">
        <v>625</v>
      </c>
      <c r="C937" s="21" t="s">
        <v>626</v>
      </c>
      <c r="D937" s="21">
        <v>2000</v>
      </c>
      <c r="E937" s="21">
        <v>1997</v>
      </c>
      <c r="F937" s="21" t="s">
        <v>627</v>
      </c>
      <c r="G937" s="21" t="s">
        <v>633</v>
      </c>
      <c r="H937" s="32" t="s">
        <v>2831</v>
      </c>
      <c r="I937" s="21">
        <v>44.94</v>
      </c>
      <c r="J937" s="21">
        <v>-122.93</v>
      </c>
      <c r="K937" s="21">
        <v>66.5</v>
      </c>
      <c r="O937" s="21">
        <v>1040</v>
      </c>
      <c r="P937" s="21" t="s">
        <v>134</v>
      </c>
      <c r="Q937" s="21">
        <v>5</v>
      </c>
      <c r="R937" s="21">
        <v>6</v>
      </c>
      <c r="T937" s="43" t="s">
        <v>1965</v>
      </c>
      <c r="U937" s="43" t="s">
        <v>1384</v>
      </c>
      <c r="V937" s="43" t="s">
        <v>1723</v>
      </c>
      <c r="W937" s="43" t="s">
        <v>1384</v>
      </c>
      <c r="X937" s="43" t="s">
        <v>1384</v>
      </c>
      <c r="Z937" s="322">
        <v>22</v>
      </c>
      <c r="AA937" s="322">
        <v>52</v>
      </c>
      <c r="AB937" s="21" t="s">
        <v>451</v>
      </c>
      <c r="AF937" s="21" t="s">
        <v>1290</v>
      </c>
      <c r="AG937" s="21" t="s">
        <v>636</v>
      </c>
      <c r="AH937" s="138" t="s">
        <v>636</v>
      </c>
      <c r="AI937" s="21" t="s">
        <v>133</v>
      </c>
      <c r="AJ937" s="141" t="s">
        <v>1617</v>
      </c>
      <c r="AK937" s="21" t="s">
        <v>641</v>
      </c>
      <c r="AL937" s="21" t="s">
        <v>641</v>
      </c>
      <c r="AM937" s="21" t="s">
        <v>178</v>
      </c>
      <c r="AT937" s="21" t="s">
        <v>120</v>
      </c>
      <c r="AU937" s="21">
        <v>4</v>
      </c>
      <c r="AW937" s="21" t="s">
        <v>336</v>
      </c>
      <c r="BM937" s="396"/>
      <c r="BN937" s="396"/>
      <c r="BR937" s="396"/>
      <c r="BS937" s="396"/>
      <c r="CK937" s="28"/>
      <c r="GM937" s="21">
        <v>104.33</v>
      </c>
      <c r="GN937" s="21">
        <v>151.44999999999999</v>
      </c>
      <c r="GQ937" s="21" t="s">
        <v>623</v>
      </c>
      <c r="IA937" s="21">
        <v>118.58</v>
      </c>
      <c r="IB937" s="21">
        <v>199.99</v>
      </c>
      <c r="IO937" s="28" t="s">
        <v>660</v>
      </c>
      <c r="IP937" s="28" t="s">
        <v>1609</v>
      </c>
    </row>
    <row r="938" spans="1:250" s="21" customFormat="1" x14ac:dyDescent="0.25">
      <c r="A938" s="21">
        <v>44</v>
      </c>
      <c r="B938" s="21" t="s">
        <v>625</v>
      </c>
      <c r="C938" s="21" t="s">
        <v>626</v>
      </c>
      <c r="D938" s="21">
        <v>2000</v>
      </c>
      <c r="E938" s="21">
        <v>1997</v>
      </c>
      <c r="F938" s="21" t="s">
        <v>627</v>
      </c>
      <c r="G938" s="21" t="s">
        <v>633</v>
      </c>
      <c r="H938" s="32" t="s">
        <v>2831</v>
      </c>
      <c r="I938" s="21">
        <v>44.94</v>
      </c>
      <c r="J938" s="21">
        <v>-122.93</v>
      </c>
      <c r="K938" s="21">
        <v>66.5</v>
      </c>
      <c r="O938" s="21">
        <v>1040</v>
      </c>
      <c r="P938" s="21" t="s">
        <v>134</v>
      </c>
      <c r="Q938" s="21">
        <v>5</v>
      </c>
      <c r="R938" s="21">
        <v>6</v>
      </c>
      <c r="T938" s="43" t="s">
        <v>1964</v>
      </c>
      <c r="U938" s="43" t="s">
        <v>1384</v>
      </c>
      <c r="V938" s="43" t="s">
        <v>1723</v>
      </c>
      <c r="W938" s="43" t="s">
        <v>1384</v>
      </c>
      <c r="X938" s="43" t="s">
        <v>1384</v>
      </c>
      <c r="Z938" s="322">
        <v>22</v>
      </c>
      <c r="AA938" s="322">
        <v>52</v>
      </c>
      <c r="AB938" s="21" t="s">
        <v>451</v>
      </c>
      <c r="AF938" s="21" t="s">
        <v>1290</v>
      </c>
      <c r="AG938" s="21" t="s">
        <v>636</v>
      </c>
      <c r="AH938" s="138" t="s">
        <v>636</v>
      </c>
      <c r="AI938" s="21" t="s">
        <v>133</v>
      </c>
      <c r="AJ938" s="141" t="s">
        <v>1617</v>
      </c>
      <c r="AK938" s="21" t="s">
        <v>641</v>
      </c>
      <c r="AL938" s="21" t="s">
        <v>641</v>
      </c>
      <c r="AM938" s="21" t="s">
        <v>178</v>
      </c>
      <c r="AT938" s="21" t="s">
        <v>120</v>
      </c>
      <c r="AU938" s="21">
        <v>4</v>
      </c>
      <c r="AW938" s="21" t="s">
        <v>336</v>
      </c>
      <c r="BM938" s="396"/>
      <c r="BN938" s="396"/>
      <c r="BR938" s="396"/>
      <c r="BS938" s="396"/>
      <c r="CK938" s="28"/>
      <c r="GM938" s="21">
        <v>78.44</v>
      </c>
      <c r="GN938" s="21">
        <v>114.91</v>
      </c>
      <c r="GQ938" s="21" t="s">
        <v>623</v>
      </c>
      <c r="IA938" s="21">
        <v>125.52</v>
      </c>
      <c r="IB938" s="21">
        <v>163.59</v>
      </c>
      <c r="IO938" s="28" t="s">
        <v>660</v>
      </c>
      <c r="IP938" s="28" t="s">
        <v>1609</v>
      </c>
    </row>
    <row r="939" spans="1:250" s="21" customFormat="1" x14ac:dyDescent="0.25">
      <c r="A939" s="21">
        <v>44</v>
      </c>
      <c r="B939" s="21" t="s">
        <v>625</v>
      </c>
      <c r="C939" s="21" t="s">
        <v>626</v>
      </c>
      <c r="D939" s="21">
        <v>2000</v>
      </c>
      <c r="E939" s="21">
        <v>1997</v>
      </c>
      <c r="F939" s="21" t="s">
        <v>627</v>
      </c>
      <c r="G939" s="21" t="s">
        <v>633</v>
      </c>
      <c r="H939" s="32" t="s">
        <v>2831</v>
      </c>
      <c r="I939" s="21">
        <v>44.94</v>
      </c>
      <c r="J939" s="21">
        <v>-122.93</v>
      </c>
      <c r="K939" s="21">
        <v>66.5</v>
      </c>
      <c r="O939" s="21">
        <v>1040</v>
      </c>
      <c r="P939" s="21" t="s">
        <v>134</v>
      </c>
      <c r="Q939" s="21">
        <v>5</v>
      </c>
      <c r="R939" s="21">
        <v>6</v>
      </c>
      <c r="T939" s="43" t="s">
        <v>1966</v>
      </c>
      <c r="U939" s="43" t="s">
        <v>1384</v>
      </c>
      <c r="V939" s="43" t="s">
        <v>1723</v>
      </c>
      <c r="W939" s="43" t="s">
        <v>1384</v>
      </c>
      <c r="X939" s="43" t="s">
        <v>1384</v>
      </c>
      <c r="Z939" s="322">
        <v>22</v>
      </c>
      <c r="AA939" s="322">
        <v>52</v>
      </c>
      <c r="AB939" s="21" t="s">
        <v>451</v>
      </c>
      <c r="AF939" s="21" t="s">
        <v>1290</v>
      </c>
      <c r="AG939" s="21" t="s">
        <v>636</v>
      </c>
      <c r="AH939" s="138" t="s">
        <v>636</v>
      </c>
      <c r="AI939" s="21" t="s">
        <v>133</v>
      </c>
      <c r="AJ939" s="141" t="s">
        <v>1617</v>
      </c>
      <c r="AK939" s="21" t="s">
        <v>641</v>
      </c>
      <c r="AL939" s="21" t="s">
        <v>641</v>
      </c>
      <c r="AM939" s="21" t="s">
        <v>178</v>
      </c>
      <c r="AT939" s="21" t="s">
        <v>120</v>
      </c>
      <c r="AU939" s="21">
        <v>4</v>
      </c>
      <c r="AW939" s="21" t="s">
        <v>336</v>
      </c>
      <c r="BM939" s="396"/>
      <c r="BN939" s="396"/>
      <c r="BR939" s="396"/>
      <c r="BS939" s="396"/>
      <c r="CK939" s="28"/>
      <c r="GM939" s="21">
        <v>106.22</v>
      </c>
      <c r="GN939" s="21">
        <v>152.93</v>
      </c>
      <c r="GQ939" s="21" t="s">
        <v>623</v>
      </c>
      <c r="IA939" s="21">
        <v>119.78</v>
      </c>
      <c r="IB939" s="21">
        <v>167.37</v>
      </c>
      <c r="IO939" s="28" t="s">
        <v>660</v>
      </c>
      <c r="IP939" s="28" t="s">
        <v>1609</v>
      </c>
    </row>
    <row r="940" spans="1:250" s="21" customFormat="1" x14ac:dyDescent="0.25">
      <c r="A940" s="21">
        <v>44</v>
      </c>
      <c r="B940" s="21" t="s">
        <v>625</v>
      </c>
      <c r="C940" s="21" t="s">
        <v>626</v>
      </c>
      <c r="D940" s="21">
        <v>2000</v>
      </c>
      <c r="E940" s="21">
        <v>1998</v>
      </c>
      <c r="F940" s="21" t="s">
        <v>627</v>
      </c>
      <c r="G940" s="21" t="s">
        <v>633</v>
      </c>
      <c r="H940" s="32" t="s">
        <v>2831</v>
      </c>
      <c r="I940" s="21">
        <v>44.94</v>
      </c>
      <c r="J940" s="21">
        <v>-122.93</v>
      </c>
      <c r="K940" s="21">
        <v>66.5</v>
      </c>
      <c r="O940" s="21">
        <v>1040</v>
      </c>
      <c r="P940" s="21" t="s">
        <v>134</v>
      </c>
      <c r="Q940" s="21">
        <v>6</v>
      </c>
      <c r="R940" s="21">
        <v>6</v>
      </c>
      <c r="T940" s="43" t="s">
        <v>1965</v>
      </c>
      <c r="U940" s="43" t="s">
        <v>1384</v>
      </c>
      <c r="V940" s="43" t="s">
        <v>1723</v>
      </c>
      <c r="W940" s="43" t="s">
        <v>1384</v>
      </c>
      <c r="X940" s="43" t="s">
        <v>1384</v>
      </c>
      <c r="Z940" s="322">
        <v>22</v>
      </c>
      <c r="AA940" s="322">
        <v>52</v>
      </c>
      <c r="AB940" s="21" t="s">
        <v>451</v>
      </c>
      <c r="AF940" s="21" t="s">
        <v>1290</v>
      </c>
      <c r="AG940" s="21" t="s">
        <v>636</v>
      </c>
      <c r="AH940" s="138" t="s">
        <v>636</v>
      </c>
      <c r="AI940" s="21" t="s">
        <v>133</v>
      </c>
      <c r="AJ940" s="141" t="s">
        <v>1617</v>
      </c>
      <c r="AK940" s="21" t="s">
        <v>641</v>
      </c>
      <c r="AL940" s="21" t="s">
        <v>641</v>
      </c>
      <c r="AM940" s="21" t="s">
        <v>178</v>
      </c>
      <c r="AT940" s="21" t="s">
        <v>120</v>
      </c>
      <c r="AU940" s="21">
        <v>4</v>
      </c>
      <c r="AW940" s="21" t="s">
        <v>336</v>
      </c>
      <c r="BM940" s="396"/>
      <c r="BN940" s="396"/>
      <c r="BR940" s="396"/>
      <c r="BS940" s="396"/>
      <c r="CK940" s="28"/>
      <c r="GM940" s="21">
        <v>117.21</v>
      </c>
      <c r="GN940" s="21">
        <v>170.88</v>
      </c>
      <c r="GQ940" s="21" t="s">
        <v>623</v>
      </c>
      <c r="IA940" s="21">
        <v>139.41</v>
      </c>
      <c r="IB940" s="21">
        <v>232.47</v>
      </c>
      <c r="IO940" s="28" t="s">
        <v>660</v>
      </c>
      <c r="IP940" s="28" t="s">
        <v>1609</v>
      </c>
    </row>
    <row r="941" spans="1:250" s="21" customFormat="1" x14ac:dyDescent="0.25">
      <c r="A941" s="21">
        <v>44</v>
      </c>
      <c r="B941" s="21" t="s">
        <v>625</v>
      </c>
      <c r="C941" s="21" t="s">
        <v>626</v>
      </c>
      <c r="D941" s="21">
        <v>2000</v>
      </c>
      <c r="E941" s="21">
        <v>1998</v>
      </c>
      <c r="F941" s="21" t="s">
        <v>627</v>
      </c>
      <c r="G941" s="21" t="s">
        <v>633</v>
      </c>
      <c r="H941" s="32" t="s">
        <v>2831</v>
      </c>
      <c r="I941" s="21">
        <v>44.94</v>
      </c>
      <c r="J941" s="21">
        <v>-122.93</v>
      </c>
      <c r="K941" s="21">
        <v>66.5</v>
      </c>
      <c r="O941" s="21">
        <v>1040</v>
      </c>
      <c r="P941" s="21" t="s">
        <v>134</v>
      </c>
      <c r="Q941" s="21">
        <v>6</v>
      </c>
      <c r="R941" s="21">
        <v>6</v>
      </c>
      <c r="T941" s="43" t="s">
        <v>1964</v>
      </c>
      <c r="U941" s="43" t="s">
        <v>1384</v>
      </c>
      <c r="V941" s="43" t="s">
        <v>1723</v>
      </c>
      <c r="W941" s="43" t="s">
        <v>1384</v>
      </c>
      <c r="X941" s="43" t="s">
        <v>1384</v>
      </c>
      <c r="Z941" s="322">
        <v>22</v>
      </c>
      <c r="AA941" s="322">
        <v>52</v>
      </c>
      <c r="AB941" s="21" t="s">
        <v>451</v>
      </c>
      <c r="AF941" s="21" t="s">
        <v>1290</v>
      </c>
      <c r="AG941" s="21" t="s">
        <v>636</v>
      </c>
      <c r="AH941" s="138" t="s">
        <v>636</v>
      </c>
      <c r="AI941" s="21" t="s">
        <v>133</v>
      </c>
      <c r="AJ941" s="141" t="s">
        <v>1617</v>
      </c>
      <c r="AK941" s="21" t="s">
        <v>641</v>
      </c>
      <c r="AL941" s="21" t="s">
        <v>641</v>
      </c>
      <c r="AM941" s="21" t="s">
        <v>178</v>
      </c>
      <c r="AT941" s="21" t="s">
        <v>120</v>
      </c>
      <c r="AU941" s="21">
        <v>4</v>
      </c>
      <c r="AW941" s="21" t="s">
        <v>336</v>
      </c>
      <c r="BM941" s="396"/>
      <c r="BN941" s="396"/>
      <c r="BR941" s="396"/>
      <c r="BS941" s="396"/>
      <c r="CK941" s="28"/>
      <c r="GM941" s="21">
        <v>103.61</v>
      </c>
      <c r="GN941" s="21">
        <v>178.6</v>
      </c>
      <c r="GQ941" s="21" t="s">
        <v>623</v>
      </c>
      <c r="IA941" s="21">
        <v>278.55</v>
      </c>
      <c r="IB941" s="21">
        <v>383.25</v>
      </c>
      <c r="IO941" s="28" t="s">
        <v>660</v>
      </c>
      <c r="IP941" s="28" t="s">
        <v>1609</v>
      </c>
    </row>
    <row r="942" spans="1:250" s="21" customFormat="1" x14ac:dyDescent="0.25">
      <c r="A942" s="21">
        <v>44</v>
      </c>
      <c r="B942" s="21" t="s">
        <v>625</v>
      </c>
      <c r="C942" s="21" t="s">
        <v>626</v>
      </c>
      <c r="D942" s="21">
        <v>2000</v>
      </c>
      <c r="E942" s="21">
        <v>1998</v>
      </c>
      <c r="F942" s="21" t="s">
        <v>627</v>
      </c>
      <c r="G942" s="21" t="s">
        <v>633</v>
      </c>
      <c r="H942" s="32" t="s">
        <v>2831</v>
      </c>
      <c r="I942" s="21">
        <v>44.94</v>
      </c>
      <c r="J942" s="21">
        <v>-122.93</v>
      </c>
      <c r="K942" s="21">
        <v>66.5</v>
      </c>
      <c r="O942" s="21">
        <v>1040</v>
      </c>
      <c r="P942" s="21" t="s">
        <v>134</v>
      </c>
      <c r="Q942" s="21">
        <v>6</v>
      </c>
      <c r="R942" s="21">
        <v>6</v>
      </c>
      <c r="T942" s="43" t="s">
        <v>1966</v>
      </c>
      <c r="U942" s="43" t="s">
        <v>1384</v>
      </c>
      <c r="V942" s="43" t="s">
        <v>1723</v>
      </c>
      <c r="W942" s="43" t="s">
        <v>1384</v>
      </c>
      <c r="X942" s="43" t="s">
        <v>1384</v>
      </c>
      <c r="Z942" s="322">
        <v>22</v>
      </c>
      <c r="AA942" s="322">
        <v>52</v>
      </c>
      <c r="AB942" s="21" t="s">
        <v>451</v>
      </c>
      <c r="AF942" s="21" t="s">
        <v>1290</v>
      </c>
      <c r="AG942" s="21" t="s">
        <v>636</v>
      </c>
      <c r="AH942" s="138" t="s">
        <v>636</v>
      </c>
      <c r="AI942" s="21" t="s">
        <v>133</v>
      </c>
      <c r="AJ942" s="141" t="s">
        <v>1617</v>
      </c>
      <c r="AK942" s="21" t="s">
        <v>641</v>
      </c>
      <c r="AL942" s="21" t="s">
        <v>641</v>
      </c>
      <c r="AM942" s="21" t="s">
        <v>178</v>
      </c>
      <c r="AT942" s="21" t="s">
        <v>120</v>
      </c>
      <c r="AU942" s="21">
        <v>4</v>
      </c>
      <c r="AW942" s="21" t="s">
        <v>336</v>
      </c>
      <c r="BM942" s="396"/>
      <c r="BN942" s="396"/>
      <c r="BR942" s="396"/>
      <c r="BS942" s="396"/>
      <c r="CK942" s="28"/>
      <c r="GM942" s="21">
        <v>104.35</v>
      </c>
      <c r="GN942" s="21">
        <v>181.39</v>
      </c>
      <c r="GQ942" s="21" t="s">
        <v>623</v>
      </c>
      <c r="IA942" s="21">
        <v>136.37</v>
      </c>
      <c r="IB942" s="21">
        <v>194.53</v>
      </c>
      <c r="IO942" s="28" t="s">
        <v>660</v>
      </c>
      <c r="IP942" s="28" t="s">
        <v>1609</v>
      </c>
    </row>
    <row r="943" spans="1:250" s="24" customFormat="1" x14ac:dyDescent="0.25">
      <c r="A943" s="24">
        <v>45</v>
      </c>
      <c r="B943" s="24" t="s">
        <v>661</v>
      </c>
      <c r="C943" s="24" t="s">
        <v>662</v>
      </c>
      <c r="D943" s="24">
        <v>2005</v>
      </c>
      <c r="E943" s="24">
        <v>1994</v>
      </c>
      <c r="F943" s="24" t="s">
        <v>303</v>
      </c>
      <c r="G943" s="24" t="s">
        <v>527</v>
      </c>
      <c r="H943" s="32" t="s">
        <v>2831</v>
      </c>
      <c r="I943" s="24">
        <v>40.19</v>
      </c>
      <c r="J943" s="24">
        <v>-103.17</v>
      </c>
      <c r="K943" s="24">
        <v>1384</v>
      </c>
      <c r="Q943" s="42">
        <v>1</v>
      </c>
      <c r="R943" s="42" t="s">
        <v>1852</v>
      </c>
      <c r="S943" s="42"/>
      <c r="T943" s="42" t="s">
        <v>1967</v>
      </c>
      <c r="U943" s="42" t="s">
        <v>1386</v>
      </c>
      <c r="V943" s="42" t="s">
        <v>1724</v>
      </c>
      <c r="W943" s="42" t="s">
        <v>1386</v>
      </c>
      <c r="X943" s="42" t="s">
        <v>1386</v>
      </c>
      <c r="Z943" s="321"/>
      <c r="AA943" s="321"/>
      <c r="AB943" s="24" t="s">
        <v>451</v>
      </c>
      <c r="AF943" s="24" t="s">
        <v>1342</v>
      </c>
      <c r="AG943" s="24" t="s">
        <v>1541</v>
      </c>
      <c r="AH943" s="138" t="s">
        <v>578</v>
      </c>
      <c r="AI943" s="24" t="s">
        <v>117</v>
      </c>
      <c r="AJ943" s="140" t="s">
        <v>117</v>
      </c>
      <c r="AN943" s="24" t="s">
        <v>663</v>
      </c>
      <c r="AO943" s="24" t="s">
        <v>663</v>
      </c>
      <c r="AP943" s="24" t="s">
        <v>178</v>
      </c>
      <c r="AQ943" s="24" t="s">
        <v>664</v>
      </c>
      <c r="AR943" s="24" t="s">
        <v>664</v>
      </c>
      <c r="AS943" s="24" t="s">
        <v>178</v>
      </c>
      <c r="AT943" s="24" t="s">
        <v>120</v>
      </c>
      <c r="AU943" s="24">
        <v>4</v>
      </c>
      <c r="AW943" s="24" t="s">
        <v>336</v>
      </c>
      <c r="BH943" s="24">
        <v>3979</v>
      </c>
      <c r="BI943" s="24">
        <v>2670</v>
      </c>
      <c r="BM943" s="395"/>
      <c r="BN943" s="395"/>
      <c r="BR943" s="395"/>
      <c r="BS943" s="395"/>
      <c r="BW943" s="24">
        <f>(56+19)/2</f>
        <v>37.5</v>
      </c>
      <c r="BX943" s="24">
        <f>(35+7)/2</f>
        <v>21</v>
      </c>
      <c r="CA943" s="24" t="s">
        <v>679</v>
      </c>
      <c r="FD943" s="24">
        <v>245</v>
      </c>
      <c r="FE943" s="24">
        <v>173</v>
      </c>
      <c r="FH943" s="24" t="s">
        <v>665</v>
      </c>
      <c r="IO943" s="24" t="s">
        <v>729</v>
      </c>
    </row>
    <row r="944" spans="1:250" s="24" customFormat="1" x14ac:dyDescent="0.25">
      <c r="A944" s="24">
        <v>45</v>
      </c>
      <c r="B944" s="24" t="s">
        <v>661</v>
      </c>
      <c r="C944" s="24" t="s">
        <v>662</v>
      </c>
      <c r="D944" s="24">
        <v>2005</v>
      </c>
      <c r="E944" s="24">
        <v>1994</v>
      </c>
      <c r="F944" s="24" t="s">
        <v>303</v>
      </c>
      <c r="G944" s="24" t="s">
        <v>527</v>
      </c>
      <c r="H944" s="32" t="s">
        <v>2831</v>
      </c>
      <c r="I944" s="24">
        <v>40.19</v>
      </c>
      <c r="J944" s="24">
        <v>-103.17</v>
      </c>
      <c r="K944" s="24">
        <v>1384</v>
      </c>
      <c r="Q944" s="42">
        <v>1</v>
      </c>
      <c r="R944" s="42" t="s">
        <v>1852</v>
      </c>
      <c r="S944" s="42"/>
      <c r="T944" s="42" t="s">
        <v>1967</v>
      </c>
      <c r="U944" s="42" t="s">
        <v>1386</v>
      </c>
      <c r="V944" s="42" t="s">
        <v>1724</v>
      </c>
      <c r="W944" s="42" t="s">
        <v>1386</v>
      </c>
      <c r="X944" s="42" t="s">
        <v>1386</v>
      </c>
      <c r="Z944" s="321"/>
      <c r="AA944" s="321"/>
      <c r="AB944" s="24" t="s">
        <v>451</v>
      </c>
      <c r="AF944" s="24" t="s">
        <v>1342</v>
      </c>
      <c r="AG944" s="24" t="s">
        <v>1542</v>
      </c>
      <c r="AH944" s="138" t="s">
        <v>578</v>
      </c>
      <c r="AI944" s="24" t="s">
        <v>117</v>
      </c>
      <c r="AJ944" s="140" t="s">
        <v>117</v>
      </c>
      <c r="AN944" s="24" t="s">
        <v>663</v>
      </c>
      <c r="AO944" s="24" t="s">
        <v>663</v>
      </c>
      <c r="AP944" s="24" t="s">
        <v>178</v>
      </c>
      <c r="AQ944" s="24" t="s">
        <v>664</v>
      </c>
      <c r="AR944" s="24" t="s">
        <v>664</v>
      </c>
      <c r="AS944" s="24" t="s">
        <v>178</v>
      </c>
      <c r="AT944" s="24" t="s">
        <v>120</v>
      </c>
      <c r="AU944" s="24">
        <v>4</v>
      </c>
      <c r="AW944" s="24" t="s">
        <v>336</v>
      </c>
      <c r="BH944" s="24">
        <v>3979</v>
      </c>
      <c r="BI944" s="24">
        <v>2663</v>
      </c>
      <c r="BM944" s="395"/>
      <c r="BN944" s="395"/>
      <c r="BR944" s="395"/>
      <c r="BS944" s="395"/>
      <c r="BW944" s="24">
        <f t="shared" ref="BW944:BW945" si="220">(56+19)/2</f>
        <v>37.5</v>
      </c>
      <c r="BX944" s="24">
        <f>(31+7)/2</f>
        <v>19</v>
      </c>
      <c r="CA944" s="24" t="s">
        <v>679</v>
      </c>
      <c r="FD944" s="24">
        <v>245</v>
      </c>
      <c r="FE944" s="24">
        <v>188</v>
      </c>
      <c r="FH944" s="24" t="s">
        <v>665</v>
      </c>
      <c r="IO944" s="24" t="s">
        <v>729</v>
      </c>
    </row>
    <row r="945" spans="1:249" s="24" customFormat="1" x14ac:dyDescent="0.25">
      <c r="A945" s="24">
        <v>45</v>
      </c>
      <c r="B945" s="24" t="s">
        <v>661</v>
      </c>
      <c r="C945" s="24" t="s">
        <v>662</v>
      </c>
      <c r="D945" s="24">
        <v>2005</v>
      </c>
      <c r="E945" s="24">
        <v>1994</v>
      </c>
      <c r="F945" s="24" t="s">
        <v>303</v>
      </c>
      <c r="G945" s="24" t="s">
        <v>527</v>
      </c>
      <c r="H945" s="32" t="s">
        <v>2831</v>
      </c>
      <c r="I945" s="24">
        <v>40.19</v>
      </c>
      <c r="J945" s="24">
        <v>-103.17</v>
      </c>
      <c r="K945" s="24">
        <v>1384</v>
      </c>
      <c r="Q945" s="42">
        <v>1</v>
      </c>
      <c r="R945" s="42" t="s">
        <v>1852</v>
      </c>
      <c r="S945" s="42"/>
      <c r="T945" s="42" t="s">
        <v>1967</v>
      </c>
      <c r="U945" s="42" t="s">
        <v>1386</v>
      </c>
      <c r="V945" s="42" t="s">
        <v>1724</v>
      </c>
      <c r="W945" s="42" t="s">
        <v>1386</v>
      </c>
      <c r="X945" s="42" t="s">
        <v>1386</v>
      </c>
      <c r="Z945" s="321"/>
      <c r="AA945" s="321"/>
      <c r="AB945" s="24" t="s">
        <v>451</v>
      </c>
      <c r="AF945" s="24" t="s">
        <v>1342</v>
      </c>
      <c r="AG945" s="24" t="s">
        <v>563</v>
      </c>
      <c r="AH945" s="138" t="s">
        <v>578</v>
      </c>
      <c r="AI945" s="24" t="s">
        <v>117</v>
      </c>
      <c r="AJ945" s="140" t="s">
        <v>117</v>
      </c>
      <c r="AN945" s="24" t="s">
        <v>663</v>
      </c>
      <c r="AO945" s="24" t="s">
        <v>663</v>
      </c>
      <c r="AP945" s="24" t="s">
        <v>178</v>
      </c>
      <c r="AQ945" s="24" t="s">
        <v>664</v>
      </c>
      <c r="AR945" s="24" t="s">
        <v>664</v>
      </c>
      <c r="AS945" s="24" t="s">
        <v>178</v>
      </c>
      <c r="AT945" s="24" t="s">
        <v>120</v>
      </c>
      <c r="AU945" s="24">
        <v>4</v>
      </c>
      <c r="AW945" s="24" t="s">
        <v>336</v>
      </c>
      <c r="BH945" s="24">
        <v>3979</v>
      </c>
      <c r="BI945" s="24">
        <v>2632</v>
      </c>
      <c r="BM945" s="395"/>
      <c r="BN945" s="395"/>
      <c r="BR945" s="395"/>
      <c r="BS945" s="395"/>
      <c r="BW945" s="24">
        <f t="shared" si="220"/>
        <v>37.5</v>
      </c>
      <c r="BX945" s="24">
        <f>(35+6)/2</f>
        <v>20.5</v>
      </c>
      <c r="CA945" s="24" t="s">
        <v>679</v>
      </c>
      <c r="FD945" s="24">
        <v>245</v>
      </c>
      <c r="FE945" s="24">
        <v>172</v>
      </c>
      <c r="FH945" s="24" t="s">
        <v>665</v>
      </c>
      <c r="IO945" s="24" t="s">
        <v>729</v>
      </c>
    </row>
    <row r="946" spans="1:249" s="24" customFormat="1" x14ac:dyDescent="0.25">
      <c r="A946" s="24">
        <v>45</v>
      </c>
      <c r="B946" s="24" t="s">
        <v>661</v>
      </c>
      <c r="C946" s="24" t="s">
        <v>662</v>
      </c>
      <c r="D946" s="24">
        <v>2005</v>
      </c>
      <c r="E946" s="24">
        <v>1994</v>
      </c>
      <c r="F946" s="24" t="s">
        <v>303</v>
      </c>
      <c r="G946" s="24" t="s">
        <v>527</v>
      </c>
      <c r="H946" s="32" t="s">
        <v>2831</v>
      </c>
      <c r="I946" s="24">
        <v>40.19</v>
      </c>
      <c r="J946" s="24">
        <v>-103.17</v>
      </c>
      <c r="K946" s="24">
        <v>1384</v>
      </c>
      <c r="Q946" s="42">
        <v>1</v>
      </c>
      <c r="R946" s="42" t="s">
        <v>1852</v>
      </c>
      <c r="S946" s="42"/>
      <c r="T946" s="42" t="s">
        <v>1967</v>
      </c>
      <c r="U946" s="42" t="s">
        <v>1386</v>
      </c>
      <c r="V946" s="42" t="s">
        <v>1724</v>
      </c>
      <c r="W946" s="42" t="s">
        <v>1386</v>
      </c>
      <c r="X946" s="42" t="s">
        <v>1386</v>
      </c>
      <c r="Z946" s="321"/>
      <c r="AA946" s="321"/>
      <c r="AB946" s="24" t="s">
        <v>451</v>
      </c>
      <c r="AF946" s="24" t="s">
        <v>1342</v>
      </c>
      <c r="AG946" s="24" t="s">
        <v>244</v>
      </c>
      <c r="AH946" s="138" t="s">
        <v>578</v>
      </c>
      <c r="AI946" s="24" t="s">
        <v>117</v>
      </c>
      <c r="AJ946" s="140" t="s">
        <v>117</v>
      </c>
      <c r="AN946" s="24" t="s">
        <v>663</v>
      </c>
      <c r="AO946" s="24" t="s">
        <v>663</v>
      </c>
      <c r="AP946" s="24" t="s">
        <v>178</v>
      </c>
      <c r="AQ946" s="24" t="s">
        <v>664</v>
      </c>
      <c r="AR946" s="24" t="s">
        <v>664</v>
      </c>
      <c r="AS946" s="24" t="s">
        <v>178</v>
      </c>
      <c r="AT946" s="24" t="s">
        <v>120</v>
      </c>
      <c r="AU946" s="24">
        <v>4</v>
      </c>
      <c r="AW946" s="24" t="s">
        <v>336</v>
      </c>
      <c r="BM946" s="395"/>
      <c r="BN946" s="395"/>
      <c r="BR946" s="395"/>
      <c r="BS946" s="395"/>
      <c r="IO946" s="24" t="s">
        <v>729</v>
      </c>
    </row>
    <row r="947" spans="1:249" s="32" customFormat="1" x14ac:dyDescent="0.25">
      <c r="A947" s="32">
        <v>45</v>
      </c>
      <c r="B947" s="32" t="s">
        <v>661</v>
      </c>
      <c r="C947" s="32" t="s">
        <v>662</v>
      </c>
      <c r="D947" s="32">
        <v>2005</v>
      </c>
      <c r="E947" s="32">
        <v>1995</v>
      </c>
      <c r="F947" s="32" t="s">
        <v>303</v>
      </c>
      <c r="G947" s="32" t="s">
        <v>527</v>
      </c>
      <c r="H947" s="32" t="s">
        <v>2831</v>
      </c>
      <c r="I947" s="32">
        <v>40.19</v>
      </c>
      <c r="J947" s="32">
        <v>-103.17</v>
      </c>
      <c r="K947" s="32">
        <v>1384</v>
      </c>
      <c r="Q947" s="44">
        <v>2</v>
      </c>
      <c r="R947" s="44" t="s">
        <v>1852</v>
      </c>
      <c r="S947" s="44"/>
      <c r="T947" s="44" t="s">
        <v>1967</v>
      </c>
      <c r="U947" s="44" t="s">
        <v>1386</v>
      </c>
      <c r="V947" s="44" t="s">
        <v>1724</v>
      </c>
      <c r="W947" s="44" t="s">
        <v>1386</v>
      </c>
      <c r="X947" s="44" t="s">
        <v>1386</v>
      </c>
      <c r="Z947" s="323"/>
      <c r="AA947" s="323"/>
      <c r="AB947" s="32" t="s">
        <v>451</v>
      </c>
      <c r="AF947" s="32" t="s">
        <v>1342</v>
      </c>
      <c r="AG947" s="32" t="s">
        <v>1541</v>
      </c>
      <c r="AH947" s="138" t="s">
        <v>578</v>
      </c>
      <c r="AI947" s="32" t="s">
        <v>117</v>
      </c>
      <c r="AJ947" s="140" t="s">
        <v>117</v>
      </c>
      <c r="AN947" s="32" t="s">
        <v>663</v>
      </c>
      <c r="AO947" s="32" t="s">
        <v>663</v>
      </c>
      <c r="AP947" s="32" t="s">
        <v>178</v>
      </c>
      <c r="AQ947" s="32" t="s">
        <v>664</v>
      </c>
      <c r="AR947" s="32" t="s">
        <v>664</v>
      </c>
      <c r="AS947" s="32" t="s">
        <v>178</v>
      </c>
      <c r="AT947" s="32" t="s">
        <v>120</v>
      </c>
      <c r="AU947" s="32">
        <v>4</v>
      </c>
      <c r="AW947" s="32" t="s">
        <v>336</v>
      </c>
      <c r="BH947" s="32">
        <v>6032</v>
      </c>
      <c r="BI947" s="32">
        <v>3721</v>
      </c>
      <c r="BM947" s="397"/>
      <c r="BN947" s="397"/>
      <c r="BR947" s="397"/>
      <c r="BS947" s="397"/>
      <c r="BW947" s="32">
        <f>(23+5)/2</f>
        <v>14</v>
      </c>
      <c r="BX947" s="32">
        <f>(3+5)/2</f>
        <v>4</v>
      </c>
      <c r="CA947" s="32" t="s">
        <v>679</v>
      </c>
      <c r="FD947" s="32">
        <v>293</v>
      </c>
      <c r="FE947" s="32">
        <v>202</v>
      </c>
      <c r="FH947" s="32" t="s">
        <v>665</v>
      </c>
      <c r="IO947" s="32" t="s">
        <v>729</v>
      </c>
    </row>
    <row r="948" spans="1:249" s="32" customFormat="1" x14ac:dyDescent="0.25">
      <c r="A948" s="32">
        <v>45</v>
      </c>
      <c r="B948" s="32" t="s">
        <v>661</v>
      </c>
      <c r="C948" s="32" t="s">
        <v>662</v>
      </c>
      <c r="D948" s="32">
        <v>2005</v>
      </c>
      <c r="E948" s="32">
        <v>1995</v>
      </c>
      <c r="F948" s="32" t="s">
        <v>303</v>
      </c>
      <c r="G948" s="32" t="s">
        <v>527</v>
      </c>
      <c r="H948" s="32" t="s">
        <v>2831</v>
      </c>
      <c r="I948" s="32">
        <v>40.19</v>
      </c>
      <c r="J948" s="32">
        <v>-103.17</v>
      </c>
      <c r="K948" s="32">
        <v>1384</v>
      </c>
      <c r="Q948" s="44">
        <v>2</v>
      </c>
      <c r="R948" s="44" t="s">
        <v>1852</v>
      </c>
      <c r="S948" s="44"/>
      <c r="T948" s="44" t="s">
        <v>1967</v>
      </c>
      <c r="U948" s="44" t="s">
        <v>1386</v>
      </c>
      <c r="V948" s="44" t="s">
        <v>1724</v>
      </c>
      <c r="W948" s="44" t="s">
        <v>1386</v>
      </c>
      <c r="X948" s="44" t="s">
        <v>1386</v>
      </c>
      <c r="Z948" s="323"/>
      <c r="AA948" s="323"/>
      <c r="AB948" s="32" t="s">
        <v>451</v>
      </c>
      <c r="AF948" s="32" t="s">
        <v>1342</v>
      </c>
      <c r="AG948" s="32" t="s">
        <v>1542</v>
      </c>
      <c r="AH948" s="138" t="s">
        <v>578</v>
      </c>
      <c r="AI948" s="32" t="s">
        <v>117</v>
      </c>
      <c r="AJ948" s="140" t="s">
        <v>117</v>
      </c>
      <c r="AN948" s="32" t="s">
        <v>663</v>
      </c>
      <c r="AO948" s="32" t="s">
        <v>663</v>
      </c>
      <c r="AP948" s="32" t="s">
        <v>178</v>
      </c>
      <c r="AQ948" s="32" t="s">
        <v>664</v>
      </c>
      <c r="AR948" s="32" t="s">
        <v>664</v>
      </c>
      <c r="AS948" s="32" t="s">
        <v>178</v>
      </c>
      <c r="AT948" s="32" t="s">
        <v>120</v>
      </c>
      <c r="AU948" s="32">
        <v>4</v>
      </c>
      <c r="AW948" s="32" t="s">
        <v>336</v>
      </c>
      <c r="BH948" s="32">
        <v>6032</v>
      </c>
      <c r="BI948" s="32">
        <v>4082</v>
      </c>
      <c r="BM948" s="397"/>
      <c r="BN948" s="397"/>
      <c r="BR948" s="397"/>
      <c r="BS948" s="397"/>
      <c r="BW948" s="32">
        <f t="shared" ref="BW948:BW949" si="221">(23+5)/2</f>
        <v>14</v>
      </c>
      <c r="BX948" s="32">
        <f>(4+5)/2</f>
        <v>4.5</v>
      </c>
      <c r="CA948" s="32" t="s">
        <v>679</v>
      </c>
      <c r="FD948" s="32">
        <v>293</v>
      </c>
      <c r="FE948" s="32">
        <v>202</v>
      </c>
      <c r="FH948" s="32" t="s">
        <v>665</v>
      </c>
      <c r="IO948" s="32" t="s">
        <v>729</v>
      </c>
    </row>
    <row r="949" spans="1:249" s="32" customFormat="1" x14ac:dyDescent="0.25">
      <c r="A949" s="32">
        <v>45</v>
      </c>
      <c r="B949" s="32" t="s">
        <v>661</v>
      </c>
      <c r="C949" s="32" t="s">
        <v>662</v>
      </c>
      <c r="D949" s="32">
        <v>2005</v>
      </c>
      <c r="E949" s="32">
        <v>1995</v>
      </c>
      <c r="F949" s="32" t="s">
        <v>303</v>
      </c>
      <c r="G949" s="32" t="s">
        <v>527</v>
      </c>
      <c r="H949" s="32" t="s">
        <v>2831</v>
      </c>
      <c r="I949" s="32">
        <v>40.19</v>
      </c>
      <c r="J949" s="32">
        <v>-103.17</v>
      </c>
      <c r="K949" s="32">
        <v>1384</v>
      </c>
      <c r="Q949" s="44">
        <v>2</v>
      </c>
      <c r="R949" s="44" t="s">
        <v>1852</v>
      </c>
      <c r="S949" s="44"/>
      <c r="T949" s="44" t="s">
        <v>1967</v>
      </c>
      <c r="U949" s="44" t="s">
        <v>1386</v>
      </c>
      <c r="V949" s="44" t="s">
        <v>1724</v>
      </c>
      <c r="W949" s="44" t="s">
        <v>1386</v>
      </c>
      <c r="X949" s="44" t="s">
        <v>1386</v>
      </c>
      <c r="Z949" s="323"/>
      <c r="AA949" s="323"/>
      <c r="AB949" s="32" t="s">
        <v>451</v>
      </c>
      <c r="AF949" s="32" t="s">
        <v>1342</v>
      </c>
      <c r="AG949" s="32" t="s">
        <v>563</v>
      </c>
      <c r="AH949" s="138" t="s">
        <v>578</v>
      </c>
      <c r="AI949" s="32" t="s">
        <v>117</v>
      </c>
      <c r="AJ949" s="140" t="s">
        <v>117</v>
      </c>
      <c r="AN949" s="32" t="s">
        <v>663</v>
      </c>
      <c r="AO949" s="32" t="s">
        <v>663</v>
      </c>
      <c r="AP949" s="32" t="s">
        <v>178</v>
      </c>
      <c r="AQ949" s="32" t="s">
        <v>664</v>
      </c>
      <c r="AR949" s="32" t="s">
        <v>664</v>
      </c>
      <c r="AS949" s="32" t="s">
        <v>178</v>
      </c>
      <c r="AT949" s="32" t="s">
        <v>120</v>
      </c>
      <c r="AU949" s="32">
        <v>4</v>
      </c>
      <c r="AW949" s="32" t="s">
        <v>336</v>
      </c>
      <c r="BH949" s="32">
        <v>6032</v>
      </c>
      <c r="BI949" s="32">
        <v>2632</v>
      </c>
      <c r="BM949" s="397"/>
      <c r="BN949" s="397"/>
      <c r="BR949" s="397"/>
      <c r="BS949" s="397"/>
      <c r="BW949" s="32">
        <f t="shared" si="221"/>
        <v>14</v>
      </c>
      <c r="BX949" s="32">
        <f>(2+5)/2</f>
        <v>3.5</v>
      </c>
      <c r="CA949" s="32" t="s">
        <v>679</v>
      </c>
      <c r="FD949" s="32">
        <v>293</v>
      </c>
      <c r="FE949" s="32">
        <v>205</v>
      </c>
      <c r="FH949" s="32" t="s">
        <v>665</v>
      </c>
      <c r="IO949" s="32" t="s">
        <v>729</v>
      </c>
    </row>
    <row r="950" spans="1:249" s="32" customFormat="1" x14ac:dyDescent="0.25">
      <c r="A950" s="32">
        <v>45</v>
      </c>
      <c r="B950" s="32" t="s">
        <v>661</v>
      </c>
      <c r="C950" s="32" t="s">
        <v>662</v>
      </c>
      <c r="D950" s="32">
        <v>2005</v>
      </c>
      <c r="E950" s="32">
        <v>1995</v>
      </c>
      <c r="F950" s="32" t="s">
        <v>303</v>
      </c>
      <c r="G950" s="32" t="s">
        <v>527</v>
      </c>
      <c r="H950" s="32" t="s">
        <v>2831</v>
      </c>
      <c r="I950" s="32">
        <v>40.19</v>
      </c>
      <c r="J950" s="32">
        <v>-103.17</v>
      </c>
      <c r="K950" s="32">
        <v>1384</v>
      </c>
      <c r="Q950" s="44">
        <v>2</v>
      </c>
      <c r="R950" s="44" t="s">
        <v>1852</v>
      </c>
      <c r="S950" s="44"/>
      <c r="T950" s="44" t="s">
        <v>1967</v>
      </c>
      <c r="U950" s="44" t="s">
        <v>1386</v>
      </c>
      <c r="V950" s="44" t="s">
        <v>1724</v>
      </c>
      <c r="W950" s="44" t="s">
        <v>1386</v>
      </c>
      <c r="X950" s="44" t="s">
        <v>1386</v>
      </c>
      <c r="Z950" s="323"/>
      <c r="AA950" s="323"/>
      <c r="AB950" s="32" t="s">
        <v>451</v>
      </c>
      <c r="AF950" s="32" t="s">
        <v>1342</v>
      </c>
      <c r="AG950" s="32" t="s">
        <v>244</v>
      </c>
      <c r="AH950" s="138" t="s">
        <v>578</v>
      </c>
      <c r="AI950" s="32" t="s">
        <v>117</v>
      </c>
      <c r="AJ950" s="140" t="s">
        <v>117</v>
      </c>
      <c r="AN950" s="32" t="s">
        <v>663</v>
      </c>
      <c r="AO950" s="32" t="s">
        <v>663</v>
      </c>
      <c r="AP950" s="32" t="s">
        <v>178</v>
      </c>
      <c r="AQ950" s="32" t="s">
        <v>664</v>
      </c>
      <c r="AR950" s="32" t="s">
        <v>664</v>
      </c>
      <c r="AS950" s="32" t="s">
        <v>178</v>
      </c>
      <c r="AT950" s="32" t="s">
        <v>120</v>
      </c>
      <c r="AU950" s="32">
        <v>4</v>
      </c>
      <c r="AW950" s="32" t="s">
        <v>336</v>
      </c>
      <c r="BM950" s="397"/>
      <c r="BN950" s="397"/>
      <c r="BR950" s="397"/>
      <c r="BS950" s="397"/>
      <c r="IO950" s="32" t="s">
        <v>729</v>
      </c>
    </row>
    <row r="951" spans="1:249" s="24" customFormat="1" x14ac:dyDescent="0.25">
      <c r="A951" s="24">
        <v>45</v>
      </c>
      <c r="B951" s="24" t="s">
        <v>661</v>
      </c>
      <c r="C951" s="24" t="s">
        <v>662</v>
      </c>
      <c r="D951" s="24">
        <v>2005</v>
      </c>
      <c r="E951" s="24">
        <v>1996</v>
      </c>
      <c r="F951" s="24" t="s">
        <v>303</v>
      </c>
      <c r="G951" s="24" t="s">
        <v>527</v>
      </c>
      <c r="H951" s="32" t="s">
        <v>2831</v>
      </c>
      <c r="I951" s="24">
        <v>40.19</v>
      </c>
      <c r="J951" s="24">
        <v>-103.17</v>
      </c>
      <c r="K951" s="24">
        <v>1384</v>
      </c>
      <c r="Q951" s="42">
        <v>3</v>
      </c>
      <c r="R951" s="42" t="s">
        <v>1852</v>
      </c>
      <c r="S951" s="42"/>
      <c r="T951" s="42" t="s">
        <v>1967</v>
      </c>
      <c r="U951" s="42" t="s">
        <v>1386</v>
      </c>
      <c r="V951" s="42" t="s">
        <v>1724</v>
      </c>
      <c r="W951" s="42" t="s">
        <v>1386</v>
      </c>
      <c r="X951" s="42" t="s">
        <v>1386</v>
      </c>
      <c r="Z951" s="321"/>
      <c r="AA951" s="321"/>
      <c r="AB951" s="24" t="s">
        <v>451</v>
      </c>
      <c r="AF951" s="24" t="s">
        <v>1342</v>
      </c>
      <c r="AG951" s="24" t="s">
        <v>1541</v>
      </c>
      <c r="AH951" s="138" t="s">
        <v>578</v>
      </c>
      <c r="AI951" s="24" t="s">
        <v>117</v>
      </c>
      <c r="AJ951" s="140" t="s">
        <v>117</v>
      </c>
      <c r="AN951" s="24" t="s">
        <v>663</v>
      </c>
      <c r="AO951" s="24" t="s">
        <v>663</v>
      </c>
      <c r="AP951" s="24" t="s">
        <v>178</v>
      </c>
      <c r="AQ951" s="24" t="s">
        <v>664</v>
      </c>
      <c r="AR951" s="24" t="s">
        <v>664</v>
      </c>
      <c r="AS951" s="24" t="s">
        <v>178</v>
      </c>
      <c r="AT951" s="24" t="s">
        <v>120</v>
      </c>
      <c r="AU951" s="24">
        <v>4</v>
      </c>
      <c r="AW951" s="24" t="s">
        <v>336</v>
      </c>
      <c r="BH951" s="24">
        <v>4149</v>
      </c>
      <c r="BI951" s="24">
        <v>2948</v>
      </c>
      <c r="BM951" s="395"/>
      <c r="BN951" s="395"/>
      <c r="BR951" s="395"/>
      <c r="BS951" s="395"/>
      <c r="BW951" s="24">
        <f>(60+14)/2</f>
        <v>37</v>
      </c>
      <c r="BX951" s="24">
        <f>(51+11)/2</f>
        <v>31</v>
      </c>
      <c r="CA951" s="24" t="s">
        <v>679</v>
      </c>
      <c r="FD951" s="24">
        <v>349</v>
      </c>
      <c r="FE951" s="24">
        <v>239</v>
      </c>
      <c r="FH951" s="24" t="s">
        <v>665</v>
      </c>
      <c r="IO951" s="24" t="s">
        <v>729</v>
      </c>
    </row>
    <row r="952" spans="1:249" s="24" customFormat="1" x14ac:dyDescent="0.25">
      <c r="A952" s="24">
        <v>45</v>
      </c>
      <c r="B952" s="24" t="s">
        <v>661</v>
      </c>
      <c r="C952" s="24" t="s">
        <v>662</v>
      </c>
      <c r="D952" s="24">
        <v>2005</v>
      </c>
      <c r="E952" s="24">
        <v>1996</v>
      </c>
      <c r="F952" s="24" t="s">
        <v>303</v>
      </c>
      <c r="G952" s="24" t="s">
        <v>527</v>
      </c>
      <c r="H952" s="32" t="s">
        <v>2831</v>
      </c>
      <c r="I952" s="24">
        <v>40.19</v>
      </c>
      <c r="J952" s="24">
        <v>-103.17</v>
      </c>
      <c r="K952" s="24">
        <v>1384</v>
      </c>
      <c r="Q952" s="42">
        <v>3</v>
      </c>
      <c r="R952" s="42" t="s">
        <v>1852</v>
      </c>
      <c r="S952" s="42"/>
      <c r="T952" s="42" t="s">
        <v>1967</v>
      </c>
      <c r="U952" s="42" t="s">
        <v>1386</v>
      </c>
      <c r="V952" s="42" t="s">
        <v>1724</v>
      </c>
      <c r="W952" s="42" t="s">
        <v>1386</v>
      </c>
      <c r="X952" s="42" t="s">
        <v>1386</v>
      </c>
      <c r="Z952" s="321"/>
      <c r="AA952" s="321"/>
      <c r="AB952" s="24" t="s">
        <v>451</v>
      </c>
      <c r="AF952" s="24" t="s">
        <v>1342</v>
      </c>
      <c r="AG952" s="24" t="s">
        <v>1542</v>
      </c>
      <c r="AH952" s="138" t="s">
        <v>578</v>
      </c>
      <c r="AI952" s="24" t="s">
        <v>117</v>
      </c>
      <c r="AJ952" s="140" t="s">
        <v>117</v>
      </c>
      <c r="AN952" s="24" t="s">
        <v>663</v>
      </c>
      <c r="AO952" s="24" t="s">
        <v>663</v>
      </c>
      <c r="AP952" s="24" t="s">
        <v>178</v>
      </c>
      <c r="AQ952" s="24" t="s">
        <v>664</v>
      </c>
      <c r="AR952" s="24" t="s">
        <v>664</v>
      </c>
      <c r="AS952" s="24" t="s">
        <v>178</v>
      </c>
      <c r="AT952" s="24" t="s">
        <v>120</v>
      </c>
      <c r="AU952" s="24">
        <v>4</v>
      </c>
      <c r="AW952" s="24" t="s">
        <v>336</v>
      </c>
      <c r="BH952" s="24">
        <v>4149</v>
      </c>
      <c r="BI952" s="24">
        <v>3164</v>
      </c>
      <c r="BM952" s="395"/>
      <c r="BN952" s="395"/>
      <c r="BR952" s="395"/>
      <c r="BS952" s="395"/>
      <c r="BW952" s="24">
        <f t="shared" ref="BW952:BW953" si="222">(60+14)/2</f>
        <v>37</v>
      </c>
      <c r="BX952" s="24">
        <f>(43+11)/2</f>
        <v>27</v>
      </c>
      <c r="CA952" s="24" t="s">
        <v>679</v>
      </c>
      <c r="FD952" s="24">
        <v>349</v>
      </c>
      <c r="FE952" s="24">
        <v>261</v>
      </c>
      <c r="FH952" s="24" t="s">
        <v>665</v>
      </c>
      <c r="IO952" s="24" t="s">
        <v>729</v>
      </c>
    </row>
    <row r="953" spans="1:249" s="24" customFormat="1" x14ac:dyDescent="0.25">
      <c r="A953" s="24">
        <v>45</v>
      </c>
      <c r="B953" s="24" t="s">
        <v>661</v>
      </c>
      <c r="C953" s="24" t="s">
        <v>662</v>
      </c>
      <c r="D953" s="24">
        <v>2005</v>
      </c>
      <c r="E953" s="24">
        <v>1996</v>
      </c>
      <c r="F953" s="24" t="s">
        <v>303</v>
      </c>
      <c r="G953" s="24" t="s">
        <v>527</v>
      </c>
      <c r="H953" s="32" t="s">
        <v>2831</v>
      </c>
      <c r="I953" s="24">
        <v>40.19</v>
      </c>
      <c r="J953" s="24">
        <v>-103.17</v>
      </c>
      <c r="K953" s="24">
        <v>1384</v>
      </c>
      <c r="Q953" s="42">
        <v>3</v>
      </c>
      <c r="R953" s="42" t="s">
        <v>1852</v>
      </c>
      <c r="S953" s="42"/>
      <c r="T953" s="42" t="s">
        <v>1967</v>
      </c>
      <c r="U953" s="42" t="s">
        <v>1386</v>
      </c>
      <c r="V953" s="42" t="s">
        <v>1724</v>
      </c>
      <c r="W953" s="42" t="s">
        <v>1386</v>
      </c>
      <c r="X953" s="42" t="s">
        <v>1386</v>
      </c>
      <c r="Z953" s="321"/>
      <c r="AA953" s="321"/>
      <c r="AB953" s="24" t="s">
        <v>451</v>
      </c>
      <c r="AF953" s="24" t="s">
        <v>1342</v>
      </c>
      <c r="AG953" s="24" t="s">
        <v>563</v>
      </c>
      <c r="AH953" s="138" t="s">
        <v>578</v>
      </c>
      <c r="AI953" s="24" t="s">
        <v>117</v>
      </c>
      <c r="AJ953" s="140" t="s">
        <v>117</v>
      </c>
      <c r="AN953" s="24" t="s">
        <v>663</v>
      </c>
      <c r="AO953" s="24" t="s">
        <v>663</v>
      </c>
      <c r="AP953" s="24" t="s">
        <v>178</v>
      </c>
      <c r="AQ953" s="24" t="s">
        <v>664</v>
      </c>
      <c r="AR953" s="24" t="s">
        <v>664</v>
      </c>
      <c r="AS953" s="24" t="s">
        <v>178</v>
      </c>
      <c r="AT953" s="24" t="s">
        <v>120</v>
      </c>
      <c r="AU953" s="24">
        <v>4</v>
      </c>
      <c r="AW953" s="24" t="s">
        <v>336</v>
      </c>
      <c r="BH953" s="24">
        <v>4149</v>
      </c>
      <c r="BI953" s="24">
        <v>2749</v>
      </c>
      <c r="BM953" s="395"/>
      <c r="BN953" s="395"/>
      <c r="BR953" s="395"/>
      <c r="BS953" s="395"/>
      <c r="BW953" s="24">
        <f t="shared" si="222"/>
        <v>37</v>
      </c>
      <c r="BX953" s="24">
        <f>(42+10)/2</f>
        <v>26</v>
      </c>
      <c r="CA953" s="24" t="s">
        <v>679</v>
      </c>
      <c r="FD953" s="24">
        <v>349</v>
      </c>
      <c r="FE953" s="24">
        <v>251</v>
      </c>
      <c r="FH953" s="24" t="s">
        <v>665</v>
      </c>
      <c r="IO953" s="24" t="s">
        <v>729</v>
      </c>
    </row>
    <row r="954" spans="1:249" s="24" customFormat="1" x14ac:dyDescent="0.25">
      <c r="A954" s="24">
        <v>45</v>
      </c>
      <c r="B954" s="24" t="s">
        <v>661</v>
      </c>
      <c r="C954" s="24" t="s">
        <v>662</v>
      </c>
      <c r="D954" s="24">
        <v>2005</v>
      </c>
      <c r="E954" s="24">
        <v>1996</v>
      </c>
      <c r="F954" s="24" t="s">
        <v>303</v>
      </c>
      <c r="G954" s="24" t="s">
        <v>527</v>
      </c>
      <c r="H954" s="32" t="s">
        <v>2831</v>
      </c>
      <c r="I954" s="24">
        <v>40.19</v>
      </c>
      <c r="J954" s="24">
        <v>-103.17</v>
      </c>
      <c r="K954" s="24">
        <v>1384</v>
      </c>
      <c r="Q954" s="42">
        <v>3</v>
      </c>
      <c r="R954" s="42" t="s">
        <v>1852</v>
      </c>
      <c r="S954" s="42"/>
      <c r="T954" s="42" t="s">
        <v>1967</v>
      </c>
      <c r="U954" s="42" t="s">
        <v>1386</v>
      </c>
      <c r="V954" s="42" t="s">
        <v>1724</v>
      </c>
      <c r="W954" s="42" t="s">
        <v>1386</v>
      </c>
      <c r="X954" s="42" t="s">
        <v>1386</v>
      </c>
      <c r="Z954" s="321"/>
      <c r="AA954" s="321"/>
      <c r="AB954" s="24" t="s">
        <v>451</v>
      </c>
      <c r="AF954" s="24" t="s">
        <v>1342</v>
      </c>
      <c r="AG954" s="24" t="s">
        <v>244</v>
      </c>
      <c r="AH954" s="138" t="s">
        <v>578</v>
      </c>
      <c r="AI954" s="24" t="s">
        <v>117</v>
      </c>
      <c r="AJ954" s="140" t="s">
        <v>117</v>
      </c>
      <c r="AN954" s="24" t="s">
        <v>663</v>
      </c>
      <c r="AO954" s="24" t="s">
        <v>663</v>
      </c>
      <c r="AP954" s="24" t="s">
        <v>178</v>
      </c>
      <c r="AQ954" s="24" t="s">
        <v>664</v>
      </c>
      <c r="AR954" s="24" t="s">
        <v>664</v>
      </c>
      <c r="AS954" s="24" t="s">
        <v>178</v>
      </c>
      <c r="AT954" s="24" t="s">
        <v>120</v>
      </c>
      <c r="AU954" s="24">
        <v>4</v>
      </c>
      <c r="AW954" s="24" t="s">
        <v>336</v>
      </c>
      <c r="BM954" s="395"/>
      <c r="BN954" s="395"/>
      <c r="BR954" s="395"/>
      <c r="BS954" s="395"/>
      <c r="IO954" s="24" t="s">
        <v>729</v>
      </c>
    </row>
    <row r="955" spans="1:249" s="32" customFormat="1" x14ac:dyDescent="0.25">
      <c r="A955" s="32">
        <v>45</v>
      </c>
      <c r="B955" s="32" t="s">
        <v>661</v>
      </c>
      <c r="C955" s="32" t="s">
        <v>662</v>
      </c>
      <c r="D955" s="32">
        <v>2005</v>
      </c>
      <c r="E955" s="32">
        <v>1997</v>
      </c>
      <c r="F955" s="32" t="s">
        <v>303</v>
      </c>
      <c r="G955" s="32" t="s">
        <v>527</v>
      </c>
      <c r="H955" s="32" t="s">
        <v>2831</v>
      </c>
      <c r="I955" s="32">
        <v>40.19</v>
      </c>
      <c r="J955" s="32">
        <v>-103.17</v>
      </c>
      <c r="K955" s="32">
        <v>1384</v>
      </c>
      <c r="Q955" s="44">
        <v>4</v>
      </c>
      <c r="R955" s="44" t="s">
        <v>1852</v>
      </c>
      <c r="S955" s="44"/>
      <c r="T955" s="44" t="s">
        <v>1967</v>
      </c>
      <c r="U955" s="44" t="s">
        <v>1386</v>
      </c>
      <c r="V955" s="44" t="s">
        <v>1724</v>
      </c>
      <c r="W955" s="44" t="s">
        <v>1386</v>
      </c>
      <c r="X955" s="44" t="s">
        <v>1386</v>
      </c>
      <c r="Z955" s="323"/>
      <c r="AA955" s="323"/>
      <c r="AB955" s="32" t="s">
        <v>451</v>
      </c>
      <c r="AF955" s="32" t="s">
        <v>1342</v>
      </c>
      <c r="AG955" s="32" t="s">
        <v>1541</v>
      </c>
      <c r="AH955" s="138" t="s">
        <v>578</v>
      </c>
      <c r="AI955" s="32" t="s">
        <v>117</v>
      </c>
      <c r="AJ955" s="140" t="s">
        <v>117</v>
      </c>
      <c r="AN955" s="32" t="s">
        <v>663</v>
      </c>
      <c r="AO955" s="32" t="s">
        <v>663</v>
      </c>
      <c r="AP955" s="32" t="s">
        <v>178</v>
      </c>
      <c r="AQ955" s="32" t="s">
        <v>664</v>
      </c>
      <c r="AR955" s="32" t="s">
        <v>664</v>
      </c>
      <c r="AS955" s="32" t="s">
        <v>178</v>
      </c>
      <c r="AT955" s="32" t="s">
        <v>120</v>
      </c>
      <c r="AU955" s="32">
        <v>4</v>
      </c>
      <c r="AW955" s="32" t="s">
        <v>336</v>
      </c>
      <c r="BH955" s="32">
        <v>2453</v>
      </c>
      <c r="BI955" s="32">
        <v>1917</v>
      </c>
      <c r="BM955" s="397"/>
      <c r="BN955" s="397"/>
      <c r="BR955" s="397"/>
      <c r="BS955" s="397"/>
      <c r="BW955" s="32">
        <f>(64+19)/2</f>
        <v>41.5</v>
      </c>
      <c r="BX955" s="32">
        <f>(64+9)/2</f>
        <v>36.5</v>
      </c>
      <c r="CA955" s="32" t="s">
        <v>679</v>
      </c>
      <c r="FD955" s="32">
        <v>288</v>
      </c>
      <c r="FE955" s="32">
        <v>219</v>
      </c>
      <c r="FH955" s="32" t="s">
        <v>665</v>
      </c>
      <c r="IO955" s="32" t="s">
        <v>729</v>
      </c>
    </row>
    <row r="956" spans="1:249" s="32" customFormat="1" x14ac:dyDescent="0.25">
      <c r="A956" s="32">
        <v>45</v>
      </c>
      <c r="B956" s="32" t="s">
        <v>661</v>
      </c>
      <c r="C956" s="32" t="s">
        <v>662</v>
      </c>
      <c r="D956" s="32">
        <v>2005</v>
      </c>
      <c r="E956" s="32">
        <v>1997</v>
      </c>
      <c r="F956" s="32" t="s">
        <v>303</v>
      </c>
      <c r="G956" s="32" t="s">
        <v>527</v>
      </c>
      <c r="H956" s="32" t="s">
        <v>2831</v>
      </c>
      <c r="I956" s="32">
        <v>40.19</v>
      </c>
      <c r="J956" s="32">
        <v>-103.17</v>
      </c>
      <c r="K956" s="32">
        <v>1384</v>
      </c>
      <c r="Q956" s="44">
        <v>4</v>
      </c>
      <c r="R956" s="44" t="s">
        <v>1852</v>
      </c>
      <c r="S956" s="44"/>
      <c r="T956" s="44" t="s">
        <v>1967</v>
      </c>
      <c r="U956" s="44" t="s">
        <v>1386</v>
      </c>
      <c r="V956" s="44" t="s">
        <v>1724</v>
      </c>
      <c r="W956" s="44" t="s">
        <v>1386</v>
      </c>
      <c r="X956" s="44" t="s">
        <v>1386</v>
      </c>
      <c r="Z956" s="323"/>
      <c r="AA956" s="323"/>
      <c r="AB956" s="32" t="s">
        <v>451</v>
      </c>
      <c r="AF956" s="32" t="s">
        <v>1342</v>
      </c>
      <c r="AG956" s="32" t="s">
        <v>1542</v>
      </c>
      <c r="AH956" s="138" t="s">
        <v>578</v>
      </c>
      <c r="AI956" s="32" t="s">
        <v>117</v>
      </c>
      <c r="AJ956" s="140" t="s">
        <v>117</v>
      </c>
      <c r="AN956" s="32" t="s">
        <v>663</v>
      </c>
      <c r="AO956" s="32" t="s">
        <v>663</v>
      </c>
      <c r="AP956" s="32" t="s">
        <v>178</v>
      </c>
      <c r="AQ956" s="32" t="s">
        <v>664</v>
      </c>
      <c r="AR956" s="32" t="s">
        <v>664</v>
      </c>
      <c r="AS956" s="32" t="s">
        <v>178</v>
      </c>
      <c r="AT956" s="32" t="s">
        <v>120</v>
      </c>
      <c r="AU956" s="32">
        <v>4</v>
      </c>
      <c r="AW956" s="32" t="s">
        <v>336</v>
      </c>
      <c r="BH956" s="32">
        <v>2453</v>
      </c>
      <c r="BI956" s="32">
        <v>2024</v>
      </c>
      <c r="BM956" s="397"/>
      <c r="BN956" s="397"/>
      <c r="BR956" s="397"/>
      <c r="BS956" s="397"/>
      <c r="BW956" s="32">
        <f t="shared" ref="BW956:BW958" si="223">(64+19)/2</f>
        <v>41.5</v>
      </c>
      <c r="BX956" s="32">
        <f>(45+9)/2</f>
        <v>27</v>
      </c>
      <c r="CA956" s="32" t="s">
        <v>679</v>
      </c>
      <c r="FD956" s="32">
        <v>288</v>
      </c>
      <c r="FE956" s="32">
        <v>207</v>
      </c>
      <c r="FH956" s="32" t="s">
        <v>665</v>
      </c>
      <c r="IO956" s="32" t="s">
        <v>729</v>
      </c>
    </row>
    <row r="957" spans="1:249" s="32" customFormat="1" x14ac:dyDescent="0.25">
      <c r="A957" s="32">
        <v>45</v>
      </c>
      <c r="B957" s="32" t="s">
        <v>661</v>
      </c>
      <c r="C957" s="32" t="s">
        <v>662</v>
      </c>
      <c r="D957" s="32">
        <v>2005</v>
      </c>
      <c r="E957" s="32">
        <v>1997</v>
      </c>
      <c r="F957" s="32" t="s">
        <v>303</v>
      </c>
      <c r="G957" s="32" t="s">
        <v>527</v>
      </c>
      <c r="H957" s="32" t="s">
        <v>2831</v>
      </c>
      <c r="I957" s="32">
        <v>40.19</v>
      </c>
      <c r="J957" s="32">
        <v>-103.17</v>
      </c>
      <c r="K957" s="32">
        <v>1384</v>
      </c>
      <c r="Q957" s="44">
        <v>4</v>
      </c>
      <c r="R957" s="44" t="s">
        <v>1852</v>
      </c>
      <c r="S957" s="44"/>
      <c r="T957" s="44" t="s">
        <v>1967</v>
      </c>
      <c r="U957" s="44" t="s">
        <v>1386</v>
      </c>
      <c r="V957" s="44" t="s">
        <v>1724</v>
      </c>
      <c r="W957" s="44" t="s">
        <v>1386</v>
      </c>
      <c r="X957" s="44" t="s">
        <v>1386</v>
      </c>
      <c r="Z957" s="323"/>
      <c r="AA957" s="323"/>
      <c r="AB957" s="32" t="s">
        <v>451</v>
      </c>
      <c r="AF957" s="32" t="s">
        <v>1342</v>
      </c>
      <c r="AG957" s="32" t="s">
        <v>563</v>
      </c>
      <c r="AH957" s="138" t="s">
        <v>578</v>
      </c>
      <c r="AI957" s="32" t="s">
        <v>117</v>
      </c>
      <c r="AJ957" s="140" t="s">
        <v>117</v>
      </c>
      <c r="AN957" s="32" t="s">
        <v>663</v>
      </c>
      <c r="AO957" s="32" t="s">
        <v>663</v>
      </c>
      <c r="AP957" s="32" t="s">
        <v>178</v>
      </c>
      <c r="AQ957" s="32" t="s">
        <v>664</v>
      </c>
      <c r="AR957" s="32" t="s">
        <v>664</v>
      </c>
      <c r="AS957" s="32" t="s">
        <v>178</v>
      </c>
      <c r="AT957" s="32" t="s">
        <v>120</v>
      </c>
      <c r="AU957" s="32">
        <v>4</v>
      </c>
      <c r="AW957" s="32" t="s">
        <v>336</v>
      </c>
      <c r="BM957" s="397"/>
      <c r="BN957" s="397"/>
      <c r="BR957" s="397"/>
      <c r="BS957" s="397"/>
      <c r="IO957" s="32" t="s">
        <v>729</v>
      </c>
    </row>
    <row r="958" spans="1:249" s="32" customFormat="1" x14ac:dyDescent="0.25">
      <c r="A958" s="32">
        <v>45</v>
      </c>
      <c r="B958" s="32" t="s">
        <v>661</v>
      </c>
      <c r="C958" s="32" t="s">
        <v>662</v>
      </c>
      <c r="D958" s="32">
        <v>2005</v>
      </c>
      <c r="E958" s="32">
        <v>1997</v>
      </c>
      <c r="F958" s="32" t="s">
        <v>303</v>
      </c>
      <c r="G958" s="32" t="s">
        <v>527</v>
      </c>
      <c r="H958" s="32" t="s">
        <v>2831</v>
      </c>
      <c r="I958" s="32">
        <v>40.19</v>
      </c>
      <c r="J958" s="32">
        <v>-103.17</v>
      </c>
      <c r="K958" s="32">
        <v>1384</v>
      </c>
      <c r="Q958" s="44">
        <v>4</v>
      </c>
      <c r="R958" s="44" t="s">
        <v>1852</v>
      </c>
      <c r="S958" s="44"/>
      <c r="T958" s="44" t="s">
        <v>1967</v>
      </c>
      <c r="U958" s="44" t="s">
        <v>1386</v>
      </c>
      <c r="V958" s="44" t="s">
        <v>1724</v>
      </c>
      <c r="W958" s="44" t="s">
        <v>1386</v>
      </c>
      <c r="X958" s="44" t="s">
        <v>1386</v>
      </c>
      <c r="Z958" s="323"/>
      <c r="AA958" s="323"/>
      <c r="AB958" s="32" t="s">
        <v>451</v>
      </c>
      <c r="AF958" s="32" t="s">
        <v>1342</v>
      </c>
      <c r="AG958" s="32" t="s">
        <v>244</v>
      </c>
      <c r="AH958" s="138" t="s">
        <v>578</v>
      </c>
      <c r="AI958" s="32" t="s">
        <v>117</v>
      </c>
      <c r="AJ958" s="140" t="s">
        <v>117</v>
      </c>
      <c r="AN958" s="32" t="s">
        <v>663</v>
      </c>
      <c r="AO958" s="32" t="s">
        <v>663</v>
      </c>
      <c r="AP958" s="32" t="s">
        <v>178</v>
      </c>
      <c r="AQ958" s="32" t="s">
        <v>664</v>
      </c>
      <c r="AR958" s="32" t="s">
        <v>664</v>
      </c>
      <c r="AS958" s="32" t="s">
        <v>178</v>
      </c>
      <c r="AT958" s="32" t="s">
        <v>120</v>
      </c>
      <c r="AU958" s="32">
        <v>4</v>
      </c>
      <c r="AW958" s="32" t="s">
        <v>336</v>
      </c>
      <c r="BH958" s="32">
        <v>2453</v>
      </c>
      <c r="BI958" s="32">
        <v>1857</v>
      </c>
      <c r="BM958" s="397"/>
      <c r="BN958" s="397"/>
      <c r="BR958" s="397"/>
      <c r="BS958" s="397"/>
      <c r="BW958" s="32">
        <f t="shared" si="223"/>
        <v>41.5</v>
      </c>
      <c r="BX958" s="32">
        <f>(58+10)/2</f>
        <v>34</v>
      </c>
      <c r="CA958" s="32" t="s">
        <v>679</v>
      </c>
      <c r="FD958" s="32">
        <v>288</v>
      </c>
      <c r="FE958" s="32">
        <v>205</v>
      </c>
      <c r="FH958" s="32" t="s">
        <v>665</v>
      </c>
      <c r="IO958" s="32" t="s">
        <v>729</v>
      </c>
    </row>
    <row r="959" spans="1:249" s="24" customFormat="1" x14ac:dyDescent="0.25">
      <c r="A959" s="24">
        <v>45</v>
      </c>
      <c r="B959" s="24" t="s">
        <v>661</v>
      </c>
      <c r="C959" s="24" t="s">
        <v>662</v>
      </c>
      <c r="D959" s="24">
        <v>2005</v>
      </c>
      <c r="E959" s="24">
        <v>1998</v>
      </c>
      <c r="F959" s="24" t="s">
        <v>303</v>
      </c>
      <c r="G959" s="24" t="s">
        <v>527</v>
      </c>
      <c r="H959" s="32" t="s">
        <v>2831</v>
      </c>
      <c r="I959" s="24">
        <v>40.19</v>
      </c>
      <c r="J959" s="24">
        <v>-103.17</v>
      </c>
      <c r="K959" s="24">
        <v>1384</v>
      </c>
      <c r="Q959" s="42">
        <v>5</v>
      </c>
      <c r="R959" s="42" t="s">
        <v>1852</v>
      </c>
      <c r="S959" s="42"/>
      <c r="T959" s="42" t="s">
        <v>1967</v>
      </c>
      <c r="U959" s="42" t="s">
        <v>1386</v>
      </c>
      <c r="V959" s="42" t="s">
        <v>1724</v>
      </c>
      <c r="W959" s="42" t="s">
        <v>1386</v>
      </c>
      <c r="X959" s="42" t="s">
        <v>1386</v>
      </c>
      <c r="Z959" s="321"/>
      <c r="AA959" s="321"/>
      <c r="AB959" s="24" t="s">
        <v>451</v>
      </c>
      <c r="AF959" s="24" t="s">
        <v>1342</v>
      </c>
      <c r="AG959" s="24" t="s">
        <v>1541</v>
      </c>
      <c r="AH959" s="138" t="s">
        <v>578</v>
      </c>
      <c r="AI959" s="24" t="s">
        <v>117</v>
      </c>
      <c r="AJ959" s="140" t="s">
        <v>117</v>
      </c>
      <c r="AN959" s="24" t="s">
        <v>663</v>
      </c>
      <c r="AO959" s="24" t="s">
        <v>663</v>
      </c>
      <c r="AP959" s="24" t="s">
        <v>178</v>
      </c>
      <c r="AQ959" s="24" t="s">
        <v>664</v>
      </c>
      <c r="AR959" s="24" t="s">
        <v>664</v>
      </c>
      <c r="AS959" s="24" t="s">
        <v>178</v>
      </c>
      <c r="AT959" s="24" t="s">
        <v>120</v>
      </c>
      <c r="AU959" s="24">
        <v>4</v>
      </c>
      <c r="AW959" s="24" t="s">
        <v>336</v>
      </c>
      <c r="BH959" s="24">
        <v>4470</v>
      </c>
      <c r="BI959" s="24">
        <v>2327</v>
      </c>
      <c r="BM959" s="395"/>
      <c r="BN959" s="395"/>
      <c r="BR959" s="395"/>
      <c r="BS959" s="395"/>
      <c r="BW959" s="24">
        <f>(25+10)/2</f>
        <v>17.5</v>
      </c>
      <c r="BX959" s="24">
        <f>(34+10)/2</f>
        <v>22</v>
      </c>
      <c r="CA959" s="24" t="s">
        <v>679</v>
      </c>
      <c r="FD959" s="24">
        <v>283</v>
      </c>
      <c r="FE959" s="24">
        <v>158</v>
      </c>
      <c r="FH959" s="24" t="s">
        <v>665</v>
      </c>
      <c r="IO959" s="24" t="s">
        <v>729</v>
      </c>
    </row>
    <row r="960" spans="1:249" s="24" customFormat="1" x14ac:dyDescent="0.25">
      <c r="A960" s="24">
        <v>45</v>
      </c>
      <c r="B960" s="24" t="s">
        <v>661</v>
      </c>
      <c r="C960" s="24" t="s">
        <v>662</v>
      </c>
      <c r="D960" s="24">
        <v>2005</v>
      </c>
      <c r="E960" s="24">
        <v>1998</v>
      </c>
      <c r="F960" s="24" t="s">
        <v>303</v>
      </c>
      <c r="G960" s="24" t="s">
        <v>527</v>
      </c>
      <c r="H960" s="32" t="s">
        <v>2831</v>
      </c>
      <c r="I960" s="24">
        <v>40.19</v>
      </c>
      <c r="J960" s="24">
        <v>-103.17</v>
      </c>
      <c r="K960" s="24">
        <v>1384</v>
      </c>
      <c r="Q960" s="42">
        <v>5</v>
      </c>
      <c r="R960" s="42" t="s">
        <v>1852</v>
      </c>
      <c r="S960" s="42"/>
      <c r="T960" s="42" t="s">
        <v>1967</v>
      </c>
      <c r="U960" s="42" t="s">
        <v>1386</v>
      </c>
      <c r="V960" s="42" t="s">
        <v>1724</v>
      </c>
      <c r="W960" s="42" t="s">
        <v>1386</v>
      </c>
      <c r="X960" s="42" t="s">
        <v>1386</v>
      </c>
      <c r="Z960" s="321"/>
      <c r="AA960" s="321"/>
      <c r="AB960" s="24" t="s">
        <v>451</v>
      </c>
      <c r="AF960" s="24" t="s">
        <v>1342</v>
      </c>
      <c r="AG960" s="24" t="s">
        <v>1542</v>
      </c>
      <c r="AH960" s="138" t="s">
        <v>578</v>
      </c>
      <c r="AI960" s="24" t="s">
        <v>117</v>
      </c>
      <c r="AJ960" s="140" t="s">
        <v>117</v>
      </c>
      <c r="AN960" s="24" t="s">
        <v>663</v>
      </c>
      <c r="AO960" s="24" t="s">
        <v>663</v>
      </c>
      <c r="AP960" s="24" t="s">
        <v>178</v>
      </c>
      <c r="AQ960" s="24" t="s">
        <v>664</v>
      </c>
      <c r="AR960" s="24" t="s">
        <v>664</v>
      </c>
      <c r="AS960" s="24" t="s">
        <v>178</v>
      </c>
      <c r="AT960" s="24" t="s">
        <v>120</v>
      </c>
      <c r="AU960" s="24">
        <v>4</v>
      </c>
      <c r="AW960" s="24" t="s">
        <v>336</v>
      </c>
      <c r="BH960" s="24">
        <v>4470</v>
      </c>
      <c r="BI960" s="24">
        <v>2269</v>
      </c>
      <c r="BM960" s="395"/>
      <c r="BN960" s="395"/>
      <c r="BR960" s="395"/>
      <c r="BS960" s="395"/>
      <c r="BW960" s="24">
        <f t="shared" ref="BW960:BW962" si="224">(25+10)/2</f>
        <v>17.5</v>
      </c>
      <c r="BX960" s="24">
        <f>(24+11)/2</f>
        <v>17.5</v>
      </c>
      <c r="CA960" s="24" t="s">
        <v>679</v>
      </c>
      <c r="FD960" s="24">
        <v>283</v>
      </c>
      <c r="FE960" s="24">
        <v>216</v>
      </c>
      <c r="FH960" s="24" t="s">
        <v>665</v>
      </c>
      <c r="IO960" s="24" t="s">
        <v>729</v>
      </c>
    </row>
    <row r="961" spans="1:250" s="24" customFormat="1" x14ac:dyDescent="0.25">
      <c r="A961" s="24">
        <v>45</v>
      </c>
      <c r="B961" s="24" t="s">
        <v>661</v>
      </c>
      <c r="C961" s="24" t="s">
        <v>662</v>
      </c>
      <c r="D961" s="24">
        <v>2005</v>
      </c>
      <c r="E961" s="24">
        <v>1998</v>
      </c>
      <c r="F961" s="24" t="s">
        <v>303</v>
      </c>
      <c r="G961" s="24" t="s">
        <v>527</v>
      </c>
      <c r="H961" s="32" t="s">
        <v>2831</v>
      </c>
      <c r="I961" s="24">
        <v>40.19</v>
      </c>
      <c r="J961" s="24">
        <v>-103.17</v>
      </c>
      <c r="K961" s="24">
        <v>1384</v>
      </c>
      <c r="Q961" s="42">
        <v>5</v>
      </c>
      <c r="R961" s="42" t="s">
        <v>1852</v>
      </c>
      <c r="S961" s="42"/>
      <c r="T961" s="42" t="s">
        <v>1967</v>
      </c>
      <c r="U961" s="42" t="s">
        <v>1386</v>
      </c>
      <c r="V961" s="42" t="s">
        <v>1724</v>
      </c>
      <c r="W961" s="42" t="s">
        <v>1386</v>
      </c>
      <c r="X961" s="42" t="s">
        <v>1386</v>
      </c>
      <c r="Z961" s="321"/>
      <c r="AA961" s="321"/>
      <c r="AB961" s="24" t="s">
        <v>451</v>
      </c>
      <c r="AF961" s="24" t="s">
        <v>1342</v>
      </c>
      <c r="AG961" s="24" t="s">
        <v>563</v>
      </c>
      <c r="AH961" s="138" t="s">
        <v>578</v>
      </c>
      <c r="AI961" s="24" t="s">
        <v>117</v>
      </c>
      <c r="AJ961" s="140" t="s">
        <v>117</v>
      </c>
      <c r="AN961" s="24" t="s">
        <v>663</v>
      </c>
      <c r="AO961" s="24" t="s">
        <v>663</v>
      </c>
      <c r="AP961" s="24" t="s">
        <v>178</v>
      </c>
      <c r="AQ961" s="24" t="s">
        <v>664</v>
      </c>
      <c r="AR961" s="24" t="s">
        <v>664</v>
      </c>
      <c r="AS961" s="24" t="s">
        <v>178</v>
      </c>
      <c r="AT961" s="24" t="s">
        <v>120</v>
      </c>
      <c r="AU961" s="24">
        <v>4</v>
      </c>
      <c r="AW961" s="24" t="s">
        <v>336</v>
      </c>
      <c r="BM961" s="395"/>
      <c r="BN961" s="395"/>
      <c r="BR961" s="395"/>
      <c r="BS961" s="395"/>
      <c r="IO961" s="24" t="s">
        <v>729</v>
      </c>
    </row>
    <row r="962" spans="1:250" s="24" customFormat="1" x14ac:dyDescent="0.25">
      <c r="A962" s="24">
        <v>45</v>
      </c>
      <c r="B962" s="24" t="s">
        <v>661</v>
      </c>
      <c r="C962" s="24" t="s">
        <v>662</v>
      </c>
      <c r="D962" s="24">
        <v>2005</v>
      </c>
      <c r="E962" s="24">
        <v>1998</v>
      </c>
      <c r="F962" s="24" t="s">
        <v>303</v>
      </c>
      <c r="G962" s="24" t="s">
        <v>527</v>
      </c>
      <c r="H962" s="32" t="s">
        <v>2831</v>
      </c>
      <c r="I962" s="24">
        <v>40.19</v>
      </c>
      <c r="J962" s="24">
        <v>-103.17</v>
      </c>
      <c r="K962" s="24">
        <v>1384</v>
      </c>
      <c r="Q962" s="42">
        <v>5</v>
      </c>
      <c r="R962" s="42" t="s">
        <v>1852</v>
      </c>
      <c r="S962" s="42"/>
      <c r="T962" s="42" t="s">
        <v>1967</v>
      </c>
      <c r="U962" s="42" t="s">
        <v>1386</v>
      </c>
      <c r="V962" s="42" t="s">
        <v>1724</v>
      </c>
      <c r="W962" s="42" t="s">
        <v>1386</v>
      </c>
      <c r="X962" s="42" t="s">
        <v>1386</v>
      </c>
      <c r="Z962" s="321"/>
      <c r="AA962" s="321"/>
      <c r="AB962" s="24" t="s">
        <v>451</v>
      </c>
      <c r="AF962" s="24" t="s">
        <v>1342</v>
      </c>
      <c r="AG962" s="24" t="s">
        <v>244</v>
      </c>
      <c r="AH962" s="138" t="s">
        <v>578</v>
      </c>
      <c r="AI962" s="24" t="s">
        <v>117</v>
      </c>
      <c r="AJ962" s="140" t="s">
        <v>117</v>
      </c>
      <c r="AN962" s="24" t="s">
        <v>663</v>
      </c>
      <c r="AO962" s="24" t="s">
        <v>663</v>
      </c>
      <c r="AP962" s="24" t="s">
        <v>178</v>
      </c>
      <c r="AQ962" s="24" t="s">
        <v>664</v>
      </c>
      <c r="AR962" s="24" t="s">
        <v>664</v>
      </c>
      <c r="AS962" s="24" t="s">
        <v>178</v>
      </c>
      <c r="AT962" s="24" t="s">
        <v>120</v>
      </c>
      <c r="AU962" s="24">
        <v>4</v>
      </c>
      <c r="AW962" s="24" t="s">
        <v>336</v>
      </c>
      <c r="BH962" s="24">
        <v>4470</v>
      </c>
      <c r="BI962" s="24">
        <v>2293</v>
      </c>
      <c r="BM962" s="395"/>
      <c r="BN962" s="395"/>
      <c r="BR962" s="395"/>
      <c r="BS962" s="395"/>
      <c r="BW962" s="24">
        <f t="shared" si="224"/>
        <v>17.5</v>
      </c>
      <c r="BX962" s="24">
        <f>(32+11)/2</f>
        <v>21.5</v>
      </c>
      <c r="CA962" s="24" t="s">
        <v>679</v>
      </c>
      <c r="FD962" s="24">
        <v>283</v>
      </c>
      <c r="FE962" s="24">
        <v>165</v>
      </c>
      <c r="FH962" s="24" t="s">
        <v>665</v>
      </c>
      <c r="IO962" s="24" t="s">
        <v>729</v>
      </c>
    </row>
    <row r="963" spans="1:250" s="32" customFormat="1" x14ac:dyDescent="0.25">
      <c r="A963" s="32">
        <v>45</v>
      </c>
      <c r="B963" s="32" t="s">
        <v>661</v>
      </c>
      <c r="C963" s="32" t="s">
        <v>662</v>
      </c>
      <c r="D963" s="32">
        <v>2005</v>
      </c>
      <c r="E963" s="32">
        <v>1999</v>
      </c>
      <c r="F963" s="32" t="s">
        <v>303</v>
      </c>
      <c r="G963" s="32" t="s">
        <v>527</v>
      </c>
      <c r="H963" s="32" t="s">
        <v>2831</v>
      </c>
      <c r="I963" s="32">
        <v>40.19</v>
      </c>
      <c r="J963" s="32">
        <v>-103.17</v>
      </c>
      <c r="K963" s="32">
        <v>1384</v>
      </c>
      <c r="Q963" s="44">
        <v>6</v>
      </c>
      <c r="R963" s="44" t="s">
        <v>1852</v>
      </c>
      <c r="S963" s="44"/>
      <c r="T963" s="44" t="s">
        <v>1967</v>
      </c>
      <c r="U963" s="44" t="s">
        <v>1386</v>
      </c>
      <c r="V963" s="44" t="s">
        <v>1724</v>
      </c>
      <c r="W963" s="44" t="s">
        <v>1386</v>
      </c>
      <c r="X963" s="44" t="s">
        <v>1386</v>
      </c>
      <c r="Z963" s="323"/>
      <c r="AA963" s="323"/>
      <c r="AB963" s="32" t="s">
        <v>451</v>
      </c>
      <c r="AF963" s="32" t="s">
        <v>1342</v>
      </c>
      <c r="AG963" s="32" t="s">
        <v>1541</v>
      </c>
      <c r="AH963" s="138" t="s">
        <v>578</v>
      </c>
      <c r="AI963" s="32" t="s">
        <v>117</v>
      </c>
      <c r="AJ963" s="140" t="s">
        <v>117</v>
      </c>
      <c r="AN963" s="32" t="s">
        <v>663</v>
      </c>
      <c r="AO963" s="32" t="s">
        <v>663</v>
      </c>
      <c r="AP963" s="32" t="s">
        <v>178</v>
      </c>
      <c r="AQ963" s="32" t="s">
        <v>664</v>
      </c>
      <c r="AR963" s="32" t="s">
        <v>664</v>
      </c>
      <c r="AS963" s="32" t="s">
        <v>178</v>
      </c>
      <c r="AT963" s="32" t="s">
        <v>120</v>
      </c>
      <c r="AU963" s="32">
        <v>4</v>
      </c>
      <c r="AW963" s="32" t="s">
        <v>336</v>
      </c>
      <c r="BH963" s="32">
        <v>2455</v>
      </c>
      <c r="BI963" s="32">
        <v>2007</v>
      </c>
      <c r="BM963" s="397"/>
      <c r="BN963" s="397"/>
      <c r="BR963" s="397"/>
      <c r="BS963" s="397"/>
      <c r="BW963" s="32">
        <f>(59+14)/2</f>
        <v>36.5</v>
      </c>
      <c r="BX963" s="32">
        <f>(76+13)/2</f>
        <v>44.5</v>
      </c>
      <c r="CA963" s="32" t="s">
        <v>679</v>
      </c>
      <c r="FD963" s="32">
        <v>455</v>
      </c>
      <c r="FE963" s="32">
        <v>379</v>
      </c>
      <c r="FH963" s="32" t="s">
        <v>665</v>
      </c>
      <c r="IO963" s="32" t="s">
        <v>729</v>
      </c>
    </row>
    <row r="964" spans="1:250" s="32" customFormat="1" x14ac:dyDescent="0.25">
      <c r="A964" s="32">
        <v>45</v>
      </c>
      <c r="B964" s="32" t="s">
        <v>661</v>
      </c>
      <c r="C964" s="32" t="s">
        <v>662</v>
      </c>
      <c r="D964" s="32">
        <v>2005</v>
      </c>
      <c r="E964" s="32">
        <v>1999</v>
      </c>
      <c r="F964" s="32" t="s">
        <v>303</v>
      </c>
      <c r="G964" s="32" t="s">
        <v>527</v>
      </c>
      <c r="H964" s="32" t="s">
        <v>2831</v>
      </c>
      <c r="I964" s="32">
        <v>40.19</v>
      </c>
      <c r="J964" s="32">
        <v>-103.17</v>
      </c>
      <c r="K964" s="32">
        <v>1384</v>
      </c>
      <c r="Q964" s="44">
        <v>6</v>
      </c>
      <c r="R964" s="44" t="s">
        <v>1852</v>
      </c>
      <c r="S964" s="44"/>
      <c r="T964" s="44" t="s">
        <v>1967</v>
      </c>
      <c r="U964" s="44" t="s">
        <v>1386</v>
      </c>
      <c r="V964" s="44" t="s">
        <v>1724</v>
      </c>
      <c r="W964" s="44" t="s">
        <v>1386</v>
      </c>
      <c r="X964" s="44" t="s">
        <v>1386</v>
      </c>
      <c r="Z964" s="323"/>
      <c r="AA964" s="323"/>
      <c r="AB964" s="32" t="s">
        <v>451</v>
      </c>
      <c r="AF964" s="32" t="s">
        <v>1342</v>
      </c>
      <c r="AG964" s="32" t="s">
        <v>1542</v>
      </c>
      <c r="AH964" s="138" t="s">
        <v>578</v>
      </c>
      <c r="AI964" s="32" t="s">
        <v>117</v>
      </c>
      <c r="AJ964" s="140" t="s">
        <v>117</v>
      </c>
      <c r="AN964" s="32" t="s">
        <v>663</v>
      </c>
      <c r="AO964" s="32" t="s">
        <v>663</v>
      </c>
      <c r="AP964" s="32" t="s">
        <v>178</v>
      </c>
      <c r="AQ964" s="32" t="s">
        <v>664</v>
      </c>
      <c r="AR964" s="32" t="s">
        <v>664</v>
      </c>
      <c r="AS964" s="32" t="s">
        <v>178</v>
      </c>
      <c r="AT964" s="32" t="s">
        <v>120</v>
      </c>
      <c r="AU964" s="32">
        <v>4</v>
      </c>
      <c r="AW964" s="32" t="s">
        <v>336</v>
      </c>
      <c r="BH964" s="32">
        <v>2455</v>
      </c>
      <c r="BI964" s="32">
        <v>1875</v>
      </c>
      <c r="BM964" s="397"/>
      <c r="BN964" s="397"/>
      <c r="BR964" s="397"/>
      <c r="BS964" s="397"/>
      <c r="BW964" s="32">
        <f t="shared" ref="BW964:BW966" si="225">(59+14)/2</f>
        <v>36.5</v>
      </c>
      <c r="BX964" s="32">
        <f>(59+14)/2</f>
        <v>36.5</v>
      </c>
      <c r="CA964" s="32" t="s">
        <v>679</v>
      </c>
      <c r="FD964" s="32">
        <v>455</v>
      </c>
      <c r="FE964" s="32">
        <v>380</v>
      </c>
      <c r="FH964" s="32" t="s">
        <v>665</v>
      </c>
      <c r="IO964" s="32" t="s">
        <v>729</v>
      </c>
    </row>
    <row r="965" spans="1:250" s="32" customFormat="1" x14ac:dyDescent="0.25">
      <c r="A965" s="32">
        <v>45</v>
      </c>
      <c r="B965" s="32" t="s">
        <v>661</v>
      </c>
      <c r="C965" s="32" t="s">
        <v>662</v>
      </c>
      <c r="D965" s="32">
        <v>2005</v>
      </c>
      <c r="E965" s="32">
        <v>1999</v>
      </c>
      <c r="F965" s="32" t="s">
        <v>303</v>
      </c>
      <c r="G965" s="32" t="s">
        <v>527</v>
      </c>
      <c r="H965" s="32" t="s">
        <v>2831</v>
      </c>
      <c r="I965" s="32">
        <v>40.19</v>
      </c>
      <c r="J965" s="32">
        <v>-103.17</v>
      </c>
      <c r="K965" s="32">
        <v>1384</v>
      </c>
      <c r="Q965" s="44">
        <v>6</v>
      </c>
      <c r="R965" s="44" t="s">
        <v>1852</v>
      </c>
      <c r="S965" s="44"/>
      <c r="T965" s="44" t="s">
        <v>1967</v>
      </c>
      <c r="U965" s="44" t="s">
        <v>1386</v>
      </c>
      <c r="V965" s="44" t="s">
        <v>1724</v>
      </c>
      <c r="W965" s="44" t="s">
        <v>1386</v>
      </c>
      <c r="X965" s="44" t="s">
        <v>1386</v>
      </c>
      <c r="Z965" s="323"/>
      <c r="AA965" s="323"/>
      <c r="AB965" s="32" t="s">
        <v>451</v>
      </c>
      <c r="AF965" s="32" t="s">
        <v>1342</v>
      </c>
      <c r="AG965" s="32" t="s">
        <v>563</v>
      </c>
      <c r="AH965" s="138" t="s">
        <v>578</v>
      </c>
      <c r="AI965" s="32" t="s">
        <v>117</v>
      </c>
      <c r="AJ965" s="140" t="s">
        <v>117</v>
      </c>
      <c r="AN965" s="32" t="s">
        <v>663</v>
      </c>
      <c r="AO965" s="32" t="s">
        <v>663</v>
      </c>
      <c r="AP965" s="32" t="s">
        <v>178</v>
      </c>
      <c r="AQ965" s="32" t="s">
        <v>664</v>
      </c>
      <c r="AR965" s="32" t="s">
        <v>664</v>
      </c>
      <c r="AS965" s="32" t="s">
        <v>178</v>
      </c>
      <c r="AT965" s="32" t="s">
        <v>120</v>
      </c>
      <c r="AU965" s="32">
        <v>4</v>
      </c>
      <c r="AW965" s="32" t="s">
        <v>336</v>
      </c>
      <c r="BM965" s="397"/>
      <c r="BN965" s="397"/>
      <c r="BR965" s="397"/>
      <c r="BS965" s="397"/>
      <c r="IO965" s="32" t="s">
        <v>729</v>
      </c>
    </row>
    <row r="966" spans="1:250" s="32" customFormat="1" x14ac:dyDescent="0.25">
      <c r="A966" s="32">
        <v>45</v>
      </c>
      <c r="B966" s="32" t="s">
        <v>661</v>
      </c>
      <c r="C966" s="32" t="s">
        <v>662</v>
      </c>
      <c r="D966" s="32">
        <v>2005</v>
      </c>
      <c r="E966" s="32">
        <v>1999</v>
      </c>
      <c r="F966" s="32" t="s">
        <v>303</v>
      </c>
      <c r="G966" s="32" t="s">
        <v>527</v>
      </c>
      <c r="H966" s="32" t="s">
        <v>2831</v>
      </c>
      <c r="I966" s="32">
        <v>40.19</v>
      </c>
      <c r="J966" s="32">
        <v>-103.17</v>
      </c>
      <c r="K966" s="32">
        <v>1384</v>
      </c>
      <c r="Q966" s="44">
        <v>6</v>
      </c>
      <c r="R966" s="44" t="s">
        <v>1852</v>
      </c>
      <c r="S966" s="44"/>
      <c r="T966" s="44" t="s">
        <v>1967</v>
      </c>
      <c r="U966" s="44" t="s">
        <v>1386</v>
      </c>
      <c r="V966" s="44" t="s">
        <v>1724</v>
      </c>
      <c r="W966" s="44" t="s">
        <v>1386</v>
      </c>
      <c r="X966" s="44" t="s">
        <v>1386</v>
      </c>
      <c r="Z966" s="323"/>
      <c r="AA966" s="323"/>
      <c r="AB966" s="32" t="s">
        <v>451</v>
      </c>
      <c r="AF966" s="32" t="s">
        <v>1342</v>
      </c>
      <c r="AG966" s="32" t="s">
        <v>244</v>
      </c>
      <c r="AH966" s="138" t="s">
        <v>578</v>
      </c>
      <c r="AI966" s="32" t="s">
        <v>117</v>
      </c>
      <c r="AJ966" s="140" t="s">
        <v>117</v>
      </c>
      <c r="AN966" s="32" t="s">
        <v>663</v>
      </c>
      <c r="AO966" s="32" t="s">
        <v>663</v>
      </c>
      <c r="AP966" s="32" t="s">
        <v>178</v>
      </c>
      <c r="AQ966" s="32" t="s">
        <v>664</v>
      </c>
      <c r="AR966" s="32" t="s">
        <v>664</v>
      </c>
      <c r="AS966" s="32" t="s">
        <v>178</v>
      </c>
      <c r="AT966" s="32" t="s">
        <v>120</v>
      </c>
      <c r="AU966" s="32">
        <v>4</v>
      </c>
      <c r="AW966" s="32" t="s">
        <v>336</v>
      </c>
      <c r="BH966" s="32">
        <v>2455</v>
      </c>
      <c r="BI966" s="32">
        <v>1786</v>
      </c>
      <c r="BM966" s="397"/>
      <c r="BN966" s="397"/>
      <c r="BR966" s="397"/>
      <c r="BS966" s="397"/>
      <c r="BW966" s="32">
        <f t="shared" si="225"/>
        <v>36.5</v>
      </c>
      <c r="BX966" s="32">
        <f>(71+14)/2</f>
        <v>42.5</v>
      </c>
      <c r="CA966" s="32" t="s">
        <v>679</v>
      </c>
      <c r="FD966" s="32">
        <v>455</v>
      </c>
      <c r="FE966" s="32">
        <v>375</v>
      </c>
      <c r="FH966" s="32" t="s">
        <v>665</v>
      </c>
      <c r="IO966" s="32" t="s">
        <v>729</v>
      </c>
    </row>
    <row r="967" spans="1:250" s="33" customFormat="1" x14ac:dyDescent="0.25">
      <c r="A967" s="33">
        <v>46</v>
      </c>
      <c r="B967" s="33" t="s">
        <v>667</v>
      </c>
      <c r="C967" s="33" t="s">
        <v>666</v>
      </c>
      <c r="D967" s="33">
        <v>2013</v>
      </c>
      <c r="E967" s="33">
        <v>2009</v>
      </c>
      <c r="F967" s="33" t="s">
        <v>330</v>
      </c>
      <c r="G967" s="33" t="s">
        <v>668</v>
      </c>
      <c r="H967" s="32" t="s">
        <v>2831</v>
      </c>
      <c r="I967" s="33">
        <f>47+55/60</f>
        <v>47.916666666666664</v>
      </c>
      <c r="J967" s="33">
        <f>-109-55/60</f>
        <v>-109.91666666666667</v>
      </c>
      <c r="K967" s="33">
        <v>888</v>
      </c>
      <c r="Q967" s="47">
        <v>1</v>
      </c>
      <c r="R967" s="47" t="s">
        <v>1856</v>
      </c>
      <c r="S967" s="47"/>
      <c r="T967" s="47" t="s">
        <v>1968</v>
      </c>
      <c r="U967" s="47" t="s">
        <v>1393</v>
      </c>
      <c r="V967" s="47" t="s">
        <v>1727</v>
      </c>
      <c r="W967" s="47" t="s">
        <v>1393</v>
      </c>
      <c r="X967" s="47" t="s">
        <v>1421</v>
      </c>
      <c r="Z967" s="327"/>
      <c r="AA967" s="327"/>
      <c r="AB967" s="33" t="s">
        <v>519</v>
      </c>
      <c r="AC967" s="33">
        <v>6.1</v>
      </c>
      <c r="AD967" s="33">
        <v>1.1000000000000001</v>
      </c>
      <c r="AF967" s="33" t="s">
        <v>1343</v>
      </c>
      <c r="AG967" s="33" t="s">
        <v>1543</v>
      </c>
      <c r="AH967" s="138" t="s">
        <v>578</v>
      </c>
      <c r="AI967" s="33" t="s">
        <v>1531</v>
      </c>
      <c r="AJ967" s="141" t="s">
        <v>1624</v>
      </c>
      <c r="AK967" s="33" t="s">
        <v>1631</v>
      </c>
      <c r="AL967" s="33" t="s">
        <v>1631</v>
      </c>
      <c r="AM967" s="33" t="s">
        <v>178</v>
      </c>
      <c r="AO967" s="33" t="s">
        <v>157</v>
      </c>
      <c r="AQ967" s="33">
        <v>0</v>
      </c>
      <c r="AR967" s="33">
        <v>0</v>
      </c>
      <c r="AS967" s="33" t="s">
        <v>178</v>
      </c>
      <c r="AT967" s="33" t="s">
        <v>120</v>
      </c>
      <c r="AU967" s="33">
        <v>6</v>
      </c>
      <c r="AW967" s="33" t="s">
        <v>142</v>
      </c>
      <c r="AY967" s="33">
        <f>1.07*1000</f>
        <v>1070</v>
      </c>
      <c r="AZ967" s="33">
        <f>AY967/44.2</f>
        <v>24.20814479638009</v>
      </c>
      <c r="BA967" s="57" t="s">
        <v>674</v>
      </c>
      <c r="BH967" s="33">
        <v>4760</v>
      </c>
      <c r="BI967" s="33">
        <v>4250</v>
      </c>
      <c r="BM967" s="402"/>
      <c r="BN967" s="402"/>
      <c r="BR967" s="402"/>
      <c r="BS967" s="402"/>
      <c r="BW967" s="33">
        <f>16</f>
        <v>16</v>
      </c>
      <c r="BX967" s="33">
        <f>10.6</f>
        <v>10.6</v>
      </c>
      <c r="CA967" s="33" t="s">
        <v>680</v>
      </c>
      <c r="CB967" s="33">
        <v>23</v>
      </c>
      <c r="CC967" s="33">
        <v>21</v>
      </c>
      <c r="CG967" s="33">
        <v>340</v>
      </c>
      <c r="CH967" s="33">
        <v>433</v>
      </c>
      <c r="EY967" s="33">
        <f>77/3</f>
        <v>25.666666666666668</v>
      </c>
      <c r="EZ967" s="33">
        <f>51/3</f>
        <v>17</v>
      </c>
      <c r="FC967" s="33" t="s">
        <v>708</v>
      </c>
      <c r="GW967" s="33">
        <v>15</v>
      </c>
      <c r="GX967" s="33">
        <v>5</v>
      </c>
      <c r="IO967" s="33" t="s">
        <v>682</v>
      </c>
      <c r="IP967" s="33" t="s">
        <v>681</v>
      </c>
    </row>
    <row r="968" spans="1:250" s="33" customFormat="1" x14ac:dyDescent="0.25">
      <c r="A968" s="33">
        <v>46</v>
      </c>
      <c r="B968" s="33" t="s">
        <v>667</v>
      </c>
      <c r="C968" s="33" t="s">
        <v>666</v>
      </c>
      <c r="D968" s="33">
        <v>2013</v>
      </c>
      <c r="E968" s="33">
        <v>2009</v>
      </c>
      <c r="F968" s="33" t="s">
        <v>330</v>
      </c>
      <c r="G968" s="33" t="s">
        <v>669</v>
      </c>
      <c r="H968" s="32" t="s">
        <v>2831</v>
      </c>
      <c r="I968" s="33">
        <f>48+18/60</f>
        <v>48.3</v>
      </c>
      <c r="J968" s="33">
        <f>-110-6/60</f>
        <v>-110.1</v>
      </c>
      <c r="K968" s="33">
        <v>833</v>
      </c>
      <c r="Q968" s="47">
        <v>1</v>
      </c>
      <c r="R968" s="47" t="s">
        <v>1856</v>
      </c>
      <c r="S968" s="47"/>
      <c r="T968" s="47" t="s">
        <v>1968</v>
      </c>
      <c r="U968" s="47" t="s">
        <v>1393</v>
      </c>
      <c r="V968" s="47" t="s">
        <v>1727</v>
      </c>
      <c r="W968" s="47" t="s">
        <v>1393</v>
      </c>
      <c r="X968" s="47" t="s">
        <v>1421</v>
      </c>
      <c r="Z968" s="327"/>
      <c r="AA968" s="327"/>
      <c r="AB968" s="33" t="s">
        <v>140</v>
      </c>
      <c r="AC968" s="33">
        <v>6.9</v>
      </c>
      <c r="AD968" s="33">
        <v>0.87</v>
      </c>
      <c r="AF968" s="33" t="s">
        <v>1343</v>
      </c>
      <c r="AG968" s="33" t="s">
        <v>1544</v>
      </c>
      <c r="AH968" s="138" t="s">
        <v>578</v>
      </c>
      <c r="AI968" s="33" t="s">
        <v>1531</v>
      </c>
      <c r="AJ968" s="141" t="s">
        <v>1624</v>
      </c>
      <c r="AK968" s="33" t="s">
        <v>1631</v>
      </c>
      <c r="AL968" s="33" t="s">
        <v>1631</v>
      </c>
      <c r="AM968" s="33" t="s">
        <v>178</v>
      </c>
      <c r="AO968" s="33" t="s">
        <v>157</v>
      </c>
      <c r="AQ968" s="33">
        <v>0</v>
      </c>
      <c r="AR968" s="33">
        <v>0</v>
      </c>
      <c r="AS968" s="33" t="s">
        <v>178</v>
      </c>
      <c r="AT968" s="33" t="s">
        <v>120</v>
      </c>
      <c r="AU968" s="33">
        <v>8</v>
      </c>
      <c r="AW968" s="33" t="s">
        <v>142</v>
      </c>
      <c r="AY968" s="33">
        <v>730</v>
      </c>
      <c r="AZ968" s="33">
        <f>AY968/19.3</f>
        <v>37.823834196891191</v>
      </c>
      <c r="BA968" s="57" t="s">
        <v>675</v>
      </c>
      <c r="BH968" s="33">
        <v>4480</v>
      </c>
      <c r="BI968" s="33">
        <v>4430</v>
      </c>
      <c r="BM968" s="402"/>
      <c r="BN968" s="402"/>
      <c r="BR968" s="402"/>
      <c r="BS968" s="402"/>
      <c r="BW968" s="33">
        <f>10.1</f>
        <v>10.1</v>
      </c>
      <c r="BX968" s="33">
        <f>7.8</f>
        <v>7.8</v>
      </c>
      <c r="CA968" s="33" t="s">
        <v>680</v>
      </c>
      <c r="CB968" s="33">
        <v>19</v>
      </c>
      <c r="CC968" s="33">
        <v>25</v>
      </c>
      <c r="CG968" s="33">
        <v>422</v>
      </c>
      <c r="CH968" s="33">
        <v>403</v>
      </c>
      <c r="EY968" s="33">
        <f>63/3</f>
        <v>21</v>
      </c>
      <c r="EZ968" s="33">
        <f>41/3</f>
        <v>13.666666666666666</v>
      </c>
      <c r="FC968" s="33" t="s">
        <v>708</v>
      </c>
      <c r="GW968" s="33">
        <v>12</v>
      </c>
      <c r="GX968" s="33">
        <v>13</v>
      </c>
      <c r="IO968" s="33" t="s">
        <v>682</v>
      </c>
      <c r="IP968" s="33" t="s">
        <v>681</v>
      </c>
    </row>
    <row r="969" spans="1:250" s="33" customFormat="1" x14ac:dyDescent="0.25">
      <c r="A969" s="33">
        <v>46</v>
      </c>
      <c r="B969" s="33" t="s">
        <v>667</v>
      </c>
      <c r="C969" s="33" t="s">
        <v>666</v>
      </c>
      <c r="D969" s="33">
        <v>2013</v>
      </c>
      <c r="E969" s="33">
        <v>2009</v>
      </c>
      <c r="F969" s="33" t="s">
        <v>330</v>
      </c>
      <c r="G969" s="33" t="s">
        <v>670</v>
      </c>
      <c r="H969" s="32" t="s">
        <v>2831</v>
      </c>
      <c r="I969" s="33">
        <f>48+45/60</f>
        <v>48.75</v>
      </c>
      <c r="J969" s="33">
        <f>-110-52/60</f>
        <v>-110.86666666666666</v>
      </c>
      <c r="K969" s="33">
        <v>1059</v>
      </c>
      <c r="Q969" s="47">
        <v>1</v>
      </c>
      <c r="R969" s="47" t="s">
        <v>1856</v>
      </c>
      <c r="S969" s="47"/>
      <c r="T969" s="47" t="s">
        <v>1968</v>
      </c>
      <c r="U969" s="47" t="s">
        <v>1393</v>
      </c>
      <c r="V969" s="47" t="s">
        <v>1727</v>
      </c>
      <c r="W969" s="47" t="s">
        <v>1393</v>
      </c>
      <c r="X969" s="47" t="s">
        <v>1421</v>
      </c>
      <c r="Z969" s="327"/>
      <c r="AA969" s="327"/>
      <c r="AB969" s="33" t="s">
        <v>673</v>
      </c>
      <c r="AC969" s="33">
        <v>7.6</v>
      </c>
      <c r="AD969" s="33">
        <v>1.28</v>
      </c>
      <c r="AF969" s="33" t="s">
        <v>1343</v>
      </c>
      <c r="AG969" s="33" t="s">
        <v>1543</v>
      </c>
      <c r="AH969" s="138" t="s">
        <v>578</v>
      </c>
      <c r="AI969" s="33" t="s">
        <v>1531</v>
      </c>
      <c r="AJ969" s="141" t="s">
        <v>1624</v>
      </c>
      <c r="AK969" s="33" t="s">
        <v>1631</v>
      </c>
      <c r="AL969" s="33" t="s">
        <v>1631</v>
      </c>
      <c r="AM969" s="33" t="s">
        <v>178</v>
      </c>
      <c r="AO969" s="33" t="s">
        <v>157</v>
      </c>
      <c r="AQ969" s="33">
        <v>0</v>
      </c>
      <c r="AR969" s="33">
        <v>0</v>
      </c>
      <c r="AS969" s="33" t="s">
        <v>178</v>
      </c>
      <c r="AT969" s="33" t="s">
        <v>120</v>
      </c>
      <c r="AU969" s="33">
        <v>12</v>
      </c>
      <c r="AW969" s="33" t="s">
        <v>142</v>
      </c>
      <c r="AY969" s="33">
        <f>1.02*1000</f>
        <v>1020</v>
      </c>
      <c r="AZ969" s="33">
        <f>AY969/37.8</f>
        <v>26.984126984126988</v>
      </c>
      <c r="BA969" s="57" t="s">
        <v>676</v>
      </c>
      <c r="BH969" s="33">
        <v>4050</v>
      </c>
      <c r="BI969" s="33">
        <v>3920</v>
      </c>
      <c r="BM969" s="402"/>
      <c r="BN969" s="402"/>
      <c r="BR969" s="402"/>
      <c r="BS969" s="402"/>
      <c r="BW969" s="33">
        <f>11.2</f>
        <v>11.2</v>
      </c>
      <c r="BX969" s="33">
        <f>15.7</f>
        <v>15.7</v>
      </c>
      <c r="CA969" s="33" t="s">
        <v>680</v>
      </c>
      <c r="CB969" s="33">
        <v>16</v>
      </c>
      <c r="CC969" s="33">
        <v>19</v>
      </c>
      <c r="CG969" s="33">
        <v>319</v>
      </c>
      <c r="CH969" s="33">
        <v>451</v>
      </c>
      <c r="EY969" s="33">
        <f>79/3</f>
        <v>26.333333333333332</v>
      </c>
      <c r="EZ969" s="33">
        <f>55/3</f>
        <v>18.333333333333332</v>
      </c>
      <c r="FC969" s="33" t="s">
        <v>708</v>
      </c>
      <c r="GW969" s="33">
        <v>5</v>
      </c>
      <c r="GX969" s="33">
        <v>17</v>
      </c>
      <c r="IO969" s="33" t="s">
        <v>682</v>
      </c>
      <c r="IP969" s="33" t="s">
        <v>681</v>
      </c>
    </row>
    <row r="970" spans="1:250" s="33" customFormat="1" x14ac:dyDescent="0.25">
      <c r="A970" s="33">
        <v>46</v>
      </c>
      <c r="B970" s="33" t="s">
        <v>667</v>
      </c>
      <c r="C970" s="33" t="s">
        <v>666</v>
      </c>
      <c r="D970" s="33">
        <v>2013</v>
      </c>
      <c r="E970" s="33">
        <v>2009</v>
      </c>
      <c r="F970" s="33" t="s">
        <v>330</v>
      </c>
      <c r="G970" s="33" t="s">
        <v>671</v>
      </c>
      <c r="H970" s="32" t="s">
        <v>2831</v>
      </c>
      <c r="I970" s="33">
        <f>48+48/60</f>
        <v>48.8</v>
      </c>
      <c r="J970" s="33">
        <f>-111-38.5/60</f>
        <v>-111.64166666666667</v>
      </c>
      <c r="K970" s="33">
        <v>1102</v>
      </c>
      <c r="Q970" s="47">
        <v>1</v>
      </c>
      <c r="R970" s="47" t="s">
        <v>1856</v>
      </c>
      <c r="S970" s="47"/>
      <c r="T970" s="47" t="s">
        <v>1968</v>
      </c>
      <c r="U970" s="47" t="s">
        <v>1393</v>
      </c>
      <c r="V970" s="47" t="s">
        <v>1727</v>
      </c>
      <c r="W970" s="47" t="s">
        <v>1393</v>
      </c>
      <c r="X970" s="47" t="s">
        <v>1421</v>
      </c>
      <c r="Z970" s="327"/>
      <c r="AA970" s="327"/>
      <c r="AB970" s="33" t="s">
        <v>140</v>
      </c>
      <c r="AC970" s="33">
        <v>6.9</v>
      </c>
      <c r="AD970" s="33">
        <v>1.22</v>
      </c>
      <c r="AF970" s="33" t="s">
        <v>1343</v>
      </c>
      <c r="AG970" s="33" t="s">
        <v>1543</v>
      </c>
      <c r="AH970" s="138" t="s">
        <v>578</v>
      </c>
      <c r="AI970" s="33" t="s">
        <v>1531</v>
      </c>
      <c r="AJ970" s="141" t="s">
        <v>1624</v>
      </c>
      <c r="AK970" s="33" t="s">
        <v>1631</v>
      </c>
      <c r="AL970" s="33" t="s">
        <v>1631</v>
      </c>
      <c r="AM970" s="33" t="s">
        <v>178</v>
      </c>
      <c r="AO970" s="33" t="s">
        <v>157</v>
      </c>
      <c r="AQ970" s="33">
        <v>0</v>
      </c>
      <c r="AR970" s="33">
        <v>0</v>
      </c>
      <c r="AS970" s="33" t="s">
        <v>178</v>
      </c>
      <c r="AT970" s="33" t="s">
        <v>120</v>
      </c>
      <c r="AU970" s="33">
        <v>8</v>
      </c>
      <c r="AW970" s="33" t="s">
        <v>142</v>
      </c>
      <c r="AY970" s="33">
        <v>1090</v>
      </c>
      <c r="AZ970" s="33">
        <f>AY970/28.4</f>
        <v>38.380281690140848</v>
      </c>
      <c r="BA970" s="57" t="s">
        <v>677</v>
      </c>
      <c r="BH970" s="33">
        <v>4830</v>
      </c>
      <c r="BI970" s="33">
        <v>4360</v>
      </c>
      <c r="BM970" s="402"/>
      <c r="BN970" s="402"/>
      <c r="BR970" s="402"/>
      <c r="BS970" s="402"/>
      <c r="BW970" s="33">
        <f>37</f>
        <v>37</v>
      </c>
      <c r="BX970" s="33">
        <f>16.8</f>
        <v>16.8</v>
      </c>
      <c r="CA970" s="33" t="s">
        <v>680</v>
      </c>
      <c r="CB970" s="33">
        <v>12</v>
      </c>
      <c r="CC970" s="33">
        <v>11</v>
      </c>
      <c r="CG970" s="33">
        <v>599</v>
      </c>
      <c r="CH970" s="33">
        <v>519</v>
      </c>
      <c r="EY970" s="33">
        <f>76/3</f>
        <v>25.333333333333332</v>
      </c>
      <c r="EZ970" s="33">
        <f>47/3</f>
        <v>15.666666666666666</v>
      </c>
      <c r="FC970" s="33" t="s">
        <v>708</v>
      </c>
      <c r="GW970" s="33">
        <v>12</v>
      </c>
      <c r="GX970" s="33">
        <v>46</v>
      </c>
      <c r="IO970" s="33" t="s">
        <v>682</v>
      </c>
      <c r="IP970" s="33" t="s">
        <v>681</v>
      </c>
    </row>
    <row r="971" spans="1:250" s="33" customFormat="1" x14ac:dyDescent="0.25">
      <c r="A971" s="33">
        <v>46</v>
      </c>
      <c r="B971" s="33" t="s">
        <v>667</v>
      </c>
      <c r="C971" s="33" t="s">
        <v>666</v>
      </c>
      <c r="D971" s="33">
        <v>2013</v>
      </c>
      <c r="E971" s="33">
        <v>2009</v>
      </c>
      <c r="F971" s="33" t="s">
        <v>330</v>
      </c>
      <c r="G971" s="33" t="s">
        <v>672</v>
      </c>
      <c r="H971" s="32" t="s">
        <v>2831</v>
      </c>
      <c r="I971" s="33">
        <f>48+48/60</f>
        <v>48.8</v>
      </c>
      <c r="J971" s="33">
        <f>-111-31/60</f>
        <v>-111.51666666666667</v>
      </c>
      <c r="K971" s="33">
        <v>1090</v>
      </c>
      <c r="Q971" s="47">
        <v>1</v>
      </c>
      <c r="R971" s="47" t="s">
        <v>1856</v>
      </c>
      <c r="S971" s="47"/>
      <c r="T971" s="47" t="s">
        <v>1968</v>
      </c>
      <c r="U971" s="47" t="s">
        <v>1393</v>
      </c>
      <c r="V971" s="47" t="s">
        <v>1727</v>
      </c>
      <c r="W971" s="47" t="s">
        <v>1393</v>
      </c>
      <c r="X971" s="47" t="s">
        <v>1421</v>
      </c>
      <c r="Z971" s="327"/>
      <c r="AA971" s="327"/>
      <c r="AB971" s="33" t="s">
        <v>519</v>
      </c>
      <c r="AC971" s="33">
        <v>7.8</v>
      </c>
      <c r="AD971" s="33">
        <v>1.1000000000000001</v>
      </c>
      <c r="AF971" s="33" t="s">
        <v>1343</v>
      </c>
      <c r="AG971" s="33" t="s">
        <v>563</v>
      </c>
      <c r="AH971" s="138" t="s">
        <v>578</v>
      </c>
      <c r="AI971" s="33" t="s">
        <v>1531</v>
      </c>
      <c r="AJ971" s="141" t="s">
        <v>1624</v>
      </c>
      <c r="AK971" s="33" t="s">
        <v>1631</v>
      </c>
      <c r="AL971" s="33" t="s">
        <v>1631</v>
      </c>
      <c r="AM971" s="33" t="s">
        <v>178</v>
      </c>
      <c r="AO971" s="33" t="s">
        <v>157</v>
      </c>
      <c r="AQ971" s="33">
        <v>0</v>
      </c>
      <c r="AR971" s="33">
        <v>0</v>
      </c>
      <c r="AS971" s="33" t="s">
        <v>178</v>
      </c>
      <c r="AT971" s="33" t="s">
        <v>120</v>
      </c>
      <c r="AU971" s="33">
        <v>8</v>
      </c>
      <c r="AW971" s="33" t="s">
        <v>142</v>
      </c>
      <c r="AY971" s="33">
        <v>550</v>
      </c>
      <c r="AZ971" s="33">
        <f>AY971/14.5</f>
        <v>37.931034482758619</v>
      </c>
      <c r="BA971" s="57" t="s">
        <v>678</v>
      </c>
      <c r="BH971" s="33">
        <v>1690</v>
      </c>
      <c r="BI971" s="33">
        <v>1510</v>
      </c>
      <c r="BM971" s="402"/>
      <c r="BN971" s="402"/>
      <c r="BR971" s="402"/>
      <c r="BS971" s="402"/>
      <c r="BW971" s="33">
        <f>12.3</f>
        <v>12.3</v>
      </c>
      <c r="BX971" s="33">
        <f>11.2</f>
        <v>11.2</v>
      </c>
      <c r="CA971" s="33" t="s">
        <v>680</v>
      </c>
      <c r="CB971" s="33">
        <v>9</v>
      </c>
      <c r="CC971" s="33">
        <v>8</v>
      </c>
      <c r="CG971" s="33">
        <v>355</v>
      </c>
      <c r="CH971" s="33">
        <v>507</v>
      </c>
      <c r="EY971" s="33">
        <f>75/3</f>
        <v>25</v>
      </c>
      <c r="EZ971" s="33">
        <f>52/3</f>
        <v>17.333333333333332</v>
      </c>
      <c r="FC971" s="33" t="s">
        <v>708</v>
      </c>
      <c r="GW971" s="33">
        <v>7</v>
      </c>
      <c r="GX971" s="33">
        <v>23</v>
      </c>
      <c r="IO971" s="33" t="s">
        <v>682</v>
      </c>
      <c r="IP971" s="33" t="s">
        <v>681</v>
      </c>
    </row>
    <row r="972" spans="1:250" s="28" customFormat="1" x14ac:dyDescent="0.25">
      <c r="A972" s="28">
        <v>46</v>
      </c>
      <c r="B972" s="28" t="s">
        <v>667</v>
      </c>
      <c r="C972" s="28" t="s">
        <v>666</v>
      </c>
      <c r="D972" s="28">
        <v>2013</v>
      </c>
      <c r="E972" s="28">
        <v>2009</v>
      </c>
      <c r="F972" s="28" t="s">
        <v>330</v>
      </c>
      <c r="G972" s="28" t="s">
        <v>668</v>
      </c>
      <c r="H972" s="32" t="s">
        <v>2831</v>
      </c>
      <c r="I972" s="28">
        <f>47+55/60</f>
        <v>47.916666666666664</v>
      </c>
      <c r="J972" s="28">
        <f>-109-55/60</f>
        <v>-109.91666666666667</v>
      </c>
      <c r="K972" s="28">
        <v>888</v>
      </c>
      <c r="Q972" s="46">
        <v>1</v>
      </c>
      <c r="R972" s="46" t="s">
        <v>1856</v>
      </c>
      <c r="S972" s="46"/>
      <c r="T972" s="46" t="s">
        <v>1968</v>
      </c>
      <c r="U972" s="46" t="s">
        <v>1406</v>
      </c>
      <c r="V972" s="46" t="s">
        <v>1727</v>
      </c>
      <c r="W972" s="46" t="s">
        <v>1393</v>
      </c>
      <c r="X972" s="46" t="s">
        <v>1421</v>
      </c>
      <c r="Z972" s="326"/>
      <c r="AA972" s="326"/>
      <c r="AB972" s="28" t="s">
        <v>519</v>
      </c>
      <c r="AC972" s="28">
        <v>6.1</v>
      </c>
      <c r="AD972" s="28">
        <v>1.1000000000000001</v>
      </c>
      <c r="AF972" s="28" t="s">
        <v>1343</v>
      </c>
      <c r="AG972" s="28" t="s">
        <v>1543</v>
      </c>
      <c r="AH972" s="138" t="s">
        <v>578</v>
      </c>
      <c r="AI972" s="28" t="s">
        <v>1531</v>
      </c>
      <c r="AJ972" s="141" t="s">
        <v>1624</v>
      </c>
      <c r="AK972" s="28" t="s">
        <v>1631</v>
      </c>
      <c r="AL972" s="28" t="s">
        <v>1631</v>
      </c>
      <c r="AM972" s="28" t="s">
        <v>178</v>
      </c>
      <c r="AO972" s="28" t="s">
        <v>157</v>
      </c>
      <c r="AQ972" s="28">
        <v>0</v>
      </c>
      <c r="AR972" s="28">
        <v>0</v>
      </c>
      <c r="AS972" s="28" t="s">
        <v>178</v>
      </c>
      <c r="AT972" s="28" t="s">
        <v>120</v>
      </c>
      <c r="AU972" s="28">
        <v>6</v>
      </c>
      <c r="AW972" s="28" t="s">
        <v>142</v>
      </c>
      <c r="AY972" s="28">
        <f>1.07*1000</f>
        <v>1070</v>
      </c>
      <c r="AZ972" s="28">
        <f>AY972/44.2</f>
        <v>24.20814479638009</v>
      </c>
      <c r="BA972" s="58" t="s">
        <v>674</v>
      </c>
      <c r="BM972" s="401"/>
      <c r="BN972" s="401"/>
      <c r="BR972" s="401"/>
      <c r="BS972" s="401"/>
      <c r="BW972" s="28">
        <f>10</f>
        <v>10</v>
      </c>
      <c r="BX972" s="28">
        <f>3</f>
        <v>3</v>
      </c>
      <c r="CA972" s="28" t="s">
        <v>680</v>
      </c>
      <c r="EY972" s="28">
        <f>65/3</f>
        <v>21.666666666666668</v>
      </c>
      <c r="EZ972" s="28">
        <f>54/3</f>
        <v>18</v>
      </c>
      <c r="FC972" s="28" t="s">
        <v>708</v>
      </c>
      <c r="IO972" s="28" t="s">
        <v>682</v>
      </c>
      <c r="IP972" s="28" t="s">
        <v>681</v>
      </c>
    </row>
    <row r="973" spans="1:250" s="28" customFormat="1" x14ac:dyDescent="0.25">
      <c r="A973" s="28">
        <v>46</v>
      </c>
      <c r="B973" s="28" t="s">
        <v>667</v>
      </c>
      <c r="C973" s="28" t="s">
        <v>666</v>
      </c>
      <c r="D973" s="28">
        <v>2013</v>
      </c>
      <c r="E973" s="28">
        <v>2009</v>
      </c>
      <c r="F973" s="28" t="s">
        <v>330</v>
      </c>
      <c r="G973" s="28" t="s">
        <v>669</v>
      </c>
      <c r="H973" s="32" t="s">
        <v>2831</v>
      </c>
      <c r="I973" s="28">
        <f>48+18/60</f>
        <v>48.3</v>
      </c>
      <c r="J973" s="28">
        <f>-110-6/60</f>
        <v>-110.1</v>
      </c>
      <c r="K973" s="28">
        <v>833</v>
      </c>
      <c r="Q973" s="46">
        <v>1</v>
      </c>
      <c r="R973" s="46" t="s">
        <v>1856</v>
      </c>
      <c r="S973" s="46"/>
      <c r="T973" s="46" t="s">
        <v>1968</v>
      </c>
      <c r="U973" s="46" t="s">
        <v>1406</v>
      </c>
      <c r="V973" s="46" t="s">
        <v>1727</v>
      </c>
      <c r="W973" s="46" t="s">
        <v>1393</v>
      </c>
      <c r="X973" s="46" t="s">
        <v>1421</v>
      </c>
      <c r="Z973" s="326"/>
      <c r="AA973" s="326"/>
      <c r="AB973" s="28" t="s">
        <v>140</v>
      </c>
      <c r="AC973" s="28">
        <v>6.9</v>
      </c>
      <c r="AD973" s="28">
        <v>0.87</v>
      </c>
      <c r="AF973" s="28" t="s">
        <v>1343</v>
      </c>
      <c r="AG973" s="28" t="s">
        <v>1544</v>
      </c>
      <c r="AH973" s="138" t="s">
        <v>578</v>
      </c>
      <c r="AI973" s="28" t="s">
        <v>1531</v>
      </c>
      <c r="AJ973" s="141" t="s">
        <v>1624</v>
      </c>
      <c r="AK973" s="28" t="s">
        <v>1631</v>
      </c>
      <c r="AL973" s="28" t="s">
        <v>1631</v>
      </c>
      <c r="AM973" s="28" t="s">
        <v>178</v>
      </c>
      <c r="AO973" s="28" t="s">
        <v>157</v>
      </c>
      <c r="AQ973" s="28">
        <v>0</v>
      </c>
      <c r="AR973" s="28">
        <v>0</v>
      </c>
      <c r="AS973" s="28" t="s">
        <v>178</v>
      </c>
      <c r="AT973" s="28" t="s">
        <v>120</v>
      </c>
      <c r="AU973" s="28">
        <v>8</v>
      </c>
      <c r="AW973" s="28" t="s">
        <v>142</v>
      </c>
      <c r="AY973" s="28">
        <v>730</v>
      </c>
      <c r="AZ973" s="28">
        <f>AY973/19.3</f>
        <v>37.823834196891191</v>
      </c>
      <c r="BA973" s="58" t="s">
        <v>675</v>
      </c>
      <c r="BM973" s="401"/>
      <c r="BN973" s="401"/>
      <c r="BR973" s="401"/>
      <c r="BS973" s="401"/>
      <c r="BW973" s="28">
        <f>4</f>
        <v>4</v>
      </c>
      <c r="BX973" s="28">
        <f>3</f>
        <v>3</v>
      </c>
      <c r="CA973" s="28" t="s">
        <v>680</v>
      </c>
      <c r="EY973" s="28">
        <f>48/3</f>
        <v>16</v>
      </c>
      <c r="EZ973" s="28">
        <f>41/3</f>
        <v>13.666666666666666</v>
      </c>
      <c r="FC973" s="28" t="s">
        <v>708</v>
      </c>
      <c r="IO973" s="28" t="s">
        <v>682</v>
      </c>
      <c r="IP973" s="28" t="s">
        <v>681</v>
      </c>
    </row>
    <row r="974" spans="1:250" s="28" customFormat="1" x14ac:dyDescent="0.25">
      <c r="A974" s="28">
        <v>46</v>
      </c>
      <c r="B974" s="28" t="s">
        <v>667</v>
      </c>
      <c r="C974" s="28" t="s">
        <v>666</v>
      </c>
      <c r="D974" s="28">
        <v>2013</v>
      </c>
      <c r="E974" s="28">
        <v>2009</v>
      </c>
      <c r="F974" s="28" t="s">
        <v>330</v>
      </c>
      <c r="G974" s="28" t="s">
        <v>670</v>
      </c>
      <c r="H974" s="32" t="s">
        <v>2831</v>
      </c>
      <c r="I974" s="28">
        <f>48+45/60</f>
        <v>48.75</v>
      </c>
      <c r="J974" s="28">
        <f>-110-52/60</f>
        <v>-110.86666666666666</v>
      </c>
      <c r="K974" s="28">
        <v>1059</v>
      </c>
      <c r="Q974" s="46">
        <v>1</v>
      </c>
      <c r="R974" s="46" t="s">
        <v>1856</v>
      </c>
      <c r="S974" s="46"/>
      <c r="T974" s="46" t="s">
        <v>1968</v>
      </c>
      <c r="U974" s="46" t="s">
        <v>1406</v>
      </c>
      <c r="V974" s="46" t="s">
        <v>1727</v>
      </c>
      <c r="W974" s="46" t="s">
        <v>1393</v>
      </c>
      <c r="X974" s="46" t="s">
        <v>1421</v>
      </c>
      <c r="Z974" s="326"/>
      <c r="AA974" s="326"/>
      <c r="AB974" s="28" t="s">
        <v>673</v>
      </c>
      <c r="AC974" s="28">
        <v>7.6</v>
      </c>
      <c r="AD974" s="28">
        <v>1.28</v>
      </c>
      <c r="AF974" s="28" t="s">
        <v>1343</v>
      </c>
      <c r="AG974" s="28" t="s">
        <v>1543</v>
      </c>
      <c r="AH974" s="138" t="s">
        <v>578</v>
      </c>
      <c r="AI974" s="28" t="s">
        <v>1531</v>
      </c>
      <c r="AJ974" s="141" t="s">
        <v>1624</v>
      </c>
      <c r="AK974" s="28" t="s">
        <v>1631</v>
      </c>
      <c r="AL974" s="28" t="s">
        <v>1631</v>
      </c>
      <c r="AM974" s="28" t="s">
        <v>178</v>
      </c>
      <c r="AO974" s="28" t="s">
        <v>157</v>
      </c>
      <c r="AQ974" s="28">
        <v>0</v>
      </c>
      <c r="AR974" s="28">
        <v>0</v>
      </c>
      <c r="AS974" s="28" t="s">
        <v>178</v>
      </c>
      <c r="AT974" s="28" t="s">
        <v>120</v>
      </c>
      <c r="AU974" s="28">
        <v>12</v>
      </c>
      <c r="AW974" s="28" t="s">
        <v>142</v>
      </c>
      <c r="AY974" s="28">
        <f>1.02*1000</f>
        <v>1020</v>
      </c>
      <c r="AZ974" s="28">
        <f>AY974/37.8</f>
        <v>26.984126984126988</v>
      </c>
      <c r="BA974" s="58" t="s">
        <v>676</v>
      </c>
      <c r="BM974" s="401"/>
      <c r="BN974" s="401"/>
      <c r="BR974" s="401"/>
      <c r="BS974" s="401"/>
      <c r="BW974" s="28">
        <f>20</f>
        <v>20</v>
      </c>
      <c r="BX974" s="28">
        <f>5</f>
        <v>5</v>
      </c>
      <c r="CA974" s="28" t="s">
        <v>680</v>
      </c>
      <c r="EY974" s="28">
        <f>77/3</f>
        <v>25.666666666666668</v>
      </c>
      <c r="EZ974" s="28">
        <f>68/3</f>
        <v>22.666666666666668</v>
      </c>
      <c r="FC974" s="28" t="s">
        <v>708</v>
      </c>
      <c r="IO974" s="28" t="s">
        <v>682</v>
      </c>
      <c r="IP974" s="28" t="s">
        <v>681</v>
      </c>
    </row>
    <row r="975" spans="1:250" s="28" customFormat="1" x14ac:dyDescent="0.25">
      <c r="A975" s="28">
        <v>46</v>
      </c>
      <c r="B975" s="28" t="s">
        <v>667</v>
      </c>
      <c r="C975" s="28" t="s">
        <v>666</v>
      </c>
      <c r="D975" s="28">
        <v>2013</v>
      </c>
      <c r="E975" s="28">
        <v>2009</v>
      </c>
      <c r="F975" s="28" t="s">
        <v>330</v>
      </c>
      <c r="G975" s="28" t="s">
        <v>671</v>
      </c>
      <c r="H975" s="32" t="s">
        <v>2831</v>
      </c>
      <c r="I975" s="28">
        <f>48+48/60</f>
        <v>48.8</v>
      </c>
      <c r="J975" s="28">
        <f>-111-38.5/60</f>
        <v>-111.64166666666667</v>
      </c>
      <c r="K975" s="28">
        <v>1102</v>
      </c>
      <c r="Q975" s="46">
        <v>1</v>
      </c>
      <c r="R975" s="46" t="s">
        <v>1856</v>
      </c>
      <c r="S975" s="46"/>
      <c r="T975" s="46" t="s">
        <v>1968</v>
      </c>
      <c r="U975" s="46" t="s">
        <v>1406</v>
      </c>
      <c r="V975" s="46" t="s">
        <v>1727</v>
      </c>
      <c r="W975" s="46" t="s">
        <v>1393</v>
      </c>
      <c r="X975" s="46" t="s">
        <v>1421</v>
      </c>
      <c r="Z975" s="326"/>
      <c r="AA975" s="326"/>
      <c r="AB975" s="28" t="s">
        <v>140</v>
      </c>
      <c r="AC975" s="28">
        <v>6.9</v>
      </c>
      <c r="AD975" s="28">
        <v>1.22</v>
      </c>
      <c r="AF975" s="28" t="s">
        <v>1343</v>
      </c>
      <c r="AG975" s="28" t="s">
        <v>1543</v>
      </c>
      <c r="AH975" s="138" t="s">
        <v>578</v>
      </c>
      <c r="AI975" s="28" t="s">
        <v>1531</v>
      </c>
      <c r="AJ975" s="141" t="s">
        <v>1624</v>
      </c>
      <c r="AK975" s="28" t="s">
        <v>1631</v>
      </c>
      <c r="AL975" s="28" t="s">
        <v>1631</v>
      </c>
      <c r="AM975" s="28" t="s">
        <v>178</v>
      </c>
      <c r="AO975" s="28" t="s">
        <v>157</v>
      </c>
      <c r="AQ975" s="28">
        <v>0</v>
      </c>
      <c r="AR975" s="28">
        <v>0</v>
      </c>
      <c r="AS975" s="28" t="s">
        <v>178</v>
      </c>
      <c r="AT975" s="28" t="s">
        <v>120</v>
      </c>
      <c r="AU975" s="28">
        <v>8</v>
      </c>
      <c r="AW975" s="28" t="s">
        <v>142</v>
      </c>
      <c r="AY975" s="28">
        <v>1090</v>
      </c>
      <c r="AZ975" s="28">
        <f>AY975/28.4</f>
        <v>38.380281690140848</v>
      </c>
      <c r="BA975" s="58" t="s">
        <v>677</v>
      </c>
      <c r="BM975" s="401"/>
      <c r="BN975" s="401"/>
      <c r="BR975" s="401"/>
      <c r="BS975" s="401"/>
      <c r="BW975" s="28">
        <f>17</f>
        <v>17</v>
      </c>
      <c r="BX975" s="28">
        <f>8</f>
        <v>8</v>
      </c>
      <c r="CA975" s="28" t="s">
        <v>680</v>
      </c>
      <c r="EY975" s="28">
        <f>52/3</f>
        <v>17.333333333333332</v>
      </c>
      <c r="EZ975" s="28">
        <f>37/3</f>
        <v>12.333333333333334</v>
      </c>
      <c r="FC975" s="28" t="s">
        <v>708</v>
      </c>
      <c r="IO975" s="28" t="s">
        <v>682</v>
      </c>
      <c r="IP975" s="28" t="s">
        <v>681</v>
      </c>
    </row>
    <row r="976" spans="1:250" s="28" customFormat="1" x14ac:dyDescent="0.25">
      <c r="A976" s="28">
        <v>46</v>
      </c>
      <c r="B976" s="28" t="s">
        <v>667</v>
      </c>
      <c r="C976" s="28" t="s">
        <v>666</v>
      </c>
      <c r="D976" s="28">
        <v>2013</v>
      </c>
      <c r="E976" s="28">
        <v>2009</v>
      </c>
      <c r="F976" s="28" t="s">
        <v>330</v>
      </c>
      <c r="G976" s="28" t="s">
        <v>672</v>
      </c>
      <c r="H976" s="32" t="s">
        <v>2831</v>
      </c>
      <c r="I976" s="28">
        <f>48+48/60</f>
        <v>48.8</v>
      </c>
      <c r="J976" s="28">
        <f>-111-31/60</f>
        <v>-111.51666666666667</v>
      </c>
      <c r="K976" s="28">
        <v>1090</v>
      </c>
      <c r="Q976" s="46">
        <v>1</v>
      </c>
      <c r="R976" s="46" t="s">
        <v>1856</v>
      </c>
      <c r="S976" s="46"/>
      <c r="T976" s="46" t="s">
        <v>1968</v>
      </c>
      <c r="U976" s="46" t="s">
        <v>1406</v>
      </c>
      <c r="V976" s="46" t="s">
        <v>1727</v>
      </c>
      <c r="W976" s="46" t="s">
        <v>1393</v>
      </c>
      <c r="X976" s="46" t="s">
        <v>1421</v>
      </c>
      <c r="Z976" s="326"/>
      <c r="AA976" s="326"/>
      <c r="AB976" s="28" t="s">
        <v>519</v>
      </c>
      <c r="AC976" s="28">
        <v>7.8</v>
      </c>
      <c r="AD976" s="28">
        <v>1.1000000000000001</v>
      </c>
      <c r="AF976" s="28" t="s">
        <v>1343</v>
      </c>
      <c r="AG976" s="28" t="s">
        <v>563</v>
      </c>
      <c r="AH976" s="138" t="s">
        <v>578</v>
      </c>
      <c r="AI976" s="28" t="s">
        <v>1531</v>
      </c>
      <c r="AJ976" s="141" t="s">
        <v>1624</v>
      </c>
      <c r="AK976" s="28" t="s">
        <v>1631</v>
      </c>
      <c r="AL976" s="28" t="s">
        <v>1631</v>
      </c>
      <c r="AM976" s="28" t="s">
        <v>178</v>
      </c>
      <c r="AO976" s="28" t="s">
        <v>157</v>
      </c>
      <c r="AQ976" s="28">
        <v>0</v>
      </c>
      <c r="AR976" s="28">
        <v>0</v>
      </c>
      <c r="AS976" s="28" t="s">
        <v>178</v>
      </c>
      <c r="AT976" s="28" t="s">
        <v>120</v>
      </c>
      <c r="AU976" s="28">
        <v>8</v>
      </c>
      <c r="AW976" s="28" t="s">
        <v>142</v>
      </c>
      <c r="AY976" s="28">
        <v>550</v>
      </c>
      <c r="AZ976" s="28">
        <f>AY976/14.5</f>
        <v>37.931034482758619</v>
      </c>
      <c r="BA976" s="58" t="s">
        <v>678</v>
      </c>
      <c r="BM976" s="401"/>
      <c r="BN976" s="401"/>
      <c r="BR976" s="401"/>
      <c r="BS976" s="401"/>
      <c r="BW976" s="28">
        <f>2</f>
        <v>2</v>
      </c>
      <c r="BX976" s="28">
        <v>1</v>
      </c>
      <c r="CA976" s="28" t="s">
        <v>680</v>
      </c>
      <c r="EY976" s="28">
        <f>64/3</f>
        <v>21.333333333333332</v>
      </c>
      <c r="EZ976" s="28">
        <f>41/3</f>
        <v>13.666666666666666</v>
      </c>
      <c r="FC976" s="28" t="s">
        <v>708</v>
      </c>
      <c r="IO976" s="28" t="s">
        <v>682</v>
      </c>
      <c r="IP976" s="28" t="s">
        <v>681</v>
      </c>
    </row>
    <row r="977" spans="1:250" s="33" customFormat="1" x14ac:dyDescent="0.25">
      <c r="A977" s="33">
        <v>46</v>
      </c>
      <c r="B977" s="33" t="s">
        <v>667</v>
      </c>
      <c r="C977" s="33" t="s">
        <v>666</v>
      </c>
      <c r="D977" s="33">
        <v>2013</v>
      </c>
      <c r="E977" s="33">
        <v>2009</v>
      </c>
      <c r="F977" s="33" t="s">
        <v>330</v>
      </c>
      <c r="G977" s="33" t="s">
        <v>668</v>
      </c>
      <c r="H977" s="32" t="s">
        <v>2831</v>
      </c>
      <c r="I977" s="33">
        <f>47+55/60</f>
        <v>47.916666666666664</v>
      </c>
      <c r="J977" s="33">
        <f>-109-55/60</f>
        <v>-109.91666666666667</v>
      </c>
      <c r="K977" s="33">
        <v>888</v>
      </c>
      <c r="Q977" s="47">
        <v>1</v>
      </c>
      <c r="R977" s="47" t="s">
        <v>1856</v>
      </c>
      <c r="S977" s="47"/>
      <c r="T977" s="47" t="s">
        <v>1968</v>
      </c>
      <c r="U977" s="47" t="s">
        <v>1407</v>
      </c>
      <c r="V977" s="47" t="s">
        <v>1727</v>
      </c>
      <c r="W977" s="47" t="s">
        <v>1393</v>
      </c>
      <c r="X977" s="47" t="s">
        <v>1421</v>
      </c>
      <c r="Z977" s="327"/>
      <c r="AA977" s="327"/>
      <c r="AB977" s="33" t="s">
        <v>519</v>
      </c>
      <c r="AC977" s="33">
        <v>6.1</v>
      </c>
      <c r="AD977" s="33">
        <v>1.1000000000000001</v>
      </c>
      <c r="AF977" s="33" t="s">
        <v>1343</v>
      </c>
      <c r="AG977" s="33" t="s">
        <v>1543</v>
      </c>
      <c r="AH977" s="138" t="s">
        <v>578</v>
      </c>
      <c r="AI977" s="33" t="s">
        <v>1531</v>
      </c>
      <c r="AJ977" s="141" t="s">
        <v>1624</v>
      </c>
      <c r="AK977" s="33" t="s">
        <v>1631</v>
      </c>
      <c r="AL977" s="33" t="s">
        <v>1631</v>
      </c>
      <c r="AM977" s="33" t="s">
        <v>178</v>
      </c>
      <c r="AO977" s="33" t="s">
        <v>157</v>
      </c>
      <c r="AQ977" s="33">
        <v>0</v>
      </c>
      <c r="AR977" s="33">
        <v>0</v>
      </c>
      <c r="AS977" s="33" t="s">
        <v>178</v>
      </c>
      <c r="AT977" s="33" t="s">
        <v>120</v>
      </c>
      <c r="AU977" s="33">
        <v>6</v>
      </c>
      <c r="AW977" s="33" t="s">
        <v>142</v>
      </c>
      <c r="AY977" s="33">
        <f>1.07*1000</f>
        <v>1070</v>
      </c>
      <c r="AZ977" s="33">
        <f>AY977/44.2</f>
        <v>24.20814479638009</v>
      </c>
      <c r="BA977" s="57" t="s">
        <v>674</v>
      </c>
      <c r="BM977" s="402"/>
      <c r="BN977" s="402"/>
      <c r="BR977" s="402"/>
      <c r="BS977" s="402"/>
      <c r="BW977" s="33">
        <v>9</v>
      </c>
      <c r="BX977" s="33">
        <v>4</v>
      </c>
      <c r="CA977" s="33" t="s">
        <v>680</v>
      </c>
      <c r="EY977" s="33">
        <f>54/3</f>
        <v>18</v>
      </c>
      <c r="EZ977" s="33">
        <f>53/3</f>
        <v>17.666666666666668</v>
      </c>
      <c r="FC977" s="33" t="s">
        <v>708</v>
      </c>
      <c r="IO977" s="33" t="s">
        <v>682</v>
      </c>
      <c r="IP977" s="33" t="s">
        <v>681</v>
      </c>
    </row>
    <row r="978" spans="1:250" s="33" customFormat="1" x14ac:dyDescent="0.25">
      <c r="A978" s="33">
        <v>46</v>
      </c>
      <c r="B978" s="33" t="s">
        <v>667</v>
      </c>
      <c r="C978" s="33" t="s">
        <v>666</v>
      </c>
      <c r="D978" s="33">
        <v>2013</v>
      </c>
      <c r="E978" s="33">
        <v>2009</v>
      </c>
      <c r="F978" s="33" t="s">
        <v>330</v>
      </c>
      <c r="G978" s="33" t="s">
        <v>669</v>
      </c>
      <c r="H978" s="32" t="s">
        <v>2831</v>
      </c>
      <c r="I978" s="33">
        <f>48+18/60</f>
        <v>48.3</v>
      </c>
      <c r="J978" s="33">
        <f>-110-6/60</f>
        <v>-110.1</v>
      </c>
      <c r="K978" s="33">
        <v>833</v>
      </c>
      <c r="Q978" s="47">
        <v>1</v>
      </c>
      <c r="R978" s="47" t="s">
        <v>1856</v>
      </c>
      <c r="S978" s="47"/>
      <c r="T978" s="47" t="s">
        <v>1968</v>
      </c>
      <c r="U978" s="47" t="s">
        <v>1407</v>
      </c>
      <c r="V978" s="47" t="s">
        <v>1727</v>
      </c>
      <c r="W978" s="47" t="s">
        <v>1393</v>
      </c>
      <c r="X978" s="47" t="s">
        <v>1421</v>
      </c>
      <c r="Z978" s="327"/>
      <c r="AA978" s="327"/>
      <c r="AB978" s="33" t="s">
        <v>140</v>
      </c>
      <c r="AC978" s="33">
        <v>6.9</v>
      </c>
      <c r="AD978" s="33">
        <v>0.87</v>
      </c>
      <c r="AF978" s="33" t="s">
        <v>1343</v>
      </c>
      <c r="AG978" s="33" t="s">
        <v>1544</v>
      </c>
      <c r="AH978" s="138" t="s">
        <v>578</v>
      </c>
      <c r="AI978" s="33" t="s">
        <v>1531</v>
      </c>
      <c r="AJ978" s="141" t="s">
        <v>1624</v>
      </c>
      <c r="AK978" s="33" t="s">
        <v>1631</v>
      </c>
      <c r="AL978" s="33" t="s">
        <v>1631</v>
      </c>
      <c r="AM978" s="33" t="s">
        <v>178</v>
      </c>
      <c r="AO978" s="33" t="s">
        <v>157</v>
      </c>
      <c r="AQ978" s="33">
        <v>0</v>
      </c>
      <c r="AR978" s="33">
        <v>0</v>
      </c>
      <c r="AS978" s="33" t="s">
        <v>178</v>
      </c>
      <c r="AT978" s="33" t="s">
        <v>120</v>
      </c>
      <c r="AU978" s="33">
        <v>8</v>
      </c>
      <c r="AW978" s="33" t="s">
        <v>142</v>
      </c>
      <c r="AY978" s="33">
        <v>730</v>
      </c>
      <c r="AZ978" s="33">
        <f>AY978/19.3</f>
        <v>37.823834196891191</v>
      </c>
      <c r="BA978" s="57" t="s">
        <v>675</v>
      </c>
      <c r="BM978" s="402"/>
      <c r="BN978" s="402"/>
      <c r="BR978" s="402"/>
      <c r="BS978" s="402"/>
      <c r="BW978" s="33">
        <v>14</v>
      </c>
      <c r="BX978" s="33">
        <v>13</v>
      </c>
      <c r="CA978" s="33" t="s">
        <v>680</v>
      </c>
      <c r="EY978" s="33">
        <f>44/3</f>
        <v>14.666666666666666</v>
      </c>
      <c r="EZ978" s="33">
        <f>40/3</f>
        <v>13.333333333333334</v>
      </c>
      <c r="FC978" s="33" t="s">
        <v>708</v>
      </c>
      <c r="IO978" s="33" t="s">
        <v>682</v>
      </c>
      <c r="IP978" s="33" t="s">
        <v>681</v>
      </c>
    </row>
    <row r="979" spans="1:250" s="33" customFormat="1" x14ac:dyDescent="0.25">
      <c r="A979" s="33">
        <v>46</v>
      </c>
      <c r="B979" s="33" t="s">
        <v>667</v>
      </c>
      <c r="C979" s="33" t="s">
        <v>666</v>
      </c>
      <c r="D979" s="33">
        <v>2013</v>
      </c>
      <c r="E979" s="33">
        <v>2009</v>
      </c>
      <c r="F979" s="33" t="s">
        <v>330</v>
      </c>
      <c r="G979" s="33" t="s">
        <v>670</v>
      </c>
      <c r="H979" s="32" t="s">
        <v>2831</v>
      </c>
      <c r="I979" s="33">
        <f>48+45/60</f>
        <v>48.75</v>
      </c>
      <c r="J979" s="33">
        <f>-110-52/60</f>
        <v>-110.86666666666666</v>
      </c>
      <c r="K979" s="33">
        <v>1059</v>
      </c>
      <c r="Q979" s="47">
        <v>1</v>
      </c>
      <c r="R979" s="47" t="s">
        <v>1856</v>
      </c>
      <c r="S979" s="47"/>
      <c r="T979" s="47" t="s">
        <v>1968</v>
      </c>
      <c r="U979" s="47" t="s">
        <v>1407</v>
      </c>
      <c r="V979" s="47" t="s">
        <v>1727</v>
      </c>
      <c r="W979" s="47" t="s">
        <v>1393</v>
      </c>
      <c r="X979" s="47" t="s">
        <v>1421</v>
      </c>
      <c r="Z979" s="327"/>
      <c r="AA979" s="327"/>
      <c r="AB979" s="33" t="s">
        <v>673</v>
      </c>
      <c r="AC979" s="33">
        <v>7.6</v>
      </c>
      <c r="AD979" s="33">
        <v>1.28</v>
      </c>
      <c r="AF979" s="33" t="s">
        <v>1343</v>
      </c>
      <c r="AG979" s="33" t="s">
        <v>1543</v>
      </c>
      <c r="AH979" s="138" t="s">
        <v>578</v>
      </c>
      <c r="AI979" s="33" t="s">
        <v>1531</v>
      </c>
      <c r="AJ979" s="141" t="s">
        <v>1624</v>
      </c>
      <c r="AK979" s="33" t="s">
        <v>1631</v>
      </c>
      <c r="AL979" s="33" t="s">
        <v>1631</v>
      </c>
      <c r="AM979" s="33" t="s">
        <v>178</v>
      </c>
      <c r="AO979" s="33" t="s">
        <v>157</v>
      </c>
      <c r="AQ979" s="33">
        <v>0</v>
      </c>
      <c r="AR979" s="33">
        <v>0</v>
      </c>
      <c r="AS979" s="33" t="s">
        <v>178</v>
      </c>
      <c r="AT979" s="33" t="s">
        <v>120</v>
      </c>
      <c r="AU979" s="33">
        <v>12</v>
      </c>
      <c r="AW979" s="33" t="s">
        <v>142</v>
      </c>
      <c r="AY979" s="33">
        <f>1.02*1000</f>
        <v>1020</v>
      </c>
      <c r="AZ979" s="33">
        <f>AY979/37.8</f>
        <v>26.984126984126988</v>
      </c>
      <c r="BA979" s="57" t="s">
        <v>676</v>
      </c>
      <c r="BM979" s="402"/>
      <c r="BN979" s="402"/>
      <c r="BR979" s="402"/>
      <c r="BS979" s="402"/>
      <c r="BW979" s="33">
        <v>39</v>
      </c>
      <c r="BX979" s="33">
        <v>24</v>
      </c>
      <c r="CA979" s="33" t="s">
        <v>680</v>
      </c>
      <c r="EY979" s="33">
        <f>74/3</f>
        <v>24.666666666666668</v>
      </c>
      <c r="EZ979" s="33">
        <f>72/3</f>
        <v>24</v>
      </c>
      <c r="FC979" s="33" t="s">
        <v>708</v>
      </c>
      <c r="IO979" s="33" t="s">
        <v>682</v>
      </c>
      <c r="IP979" s="33" t="s">
        <v>681</v>
      </c>
    </row>
    <row r="980" spans="1:250" s="33" customFormat="1" x14ac:dyDescent="0.25">
      <c r="A980" s="33">
        <v>46</v>
      </c>
      <c r="B980" s="33" t="s">
        <v>667</v>
      </c>
      <c r="C980" s="33" t="s">
        <v>666</v>
      </c>
      <c r="D980" s="33">
        <v>2013</v>
      </c>
      <c r="E980" s="33">
        <v>2009</v>
      </c>
      <c r="F980" s="33" t="s">
        <v>330</v>
      </c>
      <c r="G980" s="33" t="s">
        <v>671</v>
      </c>
      <c r="H980" s="32" t="s">
        <v>2831</v>
      </c>
      <c r="I980" s="33">
        <f>48+48/60</f>
        <v>48.8</v>
      </c>
      <c r="J980" s="33">
        <f>-111-38.5/60</f>
        <v>-111.64166666666667</v>
      </c>
      <c r="K980" s="33">
        <v>1102</v>
      </c>
      <c r="Q980" s="47">
        <v>1</v>
      </c>
      <c r="R980" s="47" t="s">
        <v>1856</v>
      </c>
      <c r="S980" s="47"/>
      <c r="T980" s="47" t="s">
        <v>1968</v>
      </c>
      <c r="U980" s="47" t="s">
        <v>1407</v>
      </c>
      <c r="V980" s="47" t="s">
        <v>1727</v>
      </c>
      <c r="W980" s="47" t="s">
        <v>1393</v>
      </c>
      <c r="X980" s="47" t="s">
        <v>1421</v>
      </c>
      <c r="Z980" s="327"/>
      <c r="AA980" s="327"/>
      <c r="AB980" s="33" t="s">
        <v>140</v>
      </c>
      <c r="AC980" s="33">
        <v>6.9</v>
      </c>
      <c r="AD980" s="33">
        <v>1.22</v>
      </c>
      <c r="AF980" s="33" t="s">
        <v>1343</v>
      </c>
      <c r="AG980" s="33" t="s">
        <v>1543</v>
      </c>
      <c r="AH980" s="138" t="s">
        <v>578</v>
      </c>
      <c r="AI980" s="33" t="s">
        <v>1531</v>
      </c>
      <c r="AJ980" s="141" t="s">
        <v>1624</v>
      </c>
      <c r="AK980" s="33" t="s">
        <v>1631</v>
      </c>
      <c r="AL980" s="33" t="s">
        <v>1631</v>
      </c>
      <c r="AM980" s="33" t="s">
        <v>178</v>
      </c>
      <c r="AO980" s="33" t="s">
        <v>157</v>
      </c>
      <c r="AQ980" s="33">
        <v>0</v>
      </c>
      <c r="AR980" s="33">
        <v>0</v>
      </c>
      <c r="AS980" s="33" t="s">
        <v>178</v>
      </c>
      <c r="AT980" s="33" t="s">
        <v>120</v>
      </c>
      <c r="AU980" s="33">
        <v>8</v>
      </c>
      <c r="AW980" s="33" t="s">
        <v>142</v>
      </c>
      <c r="AY980" s="33">
        <v>1090</v>
      </c>
      <c r="AZ980" s="33">
        <f>AY980/28.4</f>
        <v>38.380281690140848</v>
      </c>
      <c r="BA980" s="57" t="s">
        <v>677</v>
      </c>
      <c r="BM980" s="402"/>
      <c r="BN980" s="402"/>
      <c r="BR980" s="402"/>
      <c r="BS980" s="402"/>
      <c r="BW980" s="33">
        <v>15</v>
      </c>
      <c r="BX980" s="33">
        <v>13</v>
      </c>
      <c r="CA980" s="33" t="s">
        <v>680</v>
      </c>
      <c r="EY980" s="33">
        <f>44/3</f>
        <v>14.666666666666666</v>
      </c>
      <c r="EZ980" s="33">
        <f>36/3</f>
        <v>12</v>
      </c>
      <c r="FC980" s="33" t="s">
        <v>708</v>
      </c>
      <c r="IO980" s="33" t="s">
        <v>682</v>
      </c>
      <c r="IP980" s="33" t="s">
        <v>681</v>
      </c>
    </row>
    <row r="981" spans="1:250" s="33" customFormat="1" x14ac:dyDescent="0.25">
      <c r="A981" s="33">
        <v>46</v>
      </c>
      <c r="B981" s="33" t="s">
        <v>667</v>
      </c>
      <c r="C981" s="33" t="s">
        <v>666</v>
      </c>
      <c r="D981" s="33">
        <v>2013</v>
      </c>
      <c r="E981" s="33">
        <v>2009</v>
      </c>
      <c r="F981" s="33" t="s">
        <v>330</v>
      </c>
      <c r="G981" s="33" t="s">
        <v>672</v>
      </c>
      <c r="H981" s="32" t="s">
        <v>2831</v>
      </c>
      <c r="I981" s="33">
        <f>48+48/60</f>
        <v>48.8</v>
      </c>
      <c r="J981" s="33">
        <f>-111-31/60</f>
        <v>-111.51666666666667</v>
      </c>
      <c r="K981" s="33">
        <v>1090</v>
      </c>
      <c r="Q981" s="47">
        <v>1</v>
      </c>
      <c r="R981" s="47" t="s">
        <v>1856</v>
      </c>
      <c r="S981" s="47"/>
      <c r="T981" s="47" t="s">
        <v>1968</v>
      </c>
      <c r="U981" s="47" t="s">
        <v>1407</v>
      </c>
      <c r="V981" s="47" t="s">
        <v>1727</v>
      </c>
      <c r="W981" s="47" t="s">
        <v>1393</v>
      </c>
      <c r="X981" s="47" t="s">
        <v>1421</v>
      </c>
      <c r="Z981" s="327"/>
      <c r="AA981" s="327"/>
      <c r="AB981" s="33" t="s">
        <v>519</v>
      </c>
      <c r="AC981" s="33">
        <v>7.8</v>
      </c>
      <c r="AD981" s="33">
        <v>1.1000000000000001</v>
      </c>
      <c r="AF981" s="33" t="s">
        <v>1343</v>
      </c>
      <c r="AG981" s="33" t="s">
        <v>563</v>
      </c>
      <c r="AH981" s="138" t="s">
        <v>578</v>
      </c>
      <c r="AI981" s="33" t="s">
        <v>1531</v>
      </c>
      <c r="AJ981" s="141" t="s">
        <v>1624</v>
      </c>
      <c r="AK981" s="33" t="s">
        <v>1631</v>
      </c>
      <c r="AL981" s="33" t="s">
        <v>1631</v>
      </c>
      <c r="AM981" s="33" t="s">
        <v>178</v>
      </c>
      <c r="AO981" s="33" t="s">
        <v>157</v>
      </c>
      <c r="AQ981" s="33">
        <v>0</v>
      </c>
      <c r="AR981" s="33">
        <v>0</v>
      </c>
      <c r="AS981" s="33" t="s">
        <v>178</v>
      </c>
      <c r="AT981" s="33" t="s">
        <v>120</v>
      </c>
      <c r="AU981" s="33">
        <v>8</v>
      </c>
      <c r="AW981" s="33" t="s">
        <v>142</v>
      </c>
      <c r="AY981" s="33">
        <v>550</v>
      </c>
      <c r="AZ981" s="33">
        <f>AY981/14.5</f>
        <v>37.931034482758619</v>
      </c>
      <c r="BA981" s="57" t="s">
        <v>678</v>
      </c>
      <c r="BM981" s="402"/>
      <c r="BN981" s="402"/>
      <c r="BR981" s="402"/>
      <c r="BS981" s="402"/>
      <c r="BW981" s="33">
        <v>2</v>
      </c>
      <c r="BX981" s="33">
        <v>2</v>
      </c>
      <c r="CA981" s="33" t="s">
        <v>680</v>
      </c>
      <c r="EY981" s="33">
        <f>61/3</f>
        <v>20.333333333333332</v>
      </c>
      <c r="EZ981" s="33">
        <f>49/3</f>
        <v>16.333333333333332</v>
      </c>
      <c r="FC981" s="33" t="s">
        <v>708</v>
      </c>
      <c r="IO981" s="33" t="s">
        <v>682</v>
      </c>
      <c r="IP981" s="33" t="s">
        <v>681</v>
      </c>
    </row>
    <row r="982" spans="1:250" s="59" customFormat="1" x14ac:dyDescent="0.25">
      <c r="A982" s="59">
        <v>46</v>
      </c>
      <c r="B982" s="59" t="s">
        <v>667</v>
      </c>
      <c r="C982" s="59" t="s">
        <v>666</v>
      </c>
      <c r="D982" s="59">
        <v>2013</v>
      </c>
      <c r="E982" s="59">
        <v>2009</v>
      </c>
      <c r="F982" s="59" t="s">
        <v>330</v>
      </c>
      <c r="G982" s="59" t="s">
        <v>668</v>
      </c>
      <c r="H982" s="32" t="s">
        <v>2831</v>
      </c>
      <c r="I982" s="59">
        <f>47+55/60</f>
        <v>47.916666666666664</v>
      </c>
      <c r="J982" s="59">
        <f>-109-55/60</f>
        <v>-109.91666666666667</v>
      </c>
      <c r="K982" s="59">
        <v>888</v>
      </c>
      <c r="Q982" s="60">
        <v>1</v>
      </c>
      <c r="R982" s="47" t="s">
        <v>1856</v>
      </c>
      <c r="S982" s="60"/>
      <c r="T982" s="60" t="s">
        <v>1968</v>
      </c>
      <c r="U982" s="60" t="s">
        <v>1393</v>
      </c>
      <c r="V982" s="47" t="s">
        <v>1727</v>
      </c>
      <c r="W982" s="60" t="s">
        <v>1393</v>
      </c>
      <c r="X982" s="60" t="s">
        <v>1421</v>
      </c>
      <c r="Z982" s="333"/>
      <c r="AA982" s="333"/>
      <c r="AB982" s="59" t="s">
        <v>519</v>
      </c>
      <c r="AC982" s="59">
        <v>6.1</v>
      </c>
      <c r="AD982" s="59">
        <v>1.1000000000000001</v>
      </c>
      <c r="AF982" s="59" t="s">
        <v>1343</v>
      </c>
      <c r="AG982" s="59" t="s">
        <v>1543</v>
      </c>
      <c r="AH982" s="138" t="s">
        <v>578</v>
      </c>
      <c r="AI982" s="59" t="s">
        <v>1531</v>
      </c>
      <c r="AJ982" s="141" t="s">
        <v>1624</v>
      </c>
      <c r="AK982" s="33" t="s">
        <v>1631</v>
      </c>
      <c r="AL982" s="33" t="s">
        <v>1631</v>
      </c>
      <c r="AM982" s="33" t="s">
        <v>178</v>
      </c>
      <c r="AO982" s="59" t="s">
        <v>157</v>
      </c>
      <c r="AQ982" s="59">
        <v>0</v>
      </c>
      <c r="AR982" s="59">
        <v>0</v>
      </c>
      <c r="AS982" s="59" t="s">
        <v>178</v>
      </c>
      <c r="AT982" s="59" t="s">
        <v>120</v>
      </c>
      <c r="AU982" s="59">
        <v>6</v>
      </c>
      <c r="AW982" s="59" t="s">
        <v>142</v>
      </c>
      <c r="AY982" s="59">
        <f>1.07*1000</f>
        <v>1070</v>
      </c>
      <c r="AZ982" s="59">
        <f>AY982/44.2</f>
        <v>24.20814479638009</v>
      </c>
      <c r="BA982" s="61" t="s">
        <v>674</v>
      </c>
      <c r="BM982" s="408"/>
      <c r="BN982" s="408"/>
      <c r="BR982" s="408"/>
      <c r="BS982" s="408"/>
      <c r="BW982" s="59">
        <v>47</v>
      </c>
      <c r="BX982" s="59">
        <v>26</v>
      </c>
      <c r="BY982" s="33"/>
      <c r="BZ982" s="33"/>
      <c r="CA982" s="33" t="s">
        <v>680</v>
      </c>
      <c r="EY982" s="59">
        <f>64/3</f>
        <v>21.333333333333332</v>
      </c>
      <c r="EZ982" s="59">
        <f>68/3</f>
        <v>22.666666666666668</v>
      </c>
      <c r="FC982" s="33" t="s">
        <v>708</v>
      </c>
      <c r="IO982" s="33" t="s">
        <v>682</v>
      </c>
      <c r="IP982" s="28" t="s">
        <v>681</v>
      </c>
    </row>
    <row r="983" spans="1:250" s="59" customFormat="1" x14ac:dyDescent="0.25">
      <c r="A983" s="59">
        <v>46</v>
      </c>
      <c r="B983" s="59" t="s">
        <v>667</v>
      </c>
      <c r="C983" s="59" t="s">
        <v>666</v>
      </c>
      <c r="D983" s="59">
        <v>2013</v>
      </c>
      <c r="E983" s="59">
        <v>2009</v>
      </c>
      <c r="F983" s="59" t="s">
        <v>330</v>
      </c>
      <c r="G983" s="59" t="s">
        <v>669</v>
      </c>
      <c r="H983" s="32" t="s">
        <v>2831</v>
      </c>
      <c r="I983" s="59">
        <f>48+18/60</f>
        <v>48.3</v>
      </c>
      <c r="J983" s="59">
        <f>-110-6/60</f>
        <v>-110.1</v>
      </c>
      <c r="K983" s="59">
        <v>833</v>
      </c>
      <c r="Q983" s="60">
        <v>1</v>
      </c>
      <c r="R983" s="47" t="s">
        <v>1856</v>
      </c>
      <c r="S983" s="60"/>
      <c r="T983" s="60" t="s">
        <v>1968</v>
      </c>
      <c r="U983" s="60" t="s">
        <v>1393</v>
      </c>
      <c r="V983" s="47" t="s">
        <v>1727</v>
      </c>
      <c r="W983" s="60" t="s">
        <v>1393</v>
      </c>
      <c r="X983" s="60" t="s">
        <v>1421</v>
      </c>
      <c r="Z983" s="333"/>
      <c r="AA983" s="333"/>
      <c r="AB983" s="59" t="s">
        <v>140</v>
      </c>
      <c r="AC983" s="59">
        <v>6.9</v>
      </c>
      <c r="AD983" s="59">
        <v>0.87</v>
      </c>
      <c r="AF983" s="59" t="s">
        <v>1343</v>
      </c>
      <c r="AG983" s="59" t="s">
        <v>1544</v>
      </c>
      <c r="AH983" s="138" t="s">
        <v>578</v>
      </c>
      <c r="AI983" s="59" t="s">
        <v>1531</v>
      </c>
      <c r="AJ983" s="141" t="s">
        <v>1624</v>
      </c>
      <c r="AK983" s="33" t="s">
        <v>1631</v>
      </c>
      <c r="AL983" s="33" t="s">
        <v>1631</v>
      </c>
      <c r="AM983" s="33" t="s">
        <v>178</v>
      </c>
      <c r="AO983" s="59" t="s">
        <v>157</v>
      </c>
      <c r="AQ983" s="59">
        <v>0</v>
      </c>
      <c r="AR983" s="59">
        <v>0</v>
      </c>
      <c r="AS983" s="59" t="s">
        <v>178</v>
      </c>
      <c r="AT983" s="59" t="s">
        <v>120</v>
      </c>
      <c r="AU983" s="59">
        <v>8</v>
      </c>
      <c r="AW983" s="59" t="s">
        <v>142</v>
      </c>
      <c r="AY983" s="59">
        <v>730</v>
      </c>
      <c r="AZ983" s="59">
        <f>AY983/19.3</f>
        <v>37.823834196891191</v>
      </c>
      <c r="BA983" s="61" t="s">
        <v>675</v>
      </c>
      <c r="BM983" s="408"/>
      <c r="BN983" s="408"/>
      <c r="BR983" s="408"/>
      <c r="BS983" s="408"/>
      <c r="BW983" s="59">
        <v>29</v>
      </c>
      <c r="BX983" s="59">
        <v>15</v>
      </c>
      <c r="BY983" s="33"/>
      <c r="BZ983" s="33"/>
      <c r="CA983" s="33" t="s">
        <v>680</v>
      </c>
      <c r="EY983" s="59">
        <f>56/3</f>
        <v>18.666666666666668</v>
      </c>
      <c r="EZ983" s="59">
        <f>36/3</f>
        <v>12</v>
      </c>
      <c r="FC983" s="33" t="s">
        <v>708</v>
      </c>
      <c r="IO983" s="33" t="s">
        <v>682</v>
      </c>
      <c r="IP983" s="28" t="s">
        <v>681</v>
      </c>
    </row>
    <row r="984" spans="1:250" s="59" customFormat="1" x14ac:dyDescent="0.25">
      <c r="A984" s="59">
        <v>46</v>
      </c>
      <c r="B984" s="59" t="s">
        <v>667</v>
      </c>
      <c r="C984" s="59" t="s">
        <v>666</v>
      </c>
      <c r="D984" s="59">
        <v>2013</v>
      </c>
      <c r="E984" s="59">
        <v>2009</v>
      </c>
      <c r="F984" s="59" t="s">
        <v>330</v>
      </c>
      <c r="G984" s="59" t="s">
        <v>670</v>
      </c>
      <c r="H984" s="32" t="s">
        <v>2831</v>
      </c>
      <c r="I984" s="59">
        <f>48+45/60</f>
        <v>48.75</v>
      </c>
      <c r="J984" s="59">
        <f>-110-52/60</f>
        <v>-110.86666666666666</v>
      </c>
      <c r="K984" s="59">
        <v>1059</v>
      </c>
      <c r="Q984" s="60">
        <v>1</v>
      </c>
      <c r="R984" s="47" t="s">
        <v>1856</v>
      </c>
      <c r="S984" s="60"/>
      <c r="T984" s="60" t="s">
        <v>1968</v>
      </c>
      <c r="U984" s="60" t="s">
        <v>1393</v>
      </c>
      <c r="V984" s="47" t="s">
        <v>1727</v>
      </c>
      <c r="W984" s="60" t="s">
        <v>1393</v>
      </c>
      <c r="X984" s="60" t="s">
        <v>1421</v>
      </c>
      <c r="Z984" s="333"/>
      <c r="AA984" s="333"/>
      <c r="AB984" s="59" t="s">
        <v>673</v>
      </c>
      <c r="AC984" s="59">
        <v>7.6</v>
      </c>
      <c r="AD984" s="59">
        <v>1.28</v>
      </c>
      <c r="AF984" s="59" t="s">
        <v>1343</v>
      </c>
      <c r="AG984" s="59" t="s">
        <v>1543</v>
      </c>
      <c r="AH984" s="138" t="s">
        <v>578</v>
      </c>
      <c r="AI984" s="59" t="s">
        <v>1531</v>
      </c>
      <c r="AJ984" s="141" t="s">
        <v>1624</v>
      </c>
      <c r="AK984" s="33" t="s">
        <v>1631</v>
      </c>
      <c r="AL984" s="33" t="s">
        <v>1631</v>
      </c>
      <c r="AM984" s="33" t="s">
        <v>178</v>
      </c>
      <c r="AO984" s="59" t="s">
        <v>157</v>
      </c>
      <c r="AQ984" s="59">
        <v>0</v>
      </c>
      <c r="AR984" s="59">
        <v>0</v>
      </c>
      <c r="AS984" s="59" t="s">
        <v>178</v>
      </c>
      <c r="AT984" s="59" t="s">
        <v>120</v>
      </c>
      <c r="AU984" s="59">
        <v>12</v>
      </c>
      <c r="AW984" s="59" t="s">
        <v>142</v>
      </c>
      <c r="AY984" s="59">
        <f>1.02*1000</f>
        <v>1020</v>
      </c>
      <c r="AZ984" s="59">
        <f>AY984/37.8</f>
        <v>26.984126984126988</v>
      </c>
      <c r="BA984" s="61" t="s">
        <v>676</v>
      </c>
      <c r="BM984" s="408"/>
      <c r="BN984" s="408"/>
      <c r="BR984" s="408"/>
      <c r="BS984" s="408"/>
      <c r="BW984" s="59">
        <v>24</v>
      </c>
      <c r="BX984" s="59">
        <v>19</v>
      </c>
      <c r="BY984" s="33"/>
      <c r="BZ984" s="33"/>
      <c r="CA984" s="33" t="s">
        <v>680</v>
      </c>
      <c r="EY984" s="59">
        <f>64/3</f>
        <v>21.333333333333332</v>
      </c>
      <c r="EZ984" s="59">
        <f>45/3</f>
        <v>15</v>
      </c>
      <c r="FC984" s="33" t="s">
        <v>708</v>
      </c>
      <c r="IO984" s="33" t="s">
        <v>682</v>
      </c>
      <c r="IP984" s="28" t="s">
        <v>681</v>
      </c>
    </row>
    <row r="985" spans="1:250" s="59" customFormat="1" x14ac:dyDescent="0.25">
      <c r="A985" s="59">
        <v>46</v>
      </c>
      <c r="B985" s="59" t="s">
        <v>667</v>
      </c>
      <c r="C985" s="59" t="s">
        <v>666</v>
      </c>
      <c r="D985" s="59">
        <v>2013</v>
      </c>
      <c r="E985" s="59">
        <v>2009</v>
      </c>
      <c r="F985" s="59" t="s">
        <v>330</v>
      </c>
      <c r="G985" s="59" t="s">
        <v>671</v>
      </c>
      <c r="H985" s="32" t="s">
        <v>2831</v>
      </c>
      <c r="I985" s="59">
        <f>48+48/60</f>
        <v>48.8</v>
      </c>
      <c r="J985" s="59">
        <f>-111-38.5/60</f>
        <v>-111.64166666666667</v>
      </c>
      <c r="K985" s="59">
        <v>1102</v>
      </c>
      <c r="Q985" s="60">
        <v>1</v>
      </c>
      <c r="R985" s="47" t="s">
        <v>1856</v>
      </c>
      <c r="S985" s="60"/>
      <c r="T985" s="60" t="s">
        <v>1968</v>
      </c>
      <c r="U985" s="60" t="s">
        <v>1393</v>
      </c>
      <c r="V985" s="47" t="s">
        <v>1727</v>
      </c>
      <c r="W985" s="60" t="s">
        <v>1393</v>
      </c>
      <c r="X985" s="60" t="s">
        <v>1421</v>
      </c>
      <c r="Z985" s="333"/>
      <c r="AA985" s="333"/>
      <c r="AB985" s="59" t="s">
        <v>140</v>
      </c>
      <c r="AC985" s="59">
        <v>6.9</v>
      </c>
      <c r="AD985" s="59">
        <v>1.22</v>
      </c>
      <c r="AF985" s="59" t="s">
        <v>1343</v>
      </c>
      <c r="AG985" s="59" t="s">
        <v>1543</v>
      </c>
      <c r="AH985" s="138" t="s">
        <v>578</v>
      </c>
      <c r="AI985" s="59" t="s">
        <v>1531</v>
      </c>
      <c r="AJ985" s="141" t="s">
        <v>1624</v>
      </c>
      <c r="AK985" s="33" t="s">
        <v>1631</v>
      </c>
      <c r="AL985" s="33" t="s">
        <v>1631</v>
      </c>
      <c r="AM985" s="33" t="s">
        <v>178</v>
      </c>
      <c r="AO985" s="59" t="s">
        <v>157</v>
      </c>
      <c r="AQ985" s="59">
        <v>0</v>
      </c>
      <c r="AR985" s="59">
        <v>0</v>
      </c>
      <c r="AS985" s="59" t="s">
        <v>178</v>
      </c>
      <c r="AT985" s="59" t="s">
        <v>120</v>
      </c>
      <c r="AU985" s="59">
        <v>8</v>
      </c>
      <c r="AW985" s="59" t="s">
        <v>142</v>
      </c>
      <c r="AY985" s="59">
        <v>1090</v>
      </c>
      <c r="AZ985" s="59">
        <f>AY985/28.4</f>
        <v>38.380281690140848</v>
      </c>
      <c r="BA985" s="61" t="s">
        <v>677</v>
      </c>
      <c r="BM985" s="408"/>
      <c r="BN985" s="408"/>
      <c r="BR985" s="408"/>
      <c r="BS985" s="408"/>
      <c r="BW985" s="59">
        <v>54</v>
      </c>
      <c r="BX985" s="59">
        <v>23</v>
      </c>
      <c r="BY985" s="33"/>
      <c r="BZ985" s="33"/>
      <c r="CA985" s="33" t="s">
        <v>680</v>
      </c>
      <c r="EY985" s="59">
        <f>80/3</f>
        <v>26.666666666666668</v>
      </c>
      <c r="EZ985" s="59">
        <f>72/3</f>
        <v>24</v>
      </c>
      <c r="FC985" s="33" t="s">
        <v>708</v>
      </c>
      <c r="IO985" s="33" t="s">
        <v>682</v>
      </c>
      <c r="IP985" s="28" t="s">
        <v>681</v>
      </c>
    </row>
    <row r="986" spans="1:250" s="59" customFormat="1" x14ac:dyDescent="0.25">
      <c r="A986" s="59">
        <v>46</v>
      </c>
      <c r="B986" s="59" t="s">
        <v>667</v>
      </c>
      <c r="C986" s="59" t="s">
        <v>666</v>
      </c>
      <c r="D986" s="59">
        <v>2013</v>
      </c>
      <c r="E986" s="59">
        <v>2009</v>
      </c>
      <c r="F986" s="59" t="s">
        <v>330</v>
      </c>
      <c r="G986" s="59" t="s">
        <v>672</v>
      </c>
      <c r="H986" s="32" t="s">
        <v>2831</v>
      </c>
      <c r="I986" s="59">
        <f>48+48/60</f>
        <v>48.8</v>
      </c>
      <c r="J986" s="59">
        <f>-111-31/60</f>
        <v>-111.51666666666667</v>
      </c>
      <c r="K986" s="59">
        <v>1090</v>
      </c>
      <c r="Q986" s="60">
        <v>1</v>
      </c>
      <c r="R986" s="47" t="s">
        <v>1856</v>
      </c>
      <c r="S986" s="60"/>
      <c r="T986" s="60" t="s">
        <v>1968</v>
      </c>
      <c r="U986" s="60" t="s">
        <v>1393</v>
      </c>
      <c r="V986" s="47" t="s">
        <v>1727</v>
      </c>
      <c r="W986" s="60" t="s">
        <v>1393</v>
      </c>
      <c r="X986" s="60" t="s">
        <v>1421</v>
      </c>
      <c r="Z986" s="333"/>
      <c r="AA986" s="333"/>
      <c r="AB986" s="59" t="s">
        <v>519</v>
      </c>
      <c r="AC986" s="59">
        <v>7.8</v>
      </c>
      <c r="AD986" s="59">
        <v>1.1000000000000001</v>
      </c>
      <c r="AF986" s="59" t="s">
        <v>1343</v>
      </c>
      <c r="AG986" s="59" t="s">
        <v>563</v>
      </c>
      <c r="AH986" s="138" t="s">
        <v>578</v>
      </c>
      <c r="AI986" s="59" t="s">
        <v>1531</v>
      </c>
      <c r="AJ986" s="141" t="s">
        <v>1624</v>
      </c>
      <c r="AK986" s="33" t="s">
        <v>1631</v>
      </c>
      <c r="AL986" s="33" t="s">
        <v>1631</v>
      </c>
      <c r="AM986" s="33" t="s">
        <v>178</v>
      </c>
      <c r="AO986" s="59" t="s">
        <v>157</v>
      </c>
      <c r="AQ986" s="59">
        <v>0</v>
      </c>
      <c r="AR986" s="59">
        <v>0</v>
      </c>
      <c r="AS986" s="59" t="s">
        <v>178</v>
      </c>
      <c r="AT986" s="59" t="s">
        <v>120</v>
      </c>
      <c r="AU986" s="59">
        <v>8</v>
      </c>
      <c r="AW986" s="59" t="s">
        <v>142</v>
      </c>
      <c r="AY986" s="59">
        <v>550</v>
      </c>
      <c r="AZ986" s="59">
        <f>AY986/14.5</f>
        <v>37.931034482758619</v>
      </c>
      <c r="BA986" s="61" t="s">
        <v>678</v>
      </c>
      <c r="BM986" s="408"/>
      <c r="BN986" s="408"/>
      <c r="BR986" s="408"/>
      <c r="BS986" s="408"/>
      <c r="BW986" s="59">
        <v>16</v>
      </c>
      <c r="BX986" s="59">
        <v>10</v>
      </c>
      <c r="BY986" s="33"/>
      <c r="BZ986" s="33"/>
      <c r="CA986" s="33" t="s">
        <v>680</v>
      </c>
      <c r="EY986" s="59">
        <f>83/3</f>
        <v>27.666666666666668</v>
      </c>
      <c r="EZ986" s="59">
        <f>73/3</f>
        <v>24.333333333333332</v>
      </c>
      <c r="FC986" s="33" t="s">
        <v>708</v>
      </c>
      <c r="IO986" s="33" t="s">
        <v>682</v>
      </c>
      <c r="IP986" s="28" t="s">
        <v>681</v>
      </c>
    </row>
    <row r="987" spans="1:250" s="62" customFormat="1" x14ac:dyDescent="0.25">
      <c r="A987" s="62">
        <v>46</v>
      </c>
      <c r="B987" s="62" t="s">
        <v>667</v>
      </c>
      <c r="C987" s="62" t="s">
        <v>666</v>
      </c>
      <c r="D987" s="62">
        <v>2013</v>
      </c>
      <c r="E987" s="62">
        <v>2009</v>
      </c>
      <c r="F987" s="62" t="s">
        <v>330</v>
      </c>
      <c r="G987" s="62" t="s">
        <v>668</v>
      </c>
      <c r="H987" s="32" t="s">
        <v>2831</v>
      </c>
      <c r="I987" s="62">
        <f>47+55/60</f>
        <v>47.916666666666664</v>
      </c>
      <c r="J987" s="62">
        <f>-109-55/60</f>
        <v>-109.91666666666667</v>
      </c>
      <c r="K987" s="62">
        <v>888</v>
      </c>
      <c r="Q987" s="63">
        <v>1</v>
      </c>
      <c r="R987" s="63" t="s">
        <v>1856</v>
      </c>
      <c r="S987" s="63"/>
      <c r="T987" s="63" t="s">
        <v>1968</v>
      </c>
      <c r="U987" s="63" t="s">
        <v>1406</v>
      </c>
      <c r="V987" s="47" t="s">
        <v>1727</v>
      </c>
      <c r="W987" s="63" t="s">
        <v>1393</v>
      </c>
      <c r="X987" s="63" t="s">
        <v>1421</v>
      </c>
      <c r="Z987" s="334"/>
      <c r="AA987" s="334"/>
      <c r="AB987" s="62" t="s">
        <v>519</v>
      </c>
      <c r="AC987" s="62">
        <v>6.1</v>
      </c>
      <c r="AD987" s="62">
        <v>1.1000000000000001</v>
      </c>
      <c r="AF987" s="62" t="s">
        <v>1343</v>
      </c>
      <c r="AG987" s="62" t="s">
        <v>1543</v>
      </c>
      <c r="AH987" s="138" t="s">
        <v>578</v>
      </c>
      <c r="AI987" s="62" t="s">
        <v>1531</v>
      </c>
      <c r="AJ987" s="141" t="s">
        <v>1624</v>
      </c>
      <c r="AK987" s="28" t="s">
        <v>1631</v>
      </c>
      <c r="AL987" s="28" t="s">
        <v>1631</v>
      </c>
      <c r="AM987" s="28" t="s">
        <v>178</v>
      </c>
      <c r="AO987" s="62" t="s">
        <v>157</v>
      </c>
      <c r="AQ987" s="62">
        <v>0</v>
      </c>
      <c r="AR987" s="62">
        <v>0</v>
      </c>
      <c r="AS987" s="62" t="s">
        <v>178</v>
      </c>
      <c r="AT987" s="62" t="s">
        <v>120</v>
      </c>
      <c r="AU987" s="62">
        <v>6</v>
      </c>
      <c r="AW987" s="62" t="s">
        <v>142</v>
      </c>
      <c r="AY987" s="62">
        <f>1.07*1000</f>
        <v>1070</v>
      </c>
      <c r="AZ987" s="62">
        <f>AY987/44.2</f>
        <v>24.20814479638009</v>
      </c>
      <c r="BA987" s="64" t="s">
        <v>674</v>
      </c>
      <c r="BM987" s="409"/>
      <c r="BN987" s="409"/>
      <c r="BR987" s="409"/>
      <c r="BS987" s="409"/>
      <c r="BW987" s="62">
        <v>20</v>
      </c>
      <c r="BX987" s="62">
        <v>14</v>
      </c>
      <c r="CA987" s="62" t="s">
        <v>680</v>
      </c>
      <c r="EY987" s="62">
        <f>67/3</f>
        <v>22.333333333333332</v>
      </c>
      <c r="EZ987" s="62">
        <f>68/3</f>
        <v>22.666666666666668</v>
      </c>
      <c r="FC987" s="62" t="s">
        <v>708</v>
      </c>
      <c r="IO987" s="62" t="s">
        <v>682</v>
      </c>
      <c r="IP987" s="33" t="s">
        <v>681</v>
      </c>
    </row>
    <row r="988" spans="1:250" s="62" customFormat="1" x14ac:dyDescent="0.25">
      <c r="A988" s="62">
        <v>46</v>
      </c>
      <c r="B988" s="62" t="s">
        <v>667</v>
      </c>
      <c r="C988" s="62" t="s">
        <v>666</v>
      </c>
      <c r="D988" s="62">
        <v>2013</v>
      </c>
      <c r="E988" s="62">
        <v>2009</v>
      </c>
      <c r="F988" s="62" t="s">
        <v>330</v>
      </c>
      <c r="G988" s="62" t="s">
        <v>669</v>
      </c>
      <c r="H988" s="32" t="s">
        <v>2831</v>
      </c>
      <c r="I988" s="62">
        <f>48+18/60</f>
        <v>48.3</v>
      </c>
      <c r="J988" s="62">
        <f>-110-6/60</f>
        <v>-110.1</v>
      </c>
      <c r="K988" s="62">
        <v>833</v>
      </c>
      <c r="Q988" s="63">
        <v>1</v>
      </c>
      <c r="R988" s="63" t="s">
        <v>1856</v>
      </c>
      <c r="S988" s="63"/>
      <c r="T988" s="63" t="s">
        <v>1968</v>
      </c>
      <c r="U988" s="63" t="s">
        <v>1406</v>
      </c>
      <c r="V988" s="47" t="s">
        <v>1727</v>
      </c>
      <c r="W988" s="63" t="s">
        <v>1393</v>
      </c>
      <c r="X988" s="63" t="s">
        <v>1421</v>
      </c>
      <c r="Z988" s="334"/>
      <c r="AA988" s="334"/>
      <c r="AB988" s="62" t="s">
        <v>140</v>
      </c>
      <c r="AC988" s="62">
        <v>6.9</v>
      </c>
      <c r="AD988" s="62">
        <v>0.87</v>
      </c>
      <c r="AF988" s="62" t="s">
        <v>1343</v>
      </c>
      <c r="AG988" s="62" t="s">
        <v>1544</v>
      </c>
      <c r="AH988" s="138" t="s">
        <v>578</v>
      </c>
      <c r="AI988" s="62" t="s">
        <v>1531</v>
      </c>
      <c r="AJ988" s="141" t="s">
        <v>1624</v>
      </c>
      <c r="AK988" s="28" t="s">
        <v>1631</v>
      </c>
      <c r="AL988" s="28" t="s">
        <v>1631</v>
      </c>
      <c r="AM988" s="28" t="s">
        <v>178</v>
      </c>
      <c r="AO988" s="62" t="s">
        <v>157</v>
      </c>
      <c r="AQ988" s="62">
        <v>0</v>
      </c>
      <c r="AR988" s="62">
        <v>0</v>
      </c>
      <c r="AS988" s="62" t="s">
        <v>178</v>
      </c>
      <c r="AT988" s="62" t="s">
        <v>120</v>
      </c>
      <c r="AU988" s="62">
        <v>8</v>
      </c>
      <c r="AW988" s="62" t="s">
        <v>142</v>
      </c>
      <c r="AY988" s="62">
        <v>730</v>
      </c>
      <c r="AZ988" s="62">
        <f>AY988/19.3</f>
        <v>37.823834196891191</v>
      </c>
      <c r="BA988" s="64" t="s">
        <v>675</v>
      </c>
      <c r="BM988" s="409"/>
      <c r="BN988" s="409"/>
      <c r="BR988" s="409"/>
      <c r="BS988" s="409"/>
      <c r="BW988" s="62">
        <v>7</v>
      </c>
      <c r="BX988" s="62">
        <v>5</v>
      </c>
      <c r="CA988" s="62" t="s">
        <v>680</v>
      </c>
      <c r="EY988" s="62">
        <f>54/3</f>
        <v>18</v>
      </c>
      <c r="EZ988" s="62">
        <f>39/3</f>
        <v>13</v>
      </c>
      <c r="FC988" s="62" t="s">
        <v>708</v>
      </c>
      <c r="IO988" s="62" t="s">
        <v>682</v>
      </c>
      <c r="IP988" s="33" t="s">
        <v>681</v>
      </c>
    </row>
    <row r="989" spans="1:250" s="62" customFormat="1" x14ac:dyDescent="0.25">
      <c r="A989" s="62">
        <v>46</v>
      </c>
      <c r="B989" s="62" t="s">
        <v>667</v>
      </c>
      <c r="C989" s="62" t="s">
        <v>666</v>
      </c>
      <c r="D989" s="62">
        <v>2013</v>
      </c>
      <c r="E989" s="62">
        <v>2009</v>
      </c>
      <c r="F989" s="62" t="s">
        <v>330</v>
      </c>
      <c r="G989" s="62" t="s">
        <v>670</v>
      </c>
      <c r="H989" s="32" t="s">
        <v>2831</v>
      </c>
      <c r="I989" s="62">
        <f>48+45/60</f>
        <v>48.75</v>
      </c>
      <c r="J989" s="62">
        <f>-110-52/60</f>
        <v>-110.86666666666666</v>
      </c>
      <c r="K989" s="62">
        <v>1059</v>
      </c>
      <c r="Q989" s="63">
        <v>1</v>
      </c>
      <c r="R989" s="63" t="s">
        <v>1856</v>
      </c>
      <c r="S989" s="63"/>
      <c r="T989" s="63" t="s">
        <v>1968</v>
      </c>
      <c r="U989" s="63" t="s">
        <v>1406</v>
      </c>
      <c r="V989" s="47" t="s">
        <v>1727</v>
      </c>
      <c r="W989" s="63" t="s">
        <v>1393</v>
      </c>
      <c r="X989" s="63" t="s">
        <v>1421</v>
      </c>
      <c r="Z989" s="334"/>
      <c r="AA989" s="334"/>
      <c r="AB989" s="62" t="s">
        <v>673</v>
      </c>
      <c r="AC989" s="62">
        <v>7.6</v>
      </c>
      <c r="AD989" s="62">
        <v>1.28</v>
      </c>
      <c r="AF989" s="62" t="s">
        <v>1343</v>
      </c>
      <c r="AG989" s="62" t="s">
        <v>1543</v>
      </c>
      <c r="AH989" s="138" t="s">
        <v>578</v>
      </c>
      <c r="AI989" s="62" t="s">
        <v>1531</v>
      </c>
      <c r="AJ989" s="141" t="s">
        <v>1624</v>
      </c>
      <c r="AK989" s="28" t="s">
        <v>1631</v>
      </c>
      <c r="AL989" s="28" t="s">
        <v>1631</v>
      </c>
      <c r="AM989" s="28" t="s">
        <v>178</v>
      </c>
      <c r="AO989" s="62" t="s">
        <v>157</v>
      </c>
      <c r="AQ989" s="62">
        <v>0</v>
      </c>
      <c r="AR989" s="62">
        <v>0</v>
      </c>
      <c r="AS989" s="62" t="s">
        <v>178</v>
      </c>
      <c r="AT989" s="62" t="s">
        <v>120</v>
      </c>
      <c r="AU989" s="62">
        <v>12</v>
      </c>
      <c r="AW989" s="62" t="s">
        <v>142</v>
      </c>
      <c r="AY989" s="62">
        <f>1.02*1000</f>
        <v>1020</v>
      </c>
      <c r="AZ989" s="62">
        <f>AY989/37.8</f>
        <v>26.984126984126988</v>
      </c>
      <c r="BA989" s="64" t="s">
        <v>676</v>
      </c>
      <c r="BM989" s="409"/>
      <c r="BN989" s="409"/>
      <c r="BR989" s="409"/>
      <c r="BS989" s="409"/>
      <c r="BW989" s="62">
        <v>11</v>
      </c>
      <c r="BX989" s="62">
        <v>7</v>
      </c>
      <c r="CA989" s="62" t="s">
        <v>680</v>
      </c>
      <c r="EY989" s="62">
        <f>74/3</f>
        <v>24.666666666666668</v>
      </c>
      <c r="EZ989" s="62">
        <f>61/3</f>
        <v>20.333333333333332</v>
      </c>
      <c r="FC989" s="62" t="s">
        <v>708</v>
      </c>
      <c r="IO989" s="62" t="s">
        <v>682</v>
      </c>
      <c r="IP989" s="33" t="s">
        <v>681</v>
      </c>
    </row>
    <row r="990" spans="1:250" s="62" customFormat="1" x14ac:dyDescent="0.25">
      <c r="A990" s="62">
        <v>46</v>
      </c>
      <c r="B990" s="62" t="s">
        <v>667</v>
      </c>
      <c r="C990" s="62" t="s">
        <v>666</v>
      </c>
      <c r="D990" s="62">
        <v>2013</v>
      </c>
      <c r="E990" s="62">
        <v>2009</v>
      </c>
      <c r="F990" s="62" t="s">
        <v>330</v>
      </c>
      <c r="G990" s="62" t="s">
        <v>671</v>
      </c>
      <c r="H990" s="32" t="s">
        <v>2831</v>
      </c>
      <c r="I990" s="62">
        <f>48+48/60</f>
        <v>48.8</v>
      </c>
      <c r="J990" s="62">
        <f>-111-38.5/60</f>
        <v>-111.64166666666667</v>
      </c>
      <c r="K990" s="62">
        <v>1102</v>
      </c>
      <c r="Q990" s="63">
        <v>1</v>
      </c>
      <c r="R990" s="63" t="s">
        <v>1856</v>
      </c>
      <c r="S990" s="63"/>
      <c r="T990" s="63" t="s">
        <v>1968</v>
      </c>
      <c r="U990" s="63" t="s">
        <v>1406</v>
      </c>
      <c r="V990" s="47" t="s">
        <v>1727</v>
      </c>
      <c r="W990" s="63" t="s">
        <v>1393</v>
      </c>
      <c r="X990" s="63" t="s">
        <v>1421</v>
      </c>
      <c r="Z990" s="334"/>
      <c r="AA990" s="334"/>
      <c r="AB990" s="62" t="s">
        <v>140</v>
      </c>
      <c r="AC990" s="62">
        <v>6.9</v>
      </c>
      <c r="AD990" s="62">
        <v>1.22</v>
      </c>
      <c r="AF990" s="62" t="s">
        <v>1343</v>
      </c>
      <c r="AG990" s="62" t="s">
        <v>1543</v>
      </c>
      <c r="AH990" s="138" t="s">
        <v>578</v>
      </c>
      <c r="AI990" s="62" t="s">
        <v>1531</v>
      </c>
      <c r="AJ990" s="141" t="s">
        <v>1624</v>
      </c>
      <c r="AK990" s="28" t="s">
        <v>1631</v>
      </c>
      <c r="AL990" s="28" t="s">
        <v>1631</v>
      </c>
      <c r="AM990" s="28" t="s">
        <v>178</v>
      </c>
      <c r="AO990" s="62" t="s">
        <v>157</v>
      </c>
      <c r="AQ990" s="62">
        <v>0</v>
      </c>
      <c r="AR990" s="62">
        <v>0</v>
      </c>
      <c r="AS990" s="62" t="s">
        <v>178</v>
      </c>
      <c r="AT990" s="62" t="s">
        <v>120</v>
      </c>
      <c r="AU990" s="62">
        <v>8</v>
      </c>
      <c r="AW990" s="62" t="s">
        <v>142</v>
      </c>
      <c r="AY990" s="62">
        <v>1090</v>
      </c>
      <c r="AZ990" s="62">
        <f>AY990/28.4</f>
        <v>38.380281690140848</v>
      </c>
      <c r="BA990" s="64" t="s">
        <v>677</v>
      </c>
      <c r="BM990" s="409"/>
      <c r="BN990" s="409"/>
      <c r="BR990" s="409"/>
      <c r="BS990" s="409"/>
      <c r="BW990" s="62">
        <v>24</v>
      </c>
      <c r="BX990" s="62">
        <v>7</v>
      </c>
      <c r="CA990" s="62" t="s">
        <v>680</v>
      </c>
      <c r="EY990" s="62">
        <f>58/3</f>
        <v>19.333333333333332</v>
      </c>
      <c r="EZ990" s="62">
        <f>41/3</f>
        <v>13.666666666666666</v>
      </c>
      <c r="FC990" s="62" t="s">
        <v>708</v>
      </c>
      <c r="IO990" s="62" t="s">
        <v>682</v>
      </c>
      <c r="IP990" s="33" t="s">
        <v>681</v>
      </c>
    </row>
    <row r="991" spans="1:250" s="62" customFormat="1" x14ac:dyDescent="0.25">
      <c r="A991" s="62">
        <v>46</v>
      </c>
      <c r="B991" s="62" t="s">
        <v>667</v>
      </c>
      <c r="C991" s="62" t="s">
        <v>666</v>
      </c>
      <c r="D991" s="62">
        <v>2013</v>
      </c>
      <c r="E991" s="62">
        <v>2009</v>
      </c>
      <c r="F991" s="62" t="s">
        <v>330</v>
      </c>
      <c r="G991" s="62" t="s">
        <v>672</v>
      </c>
      <c r="H991" s="32" t="s">
        <v>2831</v>
      </c>
      <c r="I991" s="62">
        <f>48+48/60</f>
        <v>48.8</v>
      </c>
      <c r="J991" s="62">
        <f>-111-31/60</f>
        <v>-111.51666666666667</v>
      </c>
      <c r="K991" s="62">
        <v>1090</v>
      </c>
      <c r="Q991" s="63">
        <v>1</v>
      </c>
      <c r="R991" s="63" t="s">
        <v>1856</v>
      </c>
      <c r="S991" s="63"/>
      <c r="T991" s="63" t="s">
        <v>1968</v>
      </c>
      <c r="U991" s="63" t="s">
        <v>1406</v>
      </c>
      <c r="V991" s="47" t="s">
        <v>1727</v>
      </c>
      <c r="W991" s="63" t="s">
        <v>1393</v>
      </c>
      <c r="X991" s="63" t="s">
        <v>1421</v>
      </c>
      <c r="Z991" s="334"/>
      <c r="AA991" s="334"/>
      <c r="AB991" s="62" t="s">
        <v>519</v>
      </c>
      <c r="AC991" s="62">
        <v>7.8</v>
      </c>
      <c r="AD991" s="62">
        <v>1.1000000000000001</v>
      </c>
      <c r="AF991" s="62" t="s">
        <v>1343</v>
      </c>
      <c r="AG991" s="62" t="s">
        <v>563</v>
      </c>
      <c r="AH991" s="138" t="s">
        <v>578</v>
      </c>
      <c r="AI991" s="62" t="s">
        <v>1531</v>
      </c>
      <c r="AJ991" s="141" t="s">
        <v>1624</v>
      </c>
      <c r="AK991" s="28" t="s">
        <v>1631</v>
      </c>
      <c r="AL991" s="28" t="s">
        <v>1631</v>
      </c>
      <c r="AM991" s="28" t="s">
        <v>178</v>
      </c>
      <c r="AO991" s="62" t="s">
        <v>157</v>
      </c>
      <c r="AQ991" s="62">
        <v>0</v>
      </c>
      <c r="AR991" s="62">
        <v>0</v>
      </c>
      <c r="AS991" s="62" t="s">
        <v>178</v>
      </c>
      <c r="AT991" s="62" t="s">
        <v>120</v>
      </c>
      <c r="AU991" s="62">
        <v>8</v>
      </c>
      <c r="AW991" s="62" t="s">
        <v>142</v>
      </c>
      <c r="AY991" s="62">
        <v>550</v>
      </c>
      <c r="AZ991" s="62">
        <f>AY991/14.5</f>
        <v>37.931034482758619</v>
      </c>
      <c r="BA991" s="64" t="s">
        <v>678</v>
      </c>
      <c r="BM991" s="409"/>
      <c r="BN991" s="409"/>
      <c r="BR991" s="409"/>
      <c r="BS991" s="409"/>
      <c r="BW991" s="62">
        <v>6</v>
      </c>
      <c r="BX991" s="62">
        <v>4</v>
      </c>
      <c r="CA991" s="62" t="s">
        <v>680</v>
      </c>
      <c r="EY991" s="62">
        <f>72/3</f>
        <v>24</v>
      </c>
      <c r="EZ991" s="62">
        <f>54/3</f>
        <v>18</v>
      </c>
      <c r="FC991" s="62" t="s">
        <v>708</v>
      </c>
      <c r="IO991" s="62" t="s">
        <v>682</v>
      </c>
      <c r="IP991" s="33" t="s">
        <v>681</v>
      </c>
    </row>
    <row r="992" spans="1:250" s="59" customFormat="1" x14ac:dyDescent="0.25">
      <c r="A992" s="59">
        <v>46</v>
      </c>
      <c r="B992" s="59" t="s">
        <v>667</v>
      </c>
      <c r="C992" s="59" t="s">
        <v>666</v>
      </c>
      <c r="D992" s="59">
        <v>2013</v>
      </c>
      <c r="E992" s="59">
        <v>2009</v>
      </c>
      <c r="F992" s="59" t="s">
        <v>330</v>
      </c>
      <c r="G992" s="59" t="s">
        <v>668</v>
      </c>
      <c r="H992" s="32" t="s">
        <v>2831</v>
      </c>
      <c r="I992" s="59">
        <f>47+55/60</f>
        <v>47.916666666666664</v>
      </c>
      <c r="J992" s="59">
        <f>-109-55/60</f>
        <v>-109.91666666666667</v>
      </c>
      <c r="K992" s="59">
        <v>888</v>
      </c>
      <c r="Q992" s="60">
        <v>1</v>
      </c>
      <c r="R992" s="60" t="s">
        <v>1856</v>
      </c>
      <c r="S992" s="60"/>
      <c r="T992" s="60" t="s">
        <v>1968</v>
      </c>
      <c r="U992" s="60" t="s">
        <v>1407</v>
      </c>
      <c r="V992" s="46" t="s">
        <v>1727</v>
      </c>
      <c r="W992" s="60" t="s">
        <v>1393</v>
      </c>
      <c r="X992" s="60" t="s">
        <v>1421</v>
      </c>
      <c r="Z992" s="333"/>
      <c r="AA992" s="333"/>
      <c r="AB992" s="59" t="s">
        <v>519</v>
      </c>
      <c r="AC992" s="59">
        <v>6.1</v>
      </c>
      <c r="AD992" s="59">
        <v>1.1000000000000001</v>
      </c>
      <c r="AF992" s="59" t="s">
        <v>1343</v>
      </c>
      <c r="AG992" s="59" t="s">
        <v>1543</v>
      </c>
      <c r="AH992" s="138" t="s">
        <v>578</v>
      </c>
      <c r="AI992" s="59" t="s">
        <v>1531</v>
      </c>
      <c r="AJ992" s="141" t="s">
        <v>1624</v>
      </c>
      <c r="AK992" s="33" t="s">
        <v>1631</v>
      </c>
      <c r="AL992" s="33" t="s">
        <v>1631</v>
      </c>
      <c r="AM992" s="33" t="s">
        <v>178</v>
      </c>
      <c r="AO992" s="59" t="s">
        <v>157</v>
      </c>
      <c r="AQ992" s="59">
        <v>0</v>
      </c>
      <c r="AR992" s="59">
        <v>0</v>
      </c>
      <c r="AS992" s="59" t="s">
        <v>178</v>
      </c>
      <c r="AT992" s="59" t="s">
        <v>120</v>
      </c>
      <c r="AU992" s="59">
        <v>6</v>
      </c>
      <c r="AW992" s="59" t="s">
        <v>142</v>
      </c>
      <c r="AY992" s="59">
        <f>1.07*1000</f>
        <v>1070</v>
      </c>
      <c r="AZ992" s="59">
        <f>AY992/44.2</f>
        <v>24.20814479638009</v>
      </c>
      <c r="BA992" s="61" t="s">
        <v>674</v>
      </c>
      <c r="BM992" s="408"/>
      <c r="BN992" s="408"/>
      <c r="BR992" s="408"/>
      <c r="BS992" s="408"/>
      <c r="BW992" s="59">
        <v>10</v>
      </c>
      <c r="BX992" s="59">
        <v>7</v>
      </c>
      <c r="CA992" s="59" t="s">
        <v>680</v>
      </c>
      <c r="EY992" s="59">
        <f>62/3</f>
        <v>20.666666666666668</v>
      </c>
      <c r="EZ992" s="59">
        <f>63/3</f>
        <v>21</v>
      </c>
      <c r="FC992" s="33" t="s">
        <v>708</v>
      </c>
      <c r="IO992" s="59" t="s">
        <v>682</v>
      </c>
      <c r="IP992" s="28" t="s">
        <v>681</v>
      </c>
    </row>
    <row r="993" spans="1:250" s="59" customFormat="1" x14ac:dyDescent="0.25">
      <c r="A993" s="59">
        <v>46</v>
      </c>
      <c r="B993" s="59" t="s">
        <v>667</v>
      </c>
      <c r="C993" s="59" t="s">
        <v>666</v>
      </c>
      <c r="D993" s="59">
        <v>2013</v>
      </c>
      <c r="E993" s="59">
        <v>2009</v>
      </c>
      <c r="F993" s="59" t="s">
        <v>330</v>
      </c>
      <c r="G993" s="59" t="s">
        <v>669</v>
      </c>
      <c r="H993" s="32" t="s">
        <v>2831</v>
      </c>
      <c r="I993" s="59">
        <f>48+18/60</f>
        <v>48.3</v>
      </c>
      <c r="J993" s="59">
        <f>-110-6/60</f>
        <v>-110.1</v>
      </c>
      <c r="K993" s="59">
        <v>833</v>
      </c>
      <c r="Q993" s="60">
        <v>1</v>
      </c>
      <c r="R993" s="60" t="s">
        <v>1856</v>
      </c>
      <c r="S993" s="60"/>
      <c r="T993" s="60" t="s">
        <v>1968</v>
      </c>
      <c r="U993" s="60" t="s">
        <v>1407</v>
      </c>
      <c r="V993" s="46" t="s">
        <v>1727</v>
      </c>
      <c r="W993" s="60" t="s">
        <v>1393</v>
      </c>
      <c r="X993" s="60" t="s">
        <v>1421</v>
      </c>
      <c r="Z993" s="333"/>
      <c r="AA993" s="333"/>
      <c r="AB993" s="59" t="s">
        <v>140</v>
      </c>
      <c r="AC993" s="59">
        <v>6.9</v>
      </c>
      <c r="AD993" s="59">
        <v>0.87</v>
      </c>
      <c r="AF993" s="59" t="s">
        <v>1343</v>
      </c>
      <c r="AG993" s="59" t="s">
        <v>1544</v>
      </c>
      <c r="AH993" s="138" t="s">
        <v>578</v>
      </c>
      <c r="AI993" s="59" t="s">
        <v>1531</v>
      </c>
      <c r="AJ993" s="141" t="s">
        <v>1624</v>
      </c>
      <c r="AK993" s="33" t="s">
        <v>1631</v>
      </c>
      <c r="AL993" s="33" t="s">
        <v>1631</v>
      </c>
      <c r="AM993" s="33" t="s">
        <v>178</v>
      </c>
      <c r="AO993" s="59" t="s">
        <v>157</v>
      </c>
      <c r="AQ993" s="59">
        <v>0</v>
      </c>
      <c r="AR993" s="59">
        <v>0</v>
      </c>
      <c r="AS993" s="59" t="s">
        <v>178</v>
      </c>
      <c r="AT993" s="59" t="s">
        <v>120</v>
      </c>
      <c r="AU993" s="59">
        <v>8</v>
      </c>
      <c r="AW993" s="59" t="s">
        <v>142</v>
      </c>
      <c r="AY993" s="59">
        <v>730</v>
      </c>
      <c r="AZ993" s="59">
        <f>AY993/19.3</f>
        <v>37.823834196891191</v>
      </c>
      <c r="BA993" s="61" t="s">
        <v>675</v>
      </c>
      <c r="BM993" s="408"/>
      <c r="BN993" s="408"/>
      <c r="BR993" s="408"/>
      <c r="BS993" s="408"/>
      <c r="BW993" s="59">
        <v>24</v>
      </c>
      <c r="BX993" s="59">
        <v>18</v>
      </c>
      <c r="CA993" s="59" t="s">
        <v>680</v>
      </c>
      <c r="EY993" s="59">
        <f>49/3</f>
        <v>16.333333333333332</v>
      </c>
      <c r="EZ993" s="59">
        <f>46/3</f>
        <v>15.333333333333334</v>
      </c>
      <c r="FC993" s="33" t="s">
        <v>708</v>
      </c>
      <c r="IO993" s="59" t="s">
        <v>682</v>
      </c>
      <c r="IP993" s="28" t="s">
        <v>681</v>
      </c>
    </row>
    <row r="994" spans="1:250" s="59" customFormat="1" x14ac:dyDescent="0.25">
      <c r="A994" s="59">
        <v>46</v>
      </c>
      <c r="B994" s="59" t="s">
        <v>667</v>
      </c>
      <c r="C994" s="59" t="s">
        <v>666</v>
      </c>
      <c r="D994" s="59">
        <v>2013</v>
      </c>
      <c r="E994" s="59">
        <v>2009</v>
      </c>
      <c r="F994" s="59" t="s">
        <v>330</v>
      </c>
      <c r="G994" s="59" t="s">
        <v>670</v>
      </c>
      <c r="H994" s="32" t="s">
        <v>2831</v>
      </c>
      <c r="I994" s="59">
        <f>48+45/60</f>
        <v>48.75</v>
      </c>
      <c r="J994" s="59">
        <f>-110-52/60</f>
        <v>-110.86666666666666</v>
      </c>
      <c r="K994" s="59">
        <v>1059</v>
      </c>
      <c r="Q994" s="60">
        <v>1</v>
      </c>
      <c r="R994" s="60" t="s">
        <v>1856</v>
      </c>
      <c r="S994" s="60"/>
      <c r="T994" s="60" t="s">
        <v>1968</v>
      </c>
      <c r="U994" s="60" t="s">
        <v>1407</v>
      </c>
      <c r="V994" s="46" t="s">
        <v>1727</v>
      </c>
      <c r="W994" s="60" t="s">
        <v>1393</v>
      </c>
      <c r="X994" s="60" t="s">
        <v>1421</v>
      </c>
      <c r="Z994" s="333"/>
      <c r="AA994" s="333"/>
      <c r="AB994" s="59" t="s">
        <v>673</v>
      </c>
      <c r="AC994" s="59">
        <v>7.6</v>
      </c>
      <c r="AD994" s="59">
        <v>1.28</v>
      </c>
      <c r="AF994" s="59" t="s">
        <v>1343</v>
      </c>
      <c r="AG994" s="59" t="s">
        <v>1543</v>
      </c>
      <c r="AH994" s="138" t="s">
        <v>578</v>
      </c>
      <c r="AI994" s="59" t="s">
        <v>1531</v>
      </c>
      <c r="AJ994" s="141" t="s">
        <v>1624</v>
      </c>
      <c r="AK994" s="33" t="s">
        <v>1631</v>
      </c>
      <c r="AL994" s="33" t="s">
        <v>1631</v>
      </c>
      <c r="AM994" s="33" t="s">
        <v>178</v>
      </c>
      <c r="AO994" s="59" t="s">
        <v>157</v>
      </c>
      <c r="AQ994" s="59">
        <v>0</v>
      </c>
      <c r="AR994" s="59">
        <v>0</v>
      </c>
      <c r="AS994" s="59" t="s">
        <v>178</v>
      </c>
      <c r="AT994" s="59" t="s">
        <v>120</v>
      </c>
      <c r="AU994" s="59">
        <v>12</v>
      </c>
      <c r="AW994" s="59" t="s">
        <v>142</v>
      </c>
      <c r="AY994" s="59">
        <f>1.02*1000</f>
        <v>1020</v>
      </c>
      <c r="AZ994" s="59">
        <f>AY994/37.8</f>
        <v>26.984126984126988</v>
      </c>
      <c r="BA994" s="61" t="s">
        <v>676</v>
      </c>
      <c r="BM994" s="408"/>
      <c r="BN994" s="408"/>
      <c r="BR994" s="408"/>
      <c r="BS994" s="408"/>
      <c r="BW994" s="59">
        <v>29</v>
      </c>
      <c r="BX994" s="59">
        <v>13</v>
      </c>
      <c r="CA994" s="59" t="s">
        <v>680</v>
      </c>
      <c r="EY994" s="59">
        <f>72/3</f>
        <v>24</v>
      </c>
      <c r="EZ994" s="59">
        <f>64/3</f>
        <v>21.333333333333332</v>
      </c>
      <c r="FC994" s="33" t="s">
        <v>708</v>
      </c>
      <c r="IO994" s="59" t="s">
        <v>682</v>
      </c>
      <c r="IP994" s="28" t="s">
        <v>681</v>
      </c>
    </row>
    <row r="995" spans="1:250" s="59" customFormat="1" x14ac:dyDescent="0.25">
      <c r="A995" s="59">
        <v>46</v>
      </c>
      <c r="B995" s="59" t="s">
        <v>667</v>
      </c>
      <c r="C995" s="59" t="s">
        <v>666</v>
      </c>
      <c r="D995" s="59">
        <v>2013</v>
      </c>
      <c r="E995" s="59">
        <v>2009</v>
      </c>
      <c r="F995" s="59" t="s">
        <v>330</v>
      </c>
      <c r="G995" s="59" t="s">
        <v>671</v>
      </c>
      <c r="H995" s="32" t="s">
        <v>2831</v>
      </c>
      <c r="I995" s="59">
        <f>48+48/60</f>
        <v>48.8</v>
      </c>
      <c r="J995" s="59">
        <f>-111-38.5/60</f>
        <v>-111.64166666666667</v>
      </c>
      <c r="K995" s="59">
        <v>1102</v>
      </c>
      <c r="Q995" s="60">
        <v>1</v>
      </c>
      <c r="R995" s="60" t="s">
        <v>1856</v>
      </c>
      <c r="S995" s="60"/>
      <c r="T995" s="60" t="s">
        <v>1968</v>
      </c>
      <c r="U995" s="60" t="s">
        <v>1407</v>
      </c>
      <c r="V995" s="46" t="s">
        <v>1727</v>
      </c>
      <c r="W995" s="60" t="s">
        <v>1393</v>
      </c>
      <c r="X995" s="60" t="s">
        <v>1421</v>
      </c>
      <c r="Z995" s="333"/>
      <c r="AA995" s="333"/>
      <c r="AB995" s="59" t="s">
        <v>140</v>
      </c>
      <c r="AC995" s="59">
        <v>6.9</v>
      </c>
      <c r="AD995" s="59">
        <v>1.22</v>
      </c>
      <c r="AF995" s="59" t="s">
        <v>1343</v>
      </c>
      <c r="AG995" s="59" t="s">
        <v>1543</v>
      </c>
      <c r="AH995" s="138" t="s">
        <v>578</v>
      </c>
      <c r="AI995" s="59" t="s">
        <v>1531</v>
      </c>
      <c r="AJ995" s="141" t="s">
        <v>1624</v>
      </c>
      <c r="AK995" s="33" t="s">
        <v>1631</v>
      </c>
      <c r="AL995" s="33" t="s">
        <v>1631</v>
      </c>
      <c r="AM995" s="33" t="s">
        <v>178</v>
      </c>
      <c r="AO995" s="59" t="s">
        <v>157</v>
      </c>
      <c r="AQ995" s="59">
        <v>0</v>
      </c>
      <c r="AR995" s="59">
        <v>0</v>
      </c>
      <c r="AS995" s="59" t="s">
        <v>178</v>
      </c>
      <c r="AT995" s="59" t="s">
        <v>120</v>
      </c>
      <c r="AU995" s="59">
        <v>8</v>
      </c>
      <c r="AW995" s="59" t="s">
        <v>142</v>
      </c>
      <c r="AY995" s="59">
        <v>1090</v>
      </c>
      <c r="AZ995" s="59">
        <f>AY995/28.4</f>
        <v>38.380281690140848</v>
      </c>
      <c r="BA995" s="61" t="s">
        <v>677</v>
      </c>
      <c r="BM995" s="408"/>
      <c r="BN995" s="408"/>
      <c r="BR995" s="408"/>
      <c r="BS995" s="408"/>
      <c r="BW995" s="59">
        <v>15</v>
      </c>
      <c r="BX995" s="59">
        <v>11</v>
      </c>
      <c r="CA995" s="59" t="s">
        <v>680</v>
      </c>
      <c r="EY995" s="59">
        <f>50/3</f>
        <v>16.666666666666668</v>
      </c>
      <c r="EZ995" s="59">
        <f>38/3</f>
        <v>12.666666666666666</v>
      </c>
      <c r="FC995" s="33" t="s">
        <v>708</v>
      </c>
      <c r="IO995" s="59" t="s">
        <v>682</v>
      </c>
      <c r="IP995" s="28" t="s">
        <v>681</v>
      </c>
    </row>
    <row r="996" spans="1:250" s="59" customFormat="1" x14ac:dyDescent="0.25">
      <c r="A996" s="59">
        <v>46</v>
      </c>
      <c r="B996" s="59" t="s">
        <v>667</v>
      </c>
      <c r="C996" s="59" t="s">
        <v>666</v>
      </c>
      <c r="D996" s="59">
        <v>2013</v>
      </c>
      <c r="E996" s="59">
        <v>2009</v>
      </c>
      <c r="F996" s="59" t="s">
        <v>330</v>
      </c>
      <c r="G996" s="59" t="s">
        <v>672</v>
      </c>
      <c r="H996" s="32" t="s">
        <v>2831</v>
      </c>
      <c r="I996" s="59">
        <f>48+48/60</f>
        <v>48.8</v>
      </c>
      <c r="J996" s="59">
        <f>-111-31/60</f>
        <v>-111.51666666666667</v>
      </c>
      <c r="K996" s="59">
        <v>1090</v>
      </c>
      <c r="Q996" s="60">
        <v>1</v>
      </c>
      <c r="R996" s="60" t="s">
        <v>1856</v>
      </c>
      <c r="S996" s="60"/>
      <c r="T996" s="60" t="s">
        <v>1968</v>
      </c>
      <c r="U996" s="60" t="s">
        <v>1407</v>
      </c>
      <c r="V996" s="46" t="s">
        <v>1727</v>
      </c>
      <c r="W996" s="60" t="s">
        <v>1393</v>
      </c>
      <c r="X996" s="60" t="s">
        <v>1421</v>
      </c>
      <c r="Z996" s="333"/>
      <c r="AA996" s="333"/>
      <c r="AB996" s="59" t="s">
        <v>519</v>
      </c>
      <c r="AC996" s="59">
        <v>7.8</v>
      </c>
      <c r="AD996" s="59">
        <v>1.1000000000000001</v>
      </c>
      <c r="AF996" s="59" t="s">
        <v>1343</v>
      </c>
      <c r="AG996" s="59" t="s">
        <v>563</v>
      </c>
      <c r="AH996" s="138" t="s">
        <v>578</v>
      </c>
      <c r="AI996" s="59" t="s">
        <v>1531</v>
      </c>
      <c r="AJ996" s="141" t="s">
        <v>1624</v>
      </c>
      <c r="AK996" s="33" t="s">
        <v>1631</v>
      </c>
      <c r="AL996" s="33" t="s">
        <v>1631</v>
      </c>
      <c r="AM996" s="33" t="s">
        <v>178</v>
      </c>
      <c r="AO996" s="59" t="s">
        <v>157</v>
      </c>
      <c r="AQ996" s="59">
        <v>0</v>
      </c>
      <c r="AR996" s="59">
        <v>0</v>
      </c>
      <c r="AS996" s="59" t="s">
        <v>178</v>
      </c>
      <c r="AT996" s="59" t="s">
        <v>120</v>
      </c>
      <c r="AU996" s="59">
        <v>8</v>
      </c>
      <c r="AW996" s="59" t="s">
        <v>142</v>
      </c>
      <c r="AY996" s="59">
        <v>550</v>
      </c>
      <c r="AZ996" s="59">
        <f>AY996/14.5</f>
        <v>37.931034482758619</v>
      </c>
      <c r="BA996" s="61" t="s">
        <v>678</v>
      </c>
      <c r="BM996" s="408"/>
      <c r="BN996" s="408"/>
      <c r="BR996" s="408"/>
      <c r="BS996" s="408"/>
      <c r="BW996" s="59">
        <v>2</v>
      </c>
      <c r="BX996" s="59">
        <v>3</v>
      </c>
      <c r="CA996" s="59" t="s">
        <v>680</v>
      </c>
      <c r="EY996" s="59">
        <f>62/3</f>
        <v>20.666666666666668</v>
      </c>
      <c r="EZ996" s="59">
        <f>55/3</f>
        <v>18.333333333333332</v>
      </c>
      <c r="FC996" s="33" t="s">
        <v>708</v>
      </c>
      <c r="IO996" s="59" t="s">
        <v>682</v>
      </c>
      <c r="IP996" s="28" t="s">
        <v>681</v>
      </c>
    </row>
    <row r="997" spans="1:250" s="24" customFormat="1" x14ac:dyDescent="0.25">
      <c r="A997" s="24">
        <v>47</v>
      </c>
      <c r="B997" s="24" t="s">
        <v>683</v>
      </c>
      <c r="C997" s="24" t="s">
        <v>684</v>
      </c>
      <c r="D997" s="24">
        <v>2014</v>
      </c>
      <c r="E997" s="24">
        <v>2012</v>
      </c>
      <c r="F997" s="24" t="s">
        <v>685</v>
      </c>
      <c r="G997" s="24" t="s">
        <v>530</v>
      </c>
      <c r="H997" s="32" t="s">
        <v>2831</v>
      </c>
      <c r="I997" s="24">
        <v>44.31</v>
      </c>
      <c r="J997" s="65">
        <v>-96.798000000000002</v>
      </c>
      <c r="K997" s="24">
        <v>495.3</v>
      </c>
      <c r="Q997" s="42" t="s">
        <v>1926</v>
      </c>
      <c r="R997" s="42" t="s">
        <v>1926</v>
      </c>
      <c r="S997" s="42"/>
      <c r="T997" s="42" t="s">
        <v>1969</v>
      </c>
      <c r="U997" s="42" t="s">
        <v>1398</v>
      </c>
      <c r="V997" s="42" t="s">
        <v>1729</v>
      </c>
      <c r="W997" s="42" t="s">
        <v>1398</v>
      </c>
      <c r="X997" s="42" t="s">
        <v>1398</v>
      </c>
      <c r="Y997" s="24">
        <v>1.4</v>
      </c>
      <c r="Z997" s="321"/>
      <c r="AA997" s="321"/>
      <c r="AB997" s="24" t="s">
        <v>1054</v>
      </c>
      <c r="AC997" s="24">
        <v>6.3</v>
      </c>
      <c r="AD997" s="24">
        <v>2.71</v>
      </c>
      <c r="AG997" s="24" t="s">
        <v>563</v>
      </c>
      <c r="AH997" s="138" t="s">
        <v>578</v>
      </c>
      <c r="AI997" s="24" t="s">
        <v>133</v>
      </c>
      <c r="AJ997" s="140" t="s">
        <v>1615</v>
      </c>
      <c r="AK997" s="24" t="s">
        <v>686</v>
      </c>
      <c r="AL997" s="24" t="s">
        <v>686</v>
      </c>
      <c r="AM997" s="24" t="s">
        <v>178</v>
      </c>
      <c r="AT997" s="24" t="s">
        <v>161</v>
      </c>
      <c r="AU997" s="24">
        <v>3</v>
      </c>
      <c r="AW997" s="24" t="s">
        <v>142</v>
      </c>
      <c r="BB997" s="24" t="s">
        <v>687</v>
      </c>
      <c r="BM997" s="395"/>
      <c r="BN997" s="395"/>
      <c r="BR997" s="395">
        <f>(11.2+15.6+18+13.2+10.5+10.2)/6/10</f>
        <v>1.3116666666666668</v>
      </c>
      <c r="BS997" s="395">
        <f>(17.8+18.6+21.1+16.3+13.1+10.1)/6/10</f>
        <v>1.6166666666666667</v>
      </c>
      <c r="BV997" s="24" t="s">
        <v>164</v>
      </c>
      <c r="DF997" s="24">
        <f>442/10</f>
        <v>44.2</v>
      </c>
      <c r="DG997" s="24">
        <f>(493)/10</f>
        <v>49.3</v>
      </c>
      <c r="DJ997" s="24" t="s">
        <v>1152</v>
      </c>
      <c r="EE997" s="24">
        <f>(32+53)/10</f>
        <v>8.5</v>
      </c>
      <c r="EF997" s="24">
        <f>(45+30)/10</f>
        <v>7.5</v>
      </c>
      <c r="EI997" s="24" t="s">
        <v>1689</v>
      </c>
    </row>
    <row r="998" spans="1:250" s="24" customFormat="1" x14ac:dyDescent="0.25">
      <c r="A998" s="24">
        <v>47</v>
      </c>
      <c r="B998" s="24" t="s">
        <v>683</v>
      </c>
      <c r="C998" s="24" t="s">
        <v>684</v>
      </c>
      <c r="D998" s="24">
        <v>2014</v>
      </c>
      <c r="E998" s="24">
        <v>2012</v>
      </c>
      <c r="F998" s="24" t="s">
        <v>685</v>
      </c>
      <c r="G998" s="24" t="s">
        <v>530</v>
      </c>
      <c r="H998" s="32" t="s">
        <v>2831</v>
      </c>
      <c r="I998" s="24">
        <v>44.31</v>
      </c>
      <c r="J998" s="65">
        <v>-96.798000000000002</v>
      </c>
      <c r="K998" s="24">
        <v>495.3</v>
      </c>
      <c r="Q998" s="42" t="s">
        <v>1926</v>
      </c>
      <c r="R998" s="42" t="s">
        <v>1926</v>
      </c>
      <c r="S998" s="42"/>
      <c r="T998" s="42" t="s">
        <v>1969</v>
      </c>
      <c r="U998" s="42" t="s">
        <v>1398</v>
      </c>
      <c r="V998" s="42" t="s">
        <v>1729</v>
      </c>
      <c r="W998" s="42" t="s">
        <v>1398</v>
      </c>
      <c r="X998" s="42" t="s">
        <v>1398</v>
      </c>
      <c r="Y998" s="24">
        <v>1.4</v>
      </c>
      <c r="Z998" s="321"/>
      <c r="AA998" s="321"/>
      <c r="AB998" s="24" t="s">
        <v>1054</v>
      </c>
      <c r="AC998" s="24">
        <v>6.3</v>
      </c>
      <c r="AD998" s="24">
        <v>2.71</v>
      </c>
      <c r="AG998" s="24" t="s">
        <v>563</v>
      </c>
      <c r="AH998" s="138" t="s">
        <v>578</v>
      </c>
      <c r="AI998" s="24" t="s">
        <v>133</v>
      </c>
      <c r="AJ998" s="140" t="s">
        <v>1615</v>
      </c>
      <c r="AK998" s="24" t="s">
        <v>686</v>
      </c>
      <c r="AL998" s="24" t="s">
        <v>686</v>
      </c>
      <c r="AM998" s="24" t="s">
        <v>178</v>
      </c>
      <c r="AT998" s="24" t="s">
        <v>161</v>
      </c>
      <c r="AU998" s="24">
        <v>3</v>
      </c>
      <c r="AW998" s="24" t="s">
        <v>142</v>
      </c>
      <c r="BB998" s="24" t="s">
        <v>688</v>
      </c>
      <c r="BM998" s="395"/>
      <c r="BN998" s="395"/>
      <c r="BR998" s="395">
        <f>(10.8+11.9+13.6+9.7+8.5+8.2)/6/10</f>
        <v>1.0450000000000002</v>
      </c>
      <c r="BS998" s="395">
        <f>(8.7+10.2+13.2+9+7.7+7.8)/6/10</f>
        <v>0.94333333333333313</v>
      </c>
      <c r="BV998" s="24" t="s">
        <v>164</v>
      </c>
      <c r="DF998" s="24">
        <f>(385)/10</f>
        <v>38.5</v>
      </c>
      <c r="DG998" s="24">
        <f>(300)/10</f>
        <v>30</v>
      </c>
      <c r="DJ998" s="24" t="s">
        <v>1152</v>
      </c>
      <c r="EE998" s="24">
        <f>(84+47)/10</f>
        <v>13.1</v>
      </c>
      <c r="EF998" s="24">
        <f>(100+65)/10</f>
        <v>16.5</v>
      </c>
      <c r="EI998" s="24" t="s">
        <v>1689</v>
      </c>
    </row>
    <row r="999" spans="1:250" s="24" customFormat="1" x14ac:dyDescent="0.25">
      <c r="A999" s="24">
        <v>47</v>
      </c>
      <c r="B999" s="24" t="s">
        <v>683</v>
      </c>
      <c r="C999" s="24" t="s">
        <v>684</v>
      </c>
      <c r="D999" s="24">
        <v>2014</v>
      </c>
      <c r="E999" s="24">
        <v>2012</v>
      </c>
      <c r="F999" s="24" t="s">
        <v>685</v>
      </c>
      <c r="G999" s="24" t="s">
        <v>530</v>
      </c>
      <c r="H999" s="32" t="s">
        <v>2831</v>
      </c>
      <c r="I999" s="24">
        <v>44.31</v>
      </c>
      <c r="J999" s="65">
        <v>-96.798000000000002</v>
      </c>
      <c r="K999" s="24">
        <v>495.3</v>
      </c>
      <c r="Q999" s="42" t="s">
        <v>1926</v>
      </c>
      <c r="R999" s="42" t="s">
        <v>1926</v>
      </c>
      <c r="S999" s="42"/>
      <c r="T999" s="42" t="s">
        <v>1969</v>
      </c>
      <c r="U999" s="42" t="s">
        <v>1398</v>
      </c>
      <c r="V999" s="42" t="s">
        <v>1729</v>
      </c>
      <c r="W999" s="42" t="s">
        <v>1398</v>
      </c>
      <c r="X999" s="42" t="s">
        <v>1398</v>
      </c>
      <c r="Y999" s="24">
        <v>1.4</v>
      </c>
      <c r="Z999" s="321"/>
      <c r="AA999" s="321"/>
      <c r="AB999" s="24" t="s">
        <v>1054</v>
      </c>
      <c r="AC999" s="24">
        <v>6.3</v>
      </c>
      <c r="AD999" s="24">
        <v>2.71</v>
      </c>
      <c r="AG999" s="24" t="s">
        <v>563</v>
      </c>
      <c r="AH999" s="138" t="s">
        <v>578</v>
      </c>
      <c r="AI999" s="24" t="s">
        <v>133</v>
      </c>
      <c r="AJ999" s="140" t="s">
        <v>1615</v>
      </c>
      <c r="AK999" s="24" t="s">
        <v>686</v>
      </c>
      <c r="AL999" s="24" t="s">
        <v>686</v>
      </c>
      <c r="AM999" s="24" t="s">
        <v>178</v>
      </c>
      <c r="AT999" s="24" t="s">
        <v>161</v>
      </c>
      <c r="AU999" s="24">
        <v>3</v>
      </c>
      <c r="AW999" s="24" t="s">
        <v>142</v>
      </c>
      <c r="BB999" s="24" t="s">
        <v>689</v>
      </c>
      <c r="BM999" s="395"/>
      <c r="BN999" s="395"/>
      <c r="BR999" s="395">
        <f>(8.5+10.1+12.7+9.3+7.1+5.8)/6/10</f>
        <v>0.89166666666666661</v>
      </c>
      <c r="BS999" s="395">
        <f>(8.5+11.3+13.5+10.3+8.6+7.9)/6/10</f>
        <v>1.0016666666666665</v>
      </c>
      <c r="BV999" s="24" t="s">
        <v>164</v>
      </c>
      <c r="DF999" s="24">
        <f>(291)/10</f>
        <v>29.1</v>
      </c>
      <c r="DG999" s="24">
        <f>(388)/10</f>
        <v>38.799999999999997</v>
      </c>
      <c r="DJ999" s="24" t="s">
        <v>1152</v>
      </c>
      <c r="EE999" s="24">
        <f>(193+115)/10</f>
        <v>30.8</v>
      </c>
      <c r="EF999" s="24">
        <f>(99+61)/10</f>
        <v>16</v>
      </c>
      <c r="EI999" s="24" t="s">
        <v>1689</v>
      </c>
    </row>
    <row r="1000" spans="1:250" s="28" customFormat="1" x14ac:dyDescent="0.25">
      <c r="A1000" s="28">
        <v>48</v>
      </c>
      <c r="B1000" s="28" t="s">
        <v>690</v>
      </c>
      <c r="C1000" s="28" t="s">
        <v>691</v>
      </c>
      <c r="D1000" s="28">
        <v>2016</v>
      </c>
      <c r="E1000" s="28">
        <v>2014</v>
      </c>
      <c r="F1000" s="28" t="s">
        <v>692</v>
      </c>
      <c r="G1000" s="28" t="s">
        <v>693</v>
      </c>
      <c r="H1000" s="32" t="s">
        <v>2831</v>
      </c>
      <c r="I1000" s="28">
        <f t="shared" ref="I1000:I1015" si="226">42+5/60</f>
        <v>42.083333333333336</v>
      </c>
      <c r="J1000" s="28">
        <f t="shared" ref="J1000:J1015" si="227">-86-21/60</f>
        <v>-86.35</v>
      </c>
      <c r="K1000" s="28">
        <v>213.2</v>
      </c>
      <c r="Q1000" s="46">
        <v>1</v>
      </c>
      <c r="R1000" s="46" t="s">
        <v>1856</v>
      </c>
      <c r="S1000" s="46"/>
      <c r="T1000" s="46" t="s">
        <v>1970</v>
      </c>
      <c r="U1000" s="46" t="s">
        <v>1408</v>
      </c>
      <c r="V1000" s="46" t="s">
        <v>1735</v>
      </c>
      <c r="W1000" s="46" t="s">
        <v>1408</v>
      </c>
      <c r="X1000" s="46" t="s">
        <v>1408</v>
      </c>
      <c r="Z1000" s="326"/>
      <c r="AA1000" s="326"/>
      <c r="AB1000" s="28" t="s">
        <v>203</v>
      </c>
      <c r="AF1000" s="28" t="s">
        <v>1344</v>
      </c>
      <c r="AG1000" s="28" t="s">
        <v>132</v>
      </c>
      <c r="AH1000" s="138" t="s">
        <v>132</v>
      </c>
      <c r="AI1000" s="28" t="s">
        <v>1604</v>
      </c>
      <c r="AJ1000" s="141" t="s">
        <v>230</v>
      </c>
      <c r="AN1000" s="28" t="s">
        <v>696</v>
      </c>
      <c r="AO1000" s="28" t="s">
        <v>696</v>
      </c>
      <c r="AP1000" s="28" t="s">
        <v>178</v>
      </c>
      <c r="AQ1000" s="28" t="s">
        <v>694</v>
      </c>
      <c r="AR1000" s="28" t="s">
        <v>694</v>
      </c>
      <c r="AS1000" s="28" t="s">
        <v>178</v>
      </c>
      <c r="AT1000" s="28" t="s">
        <v>161</v>
      </c>
      <c r="AU1000" s="28">
        <v>6</v>
      </c>
      <c r="AW1000" s="28" t="s">
        <v>336</v>
      </c>
      <c r="BA1000" s="28" t="s">
        <v>695</v>
      </c>
      <c r="BB1000" s="28" t="s">
        <v>698</v>
      </c>
      <c r="BM1000" s="401"/>
      <c r="BN1000" s="401"/>
      <c r="BR1000" s="401"/>
      <c r="BS1000" s="401"/>
      <c r="FX1000" s="28">
        <f>(1.3+1.9+4.7)/3</f>
        <v>2.6333333333333333</v>
      </c>
      <c r="FY1000" s="28">
        <f>(1.03+1.026+2.54)/3</f>
        <v>1.532</v>
      </c>
      <c r="GB1000" s="28" t="s">
        <v>706</v>
      </c>
      <c r="IO1000" s="28" t="s">
        <v>730</v>
      </c>
    </row>
    <row r="1001" spans="1:250" s="28" customFormat="1" x14ac:dyDescent="0.25">
      <c r="A1001" s="28">
        <v>48</v>
      </c>
      <c r="B1001" s="28" t="s">
        <v>690</v>
      </c>
      <c r="C1001" s="28" t="s">
        <v>691</v>
      </c>
      <c r="D1001" s="28">
        <v>2016</v>
      </c>
      <c r="E1001" s="28">
        <v>2014</v>
      </c>
      <c r="F1001" s="28" t="s">
        <v>692</v>
      </c>
      <c r="G1001" s="28" t="s">
        <v>693</v>
      </c>
      <c r="H1001" s="32" t="s">
        <v>2831</v>
      </c>
      <c r="I1001" s="28">
        <f t="shared" si="226"/>
        <v>42.083333333333336</v>
      </c>
      <c r="J1001" s="28">
        <f t="shared" si="227"/>
        <v>-86.35</v>
      </c>
      <c r="K1001" s="28">
        <v>213.2</v>
      </c>
      <c r="Q1001" s="46">
        <v>1</v>
      </c>
      <c r="R1001" s="46" t="s">
        <v>1856</v>
      </c>
      <c r="S1001" s="46"/>
      <c r="T1001" s="46" t="s">
        <v>1970</v>
      </c>
      <c r="U1001" s="46" t="s">
        <v>1408</v>
      </c>
      <c r="V1001" s="46" t="s">
        <v>1735</v>
      </c>
      <c r="W1001" s="46" t="s">
        <v>1408</v>
      </c>
      <c r="X1001" s="46" t="s">
        <v>1408</v>
      </c>
      <c r="Z1001" s="326"/>
      <c r="AA1001" s="326"/>
      <c r="AB1001" s="28" t="s">
        <v>203</v>
      </c>
      <c r="AF1001" s="28" t="s">
        <v>1344</v>
      </c>
      <c r="AG1001" s="28" t="s">
        <v>132</v>
      </c>
      <c r="AH1001" s="138" t="s">
        <v>132</v>
      </c>
      <c r="AI1001" s="28" t="s">
        <v>1604</v>
      </c>
      <c r="AJ1001" s="141" t="s">
        <v>230</v>
      </c>
      <c r="AN1001" s="28" t="s">
        <v>697</v>
      </c>
      <c r="AO1001" s="28" t="s">
        <v>697</v>
      </c>
      <c r="AP1001" s="28" t="s">
        <v>178</v>
      </c>
      <c r="AQ1001" s="28" t="s">
        <v>694</v>
      </c>
      <c r="AR1001" s="28" t="s">
        <v>694</v>
      </c>
      <c r="AS1001" s="28" t="s">
        <v>178</v>
      </c>
      <c r="AT1001" s="28" t="s">
        <v>161</v>
      </c>
      <c r="AU1001" s="28">
        <v>6</v>
      </c>
      <c r="AW1001" s="28" t="s">
        <v>336</v>
      </c>
      <c r="BA1001" s="28" t="s">
        <v>695</v>
      </c>
      <c r="BB1001" s="28" t="s">
        <v>698</v>
      </c>
      <c r="BM1001" s="401"/>
      <c r="BN1001" s="401"/>
      <c r="BR1001" s="401"/>
      <c r="BS1001" s="401"/>
      <c r="FX1001" s="28">
        <f>(1.92+2.38+5.5)/3</f>
        <v>3.2666666666666671</v>
      </c>
      <c r="FY1001" s="28">
        <f>(2.58+1.69+3.03)/3</f>
        <v>2.4333333333333331</v>
      </c>
      <c r="GB1001" s="28" t="s">
        <v>706</v>
      </c>
      <c r="IO1001" s="28" t="s">
        <v>730</v>
      </c>
    </row>
    <row r="1002" spans="1:250" s="33" customFormat="1" x14ac:dyDescent="0.25">
      <c r="A1002" s="33">
        <v>48</v>
      </c>
      <c r="B1002" s="33" t="s">
        <v>690</v>
      </c>
      <c r="C1002" s="33" t="s">
        <v>691</v>
      </c>
      <c r="D1002" s="33">
        <v>2016</v>
      </c>
      <c r="E1002" s="33">
        <v>2014</v>
      </c>
      <c r="F1002" s="33" t="s">
        <v>692</v>
      </c>
      <c r="G1002" s="33" t="s">
        <v>693</v>
      </c>
      <c r="H1002" s="32" t="s">
        <v>2831</v>
      </c>
      <c r="I1002" s="33">
        <f t="shared" si="226"/>
        <v>42.083333333333336</v>
      </c>
      <c r="J1002" s="33">
        <f t="shared" si="227"/>
        <v>-86.35</v>
      </c>
      <c r="K1002" s="33">
        <v>213.2</v>
      </c>
      <c r="Q1002" s="47">
        <v>1</v>
      </c>
      <c r="R1002" s="47" t="s">
        <v>1856</v>
      </c>
      <c r="S1002" s="47"/>
      <c r="T1002" s="47" t="s">
        <v>1970</v>
      </c>
      <c r="U1002" s="47" t="s">
        <v>1408</v>
      </c>
      <c r="V1002" s="47" t="s">
        <v>1735</v>
      </c>
      <c r="W1002" s="47" t="s">
        <v>1408</v>
      </c>
      <c r="X1002" s="47" t="s">
        <v>1408</v>
      </c>
      <c r="Z1002" s="327"/>
      <c r="AA1002" s="327"/>
      <c r="AB1002" s="33" t="s">
        <v>203</v>
      </c>
      <c r="AF1002" s="33" t="s">
        <v>1344</v>
      </c>
      <c r="AG1002" s="33" t="s">
        <v>132</v>
      </c>
      <c r="AH1002" s="138" t="s">
        <v>132</v>
      </c>
      <c r="AI1002" s="33" t="s">
        <v>1604</v>
      </c>
      <c r="AJ1002" s="141" t="s">
        <v>230</v>
      </c>
      <c r="AN1002" s="33" t="s">
        <v>696</v>
      </c>
      <c r="AO1002" s="33" t="s">
        <v>696</v>
      </c>
      <c r="AP1002" s="33" t="s">
        <v>178</v>
      </c>
      <c r="AQ1002" s="33" t="s">
        <v>694</v>
      </c>
      <c r="AR1002" s="33" t="s">
        <v>694</v>
      </c>
      <c r="AS1002" s="33" t="s">
        <v>178</v>
      </c>
      <c r="AT1002" s="33" t="s">
        <v>161</v>
      </c>
      <c r="AU1002" s="33">
        <v>6</v>
      </c>
      <c r="AW1002" s="33" t="s">
        <v>336</v>
      </c>
      <c r="BA1002" s="33" t="s">
        <v>695</v>
      </c>
      <c r="BB1002" s="33" t="s">
        <v>699</v>
      </c>
      <c r="BM1002" s="402"/>
      <c r="BN1002" s="402"/>
      <c r="BR1002" s="402"/>
      <c r="BS1002" s="402"/>
      <c r="FX1002" s="33">
        <f>(0.6+1.19+3.93)/3</f>
        <v>1.906666666666667</v>
      </c>
      <c r="FY1002" s="33">
        <f>(0.3+0.46+1.27)/3</f>
        <v>0.67666666666666675</v>
      </c>
      <c r="GB1002" s="33" t="s">
        <v>706</v>
      </c>
      <c r="IO1002" s="33" t="s">
        <v>730</v>
      </c>
    </row>
    <row r="1003" spans="1:250" s="33" customFormat="1" x14ac:dyDescent="0.25">
      <c r="A1003" s="33">
        <v>48</v>
      </c>
      <c r="B1003" s="33" t="s">
        <v>690</v>
      </c>
      <c r="C1003" s="33" t="s">
        <v>691</v>
      </c>
      <c r="D1003" s="33">
        <v>2016</v>
      </c>
      <c r="E1003" s="33">
        <v>2014</v>
      </c>
      <c r="F1003" s="33" t="s">
        <v>692</v>
      </c>
      <c r="G1003" s="33" t="s">
        <v>693</v>
      </c>
      <c r="H1003" s="32" t="s">
        <v>2831</v>
      </c>
      <c r="I1003" s="33">
        <f t="shared" si="226"/>
        <v>42.083333333333336</v>
      </c>
      <c r="J1003" s="33">
        <f t="shared" si="227"/>
        <v>-86.35</v>
      </c>
      <c r="K1003" s="33">
        <v>213.2</v>
      </c>
      <c r="Q1003" s="47">
        <v>1</v>
      </c>
      <c r="R1003" s="47" t="s">
        <v>1856</v>
      </c>
      <c r="S1003" s="47"/>
      <c r="T1003" s="47" t="s">
        <v>1970</v>
      </c>
      <c r="U1003" s="47" t="s">
        <v>1408</v>
      </c>
      <c r="V1003" s="47" t="s">
        <v>1735</v>
      </c>
      <c r="W1003" s="47" t="s">
        <v>1408</v>
      </c>
      <c r="X1003" s="47" t="s">
        <v>1408</v>
      </c>
      <c r="Z1003" s="327"/>
      <c r="AA1003" s="327"/>
      <c r="AB1003" s="33" t="s">
        <v>203</v>
      </c>
      <c r="AF1003" s="33" t="s">
        <v>1344</v>
      </c>
      <c r="AG1003" s="33" t="s">
        <v>132</v>
      </c>
      <c r="AH1003" s="138" t="s">
        <v>132</v>
      </c>
      <c r="AI1003" s="33" t="s">
        <v>1604</v>
      </c>
      <c r="AJ1003" s="141" t="s">
        <v>230</v>
      </c>
      <c r="AN1003" s="33" t="s">
        <v>697</v>
      </c>
      <c r="AO1003" s="33" t="s">
        <v>697</v>
      </c>
      <c r="AP1003" s="33" t="s">
        <v>178</v>
      </c>
      <c r="AQ1003" s="33" t="s">
        <v>694</v>
      </c>
      <c r="AR1003" s="33" t="s">
        <v>694</v>
      </c>
      <c r="AS1003" s="33" t="s">
        <v>178</v>
      </c>
      <c r="AT1003" s="33" t="s">
        <v>161</v>
      </c>
      <c r="AU1003" s="33">
        <v>6</v>
      </c>
      <c r="AW1003" s="33" t="s">
        <v>336</v>
      </c>
      <c r="BA1003" s="33" t="s">
        <v>695</v>
      </c>
      <c r="BB1003" s="33" t="s">
        <v>699</v>
      </c>
      <c r="BM1003" s="402"/>
      <c r="BN1003" s="402"/>
      <c r="BR1003" s="402"/>
      <c r="BS1003" s="402"/>
      <c r="FX1003" s="33">
        <f>(0.55+1.16+3.96)/3</f>
        <v>1.89</v>
      </c>
      <c r="FY1003" s="33">
        <f>(0.48+0.48+2.75)/3</f>
        <v>1.2366666666666666</v>
      </c>
      <c r="GB1003" s="33" t="s">
        <v>706</v>
      </c>
      <c r="IO1003" s="33" t="s">
        <v>730</v>
      </c>
    </row>
    <row r="1004" spans="1:250" s="28" customFormat="1" x14ac:dyDescent="0.25">
      <c r="A1004" s="28">
        <v>48</v>
      </c>
      <c r="B1004" s="28" t="s">
        <v>690</v>
      </c>
      <c r="C1004" s="28" t="s">
        <v>691</v>
      </c>
      <c r="D1004" s="28">
        <v>2016</v>
      </c>
      <c r="E1004" s="28">
        <v>2014</v>
      </c>
      <c r="F1004" s="28" t="s">
        <v>692</v>
      </c>
      <c r="G1004" s="28" t="s">
        <v>693</v>
      </c>
      <c r="H1004" s="32" t="s">
        <v>2831</v>
      </c>
      <c r="I1004" s="28">
        <f t="shared" si="226"/>
        <v>42.083333333333336</v>
      </c>
      <c r="J1004" s="28">
        <f t="shared" si="227"/>
        <v>-86.35</v>
      </c>
      <c r="K1004" s="28">
        <v>213.2</v>
      </c>
      <c r="Q1004" s="46">
        <v>1</v>
      </c>
      <c r="R1004" s="46" t="s">
        <v>1856</v>
      </c>
      <c r="S1004" s="46"/>
      <c r="T1004" s="46" t="s">
        <v>1970</v>
      </c>
      <c r="U1004" s="46" t="s">
        <v>1408</v>
      </c>
      <c r="V1004" s="46" t="s">
        <v>1735</v>
      </c>
      <c r="W1004" s="46" t="s">
        <v>1408</v>
      </c>
      <c r="X1004" s="46" t="s">
        <v>1408</v>
      </c>
      <c r="Z1004" s="326"/>
      <c r="AA1004" s="326"/>
      <c r="AB1004" s="28" t="s">
        <v>203</v>
      </c>
      <c r="AF1004" s="28" t="s">
        <v>1344</v>
      </c>
      <c r="AG1004" s="28" t="s">
        <v>132</v>
      </c>
      <c r="AH1004" s="138" t="s">
        <v>132</v>
      </c>
      <c r="AI1004" s="28" t="s">
        <v>1604</v>
      </c>
      <c r="AJ1004" s="141" t="s">
        <v>230</v>
      </c>
      <c r="AN1004" s="28" t="s">
        <v>696</v>
      </c>
      <c r="AO1004" s="28" t="s">
        <v>696</v>
      </c>
      <c r="AP1004" s="28" t="s">
        <v>178</v>
      </c>
      <c r="AQ1004" s="28" t="s">
        <v>694</v>
      </c>
      <c r="AR1004" s="28" t="s">
        <v>694</v>
      </c>
      <c r="AS1004" s="28" t="s">
        <v>178</v>
      </c>
      <c r="AT1004" s="28" t="s">
        <v>161</v>
      </c>
      <c r="AU1004" s="28">
        <v>6</v>
      </c>
      <c r="AW1004" s="28" t="s">
        <v>336</v>
      </c>
      <c r="BA1004" s="28" t="s">
        <v>695</v>
      </c>
      <c r="BB1004" s="28" t="s">
        <v>700</v>
      </c>
      <c r="BM1004" s="401"/>
      <c r="BN1004" s="401"/>
      <c r="BR1004" s="401"/>
      <c r="BS1004" s="401"/>
      <c r="FX1004" s="28">
        <f>(4.54+9.44+4.55)/3</f>
        <v>6.1766666666666667</v>
      </c>
      <c r="FY1004" s="28">
        <f>(5.5+7.12+8.54)/3</f>
        <v>7.0533333333333337</v>
      </c>
      <c r="GB1004" s="28" t="s">
        <v>706</v>
      </c>
      <c r="IO1004" s="28" t="s">
        <v>730</v>
      </c>
    </row>
    <row r="1005" spans="1:250" s="28" customFormat="1" x14ac:dyDescent="0.25">
      <c r="A1005" s="28">
        <v>48</v>
      </c>
      <c r="B1005" s="28" t="s">
        <v>690</v>
      </c>
      <c r="C1005" s="28" t="s">
        <v>691</v>
      </c>
      <c r="D1005" s="28">
        <v>2016</v>
      </c>
      <c r="E1005" s="28">
        <v>2014</v>
      </c>
      <c r="F1005" s="28" t="s">
        <v>692</v>
      </c>
      <c r="G1005" s="28" t="s">
        <v>693</v>
      </c>
      <c r="H1005" s="32" t="s">
        <v>2831</v>
      </c>
      <c r="I1005" s="28">
        <f t="shared" si="226"/>
        <v>42.083333333333336</v>
      </c>
      <c r="J1005" s="28">
        <f t="shared" si="227"/>
        <v>-86.35</v>
      </c>
      <c r="K1005" s="28">
        <v>213.2</v>
      </c>
      <c r="Q1005" s="46">
        <v>1</v>
      </c>
      <c r="R1005" s="46" t="s">
        <v>1856</v>
      </c>
      <c r="S1005" s="46"/>
      <c r="T1005" s="46" t="s">
        <v>1970</v>
      </c>
      <c r="U1005" s="46" t="s">
        <v>1408</v>
      </c>
      <c r="V1005" s="46" t="s">
        <v>1735</v>
      </c>
      <c r="W1005" s="46" t="s">
        <v>1408</v>
      </c>
      <c r="X1005" s="46" t="s">
        <v>1408</v>
      </c>
      <c r="Z1005" s="326"/>
      <c r="AA1005" s="326"/>
      <c r="AB1005" s="28" t="s">
        <v>203</v>
      </c>
      <c r="AF1005" s="28" t="s">
        <v>1344</v>
      </c>
      <c r="AG1005" s="28" t="s">
        <v>132</v>
      </c>
      <c r="AH1005" s="138" t="s">
        <v>132</v>
      </c>
      <c r="AI1005" s="28" t="s">
        <v>1604</v>
      </c>
      <c r="AJ1005" s="141" t="s">
        <v>230</v>
      </c>
      <c r="AN1005" s="28" t="s">
        <v>697</v>
      </c>
      <c r="AO1005" s="28" t="s">
        <v>697</v>
      </c>
      <c r="AP1005" s="28" t="s">
        <v>178</v>
      </c>
      <c r="AQ1005" s="28" t="s">
        <v>694</v>
      </c>
      <c r="AR1005" s="28" t="s">
        <v>694</v>
      </c>
      <c r="AS1005" s="28" t="s">
        <v>178</v>
      </c>
      <c r="AT1005" s="28" t="s">
        <v>161</v>
      </c>
      <c r="AU1005" s="28">
        <v>6</v>
      </c>
      <c r="AW1005" s="28" t="s">
        <v>336</v>
      </c>
      <c r="BA1005" s="28" t="s">
        <v>695</v>
      </c>
      <c r="BB1005" s="28" t="s">
        <v>700</v>
      </c>
      <c r="BM1005" s="401"/>
      <c r="BN1005" s="401"/>
      <c r="BR1005" s="401"/>
      <c r="BS1005" s="401"/>
      <c r="FX1005" s="28">
        <f>(7.52+10.35+5.91)/3</f>
        <v>7.9266666666666659</v>
      </c>
      <c r="FY1005" s="28">
        <f>(4.49+10.45+3.49)/3</f>
        <v>6.1433333333333335</v>
      </c>
      <c r="GB1005" s="28" t="s">
        <v>706</v>
      </c>
      <c r="IO1005" s="28" t="s">
        <v>730</v>
      </c>
    </row>
    <row r="1006" spans="1:250" s="33" customFormat="1" x14ac:dyDescent="0.25">
      <c r="A1006" s="33">
        <v>48</v>
      </c>
      <c r="B1006" s="33" t="s">
        <v>690</v>
      </c>
      <c r="C1006" s="33" t="s">
        <v>691</v>
      </c>
      <c r="D1006" s="33">
        <v>2016</v>
      </c>
      <c r="E1006" s="33">
        <v>2014</v>
      </c>
      <c r="F1006" s="33" t="s">
        <v>692</v>
      </c>
      <c r="G1006" s="33" t="s">
        <v>693</v>
      </c>
      <c r="H1006" s="32" t="s">
        <v>2831</v>
      </c>
      <c r="I1006" s="33">
        <f t="shared" si="226"/>
        <v>42.083333333333336</v>
      </c>
      <c r="J1006" s="33">
        <f t="shared" si="227"/>
        <v>-86.35</v>
      </c>
      <c r="K1006" s="33">
        <v>213.2</v>
      </c>
      <c r="Q1006" s="47">
        <v>1</v>
      </c>
      <c r="R1006" s="47" t="s">
        <v>1856</v>
      </c>
      <c r="S1006" s="47"/>
      <c r="T1006" s="47" t="s">
        <v>1970</v>
      </c>
      <c r="U1006" s="47" t="s">
        <v>1408</v>
      </c>
      <c r="V1006" s="47" t="s">
        <v>1735</v>
      </c>
      <c r="W1006" s="47" t="s">
        <v>1408</v>
      </c>
      <c r="X1006" s="47" t="s">
        <v>1408</v>
      </c>
      <c r="Z1006" s="327"/>
      <c r="AA1006" s="327"/>
      <c r="AB1006" s="33" t="s">
        <v>203</v>
      </c>
      <c r="AF1006" s="33" t="s">
        <v>1344</v>
      </c>
      <c r="AG1006" s="33" t="s">
        <v>132</v>
      </c>
      <c r="AH1006" s="138" t="s">
        <v>132</v>
      </c>
      <c r="AI1006" s="33" t="s">
        <v>1604</v>
      </c>
      <c r="AJ1006" s="141" t="s">
        <v>230</v>
      </c>
      <c r="AN1006" s="33" t="s">
        <v>696</v>
      </c>
      <c r="AO1006" s="33" t="s">
        <v>696</v>
      </c>
      <c r="AP1006" s="33" t="s">
        <v>178</v>
      </c>
      <c r="AQ1006" s="33" t="s">
        <v>694</v>
      </c>
      <c r="AR1006" s="33" t="s">
        <v>694</v>
      </c>
      <c r="AS1006" s="33" t="s">
        <v>178</v>
      </c>
      <c r="AT1006" s="33" t="s">
        <v>161</v>
      </c>
      <c r="AU1006" s="33">
        <v>6</v>
      </c>
      <c r="AW1006" s="33" t="s">
        <v>336</v>
      </c>
      <c r="BA1006" s="33" t="s">
        <v>695</v>
      </c>
      <c r="BB1006" s="33" t="s">
        <v>701</v>
      </c>
      <c r="BM1006" s="402"/>
      <c r="BN1006" s="402"/>
      <c r="BR1006" s="402"/>
      <c r="BS1006" s="402"/>
      <c r="FX1006" s="33">
        <f>(1.1+1.93+0.55)/3</f>
        <v>1.1933333333333334</v>
      </c>
      <c r="FY1006" s="33">
        <f>(2.2+1.55+1.03)/3</f>
        <v>1.5933333333333335</v>
      </c>
      <c r="GB1006" s="33" t="s">
        <v>706</v>
      </c>
      <c r="IO1006" s="33" t="s">
        <v>730</v>
      </c>
    </row>
    <row r="1007" spans="1:250" s="33" customFormat="1" x14ac:dyDescent="0.25">
      <c r="A1007" s="33">
        <v>48</v>
      </c>
      <c r="B1007" s="33" t="s">
        <v>690</v>
      </c>
      <c r="C1007" s="33" t="s">
        <v>691</v>
      </c>
      <c r="D1007" s="33">
        <v>2016</v>
      </c>
      <c r="E1007" s="33">
        <v>2014</v>
      </c>
      <c r="F1007" s="33" t="s">
        <v>692</v>
      </c>
      <c r="G1007" s="33" t="s">
        <v>693</v>
      </c>
      <c r="H1007" s="32" t="s">
        <v>2831</v>
      </c>
      <c r="I1007" s="33">
        <f t="shared" si="226"/>
        <v>42.083333333333336</v>
      </c>
      <c r="J1007" s="33">
        <f t="shared" si="227"/>
        <v>-86.35</v>
      </c>
      <c r="K1007" s="33">
        <v>213.2</v>
      </c>
      <c r="Q1007" s="47">
        <v>1</v>
      </c>
      <c r="R1007" s="47" t="s">
        <v>1856</v>
      </c>
      <c r="S1007" s="47"/>
      <c r="T1007" s="47" t="s">
        <v>1970</v>
      </c>
      <c r="U1007" s="47" t="s">
        <v>1408</v>
      </c>
      <c r="V1007" s="47" t="s">
        <v>1735</v>
      </c>
      <c r="W1007" s="47" t="s">
        <v>1408</v>
      </c>
      <c r="X1007" s="47" t="s">
        <v>1408</v>
      </c>
      <c r="Z1007" s="327"/>
      <c r="AA1007" s="327"/>
      <c r="AB1007" s="33" t="s">
        <v>203</v>
      </c>
      <c r="AF1007" s="33" t="s">
        <v>1344</v>
      </c>
      <c r="AG1007" s="33" t="s">
        <v>132</v>
      </c>
      <c r="AH1007" s="138" t="s">
        <v>132</v>
      </c>
      <c r="AI1007" s="33" t="s">
        <v>1604</v>
      </c>
      <c r="AJ1007" s="141" t="s">
        <v>230</v>
      </c>
      <c r="AN1007" s="33" t="s">
        <v>697</v>
      </c>
      <c r="AO1007" s="33" t="s">
        <v>697</v>
      </c>
      <c r="AP1007" s="33" t="s">
        <v>178</v>
      </c>
      <c r="AQ1007" s="33" t="s">
        <v>694</v>
      </c>
      <c r="AR1007" s="33" t="s">
        <v>694</v>
      </c>
      <c r="AS1007" s="33" t="s">
        <v>178</v>
      </c>
      <c r="AT1007" s="33" t="s">
        <v>161</v>
      </c>
      <c r="AU1007" s="33">
        <v>6</v>
      </c>
      <c r="AW1007" s="33" t="s">
        <v>336</v>
      </c>
      <c r="BA1007" s="33" t="s">
        <v>695</v>
      </c>
      <c r="BB1007" s="33" t="s">
        <v>701</v>
      </c>
      <c r="BM1007" s="402"/>
      <c r="BN1007" s="402"/>
      <c r="BR1007" s="402"/>
      <c r="BS1007" s="402"/>
      <c r="FX1007" s="33">
        <f>(1.1+1.19+0.67)/3</f>
        <v>0.98666666666666669</v>
      </c>
      <c r="FY1007" s="33">
        <f>(1.21+0.93+0.9)/3</f>
        <v>1.0133333333333334</v>
      </c>
      <c r="GB1007" s="33" t="s">
        <v>706</v>
      </c>
      <c r="IO1007" s="33" t="s">
        <v>730</v>
      </c>
    </row>
    <row r="1008" spans="1:250" s="66" customFormat="1" x14ac:dyDescent="0.25">
      <c r="A1008" s="66">
        <v>48</v>
      </c>
      <c r="B1008" s="66" t="s">
        <v>690</v>
      </c>
      <c r="C1008" s="66" t="s">
        <v>691</v>
      </c>
      <c r="D1008" s="66">
        <v>2016</v>
      </c>
      <c r="E1008" s="66">
        <v>2015</v>
      </c>
      <c r="F1008" s="66" t="s">
        <v>692</v>
      </c>
      <c r="G1008" s="66" t="s">
        <v>693</v>
      </c>
      <c r="H1008" s="32" t="s">
        <v>2831</v>
      </c>
      <c r="I1008" s="66">
        <f t="shared" si="226"/>
        <v>42.083333333333336</v>
      </c>
      <c r="J1008" s="66">
        <f t="shared" si="227"/>
        <v>-86.35</v>
      </c>
      <c r="K1008" s="66">
        <v>213.2</v>
      </c>
      <c r="Q1008" s="67">
        <v>2</v>
      </c>
      <c r="R1008" s="67" t="s">
        <v>1856</v>
      </c>
      <c r="S1008" s="67"/>
      <c r="T1008" s="46" t="s">
        <v>1970</v>
      </c>
      <c r="U1008" s="67" t="s">
        <v>1408</v>
      </c>
      <c r="V1008" s="46" t="s">
        <v>1735</v>
      </c>
      <c r="W1008" s="67" t="s">
        <v>1408</v>
      </c>
      <c r="X1008" s="67" t="s">
        <v>1408</v>
      </c>
      <c r="Z1008" s="335"/>
      <c r="AA1008" s="335"/>
      <c r="AB1008" s="66" t="s">
        <v>203</v>
      </c>
      <c r="AF1008" s="28" t="s">
        <v>1344</v>
      </c>
      <c r="AG1008" s="66" t="s">
        <v>132</v>
      </c>
      <c r="AH1008" s="138" t="s">
        <v>132</v>
      </c>
      <c r="AI1008" s="66" t="s">
        <v>1604</v>
      </c>
      <c r="AJ1008" s="143" t="s">
        <v>230</v>
      </c>
      <c r="AN1008" s="66" t="s">
        <v>696</v>
      </c>
      <c r="AO1008" s="66" t="s">
        <v>696</v>
      </c>
      <c r="AP1008" s="66" t="s">
        <v>178</v>
      </c>
      <c r="AQ1008" s="66" t="s">
        <v>694</v>
      </c>
      <c r="AR1008" s="66" t="s">
        <v>694</v>
      </c>
      <c r="AS1008" s="66" t="s">
        <v>178</v>
      </c>
      <c r="AT1008" s="66" t="s">
        <v>161</v>
      </c>
      <c r="AU1008" s="66">
        <v>6</v>
      </c>
      <c r="AW1008" s="66" t="s">
        <v>336</v>
      </c>
      <c r="BA1008" s="66" t="s">
        <v>695</v>
      </c>
      <c r="BB1008" s="66" t="s">
        <v>702</v>
      </c>
      <c r="BM1008" s="410"/>
      <c r="BN1008" s="410"/>
      <c r="BR1008" s="410"/>
      <c r="BS1008" s="410"/>
      <c r="FX1008" s="66">
        <f>(1.19+2.25+4.6)/3</f>
        <v>2.6799999999999997</v>
      </c>
      <c r="FY1008" s="66">
        <f>(0.81+3.51+6.17)/3</f>
        <v>3.4966666666666666</v>
      </c>
      <c r="GB1008" s="28" t="s">
        <v>706</v>
      </c>
      <c r="GC1008" s="28"/>
      <c r="GD1008" s="28"/>
      <c r="GE1008" s="28"/>
      <c r="GF1008" s="28"/>
      <c r="GG1008" s="28"/>
      <c r="GH1008" s="28"/>
      <c r="GI1008" s="28"/>
      <c r="GJ1008" s="28"/>
      <c r="GK1008" s="28"/>
      <c r="GL1008" s="28"/>
      <c r="IO1008" s="28" t="s">
        <v>730</v>
      </c>
    </row>
    <row r="1009" spans="1:249" s="66" customFormat="1" x14ac:dyDescent="0.25">
      <c r="A1009" s="66">
        <v>48</v>
      </c>
      <c r="B1009" s="66" t="s">
        <v>690</v>
      </c>
      <c r="C1009" s="66" t="s">
        <v>691</v>
      </c>
      <c r="D1009" s="66">
        <v>2016</v>
      </c>
      <c r="E1009" s="66">
        <v>2015</v>
      </c>
      <c r="F1009" s="66" t="s">
        <v>692</v>
      </c>
      <c r="G1009" s="66" t="s">
        <v>693</v>
      </c>
      <c r="H1009" s="32" t="s">
        <v>2831</v>
      </c>
      <c r="I1009" s="66">
        <f t="shared" si="226"/>
        <v>42.083333333333336</v>
      </c>
      <c r="J1009" s="66">
        <f t="shared" si="227"/>
        <v>-86.35</v>
      </c>
      <c r="K1009" s="66">
        <v>213.2</v>
      </c>
      <c r="Q1009" s="67">
        <v>2</v>
      </c>
      <c r="R1009" s="67" t="s">
        <v>1856</v>
      </c>
      <c r="S1009" s="67"/>
      <c r="T1009" s="46" t="s">
        <v>1970</v>
      </c>
      <c r="U1009" s="67" t="s">
        <v>1408</v>
      </c>
      <c r="V1009" s="46" t="s">
        <v>1735</v>
      </c>
      <c r="W1009" s="67" t="s">
        <v>1408</v>
      </c>
      <c r="X1009" s="67" t="s">
        <v>1408</v>
      </c>
      <c r="Z1009" s="335"/>
      <c r="AA1009" s="335"/>
      <c r="AB1009" s="66" t="s">
        <v>203</v>
      </c>
      <c r="AF1009" s="28" t="s">
        <v>1344</v>
      </c>
      <c r="AG1009" s="66" t="s">
        <v>132</v>
      </c>
      <c r="AH1009" s="138" t="s">
        <v>132</v>
      </c>
      <c r="AI1009" s="66" t="s">
        <v>1604</v>
      </c>
      <c r="AJ1009" s="143" t="s">
        <v>230</v>
      </c>
      <c r="AN1009" s="66" t="s">
        <v>697</v>
      </c>
      <c r="AO1009" s="66" t="s">
        <v>697</v>
      </c>
      <c r="AP1009" s="66" t="s">
        <v>178</v>
      </c>
      <c r="AQ1009" s="66" t="s">
        <v>694</v>
      </c>
      <c r="AR1009" s="66" t="s">
        <v>694</v>
      </c>
      <c r="AS1009" s="66" t="s">
        <v>178</v>
      </c>
      <c r="AT1009" s="66" t="s">
        <v>161</v>
      </c>
      <c r="AU1009" s="66">
        <v>6</v>
      </c>
      <c r="AW1009" s="66" t="s">
        <v>336</v>
      </c>
      <c r="BA1009" s="66" t="s">
        <v>695</v>
      </c>
      <c r="BB1009" s="66" t="s">
        <v>702</v>
      </c>
      <c r="BM1009" s="410"/>
      <c r="BN1009" s="410"/>
      <c r="BR1009" s="410"/>
      <c r="BS1009" s="410"/>
      <c r="FX1009" s="66">
        <f>(3.81+2.16+5.86)/3</f>
        <v>3.9433333333333338</v>
      </c>
      <c r="FY1009" s="66">
        <f>(3.86+3.28+5.63)/3</f>
        <v>4.2566666666666668</v>
      </c>
      <c r="GB1009" s="28" t="s">
        <v>706</v>
      </c>
      <c r="GC1009" s="28"/>
      <c r="GD1009" s="28"/>
      <c r="GE1009" s="28"/>
      <c r="GF1009" s="28"/>
      <c r="GG1009" s="28"/>
      <c r="GH1009" s="28"/>
      <c r="GI1009" s="28"/>
      <c r="GJ1009" s="28"/>
      <c r="GK1009" s="28"/>
      <c r="GL1009" s="28"/>
      <c r="IO1009" s="28" t="s">
        <v>730</v>
      </c>
    </row>
    <row r="1010" spans="1:249" s="68" customFormat="1" x14ac:dyDescent="0.25">
      <c r="A1010" s="68">
        <v>48</v>
      </c>
      <c r="B1010" s="68" t="s">
        <v>690</v>
      </c>
      <c r="C1010" s="68" t="s">
        <v>691</v>
      </c>
      <c r="D1010" s="68">
        <v>2016</v>
      </c>
      <c r="E1010" s="68">
        <v>2015</v>
      </c>
      <c r="F1010" s="68" t="s">
        <v>692</v>
      </c>
      <c r="G1010" s="68" t="s">
        <v>693</v>
      </c>
      <c r="H1010" s="32" t="s">
        <v>2831</v>
      </c>
      <c r="I1010" s="68">
        <f t="shared" si="226"/>
        <v>42.083333333333336</v>
      </c>
      <c r="J1010" s="68">
        <f t="shared" si="227"/>
        <v>-86.35</v>
      </c>
      <c r="K1010" s="68">
        <v>213.2</v>
      </c>
      <c r="Q1010" s="69">
        <v>2</v>
      </c>
      <c r="R1010" s="69" t="s">
        <v>1856</v>
      </c>
      <c r="S1010" s="69"/>
      <c r="T1010" s="47" t="s">
        <v>1970</v>
      </c>
      <c r="U1010" s="69" t="s">
        <v>1408</v>
      </c>
      <c r="V1010" s="47" t="s">
        <v>1735</v>
      </c>
      <c r="W1010" s="69" t="s">
        <v>1408</v>
      </c>
      <c r="X1010" s="69" t="s">
        <v>1408</v>
      </c>
      <c r="Z1010" s="336"/>
      <c r="AA1010" s="336"/>
      <c r="AB1010" s="68" t="s">
        <v>203</v>
      </c>
      <c r="AF1010" s="33" t="s">
        <v>1344</v>
      </c>
      <c r="AG1010" s="68" t="s">
        <v>132</v>
      </c>
      <c r="AH1010" s="138" t="s">
        <v>132</v>
      </c>
      <c r="AI1010" s="68" t="s">
        <v>1604</v>
      </c>
      <c r="AJ1010" s="143" t="s">
        <v>230</v>
      </c>
      <c r="AN1010" s="68" t="s">
        <v>696</v>
      </c>
      <c r="AO1010" s="68" t="s">
        <v>696</v>
      </c>
      <c r="AP1010" s="68" t="s">
        <v>178</v>
      </c>
      <c r="AQ1010" s="68" t="s">
        <v>694</v>
      </c>
      <c r="AR1010" s="68" t="s">
        <v>694</v>
      </c>
      <c r="AS1010" s="68" t="s">
        <v>178</v>
      </c>
      <c r="AT1010" s="68" t="s">
        <v>161</v>
      </c>
      <c r="AU1010" s="68">
        <v>6</v>
      </c>
      <c r="AW1010" s="68" t="s">
        <v>336</v>
      </c>
      <c r="BA1010" s="68" t="s">
        <v>695</v>
      </c>
      <c r="BB1010" s="68" t="s">
        <v>703</v>
      </c>
      <c r="BM1010" s="411"/>
      <c r="BN1010" s="411"/>
      <c r="BR1010" s="411"/>
      <c r="BS1010" s="411"/>
      <c r="FX1010" s="68">
        <f>(0.08+1.55+3.77)/3</f>
        <v>1.8</v>
      </c>
      <c r="FY1010" s="68">
        <f>(0.27+3.04+5.56)/3</f>
        <v>2.9566666666666666</v>
      </c>
      <c r="GB1010" s="33" t="s">
        <v>706</v>
      </c>
      <c r="GC1010" s="33"/>
      <c r="GD1010" s="33"/>
      <c r="GE1010" s="33"/>
      <c r="GF1010" s="33"/>
      <c r="GG1010" s="33"/>
      <c r="GH1010" s="33"/>
      <c r="GI1010" s="33"/>
      <c r="GJ1010" s="33"/>
      <c r="GK1010" s="33"/>
      <c r="GL1010" s="33"/>
      <c r="IO1010" s="33" t="s">
        <v>730</v>
      </c>
    </row>
    <row r="1011" spans="1:249" s="68" customFormat="1" x14ac:dyDescent="0.25">
      <c r="A1011" s="68">
        <v>48</v>
      </c>
      <c r="B1011" s="68" t="s">
        <v>690</v>
      </c>
      <c r="C1011" s="68" t="s">
        <v>691</v>
      </c>
      <c r="D1011" s="68">
        <v>2016</v>
      </c>
      <c r="E1011" s="68">
        <v>2015</v>
      </c>
      <c r="F1011" s="68" t="s">
        <v>692</v>
      </c>
      <c r="G1011" s="68" t="s">
        <v>693</v>
      </c>
      <c r="H1011" s="32" t="s">
        <v>2831</v>
      </c>
      <c r="I1011" s="68">
        <f t="shared" si="226"/>
        <v>42.083333333333336</v>
      </c>
      <c r="J1011" s="68">
        <f t="shared" si="227"/>
        <v>-86.35</v>
      </c>
      <c r="K1011" s="68">
        <v>213.2</v>
      </c>
      <c r="Q1011" s="69">
        <v>2</v>
      </c>
      <c r="R1011" s="69" t="s">
        <v>1856</v>
      </c>
      <c r="S1011" s="69"/>
      <c r="T1011" s="47" t="s">
        <v>1970</v>
      </c>
      <c r="U1011" s="69" t="s">
        <v>1408</v>
      </c>
      <c r="V1011" s="47" t="s">
        <v>1735</v>
      </c>
      <c r="W1011" s="69" t="s">
        <v>1408</v>
      </c>
      <c r="X1011" s="69" t="s">
        <v>1408</v>
      </c>
      <c r="Z1011" s="336"/>
      <c r="AA1011" s="336"/>
      <c r="AB1011" s="68" t="s">
        <v>203</v>
      </c>
      <c r="AF1011" s="33" t="s">
        <v>1344</v>
      </c>
      <c r="AG1011" s="68" t="s">
        <v>132</v>
      </c>
      <c r="AH1011" s="138" t="s">
        <v>132</v>
      </c>
      <c r="AI1011" s="68" t="s">
        <v>1604</v>
      </c>
      <c r="AJ1011" s="143" t="s">
        <v>230</v>
      </c>
      <c r="AN1011" s="68" t="s">
        <v>697</v>
      </c>
      <c r="AO1011" s="68" t="s">
        <v>697</v>
      </c>
      <c r="AP1011" s="68" t="s">
        <v>178</v>
      </c>
      <c r="AQ1011" s="68" t="s">
        <v>694</v>
      </c>
      <c r="AR1011" s="68" t="s">
        <v>694</v>
      </c>
      <c r="AS1011" s="68" t="s">
        <v>178</v>
      </c>
      <c r="AT1011" s="68" t="s">
        <v>161</v>
      </c>
      <c r="AU1011" s="68">
        <v>6</v>
      </c>
      <c r="AW1011" s="68" t="s">
        <v>336</v>
      </c>
      <c r="BA1011" s="68" t="s">
        <v>695</v>
      </c>
      <c r="BB1011" s="68" t="s">
        <v>703</v>
      </c>
      <c r="BM1011" s="411"/>
      <c r="BN1011" s="411"/>
      <c r="BR1011" s="411"/>
      <c r="BS1011" s="411"/>
      <c r="FX1011" s="68">
        <f>(0.06+1.6+3.82)/3</f>
        <v>1.8266666666666669</v>
      </c>
      <c r="FY1011" s="68">
        <f>(0.37+1.78+4.98)/3</f>
        <v>2.3766666666666669</v>
      </c>
      <c r="GB1011" s="33" t="s">
        <v>706</v>
      </c>
      <c r="GC1011" s="33"/>
      <c r="GD1011" s="33"/>
      <c r="GE1011" s="33"/>
      <c r="GF1011" s="33"/>
      <c r="GG1011" s="33"/>
      <c r="GH1011" s="33"/>
      <c r="GI1011" s="33"/>
      <c r="GJ1011" s="33"/>
      <c r="GK1011" s="33"/>
      <c r="GL1011" s="33"/>
      <c r="IO1011" s="33" t="s">
        <v>730</v>
      </c>
    </row>
    <row r="1012" spans="1:249" s="66" customFormat="1" x14ac:dyDescent="0.25">
      <c r="A1012" s="66">
        <v>48</v>
      </c>
      <c r="B1012" s="66" t="s">
        <v>690</v>
      </c>
      <c r="C1012" s="66" t="s">
        <v>691</v>
      </c>
      <c r="D1012" s="66">
        <v>2016</v>
      </c>
      <c r="E1012" s="66">
        <v>2015</v>
      </c>
      <c r="F1012" s="66" t="s">
        <v>692</v>
      </c>
      <c r="G1012" s="66" t="s">
        <v>693</v>
      </c>
      <c r="H1012" s="32" t="s">
        <v>2831</v>
      </c>
      <c r="I1012" s="66">
        <f t="shared" si="226"/>
        <v>42.083333333333336</v>
      </c>
      <c r="J1012" s="66">
        <f t="shared" si="227"/>
        <v>-86.35</v>
      </c>
      <c r="K1012" s="66">
        <v>213.2</v>
      </c>
      <c r="Q1012" s="67">
        <v>2</v>
      </c>
      <c r="R1012" s="67" t="s">
        <v>1856</v>
      </c>
      <c r="S1012" s="67"/>
      <c r="T1012" s="46" t="s">
        <v>1970</v>
      </c>
      <c r="U1012" s="67" t="s">
        <v>1408</v>
      </c>
      <c r="V1012" s="46" t="s">
        <v>1735</v>
      </c>
      <c r="W1012" s="67" t="s">
        <v>1408</v>
      </c>
      <c r="X1012" s="67" t="s">
        <v>1408</v>
      </c>
      <c r="Z1012" s="335"/>
      <c r="AA1012" s="335"/>
      <c r="AB1012" s="66" t="s">
        <v>203</v>
      </c>
      <c r="AF1012" s="28" t="s">
        <v>1344</v>
      </c>
      <c r="AG1012" s="66" t="s">
        <v>132</v>
      </c>
      <c r="AH1012" s="138" t="s">
        <v>132</v>
      </c>
      <c r="AI1012" s="66" t="s">
        <v>1604</v>
      </c>
      <c r="AJ1012" s="143" t="s">
        <v>230</v>
      </c>
      <c r="AN1012" s="66" t="s">
        <v>696</v>
      </c>
      <c r="AO1012" s="66" t="s">
        <v>696</v>
      </c>
      <c r="AP1012" s="66" t="s">
        <v>178</v>
      </c>
      <c r="AQ1012" s="66" t="s">
        <v>694</v>
      </c>
      <c r="AR1012" s="66" t="s">
        <v>694</v>
      </c>
      <c r="AS1012" s="66" t="s">
        <v>178</v>
      </c>
      <c r="AT1012" s="66" t="s">
        <v>161</v>
      </c>
      <c r="AU1012" s="66">
        <v>6</v>
      </c>
      <c r="AW1012" s="66" t="s">
        <v>336</v>
      </c>
      <c r="BA1012" s="66" t="s">
        <v>695</v>
      </c>
      <c r="BB1012" s="66" t="s">
        <v>704</v>
      </c>
      <c r="BM1012" s="410"/>
      <c r="BN1012" s="410"/>
      <c r="BR1012" s="410"/>
      <c r="BS1012" s="410"/>
      <c r="FX1012" s="66">
        <f>(1.98+2.59+1.28)/3</f>
        <v>1.9500000000000002</v>
      </c>
      <c r="FY1012" s="66">
        <f>(6.37+4.61+1.99)/3</f>
        <v>4.3233333333333333</v>
      </c>
      <c r="GB1012" s="28" t="s">
        <v>706</v>
      </c>
      <c r="GC1012" s="28"/>
      <c r="GD1012" s="28"/>
      <c r="GE1012" s="28"/>
      <c r="GF1012" s="28"/>
      <c r="GG1012" s="28"/>
      <c r="GH1012" s="28"/>
      <c r="GI1012" s="28"/>
      <c r="GJ1012" s="28"/>
      <c r="GK1012" s="28"/>
      <c r="GL1012" s="28"/>
      <c r="IO1012" s="28" t="s">
        <v>730</v>
      </c>
    </row>
    <row r="1013" spans="1:249" s="66" customFormat="1" x14ac:dyDescent="0.25">
      <c r="A1013" s="66">
        <v>48</v>
      </c>
      <c r="B1013" s="66" t="s">
        <v>690</v>
      </c>
      <c r="C1013" s="66" t="s">
        <v>691</v>
      </c>
      <c r="D1013" s="66">
        <v>2016</v>
      </c>
      <c r="E1013" s="66">
        <v>2015</v>
      </c>
      <c r="F1013" s="66" t="s">
        <v>692</v>
      </c>
      <c r="G1013" s="66" t="s">
        <v>693</v>
      </c>
      <c r="H1013" s="32" t="s">
        <v>2831</v>
      </c>
      <c r="I1013" s="66">
        <f t="shared" si="226"/>
        <v>42.083333333333336</v>
      </c>
      <c r="J1013" s="66">
        <f t="shared" si="227"/>
        <v>-86.35</v>
      </c>
      <c r="K1013" s="66">
        <v>213.2</v>
      </c>
      <c r="Q1013" s="67">
        <v>2</v>
      </c>
      <c r="R1013" s="67" t="s">
        <v>1856</v>
      </c>
      <c r="S1013" s="67"/>
      <c r="T1013" s="46" t="s">
        <v>1970</v>
      </c>
      <c r="U1013" s="67" t="s">
        <v>1408</v>
      </c>
      <c r="V1013" s="46" t="s">
        <v>1735</v>
      </c>
      <c r="W1013" s="67" t="s">
        <v>1408</v>
      </c>
      <c r="X1013" s="67" t="s">
        <v>1408</v>
      </c>
      <c r="Z1013" s="335"/>
      <c r="AA1013" s="335"/>
      <c r="AB1013" s="66" t="s">
        <v>203</v>
      </c>
      <c r="AF1013" s="28" t="s">
        <v>1344</v>
      </c>
      <c r="AG1013" s="66" t="s">
        <v>132</v>
      </c>
      <c r="AH1013" s="138" t="s">
        <v>132</v>
      </c>
      <c r="AI1013" s="66" t="s">
        <v>1604</v>
      </c>
      <c r="AJ1013" s="143" t="s">
        <v>230</v>
      </c>
      <c r="AN1013" s="66" t="s">
        <v>697</v>
      </c>
      <c r="AO1013" s="66" t="s">
        <v>697</v>
      </c>
      <c r="AP1013" s="66" t="s">
        <v>178</v>
      </c>
      <c r="AQ1013" s="66" t="s">
        <v>694</v>
      </c>
      <c r="AR1013" s="66" t="s">
        <v>694</v>
      </c>
      <c r="AS1013" s="66" t="s">
        <v>178</v>
      </c>
      <c r="AT1013" s="66" t="s">
        <v>161</v>
      </c>
      <c r="AU1013" s="66">
        <v>6</v>
      </c>
      <c r="AW1013" s="66" t="s">
        <v>336</v>
      </c>
      <c r="BA1013" s="66" t="s">
        <v>695</v>
      </c>
      <c r="BB1013" s="66" t="s">
        <v>704</v>
      </c>
      <c r="BM1013" s="410"/>
      <c r="BN1013" s="410"/>
      <c r="BR1013" s="410"/>
      <c r="BS1013" s="410"/>
      <c r="FX1013" s="66">
        <f>(1.58+3.45+2.39)/3</f>
        <v>2.4733333333333332</v>
      </c>
      <c r="FY1013" s="66">
        <f>(2.69+3.1+2.09)/3</f>
        <v>2.6266666666666665</v>
      </c>
      <c r="GB1013" s="28" t="s">
        <v>706</v>
      </c>
      <c r="GC1013" s="28"/>
      <c r="GD1013" s="28"/>
      <c r="GE1013" s="28"/>
      <c r="GF1013" s="28"/>
      <c r="GG1013" s="28"/>
      <c r="GH1013" s="28"/>
      <c r="GI1013" s="28"/>
      <c r="GJ1013" s="28"/>
      <c r="GK1013" s="28"/>
      <c r="GL1013" s="28"/>
      <c r="IO1013" s="28" t="s">
        <v>730</v>
      </c>
    </row>
    <row r="1014" spans="1:249" s="68" customFormat="1" x14ac:dyDescent="0.25">
      <c r="A1014" s="68">
        <v>48</v>
      </c>
      <c r="B1014" s="68" t="s">
        <v>690</v>
      </c>
      <c r="C1014" s="68" t="s">
        <v>691</v>
      </c>
      <c r="D1014" s="68">
        <v>2016</v>
      </c>
      <c r="E1014" s="68">
        <v>2015</v>
      </c>
      <c r="F1014" s="68" t="s">
        <v>692</v>
      </c>
      <c r="G1014" s="68" t="s">
        <v>693</v>
      </c>
      <c r="H1014" s="32" t="s">
        <v>2831</v>
      </c>
      <c r="I1014" s="68">
        <f t="shared" si="226"/>
        <v>42.083333333333336</v>
      </c>
      <c r="J1014" s="68">
        <f t="shared" si="227"/>
        <v>-86.35</v>
      </c>
      <c r="K1014" s="68">
        <v>213.2</v>
      </c>
      <c r="Q1014" s="69">
        <v>2</v>
      </c>
      <c r="R1014" s="69" t="s">
        <v>1856</v>
      </c>
      <c r="S1014" s="69"/>
      <c r="T1014" s="47" t="s">
        <v>1970</v>
      </c>
      <c r="U1014" s="69" t="s">
        <v>1408</v>
      </c>
      <c r="V1014" s="47" t="s">
        <v>1735</v>
      </c>
      <c r="W1014" s="69" t="s">
        <v>1408</v>
      </c>
      <c r="X1014" s="69" t="s">
        <v>1408</v>
      </c>
      <c r="Z1014" s="336"/>
      <c r="AA1014" s="336"/>
      <c r="AB1014" s="68" t="s">
        <v>203</v>
      </c>
      <c r="AF1014" s="33" t="s">
        <v>1344</v>
      </c>
      <c r="AG1014" s="68" t="s">
        <v>132</v>
      </c>
      <c r="AH1014" s="138" t="s">
        <v>132</v>
      </c>
      <c r="AI1014" s="68" t="s">
        <v>1604</v>
      </c>
      <c r="AJ1014" s="143" t="s">
        <v>230</v>
      </c>
      <c r="AN1014" s="68" t="s">
        <v>696</v>
      </c>
      <c r="AO1014" s="68" t="s">
        <v>696</v>
      </c>
      <c r="AP1014" s="68" t="s">
        <v>178</v>
      </c>
      <c r="AQ1014" s="68" t="s">
        <v>694</v>
      </c>
      <c r="AR1014" s="68" t="s">
        <v>694</v>
      </c>
      <c r="AS1014" s="68" t="s">
        <v>178</v>
      </c>
      <c r="AT1014" s="68" t="s">
        <v>161</v>
      </c>
      <c r="AU1014" s="68">
        <v>6</v>
      </c>
      <c r="AW1014" s="68" t="s">
        <v>336</v>
      </c>
      <c r="BA1014" s="68" t="s">
        <v>695</v>
      </c>
      <c r="BB1014" s="68" t="s">
        <v>705</v>
      </c>
      <c r="BM1014" s="411"/>
      <c r="BN1014" s="411"/>
      <c r="BR1014" s="411"/>
      <c r="BS1014" s="411"/>
      <c r="FX1014" s="68">
        <f>(0.88+17.1+4.5)/3</f>
        <v>7.4933333333333332</v>
      </c>
      <c r="FY1014" s="68">
        <f>(4.56+26.3+3.02)/3</f>
        <v>11.293333333333335</v>
      </c>
      <c r="GB1014" s="33" t="s">
        <v>706</v>
      </c>
      <c r="GC1014" s="33"/>
      <c r="GD1014" s="33"/>
      <c r="GE1014" s="33"/>
      <c r="GF1014" s="33"/>
      <c r="GG1014" s="33"/>
      <c r="GH1014" s="33"/>
      <c r="GI1014" s="33"/>
      <c r="GJ1014" s="33"/>
      <c r="GK1014" s="33"/>
      <c r="GL1014" s="33"/>
      <c r="IO1014" s="33" t="s">
        <v>730</v>
      </c>
    </row>
    <row r="1015" spans="1:249" s="68" customFormat="1" x14ac:dyDescent="0.25">
      <c r="A1015" s="68">
        <v>48</v>
      </c>
      <c r="B1015" s="68" t="s">
        <v>690</v>
      </c>
      <c r="C1015" s="68" t="s">
        <v>691</v>
      </c>
      <c r="D1015" s="68">
        <v>2016</v>
      </c>
      <c r="E1015" s="68">
        <v>2015</v>
      </c>
      <c r="F1015" s="68" t="s">
        <v>692</v>
      </c>
      <c r="G1015" s="68" t="s">
        <v>693</v>
      </c>
      <c r="H1015" s="32" t="s">
        <v>2831</v>
      </c>
      <c r="I1015" s="68">
        <f t="shared" si="226"/>
        <v>42.083333333333336</v>
      </c>
      <c r="J1015" s="68">
        <f t="shared" si="227"/>
        <v>-86.35</v>
      </c>
      <c r="K1015" s="68">
        <v>213.2</v>
      </c>
      <c r="Q1015" s="69">
        <v>2</v>
      </c>
      <c r="R1015" s="69" t="s">
        <v>1856</v>
      </c>
      <c r="S1015" s="69"/>
      <c r="T1015" s="47" t="s">
        <v>1970</v>
      </c>
      <c r="U1015" s="69" t="s">
        <v>1408</v>
      </c>
      <c r="V1015" s="47" t="s">
        <v>1735</v>
      </c>
      <c r="W1015" s="69" t="s">
        <v>1408</v>
      </c>
      <c r="X1015" s="69" t="s">
        <v>1408</v>
      </c>
      <c r="Z1015" s="336"/>
      <c r="AA1015" s="336"/>
      <c r="AB1015" s="68" t="s">
        <v>203</v>
      </c>
      <c r="AF1015" s="33" t="s">
        <v>1344</v>
      </c>
      <c r="AG1015" s="68" t="s">
        <v>132</v>
      </c>
      <c r="AH1015" s="138" t="s">
        <v>132</v>
      </c>
      <c r="AI1015" s="68" t="s">
        <v>1604</v>
      </c>
      <c r="AJ1015" s="143" t="s">
        <v>230</v>
      </c>
      <c r="AN1015" s="68" t="s">
        <v>697</v>
      </c>
      <c r="AO1015" s="68" t="s">
        <v>697</v>
      </c>
      <c r="AP1015" s="68" t="s">
        <v>178</v>
      </c>
      <c r="AQ1015" s="68" t="s">
        <v>694</v>
      </c>
      <c r="AR1015" s="68" t="s">
        <v>694</v>
      </c>
      <c r="AS1015" s="68" t="s">
        <v>178</v>
      </c>
      <c r="AT1015" s="68" t="s">
        <v>161</v>
      </c>
      <c r="AU1015" s="68">
        <v>6</v>
      </c>
      <c r="AW1015" s="68" t="s">
        <v>336</v>
      </c>
      <c r="BA1015" s="68" t="s">
        <v>695</v>
      </c>
      <c r="BB1015" s="68" t="s">
        <v>705</v>
      </c>
      <c r="BM1015" s="411"/>
      <c r="BN1015" s="411"/>
      <c r="BR1015" s="411"/>
      <c r="BS1015" s="411"/>
      <c r="FX1015" s="68">
        <f>(0.76+14.87+2.66)/3</f>
        <v>6.0966666666666667</v>
      </c>
      <c r="FY1015" s="68">
        <f>(0.62+17.69+4)/3</f>
        <v>7.4366666666666674</v>
      </c>
      <c r="GB1015" s="33" t="s">
        <v>706</v>
      </c>
      <c r="GC1015" s="33"/>
      <c r="GD1015" s="33"/>
      <c r="GE1015" s="33"/>
      <c r="GF1015" s="33"/>
      <c r="GG1015" s="33"/>
      <c r="GH1015" s="33"/>
      <c r="GI1015" s="33"/>
      <c r="GJ1015" s="33"/>
      <c r="GK1015" s="33"/>
      <c r="GL1015" s="33"/>
      <c r="IO1015" s="33" t="s">
        <v>730</v>
      </c>
    </row>
    <row r="1016" spans="1:249" s="24" customFormat="1" x14ac:dyDescent="0.25">
      <c r="A1016" s="24">
        <v>49</v>
      </c>
      <c r="B1016" s="24" t="s">
        <v>731</v>
      </c>
      <c r="C1016" s="24" t="s">
        <v>732</v>
      </c>
      <c r="D1016" s="24">
        <v>2000</v>
      </c>
      <c r="E1016" s="24">
        <v>1995</v>
      </c>
      <c r="F1016" s="24" t="s">
        <v>733</v>
      </c>
      <c r="G1016" s="24" t="s">
        <v>742</v>
      </c>
      <c r="H1016" s="32" t="s">
        <v>2831</v>
      </c>
      <c r="I1016" s="24">
        <v>34.69</v>
      </c>
      <c r="J1016" s="24">
        <v>-86.88</v>
      </c>
      <c r="K1016" s="24">
        <v>181</v>
      </c>
      <c r="Q1016" s="42">
        <v>1</v>
      </c>
      <c r="R1016" s="42" t="s">
        <v>1867</v>
      </c>
      <c r="S1016" s="42"/>
      <c r="T1016" s="42" t="s">
        <v>1971</v>
      </c>
      <c r="U1016" s="42" t="s">
        <v>1393</v>
      </c>
      <c r="V1016" s="42" t="s">
        <v>1727</v>
      </c>
      <c r="W1016" s="42" t="s">
        <v>1393</v>
      </c>
      <c r="X1016" s="42" t="s">
        <v>1393</v>
      </c>
      <c r="Z1016" s="321"/>
      <c r="AA1016" s="321"/>
      <c r="AB1016" s="24" t="s">
        <v>451</v>
      </c>
      <c r="AF1016" s="24" t="s">
        <v>1345</v>
      </c>
      <c r="AG1016" s="24" t="s">
        <v>132</v>
      </c>
      <c r="AH1016" s="138" t="s">
        <v>132</v>
      </c>
      <c r="AI1016" s="24" t="s">
        <v>585</v>
      </c>
      <c r="AJ1016" s="140" t="s">
        <v>1621</v>
      </c>
      <c r="AN1016" s="24" t="s">
        <v>734</v>
      </c>
      <c r="AO1016" s="24" t="s">
        <v>734</v>
      </c>
      <c r="AP1016" s="24" t="s">
        <v>178</v>
      </c>
      <c r="AT1016" s="24" t="s">
        <v>161</v>
      </c>
      <c r="AW1016" s="24" t="s">
        <v>142</v>
      </c>
      <c r="BH1016" s="24">
        <v>1590</v>
      </c>
      <c r="BI1016" s="24">
        <v>1510</v>
      </c>
      <c r="BM1016" s="395"/>
      <c r="BN1016" s="395"/>
      <c r="BR1016" s="395"/>
      <c r="BS1016" s="395"/>
      <c r="DP1016" s="24">
        <v>0.56999999999999995</v>
      </c>
      <c r="DQ1016" s="24">
        <v>0.92</v>
      </c>
      <c r="DT1016" s="24" t="s">
        <v>860</v>
      </c>
      <c r="IO1016" s="24" t="s">
        <v>738</v>
      </c>
    </row>
    <row r="1017" spans="1:249" s="24" customFormat="1" x14ac:dyDescent="0.25">
      <c r="A1017" s="24">
        <v>49</v>
      </c>
      <c r="B1017" s="24" t="s">
        <v>731</v>
      </c>
      <c r="C1017" s="24" t="s">
        <v>732</v>
      </c>
      <c r="D1017" s="24">
        <v>2000</v>
      </c>
      <c r="E1017" s="24">
        <v>1995</v>
      </c>
      <c r="F1017" s="24" t="s">
        <v>733</v>
      </c>
      <c r="G1017" s="24" t="s">
        <v>742</v>
      </c>
      <c r="H1017" s="32" t="s">
        <v>2831</v>
      </c>
      <c r="I1017" s="24">
        <v>34.69</v>
      </c>
      <c r="J1017" s="24">
        <v>-86.88</v>
      </c>
      <c r="K1017" s="24">
        <v>181</v>
      </c>
      <c r="Q1017" s="42">
        <v>1</v>
      </c>
      <c r="R1017" s="42" t="s">
        <v>1867</v>
      </c>
      <c r="S1017" s="42"/>
      <c r="T1017" s="42" t="s">
        <v>1971</v>
      </c>
      <c r="U1017" s="42" t="s">
        <v>1393</v>
      </c>
      <c r="V1017" s="42" t="s">
        <v>1727</v>
      </c>
      <c r="W1017" s="42" t="s">
        <v>1393</v>
      </c>
      <c r="X1017" s="42" t="s">
        <v>1393</v>
      </c>
      <c r="Z1017" s="321"/>
      <c r="AA1017" s="321"/>
      <c r="AB1017" s="24" t="s">
        <v>451</v>
      </c>
      <c r="AF1017" s="24" t="s">
        <v>1345</v>
      </c>
      <c r="AG1017" s="24" t="s">
        <v>132</v>
      </c>
      <c r="AH1017" s="138" t="s">
        <v>132</v>
      </c>
      <c r="AI1017" s="24" t="s">
        <v>585</v>
      </c>
      <c r="AJ1017" s="140" t="s">
        <v>1621</v>
      </c>
      <c r="AN1017" s="24" t="s">
        <v>735</v>
      </c>
      <c r="AO1017" s="24" t="s">
        <v>735</v>
      </c>
      <c r="AP1017" s="24" t="s">
        <v>178</v>
      </c>
      <c r="AT1017" s="24" t="s">
        <v>161</v>
      </c>
      <c r="AW1017" s="24" t="s">
        <v>142</v>
      </c>
      <c r="BH1017" s="24">
        <v>1530</v>
      </c>
      <c r="BI1017" s="24">
        <v>1440</v>
      </c>
      <c r="BM1017" s="395"/>
      <c r="BN1017" s="395"/>
      <c r="BR1017" s="395"/>
      <c r="BS1017" s="395"/>
      <c r="DP1017" s="24">
        <v>0.69</v>
      </c>
      <c r="DQ1017" s="24">
        <v>0.77</v>
      </c>
      <c r="DT1017" s="24" t="s">
        <v>860</v>
      </c>
      <c r="IO1017" s="24" t="s">
        <v>738</v>
      </c>
    </row>
    <row r="1018" spans="1:249" s="24" customFormat="1" x14ac:dyDescent="0.25">
      <c r="A1018" s="24">
        <v>49</v>
      </c>
      <c r="B1018" s="24" t="s">
        <v>731</v>
      </c>
      <c r="C1018" s="24" t="s">
        <v>732</v>
      </c>
      <c r="D1018" s="24">
        <v>2000</v>
      </c>
      <c r="E1018" s="24">
        <v>1995</v>
      </c>
      <c r="F1018" s="24" t="s">
        <v>733</v>
      </c>
      <c r="G1018" s="24" t="s">
        <v>742</v>
      </c>
      <c r="H1018" s="32" t="s">
        <v>2831</v>
      </c>
      <c r="I1018" s="24">
        <v>34.69</v>
      </c>
      <c r="J1018" s="24">
        <v>-86.88</v>
      </c>
      <c r="K1018" s="24">
        <v>181</v>
      </c>
      <c r="Q1018" s="42">
        <v>1</v>
      </c>
      <c r="R1018" s="42" t="s">
        <v>1867</v>
      </c>
      <c r="S1018" s="42"/>
      <c r="T1018" s="42" t="s">
        <v>1971</v>
      </c>
      <c r="U1018" s="42" t="s">
        <v>1393</v>
      </c>
      <c r="V1018" s="42" t="s">
        <v>1727</v>
      </c>
      <c r="W1018" s="42" t="s">
        <v>1393</v>
      </c>
      <c r="X1018" s="42" t="s">
        <v>1393</v>
      </c>
      <c r="Z1018" s="321"/>
      <c r="AA1018" s="321"/>
      <c r="AB1018" s="24" t="s">
        <v>451</v>
      </c>
      <c r="AF1018" s="24" t="s">
        <v>1345</v>
      </c>
      <c r="AG1018" s="24" t="s">
        <v>132</v>
      </c>
      <c r="AH1018" s="138" t="s">
        <v>132</v>
      </c>
      <c r="AI1018" s="24" t="s">
        <v>585</v>
      </c>
      <c r="AJ1018" s="140" t="s">
        <v>1621</v>
      </c>
      <c r="AN1018" s="24" t="s">
        <v>736</v>
      </c>
      <c r="AO1018" s="24" t="s">
        <v>736</v>
      </c>
      <c r="AP1018" s="24" t="s">
        <v>178</v>
      </c>
      <c r="AT1018" s="24" t="s">
        <v>161</v>
      </c>
      <c r="AW1018" s="24" t="s">
        <v>142</v>
      </c>
      <c r="BH1018" s="24">
        <v>1510</v>
      </c>
      <c r="BI1018" s="24">
        <v>1230</v>
      </c>
      <c r="BM1018" s="395"/>
      <c r="BN1018" s="395"/>
      <c r="BR1018" s="395"/>
      <c r="BS1018" s="395"/>
      <c r="IO1018" s="24" t="s">
        <v>738</v>
      </c>
    </row>
    <row r="1019" spans="1:249" s="24" customFormat="1" x14ac:dyDescent="0.25">
      <c r="A1019" s="24">
        <v>49</v>
      </c>
      <c r="B1019" s="24" t="s">
        <v>731</v>
      </c>
      <c r="C1019" s="24" t="s">
        <v>732</v>
      </c>
      <c r="D1019" s="24">
        <v>2000</v>
      </c>
      <c r="E1019" s="24">
        <v>1995</v>
      </c>
      <c r="F1019" s="24" t="s">
        <v>733</v>
      </c>
      <c r="G1019" s="24" t="s">
        <v>742</v>
      </c>
      <c r="H1019" s="32" t="s">
        <v>2831</v>
      </c>
      <c r="I1019" s="24">
        <v>34.69</v>
      </c>
      <c r="J1019" s="24">
        <v>-86.88</v>
      </c>
      <c r="K1019" s="24">
        <v>181</v>
      </c>
      <c r="Q1019" s="42">
        <v>1</v>
      </c>
      <c r="R1019" s="42" t="s">
        <v>1867</v>
      </c>
      <c r="S1019" s="42"/>
      <c r="T1019" s="42" t="s">
        <v>1971</v>
      </c>
      <c r="U1019" s="42" t="s">
        <v>1393</v>
      </c>
      <c r="V1019" s="42" t="s">
        <v>1727</v>
      </c>
      <c r="W1019" s="42" t="s">
        <v>1393</v>
      </c>
      <c r="X1019" s="42" t="s">
        <v>1393</v>
      </c>
      <c r="Z1019" s="321"/>
      <c r="AA1019" s="321"/>
      <c r="AB1019" s="24" t="s">
        <v>451</v>
      </c>
      <c r="AF1019" s="24" t="s">
        <v>1345</v>
      </c>
      <c r="AG1019" s="24" t="s">
        <v>132</v>
      </c>
      <c r="AH1019" s="138" t="s">
        <v>132</v>
      </c>
      <c r="AI1019" s="24" t="s">
        <v>585</v>
      </c>
      <c r="AJ1019" s="140" t="s">
        <v>1621</v>
      </c>
      <c r="AN1019" s="24" t="s">
        <v>737</v>
      </c>
      <c r="AO1019" s="24" t="s">
        <v>737</v>
      </c>
      <c r="AP1019" s="24" t="s">
        <v>178</v>
      </c>
      <c r="AT1019" s="24" t="s">
        <v>161</v>
      </c>
      <c r="AW1019" s="24" t="s">
        <v>142</v>
      </c>
      <c r="BH1019" s="24">
        <v>1420</v>
      </c>
      <c r="BI1019" s="24">
        <v>1280</v>
      </c>
      <c r="BM1019" s="395"/>
      <c r="BN1019" s="395"/>
      <c r="BR1019" s="395"/>
      <c r="BS1019" s="395"/>
      <c r="IO1019" s="24" t="s">
        <v>738</v>
      </c>
    </row>
    <row r="1020" spans="1:249" s="24" customFormat="1" x14ac:dyDescent="0.25">
      <c r="A1020" s="24">
        <v>49</v>
      </c>
      <c r="B1020" s="24" t="s">
        <v>731</v>
      </c>
      <c r="C1020" s="24" t="s">
        <v>732</v>
      </c>
      <c r="D1020" s="24">
        <v>2000</v>
      </c>
      <c r="E1020" s="24">
        <v>1995</v>
      </c>
      <c r="F1020" s="24" t="s">
        <v>733</v>
      </c>
      <c r="G1020" s="24" t="s">
        <v>742</v>
      </c>
      <c r="H1020" s="32" t="s">
        <v>2831</v>
      </c>
      <c r="I1020" s="24">
        <v>34.69</v>
      </c>
      <c r="J1020" s="24">
        <v>-86.88</v>
      </c>
      <c r="K1020" s="24">
        <v>181</v>
      </c>
      <c r="Q1020" s="42">
        <v>1</v>
      </c>
      <c r="R1020" s="42" t="s">
        <v>1867</v>
      </c>
      <c r="S1020" s="42"/>
      <c r="T1020" s="42" t="s">
        <v>1971</v>
      </c>
      <c r="U1020" s="42" t="s">
        <v>1393</v>
      </c>
      <c r="V1020" s="42" t="s">
        <v>1727</v>
      </c>
      <c r="W1020" s="42" t="s">
        <v>1393</v>
      </c>
      <c r="X1020" s="42" t="s">
        <v>1393</v>
      </c>
      <c r="Z1020" s="321"/>
      <c r="AA1020" s="321"/>
      <c r="AB1020" s="24" t="s">
        <v>451</v>
      </c>
      <c r="AF1020" s="24" t="s">
        <v>1345</v>
      </c>
      <c r="AG1020" s="24" t="s">
        <v>132</v>
      </c>
      <c r="AH1020" s="138" t="s">
        <v>132</v>
      </c>
      <c r="AI1020" s="24" t="s">
        <v>585</v>
      </c>
      <c r="AJ1020" s="140" t="s">
        <v>1621</v>
      </c>
      <c r="AN1020" s="24" t="s">
        <v>157</v>
      </c>
      <c r="AO1020" s="24" t="s">
        <v>157</v>
      </c>
      <c r="AP1020" s="24" t="s">
        <v>178</v>
      </c>
      <c r="AT1020" s="24" t="s">
        <v>161</v>
      </c>
      <c r="AW1020" s="24" t="s">
        <v>142</v>
      </c>
      <c r="BH1020" s="24">
        <v>1500</v>
      </c>
      <c r="BI1020" s="24">
        <v>1320</v>
      </c>
      <c r="BM1020" s="395"/>
      <c r="BN1020" s="395"/>
      <c r="BR1020" s="395"/>
      <c r="BS1020" s="395"/>
      <c r="DP1020" s="24">
        <v>1.57</v>
      </c>
      <c r="DQ1020" s="24">
        <v>1.47</v>
      </c>
      <c r="DT1020" s="24" t="s">
        <v>860</v>
      </c>
      <c r="IO1020" s="24" t="s">
        <v>738</v>
      </c>
    </row>
    <row r="1021" spans="1:249" s="24" customFormat="1" x14ac:dyDescent="0.25">
      <c r="A1021" s="24">
        <v>49</v>
      </c>
      <c r="B1021" s="24" t="s">
        <v>731</v>
      </c>
      <c r="C1021" s="24" t="s">
        <v>732</v>
      </c>
      <c r="D1021" s="24">
        <v>2000</v>
      </c>
      <c r="E1021" s="24">
        <v>1995</v>
      </c>
      <c r="F1021" s="24" t="s">
        <v>733</v>
      </c>
      <c r="G1021" s="24" t="s">
        <v>742</v>
      </c>
      <c r="H1021" s="32" t="s">
        <v>2831</v>
      </c>
      <c r="I1021" s="24">
        <v>34.69</v>
      </c>
      <c r="J1021" s="24">
        <v>-86.88</v>
      </c>
      <c r="K1021" s="24">
        <v>181</v>
      </c>
      <c r="Q1021" s="42">
        <v>1</v>
      </c>
      <c r="R1021" s="42" t="s">
        <v>1867</v>
      </c>
      <c r="S1021" s="42"/>
      <c r="T1021" s="42" t="s">
        <v>1971</v>
      </c>
      <c r="U1021" s="42" t="s">
        <v>1393</v>
      </c>
      <c r="V1021" s="42" t="s">
        <v>1727</v>
      </c>
      <c r="W1021" s="42" t="s">
        <v>1393</v>
      </c>
      <c r="X1021" s="42" t="s">
        <v>1393</v>
      </c>
      <c r="Z1021" s="321"/>
      <c r="AA1021" s="321"/>
      <c r="AB1021" s="24" t="s">
        <v>451</v>
      </c>
      <c r="AF1021" s="24" t="s">
        <v>1345</v>
      </c>
      <c r="AG1021" s="24" t="s">
        <v>132</v>
      </c>
      <c r="AH1021" s="138" t="s">
        <v>132</v>
      </c>
      <c r="AI1021" s="24" t="s">
        <v>585</v>
      </c>
      <c r="AJ1021" s="140" t="s">
        <v>1621</v>
      </c>
      <c r="AN1021" s="24" t="s">
        <v>232</v>
      </c>
      <c r="AO1021" s="24" t="s">
        <v>157</v>
      </c>
      <c r="AP1021" s="24" t="s">
        <v>503</v>
      </c>
      <c r="AT1021" s="24" t="s">
        <v>161</v>
      </c>
      <c r="AW1021" s="24" t="s">
        <v>142</v>
      </c>
      <c r="BH1021" s="24">
        <v>1750</v>
      </c>
      <c r="BI1021" s="24">
        <v>1320</v>
      </c>
      <c r="BM1021" s="395"/>
      <c r="BN1021" s="395"/>
      <c r="BR1021" s="395"/>
      <c r="BS1021" s="395"/>
      <c r="DP1021" s="24">
        <v>1.01</v>
      </c>
      <c r="DQ1021" s="24">
        <v>1.47</v>
      </c>
      <c r="DT1021" s="24" t="s">
        <v>860</v>
      </c>
      <c r="IO1021" s="24" t="s">
        <v>738</v>
      </c>
    </row>
    <row r="1022" spans="1:249" s="32" customFormat="1" x14ac:dyDescent="0.25">
      <c r="A1022" s="32">
        <v>49</v>
      </c>
      <c r="B1022" s="32" t="s">
        <v>731</v>
      </c>
      <c r="C1022" s="32" t="s">
        <v>732</v>
      </c>
      <c r="D1022" s="32">
        <v>2000</v>
      </c>
      <c r="E1022" s="32">
        <v>1996</v>
      </c>
      <c r="F1022" s="32" t="s">
        <v>733</v>
      </c>
      <c r="G1022" s="32" t="s">
        <v>742</v>
      </c>
      <c r="H1022" s="32" t="s">
        <v>2831</v>
      </c>
      <c r="I1022" s="32">
        <v>34.69</v>
      </c>
      <c r="J1022" s="32">
        <v>-86.88</v>
      </c>
      <c r="K1022" s="32">
        <v>181</v>
      </c>
      <c r="Q1022" s="44">
        <v>2</v>
      </c>
      <c r="R1022" s="44" t="s">
        <v>1867</v>
      </c>
      <c r="S1022" s="44"/>
      <c r="T1022" s="44" t="s">
        <v>1971</v>
      </c>
      <c r="U1022" s="44" t="s">
        <v>1393</v>
      </c>
      <c r="V1022" s="44" t="s">
        <v>1727</v>
      </c>
      <c r="W1022" s="44" t="s">
        <v>1393</v>
      </c>
      <c r="X1022" s="44" t="s">
        <v>1393</v>
      </c>
      <c r="Z1022" s="323"/>
      <c r="AA1022" s="323"/>
      <c r="AB1022" s="32" t="s">
        <v>451</v>
      </c>
      <c r="AF1022" s="32" t="s">
        <v>1345</v>
      </c>
      <c r="AG1022" s="32" t="s">
        <v>132</v>
      </c>
      <c r="AH1022" s="138" t="s">
        <v>132</v>
      </c>
      <c r="AI1022" s="32" t="s">
        <v>585</v>
      </c>
      <c r="AJ1022" s="140" t="s">
        <v>1621</v>
      </c>
      <c r="AN1022" s="32" t="s">
        <v>734</v>
      </c>
      <c r="AO1022" s="32" t="s">
        <v>734</v>
      </c>
      <c r="AP1022" s="32" t="s">
        <v>178</v>
      </c>
      <c r="AT1022" s="32" t="s">
        <v>161</v>
      </c>
      <c r="AW1022" s="32" t="s">
        <v>142</v>
      </c>
      <c r="BH1022" s="32">
        <v>3930</v>
      </c>
      <c r="BI1022" s="32">
        <v>4150</v>
      </c>
      <c r="BM1022" s="397"/>
      <c r="BN1022" s="397"/>
      <c r="BR1022" s="397"/>
      <c r="BS1022" s="397"/>
      <c r="DP1022" s="32">
        <v>0.11</v>
      </c>
      <c r="DQ1022" s="32">
        <v>0.64</v>
      </c>
      <c r="DT1022" s="32" t="s">
        <v>860</v>
      </c>
      <c r="IO1022" s="32" t="s">
        <v>738</v>
      </c>
    </row>
    <row r="1023" spans="1:249" s="32" customFormat="1" x14ac:dyDescent="0.25">
      <c r="A1023" s="32">
        <v>49</v>
      </c>
      <c r="B1023" s="32" t="s">
        <v>731</v>
      </c>
      <c r="C1023" s="32" t="s">
        <v>732</v>
      </c>
      <c r="D1023" s="32">
        <v>2000</v>
      </c>
      <c r="E1023" s="32">
        <v>1996</v>
      </c>
      <c r="F1023" s="32" t="s">
        <v>733</v>
      </c>
      <c r="G1023" s="32" t="s">
        <v>742</v>
      </c>
      <c r="H1023" s="32" t="s">
        <v>2831</v>
      </c>
      <c r="I1023" s="32">
        <v>34.69</v>
      </c>
      <c r="J1023" s="32">
        <v>-86.88</v>
      </c>
      <c r="K1023" s="32">
        <v>181</v>
      </c>
      <c r="Q1023" s="44">
        <v>2</v>
      </c>
      <c r="R1023" s="44" t="s">
        <v>1867</v>
      </c>
      <c r="S1023" s="44"/>
      <c r="T1023" s="44" t="s">
        <v>1971</v>
      </c>
      <c r="U1023" s="44" t="s">
        <v>1393</v>
      </c>
      <c r="V1023" s="44" t="s">
        <v>1727</v>
      </c>
      <c r="W1023" s="44" t="s">
        <v>1393</v>
      </c>
      <c r="X1023" s="44" t="s">
        <v>1393</v>
      </c>
      <c r="Z1023" s="323"/>
      <c r="AA1023" s="323"/>
      <c r="AB1023" s="32" t="s">
        <v>451</v>
      </c>
      <c r="AF1023" s="32" t="s">
        <v>1345</v>
      </c>
      <c r="AG1023" s="32" t="s">
        <v>132</v>
      </c>
      <c r="AH1023" s="138" t="s">
        <v>132</v>
      </c>
      <c r="AI1023" s="32" t="s">
        <v>585</v>
      </c>
      <c r="AJ1023" s="140" t="s">
        <v>1621</v>
      </c>
      <c r="AN1023" s="32" t="s">
        <v>735</v>
      </c>
      <c r="AO1023" s="32" t="s">
        <v>735</v>
      </c>
      <c r="AP1023" s="32" t="s">
        <v>178</v>
      </c>
      <c r="AT1023" s="32" t="s">
        <v>161</v>
      </c>
      <c r="AW1023" s="32" t="s">
        <v>142</v>
      </c>
      <c r="BH1023" s="32">
        <v>3900</v>
      </c>
      <c r="BI1023" s="32">
        <v>4000</v>
      </c>
      <c r="BM1023" s="397"/>
      <c r="BN1023" s="397"/>
      <c r="BR1023" s="397"/>
      <c r="BS1023" s="397"/>
      <c r="DP1023" s="32">
        <v>0.13</v>
      </c>
      <c r="DQ1023" s="32">
        <v>0.19</v>
      </c>
      <c r="DT1023" s="32" t="s">
        <v>860</v>
      </c>
      <c r="IO1023" s="32" t="s">
        <v>738</v>
      </c>
    </row>
    <row r="1024" spans="1:249" s="32" customFormat="1" x14ac:dyDescent="0.25">
      <c r="A1024" s="32">
        <v>49</v>
      </c>
      <c r="B1024" s="32" t="s">
        <v>731</v>
      </c>
      <c r="C1024" s="32" t="s">
        <v>732</v>
      </c>
      <c r="D1024" s="32">
        <v>2000</v>
      </c>
      <c r="E1024" s="32">
        <v>1996</v>
      </c>
      <c r="F1024" s="32" t="s">
        <v>733</v>
      </c>
      <c r="G1024" s="32" t="s">
        <v>742</v>
      </c>
      <c r="H1024" s="32" t="s">
        <v>2831</v>
      </c>
      <c r="I1024" s="32">
        <v>34.69</v>
      </c>
      <c r="J1024" s="32">
        <v>-86.88</v>
      </c>
      <c r="K1024" s="32">
        <v>181</v>
      </c>
      <c r="Q1024" s="44">
        <v>2</v>
      </c>
      <c r="R1024" s="44" t="s">
        <v>1867</v>
      </c>
      <c r="S1024" s="44"/>
      <c r="T1024" s="44" t="s">
        <v>1971</v>
      </c>
      <c r="U1024" s="44" t="s">
        <v>1393</v>
      </c>
      <c r="V1024" s="44" t="s">
        <v>1727</v>
      </c>
      <c r="W1024" s="44" t="s">
        <v>1393</v>
      </c>
      <c r="X1024" s="44" t="s">
        <v>1393</v>
      </c>
      <c r="Z1024" s="323"/>
      <c r="AA1024" s="323"/>
      <c r="AB1024" s="32" t="s">
        <v>451</v>
      </c>
      <c r="AF1024" s="32" t="s">
        <v>1345</v>
      </c>
      <c r="AG1024" s="32" t="s">
        <v>132</v>
      </c>
      <c r="AH1024" s="138" t="s">
        <v>132</v>
      </c>
      <c r="AI1024" s="32" t="s">
        <v>585</v>
      </c>
      <c r="AJ1024" s="140" t="s">
        <v>1621</v>
      </c>
      <c r="AN1024" s="32" t="s">
        <v>736</v>
      </c>
      <c r="AO1024" s="32" t="s">
        <v>736</v>
      </c>
      <c r="AP1024" s="32" t="s">
        <v>178</v>
      </c>
      <c r="AT1024" s="32" t="s">
        <v>161</v>
      </c>
      <c r="AW1024" s="32" t="s">
        <v>142</v>
      </c>
      <c r="BH1024" s="32">
        <v>3630</v>
      </c>
      <c r="BI1024" s="32">
        <v>4130</v>
      </c>
      <c r="BM1024" s="397"/>
      <c r="BN1024" s="397"/>
      <c r="BR1024" s="397"/>
      <c r="BS1024" s="397"/>
      <c r="IO1024" s="32" t="s">
        <v>738</v>
      </c>
    </row>
    <row r="1025" spans="1:249" s="32" customFormat="1" x14ac:dyDescent="0.25">
      <c r="A1025" s="32">
        <v>49</v>
      </c>
      <c r="B1025" s="32" t="s">
        <v>731</v>
      </c>
      <c r="C1025" s="32" t="s">
        <v>732</v>
      </c>
      <c r="D1025" s="32">
        <v>2000</v>
      </c>
      <c r="E1025" s="32">
        <v>1996</v>
      </c>
      <c r="F1025" s="32" t="s">
        <v>733</v>
      </c>
      <c r="G1025" s="32" t="s">
        <v>742</v>
      </c>
      <c r="H1025" s="32" t="s">
        <v>2831</v>
      </c>
      <c r="I1025" s="32">
        <v>34.69</v>
      </c>
      <c r="J1025" s="32">
        <v>-86.88</v>
      </c>
      <c r="K1025" s="32">
        <v>181</v>
      </c>
      <c r="Q1025" s="44">
        <v>2</v>
      </c>
      <c r="R1025" s="44" t="s">
        <v>1867</v>
      </c>
      <c r="S1025" s="44"/>
      <c r="T1025" s="44" t="s">
        <v>1971</v>
      </c>
      <c r="U1025" s="44" t="s">
        <v>1393</v>
      </c>
      <c r="V1025" s="44" t="s">
        <v>1727</v>
      </c>
      <c r="W1025" s="44" t="s">
        <v>1393</v>
      </c>
      <c r="X1025" s="44" t="s">
        <v>1393</v>
      </c>
      <c r="Z1025" s="323"/>
      <c r="AA1025" s="323"/>
      <c r="AB1025" s="32" t="s">
        <v>451</v>
      </c>
      <c r="AF1025" s="32" t="s">
        <v>1345</v>
      </c>
      <c r="AG1025" s="32" t="s">
        <v>132</v>
      </c>
      <c r="AH1025" s="138" t="s">
        <v>132</v>
      </c>
      <c r="AI1025" s="32" t="s">
        <v>585</v>
      </c>
      <c r="AJ1025" s="140" t="s">
        <v>1621</v>
      </c>
      <c r="AN1025" s="32" t="s">
        <v>737</v>
      </c>
      <c r="AO1025" s="32" t="s">
        <v>737</v>
      </c>
      <c r="AP1025" s="32" t="s">
        <v>178</v>
      </c>
      <c r="AT1025" s="32" t="s">
        <v>161</v>
      </c>
      <c r="AW1025" s="32" t="s">
        <v>142</v>
      </c>
      <c r="BH1025" s="32">
        <v>3820</v>
      </c>
      <c r="BI1025" s="32">
        <v>4090</v>
      </c>
      <c r="BM1025" s="397"/>
      <c r="BN1025" s="397"/>
      <c r="BR1025" s="397"/>
      <c r="BS1025" s="397"/>
      <c r="IO1025" s="32" t="s">
        <v>738</v>
      </c>
    </row>
    <row r="1026" spans="1:249" s="32" customFormat="1" x14ac:dyDescent="0.25">
      <c r="A1026" s="32">
        <v>49</v>
      </c>
      <c r="B1026" s="32" t="s">
        <v>731</v>
      </c>
      <c r="C1026" s="32" t="s">
        <v>732</v>
      </c>
      <c r="D1026" s="32">
        <v>2000</v>
      </c>
      <c r="E1026" s="32">
        <v>1996</v>
      </c>
      <c r="F1026" s="32" t="s">
        <v>733</v>
      </c>
      <c r="G1026" s="32" t="s">
        <v>742</v>
      </c>
      <c r="H1026" s="32" t="s">
        <v>2831</v>
      </c>
      <c r="I1026" s="32">
        <v>34.69</v>
      </c>
      <c r="J1026" s="32">
        <v>-86.88</v>
      </c>
      <c r="K1026" s="32">
        <v>181</v>
      </c>
      <c r="Q1026" s="44">
        <v>2</v>
      </c>
      <c r="R1026" s="44" t="s">
        <v>1867</v>
      </c>
      <c r="S1026" s="44"/>
      <c r="T1026" s="44" t="s">
        <v>1971</v>
      </c>
      <c r="U1026" s="44" t="s">
        <v>1393</v>
      </c>
      <c r="V1026" s="44" t="s">
        <v>1727</v>
      </c>
      <c r="W1026" s="44" t="s">
        <v>1393</v>
      </c>
      <c r="X1026" s="44" t="s">
        <v>1393</v>
      </c>
      <c r="Z1026" s="323"/>
      <c r="AA1026" s="323"/>
      <c r="AB1026" s="32" t="s">
        <v>451</v>
      </c>
      <c r="AF1026" s="32" t="s">
        <v>1345</v>
      </c>
      <c r="AG1026" s="32" t="s">
        <v>132</v>
      </c>
      <c r="AH1026" s="138" t="s">
        <v>132</v>
      </c>
      <c r="AI1026" s="32" t="s">
        <v>585</v>
      </c>
      <c r="AJ1026" s="140" t="s">
        <v>1621</v>
      </c>
      <c r="AN1026" s="32" t="s">
        <v>157</v>
      </c>
      <c r="AO1026" s="32" t="s">
        <v>157</v>
      </c>
      <c r="AP1026" s="32" t="s">
        <v>178</v>
      </c>
      <c r="AT1026" s="32" t="s">
        <v>161</v>
      </c>
      <c r="AW1026" s="32" t="s">
        <v>142</v>
      </c>
      <c r="BH1026" s="32">
        <v>3730</v>
      </c>
      <c r="BI1026" s="32">
        <v>3960</v>
      </c>
      <c r="BM1026" s="397"/>
      <c r="BN1026" s="397"/>
      <c r="BR1026" s="397"/>
      <c r="BS1026" s="397"/>
      <c r="DP1026" s="32">
        <v>1.59</v>
      </c>
      <c r="DQ1026" s="32">
        <v>1.46</v>
      </c>
      <c r="DT1026" s="32" t="s">
        <v>860</v>
      </c>
      <c r="IO1026" s="32" t="s">
        <v>738</v>
      </c>
    </row>
    <row r="1027" spans="1:249" s="32" customFormat="1" x14ac:dyDescent="0.25">
      <c r="A1027" s="32">
        <v>49</v>
      </c>
      <c r="B1027" s="32" t="s">
        <v>731</v>
      </c>
      <c r="C1027" s="32" t="s">
        <v>732</v>
      </c>
      <c r="D1027" s="32">
        <v>2000</v>
      </c>
      <c r="E1027" s="32">
        <v>1996</v>
      </c>
      <c r="F1027" s="32" t="s">
        <v>733</v>
      </c>
      <c r="G1027" s="32" t="s">
        <v>742</v>
      </c>
      <c r="H1027" s="32" t="s">
        <v>2831</v>
      </c>
      <c r="I1027" s="32">
        <v>34.69</v>
      </c>
      <c r="J1027" s="32">
        <v>-86.88</v>
      </c>
      <c r="K1027" s="32">
        <v>181</v>
      </c>
      <c r="Q1027" s="44">
        <v>2</v>
      </c>
      <c r="R1027" s="44" t="s">
        <v>1867</v>
      </c>
      <c r="S1027" s="44"/>
      <c r="T1027" s="44" t="s">
        <v>1971</v>
      </c>
      <c r="U1027" s="44" t="s">
        <v>1393</v>
      </c>
      <c r="V1027" s="44" t="s">
        <v>1727</v>
      </c>
      <c r="W1027" s="44" t="s">
        <v>1393</v>
      </c>
      <c r="X1027" s="44" t="s">
        <v>1393</v>
      </c>
      <c r="Z1027" s="323"/>
      <c r="AA1027" s="323"/>
      <c r="AB1027" s="32" t="s">
        <v>451</v>
      </c>
      <c r="AF1027" s="32" t="s">
        <v>1345</v>
      </c>
      <c r="AG1027" s="32" t="s">
        <v>132</v>
      </c>
      <c r="AH1027" s="138" t="s">
        <v>132</v>
      </c>
      <c r="AI1027" s="32" t="s">
        <v>585</v>
      </c>
      <c r="AJ1027" s="140" t="s">
        <v>1621</v>
      </c>
      <c r="AN1027" s="32" t="s">
        <v>232</v>
      </c>
      <c r="AO1027" s="32" t="s">
        <v>157</v>
      </c>
      <c r="AP1027" s="32" t="s">
        <v>503</v>
      </c>
      <c r="AT1027" s="32" t="s">
        <v>161</v>
      </c>
      <c r="AW1027" s="32" t="s">
        <v>142</v>
      </c>
      <c r="BH1027" s="32">
        <v>3740</v>
      </c>
      <c r="BI1027" s="32">
        <v>3960</v>
      </c>
      <c r="BM1027" s="397"/>
      <c r="BN1027" s="397"/>
      <c r="BR1027" s="397"/>
      <c r="BS1027" s="397"/>
      <c r="DP1027" s="32">
        <v>1.01</v>
      </c>
      <c r="DQ1027" s="32">
        <v>1.46</v>
      </c>
      <c r="DT1027" s="32" t="s">
        <v>860</v>
      </c>
      <c r="IO1027" s="32" t="s">
        <v>738</v>
      </c>
    </row>
    <row r="1028" spans="1:249" s="35" customFormat="1" x14ac:dyDescent="0.25">
      <c r="A1028" s="24">
        <v>49</v>
      </c>
      <c r="B1028" s="24" t="s">
        <v>731</v>
      </c>
      <c r="C1028" s="24" t="s">
        <v>732</v>
      </c>
      <c r="D1028" s="24">
        <v>2000</v>
      </c>
      <c r="E1028" s="24">
        <v>1997</v>
      </c>
      <c r="F1028" s="24" t="s">
        <v>733</v>
      </c>
      <c r="G1028" s="24" t="s">
        <v>742</v>
      </c>
      <c r="H1028" s="32" t="s">
        <v>2831</v>
      </c>
      <c r="I1028" s="24">
        <v>34.69</v>
      </c>
      <c r="J1028" s="24">
        <v>-86.88</v>
      </c>
      <c r="K1028" s="24">
        <v>181</v>
      </c>
      <c r="L1028" s="24"/>
      <c r="M1028" s="24"/>
      <c r="N1028" s="24"/>
      <c r="O1028" s="24"/>
      <c r="P1028" s="24"/>
      <c r="Q1028" s="42">
        <v>3</v>
      </c>
      <c r="R1028" s="42" t="s">
        <v>1867</v>
      </c>
      <c r="S1028" s="42"/>
      <c r="T1028" s="42" t="s">
        <v>1971</v>
      </c>
      <c r="U1028" s="42" t="s">
        <v>1393</v>
      </c>
      <c r="V1028" s="42" t="s">
        <v>1727</v>
      </c>
      <c r="W1028" s="42" t="s">
        <v>1393</v>
      </c>
      <c r="X1028" s="42" t="s">
        <v>1393</v>
      </c>
      <c r="Y1028" s="24"/>
      <c r="Z1028" s="321"/>
      <c r="AA1028" s="321"/>
      <c r="AB1028" s="24" t="s">
        <v>451</v>
      </c>
      <c r="AC1028" s="24"/>
      <c r="AD1028" s="24"/>
      <c r="AE1028" s="24"/>
      <c r="AF1028" s="24" t="s">
        <v>1345</v>
      </c>
      <c r="AG1028" s="24" t="s">
        <v>132</v>
      </c>
      <c r="AH1028" s="138" t="s">
        <v>132</v>
      </c>
      <c r="AI1028" s="24" t="s">
        <v>585</v>
      </c>
      <c r="AJ1028" s="140" t="s">
        <v>1621</v>
      </c>
      <c r="AK1028" s="24"/>
      <c r="AL1028" s="24"/>
      <c r="AM1028" s="24"/>
      <c r="AN1028" s="24" t="s">
        <v>734</v>
      </c>
      <c r="AO1028" s="24" t="s">
        <v>734</v>
      </c>
      <c r="AP1028" s="24" t="s">
        <v>178</v>
      </c>
      <c r="AQ1028" s="24"/>
      <c r="AR1028" s="24"/>
      <c r="AS1028" s="24"/>
      <c r="AT1028" s="24" t="s">
        <v>161</v>
      </c>
      <c r="AU1028" s="24"/>
      <c r="AV1028" s="24"/>
      <c r="AW1028" s="24" t="s">
        <v>142</v>
      </c>
      <c r="AX1028" s="24"/>
      <c r="AY1028" s="24"/>
      <c r="AZ1028" s="24"/>
      <c r="BA1028" s="24"/>
      <c r="BH1028" s="35">
        <v>2660</v>
      </c>
      <c r="BI1028" s="35">
        <v>2790</v>
      </c>
      <c r="BM1028" s="405"/>
      <c r="BN1028" s="405"/>
      <c r="BR1028" s="405"/>
      <c r="BS1028" s="405"/>
      <c r="DP1028" s="35">
        <v>0.62</v>
      </c>
      <c r="DQ1028" s="35">
        <v>0.95</v>
      </c>
      <c r="DT1028" s="24" t="s">
        <v>860</v>
      </c>
      <c r="GM1028" s="40"/>
      <c r="GQ1028" s="40"/>
      <c r="IO1028" s="24" t="s">
        <v>738</v>
      </c>
    </row>
    <row r="1029" spans="1:249" s="35" customFormat="1" x14ac:dyDescent="0.25">
      <c r="A1029" s="24">
        <v>49</v>
      </c>
      <c r="B1029" s="24" t="s">
        <v>731</v>
      </c>
      <c r="C1029" s="24" t="s">
        <v>732</v>
      </c>
      <c r="D1029" s="24">
        <v>2000</v>
      </c>
      <c r="E1029" s="24">
        <v>1997</v>
      </c>
      <c r="F1029" s="24" t="s">
        <v>733</v>
      </c>
      <c r="G1029" s="24" t="s">
        <v>742</v>
      </c>
      <c r="H1029" s="32" t="s">
        <v>2831</v>
      </c>
      <c r="I1029" s="24">
        <v>34.69</v>
      </c>
      <c r="J1029" s="24">
        <v>-86.88</v>
      </c>
      <c r="K1029" s="24">
        <v>181</v>
      </c>
      <c r="L1029" s="24"/>
      <c r="M1029" s="24"/>
      <c r="N1029" s="24"/>
      <c r="O1029" s="24"/>
      <c r="P1029" s="24"/>
      <c r="Q1029" s="42">
        <v>3</v>
      </c>
      <c r="R1029" s="42" t="s">
        <v>1867</v>
      </c>
      <c r="S1029" s="42"/>
      <c r="T1029" s="42" t="s">
        <v>1971</v>
      </c>
      <c r="U1029" s="42" t="s">
        <v>1393</v>
      </c>
      <c r="V1029" s="42" t="s">
        <v>1727</v>
      </c>
      <c r="W1029" s="42" t="s">
        <v>1393</v>
      </c>
      <c r="X1029" s="42" t="s">
        <v>1393</v>
      </c>
      <c r="Y1029" s="24"/>
      <c r="Z1029" s="321"/>
      <c r="AA1029" s="321"/>
      <c r="AB1029" s="24" t="s">
        <v>451</v>
      </c>
      <c r="AC1029" s="24"/>
      <c r="AD1029" s="24"/>
      <c r="AE1029" s="24"/>
      <c r="AF1029" s="24" t="s">
        <v>1345</v>
      </c>
      <c r="AG1029" s="24" t="s">
        <v>132</v>
      </c>
      <c r="AH1029" s="138" t="s">
        <v>132</v>
      </c>
      <c r="AI1029" s="24" t="s">
        <v>585</v>
      </c>
      <c r="AJ1029" s="140" t="s">
        <v>1621</v>
      </c>
      <c r="AK1029" s="24"/>
      <c r="AL1029" s="24"/>
      <c r="AM1029" s="24"/>
      <c r="AN1029" s="24" t="s">
        <v>735</v>
      </c>
      <c r="AO1029" s="24" t="s">
        <v>735</v>
      </c>
      <c r="AP1029" s="24" t="s">
        <v>178</v>
      </c>
      <c r="AQ1029" s="24"/>
      <c r="AR1029" s="24"/>
      <c r="AS1029" s="24"/>
      <c r="AT1029" s="24" t="s">
        <v>161</v>
      </c>
      <c r="AU1029" s="24"/>
      <c r="AV1029" s="24"/>
      <c r="AW1029" s="24" t="s">
        <v>142</v>
      </c>
      <c r="AX1029" s="24"/>
      <c r="AY1029" s="24"/>
      <c r="AZ1029" s="24"/>
      <c r="BA1029" s="24"/>
      <c r="BH1029" s="35">
        <v>2420</v>
      </c>
      <c r="BI1029" s="35">
        <v>2750</v>
      </c>
      <c r="BM1029" s="405"/>
      <c r="BN1029" s="405"/>
      <c r="BR1029" s="405"/>
      <c r="BS1029" s="405"/>
      <c r="DP1029" s="35">
        <v>0.52</v>
      </c>
      <c r="DQ1029" s="35">
        <v>0.7</v>
      </c>
      <c r="DT1029" s="24" t="s">
        <v>860</v>
      </c>
      <c r="GM1029" s="40"/>
      <c r="GQ1029" s="40"/>
      <c r="IO1029" s="24" t="s">
        <v>738</v>
      </c>
    </row>
    <row r="1030" spans="1:249" s="35" customFormat="1" x14ac:dyDescent="0.25">
      <c r="A1030" s="24">
        <v>49</v>
      </c>
      <c r="B1030" s="24" t="s">
        <v>731</v>
      </c>
      <c r="C1030" s="24" t="s">
        <v>732</v>
      </c>
      <c r="D1030" s="24">
        <v>2000</v>
      </c>
      <c r="E1030" s="24">
        <v>1997</v>
      </c>
      <c r="F1030" s="24" t="s">
        <v>733</v>
      </c>
      <c r="G1030" s="24" t="s">
        <v>742</v>
      </c>
      <c r="H1030" s="32" t="s">
        <v>2831</v>
      </c>
      <c r="I1030" s="24">
        <v>34.69</v>
      </c>
      <c r="J1030" s="24">
        <v>-86.88</v>
      </c>
      <c r="K1030" s="24">
        <v>181</v>
      </c>
      <c r="L1030" s="24"/>
      <c r="M1030" s="24"/>
      <c r="N1030" s="24"/>
      <c r="O1030" s="24"/>
      <c r="P1030" s="24"/>
      <c r="Q1030" s="42">
        <v>3</v>
      </c>
      <c r="R1030" s="42" t="s">
        <v>1867</v>
      </c>
      <c r="S1030" s="42"/>
      <c r="T1030" s="42" t="s">
        <v>1971</v>
      </c>
      <c r="U1030" s="42" t="s">
        <v>1393</v>
      </c>
      <c r="V1030" s="42" t="s">
        <v>1727</v>
      </c>
      <c r="W1030" s="42" t="s">
        <v>1393</v>
      </c>
      <c r="X1030" s="42" t="s">
        <v>1393</v>
      </c>
      <c r="Y1030" s="24"/>
      <c r="Z1030" s="321"/>
      <c r="AA1030" s="321"/>
      <c r="AB1030" s="24" t="s">
        <v>451</v>
      </c>
      <c r="AC1030" s="24"/>
      <c r="AD1030" s="24"/>
      <c r="AE1030" s="24"/>
      <c r="AF1030" s="24" t="s">
        <v>1345</v>
      </c>
      <c r="AG1030" s="24" t="s">
        <v>132</v>
      </c>
      <c r="AH1030" s="138" t="s">
        <v>132</v>
      </c>
      <c r="AI1030" s="24" t="s">
        <v>585</v>
      </c>
      <c r="AJ1030" s="140" t="s">
        <v>1621</v>
      </c>
      <c r="AK1030" s="24"/>
      <c r="AL1030" s="24"/>
      <c r="AM1030" s="24"/>
      <c r="AN1030" s="24" t="s">
        <v>736</v>
      </c>
      <c r="AO1030" s="24" t="s">
        <v>736</v>
      </c>
      <c r="AP1030" s="24" t="s">
        <v>178</v>
      </c>
      <c r="AQ1030" s="24"/>
      <c r="AR1030" s="24"/>
      <c r="AS1030" s="24"/>
      <c r="AT1030" s="24" t="s">
        <v>161</v>
      </c>
      <c r="AU1030" s="24"/>
      <c r="AV1030" s="24"/>
      <c r="AW1030" s="24" t="s">
        <v>142</v>
      </c>
      <c r="AX1030" s="24"/>
      <c r="AY1030" s="24"/>
      <c r="AZ1030" s="24"/>
      <c r="BA1030" s="24"/>
      <c r="BH1030" s="35">
        <v>2710</v>
      </c>
      <c r="BI1030" s="35">
        <v>3360</v>
      </c>
      <c r="BM1030" s="405"/>
      <c r="BN1030" s="405"/>
      <c r="BR1030" s="405"/>
      <c r="BS1030" s="405"/>
      <c r="DT1030" s="24"/>
      <c r="GM1030" s="40"/>
      <c r="GQ1030" s="40"/>
      <c r="IO1030" s="24" t="s">
        <v>738</v>
      </c>
    </row>
    <row r="1031" spans="1:249" s="35" customFormat="1" x14ac:dyDescent="0.25">
      <c r="A1031" s="24">
        <v>49</v>
      </c>
      <c r="B1031" s="24" t="s">
        <v>731</v>
      </c>
      <c r="C1031" s="24" t="s">
        <v>732</v>
      </c>
      <c r="D1031" s="24">
        <v>2000</v>
      </c>
      <c r="E1031" s="24">
        <v>1997</v>
      </c>
      <c r="F1031" s="24" t="s">
        <v>733</v>
      </c>
      <c r="G1031" s="24" t="s">
        <v>742</v>
      </c>
      <c r="H1031" s="32" t="s">
        <v>2831</v>
      </c>
      <c r="I1031" s="24">
        <v>34.69</v>
      </c>
      <c r="J1031" s="24">
        <v>-86.88</v>
      </c>
      <c r="K1031" s="24">
        <v>181</v>
      </c>
      <c r="L1031" s="24"/>
      <c r="M1031" s="24"/>
      <c r="N1031" s="24"/>
      <c r="O1031" s="24"/>
      <c r="P1031" s="24"/>
      <c r="Q1031" s="42">
        <v>3</v>
      </c>
      <c r="R1031" s="42" t="s">
        <v>1867</v>
      </c>
      <c r="S1031" s="42"/>
      <c r="T1031" s="42" t="s">
        <v>1971</v>
      </c>
      <c r="U1031" s="42" t="s">
        <v>1393</v>
      </c>
      <c r="V1031" s="42" t="s">
        <v>1727</v>
      </c>
      <c r="W1031" s="42" t="s">
        <v>1393</v>
      </c>
      <c r="X1031" s="42" t="s">
        <v>1393</v>
      </c>
      <c r="Y1031" s="24"/>
      <c r="Z1031" s="321"/>
      <c r="AA1031" s="321"/>
      <c r="AB1031" s="24" t="s">
        <v>451</v>
      </c>
      <c r="AC1031" s="24"/>
      <c r="AD1031" s="24"/>
      <c r="AE1031" s="24"/>
      <c r="AF1031" s="24" t="s">
        <v>1345</v>
      </c>
      <c r="AG1031" s="24" t="s">
        <v>132</v>
      </c>
      <c r="AH1031" s="138" t="s">
        <v>132</v>
      </c>
      <c r="AI1031" s="24" t="s">
        <v>585</v>
      </c>
      <c r="AJ1031" s="140" t="s">
        <v>1621</v>
      </c>
      <c r="AK1031" s="24"/>
      <c r="AL1031" s="24"/>
      <c r="AM1031" s="24"/>
      <c r="AN1031" s="24" t="s">
        <v>737</v>
      </c>
      <c r="AO1031" s="24" t="s">
        <v>737</v>
      </c>
      <c r="AP1031" s="24" t="s">
        <v>178</v>
      </c>
      <c r="AQ1031" s="24"/>
      <c r="AR1031" s="24"/>
      <c r="AS1031" s="24"/>
      <c r="AT1031" s="24" t="s">
        <v>161</v>
      </c>
      <c r="AU1031" s="24"/>
      <c r="AV1031" s="24"/>
      <c r="AW1031" s="24" t="s">
        <v>142</v>
      </c>
      <c r="AX1031" s="24"/>
      <c r="AY1031" s="24"/>
      <c r="AZ1031" s="24"/>
      <c r="BA1031" s="24"/>
      <c r="BH1031" s="35">
        <v>2680</v>
      </c>
      <c r="BI1031" s="35">
        <v>3010</v>
      </c>
      <c r="BM1031" s="405"/>
      <c r="BN1031" s="405"/>
      <c r="BR1031" s="405"/>
      <c r="BS1031" s="405"/>
      <c r="DT1031" s="24"/>
      <c r="GM1031" s="40"/>
      <c r="GQ1031" s="40"/>
      <c r="IO1031" s="24" t="s">
        <v>738</v>
      </c>
    </row>
    <row r="1032" spans="1:249" s="35" customFormat="1" x14ac:dyDescent="0.25">
      <c r="A1032" s="24">
        <v>49</v>
      </c>
      <c r="B1032" s="24" t="s">
        <v>731</v>
      </c>
      <c r="C1032" s="24" t="s">
        <v>732</v>
      </c>
      <c r="D1032" s="24">
        <v>2000</v>
      </c>
      <c r="E1032" s="24">
        <v>1997</v>
      </c>
      <c r="F1032" s="24" t="s">
        <v>733</v>
      </c>
      <c r="G1032" s="24" t="s">
        <v>742</v>
      </c>
      <c r="H1032" s="32" t="s">
        <v>2831</v>
      </c>
      <c r="I1032" s="24">
        <v>34.69</v>
      </c>
      <c r="J1032" s="24">
        <v>-86.88</v>
      </c>
      <c r="K1032" s="24">
        <v>181</v>
      </c>
      <c r="L1032" s="24"/>
      <c r="M1032" s="24"/>
      <c r="N1032" s="24"/>
      <c r="O1032" s="24"/>
      <c r="P1032" s="24"/>
      <c r="Q1032" s="42">
        <v>3</v>
      </c>
      <c r="R1032" s="42" t="s">
        <v>1867</v>
      </c>
      <c r="S1032" s="42"/>
      <c r="T1032" s="42" t="s">
        <v>1971</v>
      </c>
      <c r="U1032" s="42" t="s">
        <v>1393</v>
      </c>
      <c r="V1032" s="42" t="s">
        <v>1727</v>
      </c>
      <c r="W1032" s="42" t="s">
        <v>1393</v>
      </c>
      <c r="X1032" s="42" t="s">
        <v>1393</v>
      </c>
      <c r="Y1032" s="24"/>
      <c r="Z1032" s="321"/>
      <c r="AA1032" s="321"/>
      <c r="AB1032" s="24" t="s">
        <v>451</v>
      </c>
      <c r="AC1032" s="24"/>
      <c r="AD1032" s="24"/>
      <c r="AE1032" s="24"/>
      <c r="AF1032" s="24" t="s">
        <v>1345</v>
      </c>
      <c r="AG1032" s="24" t="s">
        <v>132</v>
      </c>
      <c r="AH1032" s="138" t="s">
        <v>132</v>
      </c>
      <c r="AI1032" s="24" t="s">
        <v>585</v>
      </c>
      <c r="AJ1032" s="140" t="s">
        <v>1621</v>
      </c>
      <c r="AK1032" s="24"/>
      <c r="AL1032" s="24"/>
      <c r="AM1032" s="24"/>
      <c r="AN1032" s="24" t="s">
        <v>157</v>
      </c>
      <c r="AO1032" s="24" t="s">
        <v>157</v>
      </c>
      <c r="AP1032" s="24" t="s">
        <v>178</v>
      </c>
      <c r="AQ1032" s="24"/>
      <c r="AR1032" s="24"/>
      <c r="AS1032" s="24"/>
      <c r="AT1032" s="24" t="s">
        <v>161</v>
      </c>
      <c r="AU1032" s="24"/>
      <c r="AV1032" s="24"/>
      <c r="AW1032" s="24" t="s">
        <v>142</v>
      </c>
      <c r="AX1032" s="24"/>
      <c r="AY1032" s="24"/>
      <c r="AZ1032" s="24"/>
      <c r="BA1032" s="24"/>
      <c r="BH1032" s="35">
        <v>2880</v>
      </c>
      <c r="BI1032" s="35">
        <v>3180</v>
      </c>
      <c r="BM1032" s="405"/>
      <c r="BN1032" s="405"/>
      <c r="BR1032" s="405"/>
      <c r="BS1032" s="405"/>
      <c r="DP1032" s="35">
        <v>1.47</v>
      </c>
      <c r="DQ1032" s="35">
        <v>1.53</v>
      </c>
      <c r="DT1032" s="24" t="s">
        <v>860</v>
      </c>
      <c r="GM1032" s="40"/>
      <c r="GQ1032" s="40"/>
      <c r="IO1032" s="24" t="s">
        <v>738</v>
      </c>
    </row>
    <row r="1033" spans="1:249" s="35" customFormat="1" x14ac:dyDescent="0.25">
      <c r="A1033" s="24">
        <v>49</v>
      </c>
      <c r="B1033" s="24" t="s">
        <v>731</v>
      </c>
      <c r="C1033" s="24" t="s">
        <v>732</v>
      </c>
      <c r="D1033" s="24">
        <v>2000</v>
      </c>
      <c r="E1033" s="24">
        <v>1997</v>
      </c>
      <c r="F1033" s="24" t="s">
        <v>733</v>
      </c>
      <c r="G1033" s="24" t="s">
        <v>742</v>
      </c>
      <c r="H1033" s="32" t="s">
        <v>2831</v>
      </c>
      <c r="I1033" s="24">
        <v>34.69</v>
      </c>
      <c r="J1033" s="24">
        <v>-86.88</v>
      </c>
      <c r="K1033" s="24">
        <v>181</v>
      </c>
      <c r="L1033" s="24"/>
      <c r="M1033" s="24"/>
      <c r="N1033" s="24"/>
      <c r="O1033" s="24"/>
      <c r="P1033" s="24"/>
      <c r="Q1033" s="42">
        <v>3</v>
      </c>
      <c r="R1033" s="42" t="s">
        <v>1867</v>
      </c>
      <c r="S1033" s="42"/>
      <c r="T1033" s="42" t="s">
        <v>1971</v>
      </c>
      <c r="U1033" s="42" t="s">
        <v>1393</v>
      </c>
      <c r="V1033" s="42" t="s">
        <v>1727</v>
      </c>
      <c r="W1033" s="42" t="s">
        <v>1393</v>
      </c>
      <c r="X1033" s="42" t="s">
        <v>1393</v>
      </c>
      <c r="Y1033" s="24"/>
      <c r="Z1033" s="321"/>
      <c r="AA1033" s="321"/>
      <c r="AB1033" s="24" t="s">
        <v>451</v>
      </c>
      <c r="AC1033" s="24"/>
      <c r="AD1033" s="24"/>
      <c r="AE1033" s="24"/>
      <c r="AF1033" s="24" t="s">
        <v>1345</v>
      </c>
      <c r="AG1033" s="24" t="s">
        <v>132</v>
      </c>
      <c r="AH1033" s="138" t="s">
        <v>132</v>
      </c>
      <c r="AI1033" s="24" t="s">
        <v>585</v>
      </c>
      <c r="AJ1033" s="140" t="s">
        <v>1621</v>
      </c>
      <c r="AK1033" s="24"/>
      <c r="AL1033" s="24"/>
      <c r="AM1033" s="24"/>
      <c r="AN1033" s="24" t="s">
        <v>232</v>
      </c>
      <c r="AO1033" s="24" t="s">
        <v>157</v>
      </c>
      <c r="AP1033" s="24" t="s">
        <v>503</v>
      </c>
      <c r="AQ1033" s="24"/>
      <c r="AR1033" s="24"/>
      <c r="AS1033" s="24"/>
      <c r="AT1033" s="24" t="s">
        <v>161</v>
      </c>
      <c r="AU1033" s="24"/>
      <c r="AV1033" s="24"/>
      <c r="AW1033" s="24" t="s">
        <v>142</v>
      </c>
      <c r="AX1033" s="24"/>
      <c r="AY1033" s="24"/>
      <c r="AZ1033" s="24"/>
      <c r="BA1033" s="24"/>
      <c r="BH1033" s="35">
        <v>3160</v>
      </c>
      <c r="BI1033" s="35">
        <v>3180</v>
      </c>
      <c r="BM1033" s="405"/>
      <c r="BN1033" s="405"/>
      <c r="BR1033" s="405"/>
      <c r="BS1033" s="405"/>
      <c r="DP1033" s="35">
        <v>0.96</v>
      </c>
      <c r="DQ1033" s="35">
        <v>1.53</v>
      </c>
      <c r="DT1033" s="24" t="s">
        <v>860</v>
      </c>
      <c r="GM1033" s="40"/>
      <c r="GQ1033" s="40"/>
      <c r="IO1033" s="24" t="s">
        <v>738</v>
      </c>
    </row>
    <row r="1034" spans="1:249" s="32" customFormat="1" x14ac:dyDescent="0.25">
      <c r="A1034" s="32">
        <v>49</v>
      </c>
      <c r="B1034" s="32" t="s">
        <v>731</v>
      </c>
      <c r="C1034" s="32" t="s">
        <v>732</v>
      </c>
      <c r="D1034" s="32">
        <v>2000</v>
      </c>
      <c r="E1034" s="32">
        <v>1998</v>
      </c>
      <c r="F1034" s="32" t="s">
        <v>733</v>
      </c>
      <c r="G1034" s="32" t="s">
        <v>742</v>
      </c>
      <c r="H1034" s="32" t="s">
        <v>2831</v>
      </c>
      <c r="I1034" s="32">
        <v>34.69</v>
      </c>
      <c r="J1034" s="32">
        <v>-86.88</v>
      </c>
      <c r="K1034" s="32">
        <v>181</v>
      </c>
      <c r="Q1034" s="44">
        <v>4</v>
      </c>
      <c r="R1034" s="44" t="s">
        <v>1867</v>
      </c>
      <c r="S1034" s="44"/>
      <c r="T1034" s="44" t="s">
        <v>1971</v>
      </c>
      <c r="U1034" s="44" t="s">
        <v>1393</v>
      </c>
      <c r="V1034" s="44" t="s">
        <v>1727</v>
      </c>
      <c r="W1034" s="44" t="s">
        <v>1393</v>
      </c>
      <c r="X1034" s="44" t="s">
        <v>1393</v>
      </c>
      <c r="Z1034" s="323"/>
      <c r="AA1034" s="323"/>
      <c r="AB1034" s="32" t="s">
        <v>451</v>
      </c>
      <c r="AF1034" s="32" t="s">
        <v>1345</v>
      </c>
      <c r="AG1034" s="32" t="s">
        <v>132</v>
      </c>
      <c r="AH1034" s="138" t="s">
        <v>132</v>
      </c>
      <c r="AI1034" s="32" t="s">
        <v>585</v>
      </c>
      <c r="AJ1034" s="140" t="s">
        <v>1621</v>
      </c>
      <c r="AN1034" s="32" t="s">
        <v>734</v>
      </c>
      <c r="AO1034" s="32" t="s">
        <v>734</v>
      </c>
      <c r="AP1034" s="32" t="s">
        <v>178</v>
      </c>
      <c r="AT1034" s="32" t="s">
        <v>161</v>
      </c>
      <c r="AW1034" s="32" t="s">
        <v>142</v>
      </c>
      <c r="BH1034" s="32">
        <v>2510</v>
      </c>
      <c r="BI1034" s="32">
        <v>2870</v>
      </c>
      <c r="BM1034" s="397"/>
      <c r="BN1034" s="397"/>
      <c r="BR1034" s="397"/>
      <c r="BS1034" s="397"/>
      <c r="DP1034" s="32">
        <v>0.73</v>
      </c>
      <c r="DQ1034" s="32">
        <v>0.48</v>
      </c>
      <c r="DT1034" s="32" t="s">
        <v>860</v>
      </c>
      <c r="IO1034" s="32" t="s">
        <v>738</v>
      </c>
    </row>
    <row r="1035" spans="1:249" s="32" customFormat="1" x14ac:dyDescent="0.25">
      <c r="A1035" s="32">
        <v>49</v>
      </c>
      <c r="B1035" s="32" t="s">
        <v>731</v>
      </c>
      <c r="C1035" s="32" t="s">
        <v>732</v>
      </c>
      <c r="D1035" s="32">
        <v>2000</v>
      </c>
      <c r="E1035" s="32">
        <v>1998</v>
      </c>
      <c r="F1035" s="32" t="s">
        <v>733</v>
      </c>
      <c r="G1035" s="32" t="s">
        <v>742</v>
      </c>
      <c r="H1035" s="32" t="s">
        <v>2831</v>
      </c>
      <c r="I1035" s="32">
        <v>34.69</v>
      </c>
      <c r="J1035" s="32">
        <v>-86.88</v>
      </c>
      <c r="K1035" s="32">
        <v>181</v>
      </c>
      <c r="Q1035" s="44">
        <v>4</v>
      </c>
      <c r="R1035" s="44" t="s">
        <v>1867</v>
      </c>
      <c r="S1035" s="44"/>
      <c r="T1035" s="44" t="s">
        <v>1971</v>
      </c>
      <c r="U1035" s="44" t="s">
        <v>1393</v>
      </c>
      <c r="V1035" s="44" t="s">
        <v>1727</v>
      </c>
      <c r="W1035" s="44" t="s">
        <v>1393</v>
      </c>
      <c r="X1035" s="44" t="s">
        <v>1393</v>
      </c>
      <c r="Z1035" s="323"/>
      <c r="AA1035" s="323"/>
      <c r="AB1035" s="32" t="s">
        <v>451</v>
      </c>
      <c r="AF1035" s="32" t="s">
        <v>1345</v>
      </c>
      <c r="AG1035" s="32" t="s">
        <v>132</v>
      </c>
      <c r="AH1035" s="138" t="s">
        <v>132</v>
      </c>
      <c r="AI1035" s="32" t="s">
        <v>585</v>
      </c>
      <c r="AJ1035" s="140" t="s">
        <v>1621</v>
      </c>
      <c r="AN1035" s="32" t="s">
        <v>735</v>
      </c>
      <c r="AO1035" s="32" t="s">
        <v>735</v>
      </c>
      <c r="AP1035" s="32" t="s">
        <v>178</v>
      </c>
      <c r="AT1035" s="32" t="s">
        <v>161</v>
      </c>
      <c r="AW1035" s="32" t="s">
        <v>142</v>
      </c>
      <c r="BH1035" s="32">
        <v>2240</v>
      </c>
      <c r="BI1035" s="32">
        <v>2640</v>
      </c>
      <c r="BM1035" s="397"/>
      <c r="BN1035" s="397"/>
      <c r="BR1035" s="397"/>
      <c r="BS1035" s="397"/>
      <c r="DP1035" s="32">
        <v>0.56999999999999995</v>
      </c>
      <c r="DQ1035" s="32">
        <v>0.56999999999999995</v>
      </c>
      <c r="DT1035" s="32" t="s">
        <v>860</v>
      </c>
      <c r="IO1035" s="32" t="s">
        <v>738</v>
      </c>
    </row>
    <row r="1036" spans="1:249" s="32" customFormat="1" x14ac:dyDescent="0.25">
      <c r="A1036" s="32">
        <v>49</v>
      </c>
      <c r="B1036" s="32" t="s">
        <v>731</v>
      </c>
      <c r="C1036" s="32" t="s">
        <v>732</v>
      </c>
      <c r="D1036" s="32">
        <v>2000</v>
      </c>
      <c r="E1036" s="32">
        <v>1998</v>
      </c>
      <c r="F1036" s="32" t="s">
        <v>733</v>
      </c>
      <c r="G1036" s="32" t="s">
        <v>742</v>
      </c>
      <c r="H1036" s="32" t="s">
        <v>2831</v>
      </c>
      <c r="I1036" s="32">
        <v>34.69</v>
      </c>
      <c r="J1036" s="32">
        <v>-86.88</v>
      </c>
      <c r="K1036" s="32">
        <v>181</v>
      </c>
      <c r="Q1036" s="44">
        <v>4</v>
      </c>
      <c r="R1036" s="44" t="s">
        <v>1867</v>
      </c>
      <c r="S1036" s="44"/>
      <c r="T1036" s="44" t="s">
        <v>1971</v>
      </c>
      <c r="U1036" s="44" t="s">
        <v>1393</v>
      </c>
      <c r="V1036" s="44" t="s">
        <v>1727</v>
      </c>
      <c r="W1036" s="44" t="s">
        <v>1393</v>
      </c>
      <c r="X1036" s="44" t="s">
        <v>1393</v>
      </c>
      <c r="Z1036" s="323"/>
      <c r="AA1036" s="323"/>
      <c r="AB1036" s="32" t="s">
        <v>451</v>
      </c>
      <c r="AF1036" s="32" t="s">
        <v>1345</v>
      </c>
      <c r="AG1036" s="32" t="s">
        <v>132</v>
      </c>
      <c r="AH1036" s="138" t="s">
        <v>132</v>
      </c>
      <c r="AI1036" s="32" t="s">
        <v>585</v>
      </c>
      <c r="AJ1036" s="140" t="s">
        <v>1621</v>
      </c>
      <c r="AN1036" s="32" t="s">
        <v>736</v>
      </c>
      <c r="AO1036" s="32" t="s">
        <v>736</v>
      </c>
      <c r="AP1036" s="32" t="s">
        <v>178</v>
      </c>
      <c r="AT1036" s="32" t="s">
        <v>161</v>
      </c>
      <c r="AW1036" s="32" t="s">
        <v>142</v>
      </c>
      <c r="BH1036" s="32">
        <v>2410</v>
      </c>
      <c r="BI1036" s="32">
        <v>2830</v>
      </c>
      <c r="BM1036" s="397"/>
      <c r="BN1036" s="397"/>
      <c r="BR1036" s="397"/>
      <c r="BS1036" s="397"/>
      <c r="IO1036" s="32" t="s">
        <v>738</v>
      </c>
    </row>
    <row r="1037" spans="1:249" s="32" customFormat="1" x14ac:dyDescent="0.25">
      <c r="A1037" s="32">
        <v>49</v>
      </c>
      <c r="B1037" s="32" t="s">
        <v>731</v>
      </c>
      <c r="C1037" s="32" t="s">
        <v>732</v>
      </c>
      <c r="D1037" s="32">
        <v>2000</v>
      </c>
      <c r="E1037" s="32">
        <v>1998</v>
      </c>
      <c r="F1037" s="32" t="s">
        <v>733</v>
      </c>
      <c r="G1037" s="32" t="s">
        <v>742</v>
      </c>
      <c r="H1037" s="32" t="s">
        <v>2831</v>
      </c>
      <c r="I1037" s="32">
        <v>34.69</v>
      </c>
      <c r="J1037" s="32">
        <v>-86.88</v>
      </c>
      <c r="K1037" s="32">
        <v>181</v>
      </c>
      <c r="Q1037" s="44">
        <v>4</v>
      </c>
      <c r="R1037" s="44" t="s">
        <v>1867</v>
      </c>
      <c r="S1037" s="44"/>
      <c r="T1037" s="44" t="s">
        <v>1971</v>
      </c>
      <c r="U1037" s="44" t="s">
        <v>1393</v>
      </c>
      <c r="V1037" s="44" t="s">
        <v>1727</v>
      </c>
      <c r="W1037" s="44" t="s">
        <v>1393</v>
      </c>
      <c r="X1037" s="44" t="s">
        <v>1393</v>
      </c>
      <c r="Z1037" s="323"/>
      <c r="AA1037" s="323"/>
      <c r="AB1037" s="32" t="s">
        <v>451</v>
      </c>
      <c r="AF1037" s="32" t="s">
        <v>1345</v>
      </c>
      <c r="AG1037" s="32" t="s">
        <v>132</v>
      </c>
      <c r="AH1037" s="138" t="s">
        <v>132</v>
      </c>
      <c r="AI1037" s="32" t="s">
        <v>585</v>
      </c>
      <c r="AJ1037" s="140" t="s">
        <v>1621</v>
      </c>
      <c r="AN1037" s="32" t="s">
        <v>737</v>
      </c>
      <c r="AO1037" s="32" t="s">
        <v>737</v>
      </c>
      <c r="AP1037" s="32" t="s">
        <v>178</v>
      </c>
      <c r="AT1037" s="32" t="s">
        <v>161</v>
      </c>
      <c r="AW1037" s="32" t="s">
        <v>142</v>
      </c>
      <c r="BH1037" s="32">
        <v>2370</v>
      </c>
      <c r="BI1037" s="32">
        <v>2780</v>
      </c>
      <c r="BM1037" s="397"/>
      <c r="BN1037" s="397"/>
      <c r="BR1037" s="397"/>
      <c r="BS1037" s="397"/>
      <c r="IO1037" s="32" t="s">
        <v>738</v>
      </c>
    </row>
    <row r="1038" spans="1:249" s="32" customFormat="1" x14ac:dyDescent="0.25">
      <c r="A1038" s="32">
        <v>49</v>
      </c>
      <c r="B1038" s="32" t="s">
        <v>731</v>
      </c>
      <c r="C1038" s="32" t="s">
        <v>732</v>
      </c>
      <c r="D1038" s="32">
        <v>2000</v>
      </c>
      <c r="E1038" s="32">
        <v>1998</v>
      </c>
      <c r="F1038" s="32" t="s">
        <v>733</v>
      </c>
      <c r="G1038" s="32" t="s">
        <v>742</v>
      </c>
      <c r="H1038" s="32" t="s">
        <v>2831</v>
      </c>
      <c r="I1038" s="32">
        <v>34.69</v>
      </c>
      <c r="J1038" s="32">
        <v>-86.88</v>
      </c>
      <c r="K1038" s="32">
        <v>181</v>
      </c>
      <c r="Q1038" s="44">
        <v>4</v>
      </c>
      <c r="R1038" s="44" t="s">
        <v>1867</v>
      </c>
      <c r="S1038" s="44"/>
      <c r="T1038" s="44" t="s">
        <v>1971</v>
      </c>
      <c r="U1038" s="44" t="s">
        <v>1393</v>
      </c>
      <c r="V1038" s="44" t="s">
        <v>1727</v>
      </c>
      <c r="W1038" s="44" t="s">
        <v>1393</v>
      </c>
      <c r="X1038" s="44" t="s">
        <v>1393</v>
      </c>
      <c r="Z1038" s="323"/>
      <c r="AA1038" s="323"/>
      <c r="AB1038" s="32" t="s">
        <v>451</v>
      </c>
      <c r="AF1038" s="32" t="s">
        <v>1345</v>
      </c>
      <c r="AG1038" s="32" t="s">
        <v>132</v>
      </c>
      <c r="AH1038" s="138" t="s">
        <v>132</v>
      </c>
      <c r="AI1038" s="32" t="s">
        <v>585</v>
      </c>
      <c r="AJ1038" s="140" t="s">
        <v>1621</v>
      </c>
      <c r="AN1038" s="32" t="s">
        <v>157</v>
      </c>
      <c r="AO1038" s="32" t="s">
        <v>157</v>
      </c>
      <c r="AP1038" s="32" t="s">
        <v>178</v>
      </c>
      <c r="AT1038" s="32" t="s">
        <v>161</v>
      </c>
      <c r="AW1038" s="32" t="s">
        <v>142</v>
      </c>
      <c r="BH1038" s="32">
        <v>2620</v>
      </c>
      <c r="BI1038" s="32">
        <v>2830</v>
      </c>
      <c r="BM1038" s="397"/>
      <c r="BN1038" s="397"/>
      <c r="BR1038" s="397"/>
      <c r="BS1038" s="397"/>
      <c r="DP1038" s="32">
        <v>1.49</v>
      </c>
      <c r="DQ1038" s="32">
        <v>1.55</v>
      </c>
      <c r="DT1038" s="32" t="s">
        <v>860</v>
      </c>
      <c r="IO1038" s="32" t="s">
        <v>738</v>
      </c>
    </row>
    <row r="1039" spans="1:249" s="32" customFormat="1" x14ac:dyDescent="0.25">
      <c r="A1039" s="32">
        <v>49</v>
      </c>
      <c r="B1039" s="32" t="s">
        <v>731</v>
      </c>
      <c r="C1039" s="32" t="s">
        <v>732</v>
      </c>
      <c r="D1039" s="32">
        <v>2000</v>
      </c>
      <c r="E1039" s="32">
        <v>1998</v>
      </c>
      <c r="F1039" s="32" t="s">
        <v>733</v>
      </c>
      <c r="G1039" s="32" t="s">
        <v>742</v>
      </c>
      <c r="H1039" s="32" t="s">
        <v>2831</v>
      </c>
      <c r="I1039" s="32">
        <v>34.69</v>
      </c>
      <c r="J1039" s="32">
        <v>-86.88</v>
      </c>
      <c r="K1039" s="32">
        <v>181</v>
      </c>
      <c r="Q1039" s="44">
        <v>4</v>
      </c>
      <c r="R1039" s="44" t="s">
        <v>1867</v>
      </c>
      <c r="S1039" s="44"/>
      <c r="T1039" s="44" t="s">
        <v>1971</v>
      </c>
      <c r="U1039" s="44" t="s">
        <v>1393</v>
      </c>
      <c r="V1039" s="44" t="s">
        <v>1727</v>
      </c>
      <c r="W1039" s="44" t="s">
        <v>1393</v>
      </c>
      <c r="X1039" s="44" t="s">
        <v>1393</v>
      </c>
      <c r="Z1039" s="323"/>
      <c r="AA1039" s="323"/>
      <c r="AB1039" s="32" t="s">
        <v>451</v>
      </c>
      <c r="AF1039" s="32" t="s">
        <v>1345</v>
      </c>
      <c r="AG1039" s="32" t="s">
        <v>132</v>
      </c>
      <c r="AH1039" s="138" t="s">
        <v>132</v>
      </c>
      <c r="AI1039" s="32" t="s">
        <v>585</v>
      </c>
      <c r="AJ1039" s="140" t="s">
        <v>1621</v>
      </c>
      <c r="AN1039" s="32" t="s">
        <v>232</v>
      </c>
      <c r="AO1039" s="32" t="s">
        <v>157</v>
      </c>
      <c r="AP1039" s="32" t="s">
        <v>503</v>
      </c>
      <c r="AT1039" s="32" t="s">
        <v>161</v>
      </c>
      <c r="AW1039" s="32" t="s">
        <v>142</v>
      </c>
      <c r="BH1039" s="32">
        <v>2480</v>
      </c>
      <c r="BI1039" s="32">
        <v>2830</v>
      </c>
      <c r="BM1039" s="397"/>
      <c r="BN1039" s="397"/>
      <c r="BR1039" s="397"/>
      <c r="BS1039" s="397"/>
      <c r="DP1039" s="32">
        <v>1.01</v>
      </c>
      <c r="DQ1039" s="32">
        <v>1.55</v>
      </c>
      <c r="DT1039" s="32" t="s">
        <v>860</v>
      </c>
      <c r="IO1039" s="32" t="s">
        <v>738</v>
      </c>
    </row>
    <row r="1040" spans="1:249" s="5" customFormat="1" x14ac:dyDescent="0.25">
      <c r="A1040" s="5">
        <v>50</v>
      </c>
      <c r="B1040" s="5" t="s">
        <v>739</v>
      </c>
      <c r="C1040" s="5" t="s">
        <v>740</v>
      </c>
      <c r="D1040" s="5">
        <v>2000</v>
      </c>
      <c r="E1040" s="5">
        <v>1995</v>
      </c>
      <c r="F1040" s="5" t="s">
        <v>741</v>
      </c>
      <c r="H1040" s="32" t="s">
        <v>2831</v>
      </c>
      <c r="I1040" s="5">
        <v>41.84</v>
      </c>
      <c r="J1040" s="5">
        <v>-85.68</v>
      </c>
      <c r="K1040" s="5">
        <v>244</v>
      </c>
      <c r="Q1040" s="52">
        <v>1</v>
      </c>
      <c r="R1040" s="52" t="s">
        <v>1735</v>
      </c>
      <c r="S1040" s="52"/>
      <c r="T1040" s="52" t="s">
        <v>1971</v>
      </c>
      <c r="U1040" s="52" t="s">
        <v>1404</v>
      </c>
      <c r="V1040" s="52" t="s">
        <v>1734</v>
      </c>
      <c r="W1040" s="52" t="s">
        <v>1404</v>
      </c>
      <c r="X1040" s="52" t="s">
        <v>1421</v>
      </c>
      <c r="Z1040" s="332"/>
      <c r="AA1040" s="332"/>
      <c r="AB1040" s="5" t="s">
        <v>241</v>
      </c>
      <c r="AF1040" s="5" t="s">
        <v>1346</v>
      </c>
      <c r="AG1040" s="5" t="s">
        <v>132</v>
      </c>
      <c r="AH1040" s="138" t="s">
        <v>132</v>
      </c>
      <c r="AI1040" s="5" t="s">
        <v>133</v>
      </c>
      <c r="AJ1040" s="141" t="s">
        <v>133</v>
      </c>
      <c r="AQ1040" s="5" t="s">
        <v>743</v>
      </c>
      <c r="AR1040" s="5" t="s">
        <v>743</v>
      </c>
      <c r="AS1040" s="5" t="s">
        <v>178</v>
      </c>
      <c r="AT1040" s="5" t="s">
        <v>161</v>
      </c>
      <c r="BA1040" s="54"/>
      <c r="BB1040" s="5" t="s">
        <v>745</v>
      </c>
      <c r="BH1040" s="5">
        <v>1308</v>
      </c>
      <c r="BI1040" s="5">
        <v>1188</v>
      </c>
      <c r="BM1040" s="403"/>
      <c r="BN1040" s="403"/>
      <c r="BR1040" s="403"/>
      <c r="BS1040" s="403"/>
      <c r="BW1040" s="5">
        <v>3.66</v>
      </c>
      <c r="BX1040" s="5">
        <v>1.62</v>
      </c>
      <c r="CA1040" s="5" t="s">
        <v>747</v>
      </c>
      <c r="EO1040" s="5">
        <v>92.38</v>
      </c>
      <c r="EP1040" s="5">
        <v>66.83</v>
      </c>
      <c r="ES1040" s="5" t="s">
        <v>751</v>
      </c>
      <c r="GM1040" s="39"/>
      <c r="GQ1040" s="39"/>
      <c r="IO1040" s="5" t="s">
        <v>746</v>
      </c>
    </row>
    <row r="1041" spans="1:249" s="5" customFormat="1" x14ac:dyDescent="0.25">
      <c r="A1041" s="5">
        <v>50</v>
      </c>
      <c r="B1041" s="5" t="s">
        <v>739</v>
      </c>
      <c r="C1041" s="5" t="s">
        <v>740</v>
      </c>
      <c r="D1041" s="5">
        <v>2000</v>
      </c>
      <c r="E1041" s="5">
        <v>1995</v>
      </c>
      <c r="F1041" s="5" t="s">
        <v>741</v>
      </c>
      <c r="H1041" s="32" t="s">
        <v>2831</v>
      </c>
      <c r="I1041" s="5">
        <v>41.84</v>
      </c>
      <c r="J1041" s="5">
        <v>-85.68</v>
      </c>
      <c r="K1041" s="5">
        <v>244</v>
      </c>
      <c r="Q1041" s="52">
        <v>1</v>
      </c>
      <c r="R1041" s="52" t="s">
        <v>1735</v>
      </c>
      <c r="S1041" s="52"/>
      <c r="T1041" s="52" t="s">
        <v>1971</v>
      </c>
      <c r="U1041" s="52" t="s">
        <v>1404</v>
      </c>
      <c r="V1041" s="52" t="s">
        <v>1734</v>
      </c>
      <c r="W1041" s="52" t="s">
        <v>1404</v>
      </c>
      <c r="X1041" s="52" t="s">
        <v>1421</v>
      </c>
      <c r="Z1041" s="332"/>
      <c r="AA1041" s="332"/>
      <c r="AB1041" s="5" t="s">
        <v>241</v>
      </c>
      <c r="AF1041" s="5" t="s">
        <v>1346</v>
      </c>
      <c r="AG1041" s="5" t="s">
        <v>132</v>
      </c>
      <c r="AH1041" s="138" t="s">
        <v>132</v>
      </c>
      <c r="AI1041" s="5" t="s">
        <v>133</v>
      </c>
      <c r="AJ1041" s="141" t="s">
        <v>133</v>
      </c>
      <c r="AQ1041" s="5" t="s">
        <v>744</v>
      </c>
      <c r="AR1041" s="5" t="s">
        <v>744</v>
      </c>
      <c r="AS1041" s="5" t="s">
        <v>178</v>
      </c>
      <c r="AT1041" s="5" t="s">
        <v>161</v>
      </c>
      <c r="BA1041" s="54"/>
      <c r="BB1041" s="5" t="s">
        <v>745</v>
      </c>
      <c r="BH1041" s="5">
        <v>1167</v>
      </c>
      <c r="BI1041" s="5">
        <v>1156</v>
      </c>
      <c r="BM1041" s="403"/>
      <c r="BN1041" s="403"/>
      <c r="BR1041" s="403"/>
      <c r="BS1041" s="403"/>
      <c r="BW1041" s="5">
        <v>2.5299999999999998</v>
      </c>
      <c r="BX1041" s="5">
        <v>2.78</v>
      </c>
      <c r="CA1041" s="5" t="s">
        <v>747</v>
      </c>
      <c r="GM1041" s="39"/>
      <c r="GQ1041" s="39"/>
      <c r="IO1041" s="5" t="s">
        <v>746</v>
      </c>
    </row>
    <row r="1042" spans="1:249" s="28" customFormat="1" x14ac:dyDescent="0.25">
      <c r="A1042" s="28">
        <v>50</v>
      </c>
      <c r="B1042" s="28" t="s">
        <v>739</v>
      </c>
      <c r="C1042" s="28" t="s">
        <v>740</v>
      </c>
      <c r="D1042" s="28">
        <v>2000</v>
      </c>
      <c r="E1042" s="28">
        <v>1996</v>
      </c>
      <c r="F1042" s="28" t="s">
        <v>741</v>
      </c>
      <c r="H1042" s="32" t="s">
        <v>2831</v>
      </c>
      <c r="I1042" s="28">
        <v>41.84</v>
      </c>
      <c r="J1042" s="28">
        <v>-85.68</v>
      </c>
      <c r="K1042" s="28">
        <v>244</v>
      </c>
      <c r="Q1042" s="46">
        <v>2</v>
      </c>
      <c r="R1042" s="46" t="s">
        <v>1735</v>
      </c>
      <c r="S1042" s="46"/>
      <c r="T1042" s="46" t="s">
        <v>1971</v>
      </c>
      <c r="U1042" s="46" t="s">
        <v>1404</v>
      </c>
      <c r="V1042" s="46" t="s">
        <v>1734</v>
      </c>
      <c r="W1042" s="46" t="s">
        <v>1404</v>
      </c>
      <c r="X1042" s="46" t="s">
        <v>1421</v>
      </c>
      <c r="Z1042" s="326"/>
      <c r="AA1042" s="326"/>
      <c r="AB1042" s="28" t="s">
        <v>241</v>
      </c>
      <c r="AF1042" s="28" t="s">
        <v>1346</v>
      </c>
      <c r="AG1042" s="28" t="s">
        <v>132</v>
      </c>
      <c r="AH1042" s="138" t="s">
        <v>132</v>
      </c>
      <c r="AI1042" s="28" t="s">
        <v>133</v>
      </c>
      <c r="AJ1042" s="141" t="s">
        <v>133</v>
      </c>
      <c r="AQ1042" s="28" t="s">
        <v>743</v>
      </c>
      <c r="AR1042" s="28" t="s">
        <v>743</v>
      </c>
      <c r="AS1042" s="28" t="s">
        <v>178</v>
      </c>
      <c r="AT1042" s="28" t="s">
        <v>161</v>
      </c>
      <c r="AY1042" s="28">
        <v>754</v>
      </c>
      <c r="AZ1042" s="28">
        <f>AY1042/20</f>
        <v>37.700000000000003</v>
      </c>
      <c r="BB1042" s="5" t="s">
        <v>745</v>
      </c>
      <c r="BH1042" s="28">
        <v>5047</v>
      </c>
      <c r="BI1042" s="28">
        <v>5328</v>
      </c>
      <c r="BM1042" s="401"/>
      <c r="BN1042" s="401"/>
      <c r="BR1042" s="401"/>
      <c r="BS1042" s="401"/>
      <c r="BW1042" s="28">
        <v>2.71</v>
      </c>
      <c r="BX1042" s="28">
        <v>3.21</v>
      </c>
      <c r="CA1042" s="28" t="s">
        <v>747</v>
      </c>
      <c r="EO1042" s="28">
        <v>55.75</v>
      </c>
      <c r="EP1042" s="28">
        <v>15.9</v>
      </c>
      <c r="ES1042" s="28" t="s">
        <v>751</v>
      </c>
      <c r="IO1042" s="5" t="s">
        <v>746</v>
      </c>
    </row>
    <row r="1043" spans="1:249" s="28" customFormat="1" x14ac:dyDescent="0.25">
      <c r="A1043" s="28">
        <v>50</v>
      </c>
      <c r="B1043" s="28" t="s">
        <v>739</v>
      </c>
      <c r="C1043" s="28" t="s">
        <v>740</v>
      </c>
      <c r="D1043" s="28">
        <v>2000</v>
      </c>
      <c r="E1043" s="28">
        <v>1996</v>
      </c>
      <c r="F1043" s="28" t="s">
        <v>741</v>
      </c>
      <c r="H1043" s="32" t="s">
        <v>2831</v>
      </c>
      <c r="I1043" s="28">
        <v>41.84</v>
      </c>
      <c r="J1043" s="28">
        <v>-85.68</v>
      </c>
      <c r="K1043" s="28">
        <v>244</v>
      </c>
      <c r="Q1043" s="46">
        <v>2</v>
      </c>
      <c r="R1043" s="46" t="s">
        <v>1735</v>
      </c>
      <c r="S1043" s="46"/>
      <c r="T1043" s="46" t="s">
        <v>1971</v>
      </c>
      <c r="U1043" s="46" t="s">
        <v>1404</v>
      </c>
      <c r="V1043" s="46" t="s">
        <v>1734</v>
      </c>
      <c r="W1043" s="46" t="s">
        <v>1404</v>
      </c>
      <c r="X1043" s="46" t="s">
        <v>1421</v>
      </c>
      <c r="Z1043" s="326"/>
      <c r="AA1043" s="326"/>
      <c r="AB1043" s="28" t="s">
        <v>241</v>
      </c>
      <c r="AF1043" s="28" t="s">
        <v>1346</v>
      </c>
      <c r="AG1043" s="28" t="s">
        <v>132</v>
      </c>
      <c r="AH1043" s="138" t="s">
        <v>132</v>
      </c>
      <c r="AI1043" s="28" t="s">
        <v>133</v>
      </c>
      <c r="AJ1043" s="141" t="s">
        <v>133</v>
      </c>
      <c r="AQ1043" s="28" t="s">
        <v>744</v>
      </c>
      <c r="AR1043" s="28" t="s">
        <v>744</v>
      </c>
      <c r="AS1043" s="28" t="s">
        <v>178</v>
      </c>
      <c r="AT1043" s="28" t="s">
        <v>161</v>
      </c>
      <c r="AY1043" s="28">
        <v>1763</v>
      </c>
      <c r="AZ1043" s="28">
        <f>AY1043/45.4</f>
        <v>38.832599118942731</v>
      </c>
      <c r="BB1043" s="5" t="s">
        <v>745</v>
      </c>
      <c r="BH1043" s="28">
        <v>6211</v>
      </c>
      <c r="BI1043" s="28">
        <v>5632</v>
      </c>
      <c r="BM1043" s="401"/>
      <c r="BN1043" s="401"/>
      <c r="BR1043" s="401"/>
      <c r="BS1043" s="401"/>
      <c r="BW1043" s="28">
        <v>4.6100000000000003</v>
      </c>
      <c r="BX1043" s="28">
        <v>3.06</v>
      </c>
      <c r="CA1043" s="28" t="s">
        <v>747</v>
      </c>
      <c r="IO1043" s="5" t="s">
        <v>746</v>
      </c>
    </row>
    <row r="1044" spans="1:249" s="5" customFormat="1" x14ac:dyDescent="0.25">
      <c r="A1044" s="5">
        <v>50</v>
      </c>
      <c r="B1044" s="5" t="s">
        <v>739</v>
      </c>
      <c r="C1044" s="5" t="s">
        <v>740</v>
      </c>
      <c r="D1044" s="5">
        <v>2000</v>
      </c>
      <c r="E1044" s="5">
        <v>1997</v>
      </c>
      <c r="F1044" s="5" t="s">
        <v>741</v>
      </c>
      <c r="H1044" s="32" t="s">
        <v>2831</v>
      </c>
      <c r="I1044" s="5">
        <v>41.84</v>
      </c>
      <c r="J1044" s="5">
        <v>-85.68</v>
      </c>
      <c r="K1044" s="5">
        <v>244</v>
      </c>
      <c r="Q1044" s="52">
        <v>3</v>
      </c>
      <c r="R1044" s="52" t="s">
        <v>1735</v>
      </c>
      <c r="S1044" s="52"/>
      <c r="T1044" s="52" t="s">
        <v>1971</v>
      </c>
      <c r="U1044" s="52" t="s">
        <v>1404</v>
      </c>
      <c r="V1044" s="52" t="s">
        <v>1734</v>
      </c>
      <c r="W1044" s="52" t="s">
        <v>1404</v>
      </c>
      <c r="X1044" s="52" t="s">
        <v>1421</v>
      </c>
      <c r="Z1044" s="332"/>
      <c r="AA1044" s="332"/>
      <c r="AB1044" s="5" t="s">
        <v>241</v>
      </c>
      <c r="AF1044" s="5" t="s">
        <v>1346</v>
      </c>
      <c r="AG1044" s="5" t="s">
        <v>132</v>
      </c>
      <c r="AH1044" s="138" t="s">
        <v>132</v>
      </c>
      <c r="AI1044" s="5" t="s">
        <v>133</v>
      </c>
      <c r="AJ1044" s="141" t="s">
        <v>133</v>
      </c>
      <c r="AQ1044" s="5" t="s">
        <v>743</v>
      </c>
      <c r="AR1044" s="5" t="s">
        <v>743</v>
      </c>
      <c r="AS1044" s="5" t="s">
        <v>178</v>
      </c>
      <c r="AT1044" s="5" t="s">
        <v>161</v>
      </c>
      <c r="AY1044" s="5">
        <v>1173</v>
      </c>
      <c r="AZ1044" s="5">
        <f>AY1044/40</f>
        <v>29.324999999999999</v>
      </c>
      <c r="BA1044" s="54"/>
      <c r="BB1044" s="5" t="s">
        <v>745</v>
      </c>
      <c r="BH1044" s="5">
        <v>2928</v>
      </c>
      <c r="BI1044" s="5">
        <v>3002</v>
      </c>
      <c r="BM1044" s="403"/>
      <c r="BN1044" s="403"/>
      <c r="BR1044" s="403"/>
      <c r="BS1044" s="403"/>
      <c r="BW1044" s="5">
        <v>2.93</v>
      </c>
      <c r="BX1044" s="5">
        <v>3.59</v>
      </c>
      <c r="CA1044" s="5" t="s">
        <v>747</v>
      </c>
      <c r="EO1044" s="5">
        <v>80.08</v>
      </c>
      <c r="EP1044" s="5">
        <v>25.81</v>
      </c>
      <c r="ES1044" s="5" t="s">
        <v>751</v>
      </c>
      <c r="GM1044" s="39"/>
      <c r="GQ1044" s="39"/>
      <c r="IO1044" s="5" t="s">
        <v>746</v>
      </c>
    </row>
    <row r="1045" spans="1:249" s="5" customFormat="1" x14ac:dyDescent="0.25">
      <c r="A1045" s="5">
        <v>50</v>
      </c>
      <c r="B1045" s="5" t="s">
        <v>739</v>
      </c>
      <c r="C1045" s="5" t="s">
        <v>740</v>
      </c>
      <c r="D1045" s="5">
        <v>2000</v>
      </c>
      <c r="E1045" s="5">
        <v>1997</v>
      </c>
      <c r="F1045" s="5" t="s">
        <v>741</v>
      </c>
      <c r="H1045" s="32" t="s">
        <v>2831</v>
      </c>
      <c r="I1045" s="5">
        <v>41.84</v>
      </c>
      <c r="J1045" s="5">
        <v>-85.68</v>
      </c>
      <c r="K1045" s="5">
        <v>244</v>
      </c>
      <c r="Q1045" s="52">
        <v>3</v>
      </c>
      <c r="R1045" s="52" t="s">
        <v>1735</v>
      </c>
      <c r="S1045" s="52"/>
      <c r="T1045" s="52" t="s">
        <v>1971</v>
      </c>
      <c r="U1045" s="52" t="s">
        <v>1404</v>
      </c>
      <c r="V1045" s="52" t="s">
        <v>1734</v>
      </c>
      <c r="W1045" s="52" t="s">
        <v>1404</v>
      </c>
      <c r="X1045" s="52" t="s">
        <v>1421</v>
      </c>
      <c r="Z1045" s="332"/>
      <c r="AA1045" s="332"/>
      <c r="AB1045" s="5" t="s">
        <v>241</v>
      </c>
      <c r="AF1045" s="5" t="s">
        <v>1346</v>
      </c>
      <c r="AG1045" s="5" t="s">
        <v>132</v>
      </c>
      <c r="AH1045" s="138" t="s">
        <v>132</v>
      </c>
      <c r="AI1045" s="5" t="s">
        <v>133</v>
      </c>
      <c r="AJ1045" s="141" t="s">
        <v>133</v>
      </c>
      <c r="AQ1045" s="5" t="s">
        <v>744</v>
      </c>
      <c r="AR1045" s="5" t="s">
        <v>744</v>
      </c>
      <c r="AS1045" s="5" t="s">
        <v>178</v>
      </c>
      <c r="AT1045" s="5" t="s">
        <v>161</v>
      </c>
      <c r="AY1045" s="5">
        <v>2010</v>
      </c>
      <c r="AZ1045" s="5">
        <f>AY1045/56</f>
        <v>35.892857142857146</v>
      </c>
      <c r="BA1045" s="54"/>
      <c r="BB1045" s="5" t="s">
        <v>745</v>
      </c>
      <c r="BH1045" s="5">
        <v>3407</v>
      </c>
      <c r="BI1045" s="5">
        <v>3622</v>
      </c>
      <c r="BM1045" s="403"/>
      <c r="BN1045" s="403"/>
      <c r="BR1045" s="403"/>
      <c r="BS1045" s="403"/>
      <c r="BW1045" s="5">
        <v>3.27</v>
      </c>
      <c r="BX1045" s="5">
        <v>2.96</v>
      </c>
      <c r="CA1045" s="5" t="s">
        <v>747</v>
      </c>
      <c r="GM1045" s="39"/>
      <c r="GQ1045" s="39"/>
      <c r="IO1045" s="5" t="s">
        <v>746</v>
      </c>
    </row>
    <row r="1046" spans="1:249" s="5" customFormat="1" x14ac:dyDescent="0.25">
      <c r="A1046" s="5">
        <v>50</v>
      </c>
      <c r="B1046" s="5" t="s">
        <v>739</v>
      </c>
      <c r="C1046" s="5" t="s">
        <v>740</v>
      </c>
      <c r="D1046" s="5">
        <v>2000</v>
      </c>
      <c r="E1046" s="5">
        <v>1995</v>
      </c>
      <c r="F1046" s="5" t="s">
        <v>741</v>
      </c>
      <c r="H1046" s="32" t="s">
        <v>2831</v>
      </c>
      <c r="I1046" s="5">
        <v>41.84</v>
      </c>
      <c r="J1046" s="5">
        <v>-85.68</v>
      </c>
      <c r="K1046" s="5">
        <v>244</v>
      </c>
      <c r="Q1046" s="52">
        <v>1</v>
      </c>
      <c r="R1046" s="52" t="s">
        <v>1735</v>
      </c>
      <c r="S1046" s="52"/>
      <c r="T1046" s="52" t="s">
        <v>1971</v>
      </c>
      <c r="U1046" s="52" t="s">
        <v>1409</v>
      </c>
      <c r="V1046" s="52" t="s">
        <v>1734</v>
      </c>
      <c r="W1046" s="52" t="s">
        <v>1404</v>
      </c>
      <c r="X1046" s="52" t="s">
        <v>1421</v>
      </c>
      <c r="Z1046" s="332"/>
      <c r="AA1046" s="332"/>
      <c r="AB1046" s="5" t="s">
        <v>241</v>
      </c>
      <c r="AF1046" s="5" t="s">
        <v>1346</v>
      </c>
      <c r="AG1046" s="5" t="s">
        <v>132</v>
      </c>
      <c r="AH1046" s="138" t="s">
        <v>132</v>
      </c>
      <c r="AI1046" s="5" t="s">
        <v>133</v>
      </c>
      <c r="AJ1046" s="141" t="s">
        <v>133</v>
      </c>
      <c r="AQ1046" s="5" t="s">
        <v>743</v>
      </c>
      <c r="AR1046" s="5" t="s">
        <v>743</v>
      </c>
      <c r="AS1046" s="5" t="s">
        <v>178</v>
      </c>
      <c r="AT1046" s="5" t="s">
        <v>161</v>
      </c>
      <c r="BA1046" s="54"/>
      <c r="BB1046" s="5" t="s">
        <v>748</v>
      </c>
      <c r="BM1046" s="403"/>
      <c r="BN1046" s="403"/>
      <c r="BR1046" s="403"/>
      <c r="BS1046" s="403"/>
      <c r="BW1046" s="5">
        <v>4.5</v>
      </c>
      <c r="BX1046" s="5">
        <v>2.27</v>
      </c>
      <c r="CA1046" s="5" t="s">
        <v>747</v>
      </c>
      <c r="GM1046" s="39"/>
      <c r="GQ1046" s="39"/>
      <c r="IO1046" s="5" t="s">
        <v>746</v>
      </c>
    </row>
    <row r="1047" spans="1:249" s="5" customFormat="1" x14ac:dyDescent="0.25">
      <c r="A1047" s="5">
        <v>50</v>
      </c>
      <c r="B1047" s="5" t="s">
        <v>739</v>
      </c>
      <c r="C1047" s="5" t="s">
        <v>740</v>
      </c>
      <c r="D1047" s="5">
        <v>2000</v>
      </c>
      <c r="E1047" s="5">
        <v>1995</v>
      </c>
      <c r="F1047" s="5" t="s">
        <v>741</v>
      </c>
      <c r="H1047" s="32" t="s">
        <v>2831</v>
      </c>
      <c r="I1047" s="5">
        <v>41.84</v>
      </c>
      <c r="J1047" s="5">
        <v>-85.68</v>
      </c>
      <c r="K1047" s="5">
        <v>244</v>
      </c>
      <c r="Q1047" s="52">
        <v>1</v>
      </c>
      <c r="R1047" s="52" t="s">
        <v>1735</v>
      </c>
      <c r="S1047" s="52"/>
      <c r="T1047" s="52" t="s">
        <v>1971</v>
      </c>
      <c r="U1047" s="52" t="s">
        <v>1409</v>
      </c>
      <c r="V1047" s="52" t="s">
        <v>1734</v>
      </c>
      <c r="W1047" s="52" t="s">
        <v>1404</v>
      </c>
      <c r="X1047" s="52" t="s">
        <v>1421</v>
      </c>
      <c r="Z1047" s="332"/>
      <c r="AA1047" s="332"/>
      <c r="AB1047" s="5" t="s">
        <v>241</v>
      </c>
      <c r="AF1047" s="5" t="s">
        <v>1346</v>
      </c>
      <c r="AG1047" s="5" t="s">
        <v>132</v>
      </c>
      <c r="AH1047" s="138" t="s">
        <v>132</v>
      </c>
      <c r="AI1047" s="5" t="s">
        <v>133</v>
      </c>
      <c r="AJ1047" s="141" t="s">
        <v>133</v>
      </c>
      <c r="AQ1047" s="5" t="s">
        <v>744</v>
      </c>
      <c r="AR1047" s="5" t="s">
        <v>744</v>
      </c>
      <c r="AS1047" s="5" t="s">
        <v>178</v>
      </c>
      <c r="AT1047" s="5" t="s">
        <v>161</v>
      </c>
      <c r="BA1047" s="54"/>
      <c r="BB1047" s="5" t="s">
        <v>748</v>
      </c>
      <c r="BM1047" s="403"/>
      <c r="BN1047" s="403"/>
      <c r="BR1047" s="403"/>
      <c r="BS1047" s="403"/>
      <c r="BW1047" s="5">
        <v>8.07</v>
      </c>
      <c r="BX1047" s="5">
        <v>7</v>
      </c>
      <c r="CA1047" s="5" t="s">
        <v>747</v>
      </c>
      <c r="GM1047" s="39"/>
      <c r="GQ1047" s="39"/>
      <c r="IO1047" s="5" t="s">
        <v>746</v>
      </c>
    </row>
    <row r="1048" spans="1:249" s="28" customFormat="1" x14ac:dyDescent="0.25">
      <c r="A1048" s="28">
        <v>50</v>
      </c>
      <c r="B1048" s="28" t="s">
        <v>739</v>
      </c>
      <c r="C1048" s="28" t="s">
        <v>740</v>
      </c>
      <c r="D1048" s="28">
        <v>2000</v>
      </c>
      <c r="E1048" s="28">
        <v>1996</v>
      </c>
      <c r="F1048" s="28" t="s">
        <v>741</v>
      </c>
      <c r="H1048" s="32" t="s">
        <v>2831</v>
      </c>
      <c r="I1048" s="28">
        <v>41.84</v>
      </c>
      <c r="J1048" s="28">
        <v>-85.68</v>
      </c>
      <c r="K1048" s="28">
        <v>244</v>
      </c>
      <c r="Q1048" s="46">
        <v>2</v>
      </c>
      <c r="R1048" s="46" t="s">
        <v>1735</v>
      </c>
      <c r="S1048" s="46"/>
      <c r="T1048" s="46" t="s">
        <v>1971</v>
      </c>
      <c r="U1048" s="46" t="s">
        <v>1409</v>
      </c>
      <c r="V1048" s="46" t="s">
        <v>1734</v>
      </c>
      <c r="W1048" s="46" t="s">
        <v>1404</v>
      </c>
      <c r="X1048" s="46" t="s">
        <v>1421</v>
      </c>
      <c r="Z1048" s="326"/>
      <c r="AA1048" s="326"/>
      <c r="AB1048" s="28" t="s">
        <v>241</v>
      </c>
      <c r="AF1048" s="28" t="s">
        <v>1346</v>
      </c>
      <c r="AG1048" s="28" t="s">
        <v>132</v>
      </c>
      <c r="AH1048" s="138" t="s">
        <v>132</v>
      </c>
      <c r="AI1048" s="28" t="s">
        <v>133</v>
      </c>
      <c r="AJ1048" s="141" t="s">
        <v>133</v>
      </c>
      <c r="AQ1048" s="28" t="s">
        <v>743</v>
      </c>
      <c r="AR1048" s="28" t="s">
        <v>743</v>
      </c>
      <c r="AS1048" s="28" t="s">
        <v>178</v>
      </c>
      <c r="AT1048" s="28" t="s">
        <v>161</v>
      </c>
      <c r="AY1048" s="28">
        <v>754</v>
      </c>
      <c r="AZ1048" s="28">
        <f>AY1048/20</f>
        <v>37.700000000000003</v>
      </c>
      <c r="BB1048" s="28" t="s">
        <v>748</v>
      </c>
      <c r="BM1048" s="401"/>
      <c r="BN1048" s="401"/>
      <c r="BR1048" s="401"/>
      <c r="BS1048" s="401"/>
      <c r="BW1048" s="28">
        <v>1.27</v>
      </c>
      <c r="BX1048" s="28">
        <v>2.19</v>
      </c>
      <c r="CA1048" s="28" t="s">
        <v>747</v>
      </c>
      <c r="IO1048" s="5" t="s">
        <v>746</v>
      </c>
    </row>
    <row r="1049" spans="1:249" s="28" customFormat="1" x14ac:dyDescent="0.25">
      <c r="A1049" s="28">
        <v>50</v>
      </c>
      <c r="B1049" s="28" t="s">
        <v>739</v>
      </c>
      <c r="C1049" s="28" t="s">
        <v>740</v>
      </c>
      <c r="D1049" s="28">
        <v>2000</v>
      </c>
      <c r="E1049" s="28">
        <v>1996</v>
      </c>
      <c r="F1049" s="28" t="s">
        <v>741</v>
      </c>
      <c r="H1049" s="32" t="s">
        <v>2831</v>
      </c>
      <c r="I1049" s="28">
        <v>41.84</v>
      </c>
      <c r="J1049" s="28">
        <v>-85.68</v>
      </c>
      <c r="K1049" s="28">
        <v>244</v>
      </c>
      <c r="Q1049" s="46">
        <v>2</v>
      </c>
      <c r="R1049" s="46" t="s">
        <v>1735</v>
      </c>
      <c r="S1049" s="46"/>
      <c r="T1049" s="46" t="s">
        <v>1971</v>
      </c>
      <c r="U1049" s="46" t="s">
        <v>1409</v>
      </c>
      <c r="V1049" s="46" t="s">
        <v>1734</v>
      </c>
      <c r="W1049" s="46" t="s">
        <v>1404</v>
      </c>
      <c r="X1049" s="46" t="s">
        <v>1421</v>
      </c>
      <c r="Z1049" s="326"/>
      <c r="AA1049" s="326"/>
      <c r="AB1049" s="28" t="s">
        <v>241</v>
      </c>
      <c r="AF1049" s="28" t="s">
        <v>1346</v>
      </c>
      <c r="AG1049" s="28" t="s">
        <v>132</v>
      </c>
      <c r="AH1049" s="138" t="s">
        <v>132</v>
      </c>
      <c r="AI1049" s="28" t="s">
        <v>133</v>
      </c>
      <c r="AJ1049" s="141" t="s">
        <v>133</v>
      </c>
      <c r="AQ1049" s="28" t="s">
        <v>744</v>
      </c>
      <c r="AR1049" s="28" t="s">
        <v>744</v>
      </c>
      <c r="AS1049" s="28" t="s">
        <v>178</v>
      </c>
      <c r="AT1049" s="28" t="s">
        <v>161</v>
      </c>
      <c r="AY1049" s="28">
        <v>1763</v>
      </c>
      <c r="AZ1049" s="28">
        <f>AY1049/45.4</f>
        <v>38.832599118942731</v>
      </c>
      <c r="BB1049" s="28" t="s">
        <v>748</v>
      </c>
      <c r="BM1049" s="401"/>
      <c r="BN1049" s="401"/>
      <c r="BR1049" s="401"/>
      <c r="BS1049" s="401"/>
      <c r="BW1049" s="28">
        <v>2.0299999999999998</v>
      </c>
      <c r="BX1049" s="28">
        <v>1.62</v>
      </c>
      <c r="CA1049" s="28" t="s">
        <v>747</v>
      </c>
      <c r="IO1049" s="5" t="s">
        <v>746</v>
      </c>
    </row>
    <row r="1050" spans="1:249" s="5" customFormat="1" x14ac:dyDescent="0.25">
      <c r="A1050" s="5">
        <v>50</v>
      </c>
      <c r="B1050" s="5" t="s">
        <v>739</v>
      </c>
      <c r="C1050" s="5" t="s">
        <v>740</v>
      </c>
      <c r="D1050" s="5">
        <v>2000</v>
      </c>
      <c r="E1050" s="5">
        <v>1997</v>
      </c>
      <c r="F1050" s="5" t="s">
        <v>741</v>
      </c>
      <c r="H1050" s="32" t="s">
        <v>2831</v>
      </c>
      <c r="I1050" s="5">
        <v>41.84</v>
      </c>
      <c r="J1050" s="5">
        <v>-85.68</v>
      </c>
      <c r="K1050" s="5">
        <v>244</v>
      </c>
      <c r="Q1050" s="52">
        <v>3</v>
      </c>
      <c r="R1050" s="52" t="s">
        <v>1735</v>
      </c>
      <c r="S1050" s="52"/>
      <c r="T1050" s="52" t="s">
        <v>1971</v>
      </c>
      <c r="U1050" s="52" t="s">
        <v>1409</v>
      </c>
      <c r="V1050" s="52" t="s">
        <v>1734</v>
      </c>
      <c r="W1050" s="52" t="s">
        <v>1404</v>
      </c>
      <c r="X1050" s="52" t="s">
        <v>1421</v>
      </c>
      <c r="Z1050" s="332"/>
      <c r="AA1050" s="332"/>
      <c r="AB1050" s="5" t="s">
        <v>241</v>
      </c>
      <c r="AF1050" s="5" t="s">
        <v>1346</v>
      </c>
      <c r="AG1050" s="5" t="s">
        <v>132</v>
      </c>
      <c r="AH1050" s="138" t="s">
        <v>132</v>
      </c>
      <c r="AI1050" s="5" t="s">
        <v>133</v>
      </c>
      <c r="AJ1050" s="141" t="s">
        <v>133</v>
      </c>
      <c r="AQ1050" s="5" t="s">
        <v>743</v>
      </c>
      <c r="AR1050" s="5" t="s">
        <v>743</v>
      </c>
      <c r="AS1050" s="5" t="s">
        <v>178</v>
      </c>
      <c r="AT1050" s="5" t="s">
        <v>161</v>
      </c>
      <c r="AY1050" s="5">
        <v>1173</v>
      </c>
      <c r="AZ1050" s="5">
        <f>AY1050/40</f>
        <v>29.324999999999999</v>
      </c>
      <c r="BA1050" s="54"/>
      <c r="BB1050" s="5" t="s">
        <v>748</v>
      </c>
      <c r="BM1050" s="403"/>
      <c r="BN1050" s="403"/>
      <c r="BR1050" s="403"/>
      <c r="BS1050" s="403"/>
      <c r="BW1050" s="5">
        <v>2.06</v>
      </c>
      <c r="BX1050" s="5">
        <v>2.31</v>
      </c>
      <c r="CA1050" s="5" t="s">
        <v>747</v>
      </c>
      <c r="GM1050" s="39"/>
      <c r="GQ1050" s="39"/>
      <c r="IO1050" s="5" t="s">
        <v>746</v>
      </c>
    </row>
    <row r="1051" spans="1:249" s="5" customFormat="1" x14ac:dyDescent="0.25">
      <c r="A1051" s="5">
        <v>50</v>
      </c>
      <c r="B1051" s="5" t="s">
        <v>739</v>
      </c>
      <c r="C1051" s="5" t="s">
        <v>740</v>
      </c>
      <c r="D1051" s="5">
        <v>2000</v>
      </c>
      <c r="E1051" s="5">
        <v>1997</v>
      </c>
      <c r="F1051" s="5" t="s">
        <v>741</v>
      </c>
      <c r="H1051" s="32" t="s">
        <v>2831</v>
      </c>
      <c r="I1051" s="5">
        <v>41.84</v>
      </c>
      <c r="J1051" s="5">
        <v>-85.68</v>
      </c>
      <c r="K1051" s="5">
        <v>244</v>
      </c>
      <c r="Q1051" s="52">
        <v>3</v>
      </c>
      <c r="R1051" s="52" t="s">
        <v>1735</v>
      </c>
      <c r="S1051" s="52"/>
      <c r="T1051" s="52" t="s">
        <v>1971</v>
      </c>
      <c r="U1051" s="52" t="s">
        <v>1409</v>
      </c>
      <c r="V1051" s="52" t="s">
        <v>1734</v>
      </c>
      <c r="W1051" s="52" t="s">
        <v>1404</v>
      </c>
      <c r="X1051" s="52" t="s">
        <v>1421</v>
      </c>
      <c r="Z1051" s="332"/>
      <c r="AA1051" s="332"/>
      <c r="AB1051" s="5" t="s">
        <v>241</v>
      </c>
      <c r="AF1051" s="5" t="s">
        <v>1346</v>
      </c>
      <c r="AG1051" s="5" t="s">
        <v>132</v>
      </c>
      <c r="AH1051" s="138" t="s">
        <v>132</v>
      </c>
      <c r="AI1051" s="5" t="s">
        <v>133</v>
      </c>
      <c r="AJ1051" s="141" t="s">
        <v>133</v>
      </c>
      <c r="AQ1051" s="5" t="s">
        <v>744</v>
      </c>
      <c r="AR1051" s="5" t="s">
        <v>744</v>
      </c>
      <c r="AS1051" s="5" t="s">
        <v>178</v>
      </c>
      <c r="AT1051" s="5" t="s">
        <v>161</v>
      </c>
      <c r="AY1051" s="5">
        <v>2010</v>
      </c>
      <c r="AZ1051" s="5">
        <f>AY1051/56</f>
        <v>35.892857142857146</v>
      </c>
      <c r="BA1051" s="54"/>
      <c r="BB1051" s="5" t="s">
        <v>748</v>
      </c>
      <c r="BM1051" s="403"/>
      <c r="BN1051" s="403"/>
      <c r="BR1051" s="403"/>
      <c r="BS1051" s="403"/>
      <c r="BW1051" s="5">
        <v>2.3199999999999998</v>
      </c>
      <c r="BX1051" s="5">
        <v>2.82</v>
      </c>
      <c r="CA1051" s="5" t="s">
        <v>747</v>
      </c>
      <c r="GM1051" s="39"/>
      <c r="GQ1051" s="39"/>
      <c r="IO1051" s="5" t="s">
        <v>746</v>
      </c>
    </row>
    <row r="1052" spans="1:249" s="5" customFormat="1" x14ac:dyDescent="0.25">
      <c r="A1052" s="5">
        <v>50</v>
      </c>
      <c r="B1052" s="5" t="s">
        <v>739</v>
      </c>
      <c r="C1052" s="5" t="s">
        <v>740</v>
      </c>
      <c r="D1052" s="5">
        <v>2000</v>
      </c>
      <c r="E1052" s="5">
        <v>1995</v>
      </c>
      <c r="F1052" s="5" t="s">
        <v>741</v>
      </c>
      <c r="H1052" s="32" t="s">
        <v>2831</v>
      </c>
      <c r="I1052" s="5">
        <v>41.84</v>
      </c>
      <c r="J1052" s="5">
        <v>-85.68</v>
      </c>
      <c r="K1052" s="5">
        <v>244</v>
      </c>
      <c r="Q1052" s="52">
        <v>1</v>
      </c>
      <c r="R1052" s="52" t="s">
        <v>1735</v>
      </c>
      <c r="S1052" s="52"/>
      <c r="T1052" s="52" t="s">
        <v>1971</v>
      </c>
      <c r="U1052" s="52" t="s">
        <v>1410</v>
      </c>
      <c r="V1052" s="52" t="s">
        <v>1734</v>
      </c>
      <c r="W1052" s="52" t="s">
        <v>1404</v>
      </c>
      <c r="X1052" s="52" t="s">
        <v>1421</v>
      </c>
      <c r="Z1052" s="332"/>
      <c r="AA1052" s="332"/>
      <c r="AB1052" s="5" t="s">
        <v>241</v>
      </c>
      <c r="AF1052" s="5" t="s">
        <v>1346</v>
      </c>
      <c r="AG1052" s="5" t="s">
        <v>132</v>
      </c>
      <c r="AH1052" s="138" t="s">
        <v>132</v>
      </c>
      <c r="AI1052" s="5" t="s">
        <v>133</v>
      </c>
      <c r="AJ1052" s="141" t="s">
        <v>133</v>
      </c>
      <c r="AQ1052" s="5" t="s">
        <v>743</v>
      </c>
      <c r="AR1052" s="5" t="s">
        <v>743</v>
      </c>
      <c r="AS1052" s="5" t="s">
        <v>178</v>
      </c>
      <c r="AT1052" s="5" t="s">
        <v>161</v>
      </c>
      <c r="BA1052" s="54"/>
      <c r="BB1052" s="5" t="s">
        <v>749</v>
      </c>
      <c r="BM1052" s="403"/>
      <c r="BN1052" s="403"/>
      <c r="BR1052" s="403"/>
      <c r="BS1052" s="403"/>
      <c r="BW1052" s="5">
        <v>4.45</v>
      </c>
      <c r="BX1052" s="5">
        <v>2.08</v>
      </c>
      <c r="CA1052" s="5" t="s">
        <v>747</v>
      </c>
      <c r="GM1052" s="39"/>
      <c r="GQ1052" s="39"/>
      <c r="IO1052" s="5" t="s">
        <v>746</v>
      </c>
    </row>
    <row r="1053" spans="1:249" s="5" customFormat="1" x14ac:dyDescent="0.25">
      <c r="A1053" s="5">
        <v>50</v>
      </c>
      <c r="B1053" s="5" t="s">
        <v>739</v>
      </c>
      <c r="C1053" s="5" t="s">
        <v>740</v>
      </c>
      <c r="D1053" s="5">
        <v>2000</v>
      </c>
      <c r="E1053" s="5">
        <v>1995</v>
      </c>
      <c r="F1053" s="5" t="s">
        <v>741</v>
      </c>
      <c r="H1053" s="32" t="s">
        <v>2831</v>
      </c>
      <c r="I1053" s="5">
        <v>41.84</v>
      </c>
      <c r="J1053" s="5">
        <v>-85.68</v>
      </c>
      <c r="K1053" s="5">
        <v>244</v>
      </c>
      <c r="Q1053" s="52">
        <v>1</v>
      </c>
      <c r="R1053" s="52" t="s">
        <v>1735</v>
      </c>
      <c r="S1053" s="52"/>
      <c r="T1053" s="52" t="s">
        <v>1971</v>
      </c>
      <c r="U1053" s="52" t="s">
        <v>1410</v>
      </c>
      <c r="V1053" s="52" t="s">
        <v>1734</v>
      </c>
      <c r="W1053" s="52" t="s">
        <v>1404</v>
      </c>
      <c r="X1053" s="52" t="s">
        <v>1421</v>
      </c>
      <c r="Z1053" s="332"/>
      <c r="AA1053" s="332"/>
      <c r="AB1053" s="5" t="s">
        <v>241</v>
      </c>
      <c r="AF1053" s="5" t="s">
        <v>1346</v>
      </c>
      <c r="AG1053" s="5" t="s">
        <v>132</v>
      </c>
      <c r="AH1053" s="138" t="s">
        <v>132</v>
      </c>
      <c r="AI1053" s="5" t="s">
        <v>133</v>
      </c>
      <c r="AJ1053" s="141" t="s">
        <v>133</v>
      </c>
      <c r="AQ1053" s="5" t="s">
        <v>744</v>
      </c>
      <c r="AR1053" s="5" t="s">
        <v>744</v>
      </c>
      <c r="AS1053" s="5" t="s">
        <v>178</v>
      </c>
      <c r="AT1053" s="5" t="s">
        <v>161</v>
      </c>
      <c r="BA1053" s="54"/>
      <c r="BB1053" s="5" t="s">
        <v>749</v>
      </c>
      <c r="BM1053" s="403"/>
      <c r="BN1053" s="403"/>
      <c r="BR1053" s="403"/>
      <c r="BS1053" s="403"/>
      <c r="BW1053" s="5">
        <v>19.559999999999999</v>
      </c>
      <c r="BX1053" s="5">
        <v>13.24</v>
      </c>
      <c r="CA1053" s="5" t="s">
        <v>747</v>
      </c>
      <c r="GM1053" s="39"/>
      <c r="GQ1053" s="39"/>
      <c r="IO1053" s="5" t="s">
        <v>746</v>
      </c>
    </row>
    <row r="1054" spans="1:249" s="28" customFormat="1" x14ac:dyDescent="0.25">
      <c r="A1054" s="28">
        <v>50</v>
      </c>
      <c r="B1054" s="28" t="s">
        <v>739</v>
      </c>
      <c r="C1054" s="28" t="s">
        <v>740</v>
      </c>
      <c r="D1054" s="28">
        <v>2000</v>
      </c>
      <c r="E1054" s="28">
        <v>1996</v>
      </c>
      <c r="F1054" s="28" t="s">
        <v>741</v>
      </c>
      <c r="H1054" s="32" t="s">
        <v>2831</v>
      </c>
      <c r="I1054" s="28">
        <v>41.84</v>
      </c>
      <c r="J1054" s="28">
        <v>-85.68</v>
      </c>
      <c r="K1054" s="28">
        <v>244</v>
      </c>
      <c r="Q1054" s="46">
        <v>2</v>
      </c>
      <c r="R1054" s="46" t="s">
        <v>1735</v>
      </c>
      <c r="S1054" s="46"/>
      <c r="T1054" s="46" t="s">
        <v>1971</v>
      </c>
      <c r="U1054" s="46" t="s">
        <v>1410</v>
      </c>
      <c r="V1054" s="46" t="s">
        <v>1734</v>
      </c>
      <c r="W1054" s="46" t="s">
        <v>1404</v>
      </c>
      <c r="X1054" s="46" t="s">
        <v>1421</v>
      </c>
      <c r="Z1054" s="326"/>
      <c r="AA1054" s="326"/>
      <c r="AB1054" s="28" t="s">
        <v>241</v>
      </c>
      <c r="AF1054" s="28" t="s">
        <v>1346</v>
      </c>
      <c r="AG1054" s="28" t="s">
        <v>132</v>
      </c>
      <c r="AH1054" s="138" t="s">
        <v>132</v>
      </c>
      <c r="AI1054" s="28" t="s">
        <v>133</v>
      </c>
      <c r="AJ1054" s="141" t="s">
        <v>133</v>
      </c>
      <c r="AQ1054" s="28" t="s">
        <v>743</v>
      </c>
      <c r="AR1054" s="28" t="s">
        <v>743</v>
      </c>
      <c r="AS1054" s="28" t="s">
        <v>178</v>
      </c>
      <c r="AT1054" s="28" t="s">
        <v>161</v>
      </c>
      <c r="AY1054" s="28">
        <v>754</v>
      </c>
      <c r="AZ1054" s="28">
        <f>AY1054/20</f>
        <v>37.700000000000003</v>
      </c>
      <c r="BB1054" s="28" t="s">
        <v>749</v>
      </c>
      <c r="BM1054" s="401"/>
      <c r="BN1054" s="401"/>
      <c r="BR1054" s="401"/>
      <c r="BS1054" s="401"/>
      <c r="BW1054" s="28">
        <v>1.44</v>
      </c>
      <c r="BX1054" s="28">
        <v>1.3</v>
      </c>
      <c r="CA1054" s="28" t="s">
        <v>747</v>
      </c>
      <c r="IO1054" s="5" t="s">
        <v>746</v>
      </c>
    </row>
    <row r="1055" spans="1:249" s="28" customFormat="1" x14ac:dyDescent="0.25">
      <c r="A1055" s="28">
        <v>50</v>
      </c>
      <c r="B1055" s="28" t="s">
        <v>739</v>
      </c>
      <c r="C1055" s="28" t="s">
        <v>740</v>
      </c>
      <c r="D1055" s="28">
        <v>2000</v>
      </c>
      <c r="E1055" s="28">
        <v>1996</v>
      </c>
      <c r="F1055" s="28" t="s">
        <v>741</v>
      </c>
      <c r="H1055" s="32" t="s">
        <v>2831</v>
      </c>
      <c r="I1055" s="28">
        <v>41.84</v>
      </c>
      <c r="J1055" s="28">
        <v>-85.68</v>
      </c>
      <c r="K1055" s="28">
        <v>244</v>
      </c>
      <c r="Q1055" s="46">
        <v>2</v>
      </c>
      <c r="R1055" s="46" t="s">
        <v>1735</v>
      </c>
      <c r="S1055" s="46"/>
      <c r="T1055" s="46" t="s">
        <v>1971</v>
      </c>
      <c r="U1055" s="46" t="s">
        <v>1410</v>
      </c>
      <c r="V1055" s="46" t="s">
        <v>1734</v>
      </c>
      <c r="W1055" s="46" t="s">
        <v>1404</v>
      </c>
      <c r="X1055" s="46" t="s">
        <v>1421</v>
      </c>
      <c r="Z1055" s="326"/>
      <c r="AA1055" s="326"/>
      <c r="AB1055" s="28" t="s">
        <v>241</v>
      </c>
      <c r="AF1055" s="28" t="s">
        <v>1346</v>
      </c>
      <c r="AG1055" s="28" t="s">
        <v>132</v>
      </c>
      <c r="AH1055" s="138" t="s">
        <v>132</v>
      </c>
      <c r="AI1055" s="28" t="s">
        <v>133</v>
      </c>
      <c r="AJ1055" s="141" t="s">
        <v>133</v>
      </c>
      <c r="AQ1055" s="28" t="s">
        <v>744</v>
      </c>
      <c r="AR1055" s="28" t="s">
        <v>744</v>
      </c>
      <c r="AS1055" s="28" t="s">
        <v>178</v>
      </c>
      <c r="AT1055" s="28" t="s">
        <v>161</v>
      </c>
      <c r="AY1055" s="28">
        <v>1763</v>
      </c>
      <c r="AZ1055" s="28">
        <f>AY1055/45.4</f>
        <v>38.832599118942731</v>
      </c>
      <c r="BB1055" s="28" t="s">
        <v>749</v>
      </c>
      <c r="BM1055" s="401"/>
      <c r="BN1055" s="401"/>
      <c r="BR1055" s="401"/>
      <c r="BS1055" s="401"/>
      <c r="BW1055" s="28">
        <v>1.36</v>
      </c>
      <c r="BX1055" s="28">
        <v>1.1200000000000001</v>
      </c>
      <c r="CA1055" s="28" t="s">
        <v>747</v>
      </c>
      <c r="IO1055" s="5" t="s">
        <v>746</v>
      </c>
    </row>
    <row r="1056" spans="1:249" s="5" customFormat="1" x14ac:dyDescent="0.25">
      <c r="A1056" s="5">
        <v>50</v>
      </c>
      <c r="B1056" s="5" t="s">
        <v>739</v>
      </c>
      <c r="C1056" s="5" t="s">
        <v>740</v>
      </c>
      <c r="D1056" s="5">
        <v>2000</v>
      </c>
      <c r="E1056" s="5">
        <v>1997</v>
      </c>
      <c r="F1056" s="5" t="s">
        <v>741</v>
      </c>
      <c r="H1056" s="32" t="s">
        <v>2831</v>
      </c>
      <c r="I1056" s="5">
        <v>41.84</v>
      </c>
      <c r="J1056" s="5">
        <v>-85.68</v>
      </c>
      <c r="K1056" s="5">
        <v>244</v>
      </c>
      <c r="Q1056" s="52">
        <v>3</v>
      </c>
      <c r="R1056" s="52" t="s">
        <v>1735</v>
      </c>
      <c r="S1056" s="52"/>
      <c r="T1056" s="52" t="s">
        <v>1971</v>
      </c>
      <c r="U1056" s="52" t="s">
        <v>1410</v>
      </c>
      <c r="V1056" s="52" t="s">
        <v>1734</v>
      </c>
      <c r="W1056" s="52" t="s">
        <v>1404</v>
      </c>
      <c r="X1056" s="52" t="s">
        <v>1421</v>
      </c>
      <c r="Z1056" s="332"/>
      <c r="AA1056" s="332"/>
      <c r="AB1056" s="5" t="s">
        <v>241</v>
      </c>
      <c r="AF1056" s="5" t="s">
        <v>1346</v>
      </c>
      <c r="AG1056" s="5" t="s">
        <v>132</v>
      </c>
      <c r="AH1056" s="138" t="s">
        <v>132</v>
      </c>
      <c r="AI1056" s="5" t="s">
        <v>133</v>
      </c>
      <c r="AJ1056" s="141" t="s">
        <v>133</v>
      </c>
      <c r="AQ1056" s="5" t="s">
        <v>743</v>
      </c>
      <c r="AR1056" s="5" t="s">
        <v>743</v>
      </c>
      <c r="AS1056" s="5" t="s">
        <v>178</v>
      </c>
      <c r="AT1056" s="5" t="s">
        <v>161</v>
      </c>
      <c r="AY1056" s="5">
        <v>1173</v>
      </c>
      <c r="AZ1056" s="5">
        <f>AY1056/40</f>
        <v>29.324999999999999</v>
      </c>
      <c r="BA1056" s="54"/>
      <c r="BB1056" s="5" t="s">
        <v>749</v>
      </c>
      <c r="BM1056" s="403"/>
      <c r="BN1056" s="403"/>
      <c r="BR1056" s="403"/>
      <c r="BS1056" s="403"/>
      <c r="BW1056" s="5">
        <v>1.81</v>
      </c>
      <c r="BX1056" s="5">
        <v>1.58</v>
      </c>
      <c r="CA1056" s="5" t="s">
        <v>747</v>
      </c>
      <c r="GM1056" s="39"/>
      <c r="GQ1056" s="39"/>
      <c r="IO1056" s="5" t="s">
        <v>746</v>
      </c>
    </row>
    <row r="1057" spans="1:249" s="5" customFormat="1" x14ac:dyDescent="0.25">
      <c r="A1057" s="5">
        <v>50</v>
      </c>
      <c r="B1057" s="5" t="s">
        <v>739</v>
      </c>
      <c r="C1057" s="5" t="s">
        <v>740</v>
      </c>
      <c r="D1057" s="5">
        <v>2000</v>
      </c>
      <c r="E1057" s="5">
        <v>1997</v>
      </c>
      <c r="F1057" s="5" t="s">
        <v>741</v>
      </c>
      <c r="H1057" s="32" t="s">
        <v>2831</v>
      </c>
      <c r="I1057" s="5">
        <v>41.84</v>
      </c>
      <c r="J1057" s="5">
        <v>-85.68</v>
      </c>
      <c r="K1057" s="5">
        <v>244</v>
      </c>
      <c r="Q1057" s="52">
        <v>3</v>
      </c>
      <c r="R1057" s="52" t="s">
        <v>1735</v>
      </c>
      <c r="S1057" s="52"/>
      <c r="T1057" s="52" t="s">
        <v>1971</v>
      </c>
      <c r="U1057" s="52" t="s">
        <v>1410</v>
      </c>
      <c r="V1057" s="52" t="s">
        <v>1734</v>
      </c>
      <c r="W1057" s="52" t="s">
        <v>1404</v>
      </c>
      <c r="X1057" s="52" t="s">
        <v>1421</v>
      </c>
      <c r="Z1057" s="332"/>
      <c r="AA1057" s="332"/>
      <c r="AB1057" s="5" t="s">
        <v>241</v>
      </c>
      <c r="AF1057" s="5" t="s">
        <v>1346</v>
      </c>
      <c r="AG1057" s="5" t="s">
        <v>132</v>
      </c>
      <c r="AH1057" s="138" t="s">
        <v>132</v>
      </c>
      <c r="AI1057" s="5" t="s">
        <v>133</v>
      </c>
      <c r="AJ1057" s="141" t="s">
        <v>133</v>
      </c>
      <c r="AQ1057" s="5" t="s">
        <v>744</v>
      </c>
      <c r="AR1057" s="5" t="s">
        <v>744</v>
      </c>
      <c r="AS1057" s="5" t="s">
        <v>178</v>
      </c>
      <c r="AT1057" s="5" t="s">
        <v>161</v>
      </c>
      <c r="AY1057" s="5">
        <v>2010</v>
      </c>
      <c r="AZ1057" s="5">
        <f>AY1057/56</f>
        <v>35.892857142857146</v>
      </c>
      <c r="BA1057" s="54"/>
      <c r="BB1057" s="5" t="s">
        <v>749</v>
      </c>
      <c r="BM1057" s="403"/>
      <c r="BN1057" s="403"/>
      <c r="BR1057" s="403"/>
      <c r="BS1057" s="403"/>
      <c r="BW1057" s="5">
        <v>2.23</v>
      </c>
      <c r="BX1057" s="5">
        <v>1.91</v>
      </c>
      <c r="CA1057" s="5" t="s">
        <v>747</v>
      </c>
      <c r="GM1057" s="39"/>
      <c r="GQ1057" s="39"/>
      <c r="IO1057" s="5" t="s">
        <v>746</v>
      </c>
    </row>
    <row r="1058" spans="1:249" s="5" customFormat="1" x14ac:dyDescent="0.25">
      <c r="A1058" s="5">
        <v>50</v>
      </c>
      <c r="B1058" s="5" t="s">
        <v>739</v>
      </c>
      <c r="C1058" s="5" t="s">
        <v>740</v>
      </c>
      <c r="D1058" s="5">
        <v>2000</v>
      </c>
      <c r="E1058" s="5">
        <v>1995</v>
      </c>
      <c r="F1058" s="5" t="s">
        <v>741</v>
      </c>
      <c r="H1058" s="32" t="s">
        <v>2831</v>
      </c>
      <c r="I1058" s="5">
        <v>41.84</v>
      </c>
      <c r="J1058" s="5">
        <v>-85.68</v>
      </c>
      <c r="K1058" s="5">
        <v>244</v>
      </c>
      <c r="Q1058" s="52">
        <v>1</v>
      </c>
      <c r="R1058" s="52" t="s">
        <v>1735</v>
      </c>
      <c r="S1058" s="52"/>
      <c r="T1058" s="52" t="s">
        <v>1971</v>
      </c>
      <c r="U1058" s="52" t="s">
        <v>1411</v>
      </c>
      <c r="V1058" s="52" t="s">
        <v>1734</v>
      </c>
      <c r="W1058" s="52" t="s">
        <v>1404</v>
      </c>
      <c r="X1058" s="52" t="s">
        <v>1421</v>
      </c>
      <c r="Z1058" s="332"/>
      <c r="AA1058" s="332"/>
      <c r="AB1058" s="5" t="s">
        <v>241</v>
      </c>
      <c r="AF1058" s="5" t="s">
        <v>1346</v>
      </c>
      <c r="AG1058" s="5" t="s">
        <v>132</v>
      </c>
      <c r="AH1058" s="138" t="s">
        <v>132</v>
      </c>
      <c r="AI1058" s="5" t="s">
        <v>133</v>
      </c>
      <c r="AJ1058" s="141" t="s">
        <v>133</v>
      </c>
      <c r="AQ1058" s="5" t="s">
        <v>743</v>
      </c>
      <c r="AR1058" s="5" t="s">
        <v>743</v>
      </c>
      <c r="AS1058" s="5" t="s">
        <v>178</v>
      </c>
      <c r="AT1058" s="5" t="s">
        <v>161</v>
      </c>
      <c r="BA1058" s="54"/>
      <c r="BB1058" s="5" t="s">
        <v>750</v>
      </c>
      <c r="BM1058" s="403"/>
      <c r="BN1058" s="403"/>
      <c r="BR1058" s="403"/>
      <c r="BS1058" s="403"/>
      <c r="BW1058" s="5">
        <v>5.38</v>
      </c>
      <c r="BX1058" s="5">
        <v>1.92</v>
      </c>
      <c r="CA1058" s="5" t="s">
        <v>747</v>
      </c>
      <c r="GM1058" s="39"/>
      <c r="GQ1058" s="39"/>
      <c r="IO1058" s="5" t="s">
        <v>746</v>
      </c>
    </row>
    <row r="1059" spans="1:249" s="5" customFormat="1" x14ac:dyDescent="0.25">
      <c r="A1059" s="5">
        <v>50</v>
      </c>
      <c r="B1059" s="5" t="s">
        <v>739</v>
      </c>
      <c r="C1059" s="5" t="s">
        <v>740</v>
      </c>
      <c r="D1059" s="5">
        <v>2000</v>
      </c>
      <c r="E1059" s="5">
        <v>1995</v>
      </c>
      <c r="F1059" s="5" t="s">
        <v>741</v>
      </c>
      <c r="H1059" s="32" t="s">
        <v>2831</v>
      </c>
      <c r="I1059" s="5">
        <v>41.84</v>
      </c>
      <c r="J1059" s="5">
        <v>-85.68</v>
      </c>
      <c r="K1059" s="5">
        <v>244</v>
      </c>
      <c r="Q1059" s="52">
        <v>1</v>
      </c>
      <c r="R1059" s="52" t="s">
        <v>1735</v>
      </c>
      <c r="S1059" s="52"/>
      <c r="T1059" s="52" t="s">
        <v>1971</v>
      </c>
      <c r="U1059" s="52" t="s">
        <v>1411</v>
      </c>
      <c r="V1059" s="52" t="s">
        <v>1734</v>
      </c>
      <c r="W1059" s="52" t="s">
        <v>1404</v>
      </c>
      <c r="X1059" s="52" t="s">
        <v>1421</v>
      </c>
      <c r="Z1059" s="332"/>
      <c r="AA1059" s="332"/>
      <c r="AB1059" s="5" t="s">
        <v>241</v>
      </c>
      <c r="AF1059" s="5" t="s">
        <v>1346</v>
      </c>
      <c r="AG1059" s="5" t="s">
        <v>132</v>
      </c>
      <c r="AH1059" s="138" t="s">
        <v>132</v>
      </c>
      <c r="AI1059" s="5" t="s">
        <v>133</v>
      </c>
      <c r="AJ1059" s="141" t="s">
        <v>133</v>
      </c>
      <c r="AQ1059" s="5" t="s">
        <v>744</v>
      </c>
      <c r="AR1059" s="5" t="s">
        <v>744</v>
      </c>
      <c r="AS1059" s="5" t="s">
        <v>178</v>
      </c>
      <c r="AT1059" s="5" t="s">
        <v>161</v>
      </c>
      <c r="BA1059" s="54"/>
      <c r="BB1059" s="5" t="s">
        <v>750</v>
      </c>
      <c r="BM1059" s="403"/>
      <c r="BN1059" s="403"/>
      <c r="BR1059" s="403"/>
      <c r="BS1059" s="403"/>
      <c r="BW1059" s="5">
        <v>17.93</v>
      </c>
      <c r="BX1059" s="5">
        <v>8.61</v>
      </c>
      <c r="CA1059" s="5" t="s">
        <v>747</v>
      </c>
      <c r="GM1059" s="39"/>
      <c r="GQ1059" s="39"/>
      <c r="IO1059" s="5" t="s">
        <v>746</v>
      </c>
    </row>
    <row r="1060" spans="1:249" s="28" customFormat="1" x14ac:dyDescent="0.25">
      <c r="A1060" s="28">
        <v>50</v>
      </c>
      <c r="B1060" s="28" t="s">
        <v>739</v>
      </c>
      <c r="C1060" s="28" t="s">
        <v>740</v>
      </c>
      <c r="D1060" s="28">
        <v>2000</v>
      </c>
      <c r="E1060" s="28">
        <v>1996</v>
      </c>
      <c r="F1060" s="28" t="s">
        <v>741</v>
      </c>
      <c r="H1060" s="32" t="s">
        <v>2831</v>
      </c>
      <c r="I1060" s="28">
        <v>41.84</v>
      </c>
      <c r="J1060" s="28">
        <v>-85.68</v>
      </c>
      <c r="K1060" s="28">
        <v>244</v>
      </c>
      <c r="Q1060" s="46">
        <v>2</v>
      </c>
      <c r="R1060" s="46" t="s">
        <v>1735</v>
      </c>
      <c r="S1060" s="46"/>
      <c r="T1060" s="46" t="s">
        <v>1971</v>
      </c>
      <c r="U1060" s="46" t="s">
        <v>1411</v>
      </c>
      <c r="V1060" s="46" t="s">
        <v>1734</v>
      </c>
      <c r="W1060" s="46" t="s">
        <v>1404</v>
      </c>
      <c r="X1060" s="46" t="s">
        <v>1421</v>
      </c>
      <c r="Z1060" s="326"/>
      <c r="AA1060" s="326"/>
      <c r="AB1060" s="28" t="s">
        <v>241</v>
      </c>
      <c r="AF1060" s="28" t="s">
        <v>1346</v>
      </c>
      <c r="AG1060" s="28" t="s">
        <v>132</v>
      </c>
      <c r="AH1060" s="138" t="s">
        <v>132</v>
      </c>
      <c r="AI1060" s="28" t="s">
        <v>133</v>
      </c>
      <c r="AJ1060" s="141" t="s">
        <v>133</v>
      </c>
      <c r="AQ1060" s="28" t="s">
        <v>743</v>
      </c>
      <c r="AR1060" s="28" t="s">
        <v>743</v>
      </c>
      <c r="AS1060" s="28" t="s">
        <v>178</v>
      </c>
      <c r="AT1060" s="28" t="s">
        <v>161</v>
      </c>
      <c r="AY1060" s="28">
        <v>754</v>
      </c>
      <c r="AZ1060" s="28">
        <f>AY1060/20</f>
        <v>37.700000000000003</v>
      </c>
      <c r="BB1060" s="28" t="s">
        <v>750</v>
      </c>
      <c r="BM1060" s="401"/>
      <c r="BN1060" s="401"/>
      <c r="BR1060" s="401"/>
      <c r="BS1060" s="401"/>
      <c r="BW1060" s="28">
        <v>1.5</v>
      </c>
      <c r="BX1060" s="28">
        <v>1.29</v>
      </c>
      <c r="CA1060" s="28" t="s">
        <v>747</v>
      </c>
      <c r="IO1060" s="5" t="s">
        <v>746</v>
      </c>
    </row>
    <row r="1061" spans="1:249" s="28" customFormat="1" x14ac:dyDescent="0.25">
      <c r="A1061" s="28">
        <v>50</v>
      </c>
      <c r="B1061" s="28" t="s">
        <v>739</v>
      </c>
      <c r="C1061" s="28" t="s">
        <v>740</v>
      </c>
      <c r="D1061" s="28">
        <v>2000</v>
      </c>
      <c r="E1061" s="28">
        <v>1996</v>
      </c>
      <c r="F1061" s="28" t="s">
        <v>741</v>
      </c>
      <c r="H1061" s="32" t="s">
        <v>2831</v>
      </c>
      <c r="I1061" s="28">
        <v>41.84</v>
      </c>
      <c r="J1061" s="28">
        <v>-85.68</v>
      </c>
      <c r="K1061" s="28">
        <v>244</v>
      </c>
      <c r="Q1061" s="46">
        <v>2</v>
      </c>
      <c r="R1061" s="46" t="s">
        <v>1735</v>
      </c>
      <c r="S1061" s="46"/>
      <c r="T1061" s="46" t="s">
        <v>1971</v>
      </c>
      <c r="U1061" s="46" t="s">
        <v>1411</v>
      </c>
      <c r="V1061" s="46" t="s">
        <v>1734</v>
      </c>
      <c r="W1061" s="46" t="s">
        <v>1404</v>
      </c>
      <c r="X1061" s="46" t="s">
        <v>1421</v>
      </c>
      <c r="Z1061" s="326"/>
      <c r="AA1061" s="326"/>
      <c r="AB1061" s="28" t="s">
        <v>241</v>
      </c>
      <c r="AF1061" s="28" t="s">
        <v>1346</v>
      </c>
      <c r="AG1061" s="28" t="s">
        <v>132</v>
      </c>
      <c r="AH1061" s="138" t="s">
        <v>132</v>
      </c>
      <c r="AI1061" s="28" t="s">
        <v>133</v>
      </c>
      <c r="AJ1061" s="141" t="s">
        <v>133</v>
      </c>
      <c r="AQ1061" s="28" t="s">
        <v>744</v>
      </c>
      <c r="AR1061" s="28" t="s">
        <v>744</v>
      </c>
      <c r="AS1061" s="28" t="s">
        <v>178</v>
      </c>
      <c r="AT1061" s="28" t="s">
        <v>161</v>
      </c>
      <c r="AY1061" s="28">
        <v>1763</v>
      </c>
      <c r="AZ1061" s="28">
        <f>AY1061/45.4</f>
        <v>38.832599118942731</v>
      </c>
      <c r="BB1061" s="28" t="s">
        <v>750</v>
      </c>
      <c r="BM1061" s="401"/>
      <c r="BN1061" s="401"/>
      <c r="BR1061" s="401"/>
      <c r="BS1061" s="401"/>
      <c r="BW1061" s="28">
        <v>1.21</v>
      </c>
      <c r="BX1061" s="28">
        <v>1.1299999999999999</v>
      </c>
      <c r="CA1061" s="28" t="s">
        <v>747</v>
      </c>
      <c r="IO1061" s="5" t="s">
        <v>746</v>
      </c>
    </row>
    <row r="1062" spans="1:249" s="5" customFormat="1" x14ac:dyDescent="0.25">
      <c r="A1062" s="5">
        <v>50</v>
      </c>
      <c r="B1062" s="5" t="s">
        <v>739</v>
      </c>
      <c r="C1062" s="5" t="s">
        <v>740</v>
      </c>
      <c r="D1062" s="5">
        <v>2000</v>
      </c>
      <c r="E1062" s="5">
        <v>1997</v>
      </c>
      <c r="F1062" s="5" t="s">
        <v>741</v>
      </c>
      <c r="H1062" s="32" t="s">
        <v>2831</v>
      </c>
      <c r="I1062" s="5">
        <v>41.84</v>
      </c>
      <c r="J1062" s="5">
        <v>-85.68</v>
      </c>
      <c r="K1062" s="5">
        <v>244</v>
      </c>
      <c r="Q1062" s="52">
        <v>3</v>
      </c>
      <c r="R1062" s="52" t="s">
        <v>1735</v>
      </c>
      <c r="S1062" s="52"/>
      <c r="T1062" s="52" t="s">
        <v>1971</v>
      </c>
      <c r="U1062" s="52" t="s">
        <v>1411</v>
      </c>
      <c r="V1062" s="52" t="s">
        <v>1734</v>
      </c>
      <c r="W1062" s="52" t="s">
        <v>1404</v>
      </c>
      <c r="X1062" s="52" t="s">
        <v>1421</v>
      </c>
      <c r="Z1062" s="332"/>
      <c r="AA1062" s="332"/>
      <c r="AB1062" s="5" t="s">
        <v>241</v>
      </c>
      <c r="AF1062" s="5" t="s">
        <v>1346</v>
      </c>
      <c r="AG1062" s="5" t="s">
        <v>132</v>
      </c>
      <c r="AH1062" s="138" t="s">
        <v>132</v>
      </c>
      <c r="AI1062" s="5" t="s">
        <v>133</v>
      </c>
      <c r="AJ1062" s="141" t="s">
        <v>133</v>
      </c>
      <c r="AQ1062" s="5" t="s">
        <v>743</v>
      </c>
      <c r="AR1062" s="5" t="s">
        <v>743</v>
      </c>
      <c r="AS1062" s="5" t="s">
        <v>178</v>
      </c>
      <c r="AT1062" s="5" t="s">
        <v>161</v>
      </c>
      <c r="AY1062" s="5">
        <v>1173</v>
      </c>
      <c r="AZ1062" s="5">
        <f>AY1062/40</f>
        <v>29.324999999999999</v>
      </c>
      <c r="BA1062" s="54"/>
      <c r="BB1062" s="5" t="s">
        <v>750</v>
      </c>
      <c r="BM1062" s="403"/>
      <c r="BN1062" s="403"/>
      <c r="BR1062" s="403"/>
      <c r="BS1062" s="403"/>
      <c r="BW1062" s="5">
        <v>1.82</v>
      </c>
      <c r="BX1062" s="5">
        <v>1.83</v>
      </c>
      <c r="CA1062" s="5" t="s">
        <v>747</v>
      </c>
      <c r="GM1062" s="39"/>
      <c r="GQ1062" s="39"/>
      <c r="IO1062" s="5" t="s">
        <v>746</v>
      </c>
    </row>
    <row r="1063" spans="1:249" s="5" customFormat="1" x14ac:dyDescent="0.25">
      <c r="A1063" s="5">
        <v>50</v>
      </c>
      <c r="B1063" s="5" t="s">
        <v>739</v>
      </c>
      <c r="C1063" s="5" t="s">
        <v>740</v>
      </c>
      <c r="D1063" s="5">
        <v>2000</v>
      </c>
      <c r="E1063" s="5">
        <v>1997</v>
      </c>
      <c r="F1063" s="5" t="s">
        <v>741</v>
      </c>
      <c r="H1063" s="32" t="s">
        <v>2831</v>
      </c>
      <c r="I1063" s="5">
        <v>41.84</v>
      </c>
      <c r="J1063" s="5">
        <v>-85.68</v>
      </c>
      <c r="K1063" s="5">
        <v>244</v>
      </c>
      <c r="Q1063" s="52">
        <v>3</v>
      </c>
      <c r="R1063" s="52" t="s">
        <v>1735</v>
      </c>
      <c r="S1063" s="52"/>
      <c r="T1063" s="52" t="s">
        <v>1971</v>
      </c>
      <c r="U1063" s="52" t="s">
        <v>1411</v>
      </c>
      <c r="V1063" s="52" t="s">
        <v>1734</v>
      </c>
      <c r="W1063" s="52" t="s">
        <v>1404</v>
      </c>
      <c r="X1063" s="52" t="s">
        <v>1421</v>
      </c>
      <c r="Z1063" s="332"/>
      <c r="AA1063" s="332"/>
      <c r="AB1063" s="5" t="s">
        <v>241</v>
      </c>
      <c r="AF1063" s="5" t="s">
        <v>1346</v>
      </c>
      <c r="AG1063" s="5" t="s">
        <v>132</v>
      </c>
      <c r="AH1063" s="138" t="s">
        <v>132</v>
      </c>
      <c r="AI1063" s="5" t="s">
        <v>133</v>
      </c>
      <c r="AJ1063" s="141" t="s">
        <v>133</v>
      </c>
      <c r="AQ1063" s="5" t="s">
        <v>744</v>
      </c>
      <c r="AR1063" s="5" t="s">
        <v>744</v>
      </c>
      <c r="AS1063" s="5" t="s">
        <v>178</v>
      </c>
      <c r="AT1063" s="5" t="s">
        <v>161</v>
      </c>
      <c r="AY1063" s="5">
        <v>2010</v>
      </c>
      <c r="AZ1063" s="5">
        <f>AY1063/56</f>
        <v>35.892857142857146</v>
      </c>
      <c r="BA1063" s="54"/>
      <c r="BB1063" s="5" t="s">
        <v>750</v>
      </c>
      <c r="BM1063" s="403"/>
      <c r="BN1063" s="403"/>
      <c r="BR1063" s="403"/>
      <c r="BS1063" s="403"/>
      <c r="BW1063" s="5">
        <v>2.33</v>
      </c>
      <c r="BX1063" s="5">
        <v>1.92</v>
      </c>
      <c r="CA1063" s="5" t="s">
        <v>747</v>
      </c>
      <c r="GM1063" s="39"/>
      <c r="GQ1063" s="39"/>
      <c r="IO1063" s="5" t="s">
        <v>746</v>
      </c>
    </row>
    <row r="1064" spans="1:249" s="24" customFormat="1" x14ac:dyDescent="0.25">
      <c r="A1064" s="24">
        <v>51</v>
      </c>
      <c r="B1064" s="24" t="s">
        <v>752</v>
      </c>
      <c r="C1064" s="24" t="s">
        <v>753</v>
      </c>
      <c r="D1064" s="24">
        <v>2017</v>
      </c>
      <c r="E1064" s="24">
        <v>2011</v>
      </c>
      <c r="F1064" s="24" t="s">
        <v>297</v>
      </c>
      <c r="G1064" s="24" t="s">
        <v>319</v>
      </c>
      <c r="H1064" s="32" t="s">
        <v>2831</v>
      </c>
      <c r="I1064" s="24">
        <v>40.716666666666669</v>
      </c>
      <c r="J1064" s="24">
        <v>-77.916666666666671</v>
      </c>
      <c r="K1064" s="24">
        <v>376</v>
      </c>
      <c r="O1064" s="24">
        <v>975</v>
      </c>
      <c r="Q1064" s="42" t="s">
        <v>1856</v>
      </c>
      <c r="R1064" s="42" t="s">
        <v>1735</v>
      </c>
      <c r="S1064" s="42"/>
      <c r="T1064" s="42" t="s">
        <v>1972</v>
      </c>
      <c r="U1064" s="42" t="s">
        <v>1381</v>
      </c>
      <c r="V1064" s="42" t="s">
        <v>1381</v>
      </c>
      <c r="W1064" s="42" t="s">
        <v>1381</v>
      </c>
      <c r="X1064" s="42" t="s">
        <v>1381</v>
      </c>
      <c r="Z1064" s="321"/>
      <c r="AA1064" s="321"/>
      <c r="AB1064" s="24" t="s">
        <v>451</v>
      </c>
      <c r="AG1064" s="24" t="s">
        <v>244</v>
      </c>
      <c r="AH1064" s="138" t="s">
        <v>578</v>
      </c>
      <c r="AI1064" s="24" t="s">
        <v>1531</v>
      </c>
      <c r="AJ1064" s="140" t="s">
        <v>117</v>
      </c>
      <c r="AT1064" s="24" t="s">
        <v>161</v>
      </c>
      <c r="BM1064" s="395"/>
      <c r="BN1064" s="395"/>
      <c r="BR1064" s="395"/>
      <c r="BS1064" s="395"/>
      <c r="FX1064" s="24">
        <v>1.71</v>
      </c>
      <c r="FY1064" s="24">
        <v>3.08</v>
      </c>
      <c r="GB1064" s="24" t="s">
        <v>754</v>
      </c>
      <c r="IO1064" s="24" t="s">
        <v>754</v>
      </c>
    </row>
    <row r="1065" spans="1:249" s="24" customFormat="1" x14ac:dyDescent="0.25">
      <c r="A1065" s="24">
        <v>51</v>
      </c>
      <c r="B1065" s="24" t="s">
        <v>752</v>
      </c>
      <c r="C1065" s="24" t="s">
        <v>753</v>
      </c>
      <c r="D1065" s="24">
        <v>2017</v>
      </c>
      <c r="E1065" s="24">
        <v>2011</v>
      </c>
      <c r="F1065" s="24" t="s">
        <v>297</v>
      </c>
      <c r="G1065" s="24" t="s">
        <v>319</v>
      </c>
      <c r="H1065" s="32" t="s">
        <v>2831</v>
      </c>
      <c r="I1065" s="24">
        <v>40.716666666666669</v>
      </c>
      <c r="J1065" s="24">
        <v>-77.916666666666671</v>
      </c>
      <c r="K1065" s="24">
        <v>376</v>
      </c>
      <c r="O1065" s="24">
        <v>975</v>
      </c>
      <c r="Q1065" s="42" t="s">
        <v>1856</v>
      </c>
      <c r="R1065" s="42" t="s">
        <v>1735</v>
      </c>
      <c r="S1065" s="42"/>
      <c r="T1065" s="42" t="s">
        <v>1972</v>
      </c>
      <c r="U1065" s="42" t="s">
        <v>1381</v>
      </c>
      <c r="V1065" s="42" t="s">
        <v>1381</v>
      </c>
      <c r="W1065" s="42" t="s">
        <v>1381</v>
      </c>
      <c r="X1065" s="42" t="s">
        <v>1381</v>
      </c>
      <c r="Z1065" s="321"/>
      <c r="AA1065" s="321"/>
      <c r="AB1065" s="24" t="s">
        <v>451</v>
      </c>
      <c r="AG1065" s="24" t="s">
        <v>132</v>
      </c>
      <c r="AH1065" s="138" t="s">
        <v>132</v>
      </c>
      <c r="AI1065" s="24" t="s">
        <v>1531</v>
      </c>
      <c r="AJ1065" s="140" t="s">
        <v>117</v>
      </c>
      <c r="AT1065" s="24" t="s">
        <v>161</v>
      </c>
      <c r="BM1065" s="395"/>
      <c r="BN1065" s="395"/>
      <c r="BR1065" s="395"/>
      <c r="BS1065" s="395"/>
      <c r="FX1065" s="24">
        <v>1.71</v>
      </c>
      <c r="FY1065" s="24">
        <v>1.47</v>
      </c>
      <c r="GB1065" s="24" t="s">
        <v>754</v>
      </c>
      <c r="IO1065" s="24" t="s">
        <v>754</v>
      </c>
    </row>
    <row r="1066" spans="1:249" s="28" customFormat="1" x14ac:dyDescent="0.25">
      <c r="A1066" s="28">
        <v>52</v>
      </c>
      <c r="B1066" s="28" t="s">
        <v>755</v>
      </c>
      <c r="C1066" s="28" t="s">
        <v>756</v>
      </c>
      <c r="D1066" s="28">
        <v>1998</v>
      </c>
      <c r="E1066" s="28">
        <v>1989</v>
      </c>
      <c r="F1066" s="28" t="s">
        <v>757</v>
      </c>
      <c r="H1066" s="32" t="s">
        <v>2831</v>
      </c>
      <c r="I1066" s="28">
        <v>38.630000000000003</v>
      </c>
      <c r="J1066" s="28">
        <v>-75.459999999999994</v>
      </c>
      <c r="K1066" s="28">
        <v>10.8</v>
      </c>
      <c r="Q1066" s="46">
        <v>1</v>
      </c>
      <c r="R1066" s="46" t="s">
        <v>1735</v>
      </c>
      <c r="S1066" s="46"/>
      <c r="T1066" s="46" t="s">
        <v>1973</v>
      </c>
      <c r="U1066" s="46" t="s">
        <v>1386</v>
      </c>
      <c r="V1066" s="46" t="s">
        <v>1724</v>
      </c>
      <c r="W1066" s="46" t="s">
        <v>1386</v>
      </c>
      <c r="X1066" s="46" t="s">
        <v>1386</v>
      </c>
      <c r="Z1066" s="326"/>
      <c r="AA1066" s="326"/>
      <c r="AB1066" s="28" t="s">
        <v>176</v>
      </c>
      <c r="AF1066" s="28" t="s">
        <v>1347</v>
      </c>
      <c r="AG1066" s="28" t="s">
        <v>132</v>
      </c>
      <c r="AH1066" s="138" t="s">
        <v>132</v>
      </c>
      <c r="AI1066" s="28" t="s">
        <v>133</v>
      </c>
      <c r="AJ1066" s="141" t="s">
        <v>133</v>
      </c>
      <c r="AN1066" s="28" t="s">
        <v>157</v>
      </c>
      <c r="AO1066" s="28" t="s">
        <v>157</v>
      </c>
      <c r="AP1066" s="28" t="s">
        <v>178</v>
      </c>
      <c r="AQ1066" s="28" t="s">
        <v>758</v>
      </c>
      <c r="AR1066" s="28" t="s">
        <v>758</v>
      </c>
      <c r="AS1066" s="28" t="s">
        <v>178</v>
      </c>
      <c r="AT1066" s="28" t="s">
        <v>161</v>
      </c>
      <c r="AU1066" s="28">
        <v>3</v>
      </c>
      <c r="AW1066" s="28" t="s">
        <v>142</v>
      </c>
      <c r="BH1066" s="28">
        <v>8568</v>
      </c>
      <c r="BI1066" s="28">
        <v>8517</v>
      </c>
      <c r="BM1066" s="401"/>
      <c r="BN1066" s="401"/>
      <c r="BR1066" s="401"/>
      <c r="BS1066" s="401"/>
      <c r="BW1066" s="28">
        <f>(10.1+8.1)/2</f>
        <v>9.1</v>
      </c>
      <c r="BX1066" s="28">
        <f>(9.8+4)/2</f>
        <v>6.9</v>
      </c>
      <c r="CA1066" s="28" t="s">
        <v>1681</v>
      </c>
      <c r="EO1066" s="28">
        <v>64.2</v>
      </c>
      <c r="EP1066" s="28">
        <v>41.6</v>
      </c>
      <c r="ES1066" s="28" t="s">
        <v>767</v>
      </c>
      <c r="IO1066" s="28" t="s">
        <v>768</v>
      </c>
    </row>
    <row r="1067" spans="1:249" s="28" customFormat="1" x14ac:dyDescent="0.25">
      <c r="A1067" s="28">
        <v>52</v>
      </c>
      <c r="B1067" s="28" t="s">
        <v>755</v>
      </c>
      <c r="C1067" s="28" t="s">
        <v>756</v>
      </c>
      <c r="D1067" s="28">
        <v>1998</v>
      </c>
      <c r="E1067" s="28">
        <v>1989</v>
      </c>
      <c r="F1067" s="28" t="s">
        <v>757</v>
      </c>
      <c r="H1067" s="32" t="s">
        <v>2831</v>
      </c>
      <c r="I1067" s="28">
        <v>38.630000000000003</v>
      </c>
      <c r="J1067" s="28">
        <v>-75.459999999999994</v>
      </c>
      <c r="K1067" s="28">
        <v>10.8</v>
      </c>
      <c r="Q1067" s="46">
        <v>1</v>
      </c>
      <c r="R1067" s="46" t="s">
        <v>1735</v>
      </c>
      <c r="S1067" s="46"/>
      <c r="T1067" s="46" t="s">
        <v>1973</v>
      </c>
      <c r="U1067" s="46" t="s">
        <v>1386</v>
      </c>
      <c r="V1067" s="46" t="s">
        <v>1724</v>
      </c>
      <c r="W1067" s="46" t="s">
        <v>1386</v>
      </c>
      <c r="X1067" s="46" t="s">
        <v>1386</v>
      </c>
      <c r="Z1067" s="326"/>
      <c r="AA1067" s="326"/>
      <c r="AB1067" s="28" t="s">
        <v>176</v>
      </c>
      <c r="AF1067" s="28" t="s">
        <v>1347</v>
      </c>
      <c r="AG1067" s="28" t="s">
        <v>132</v>
      </c>
      <c r="AH1067" s="138" t="s">
        <v>132</v>
      </c>
      <c r="AI1067" s="28" t="s">
        <v>133</v>
      </c>
      <c r="AJ1067" s="141" t="s">
        <v>133</v>
      </c>
      <c r="AN1067" s="28" t="s">
        <v>157</v>
      </c>
      <c r="AO1067" s="28" t="s">
        <v>157</v>
      </c>
      <c r="AP1067" s="28" t="s">
        <v>178</v>
      </c>
      <c r="AQ1067" s="28" t="s">
        <v>759</v>
      </c>
      <c r="AR1067" s="28" t="s">
        <v>759</v>
      </c>
      <c r="AS1067" s="28" t="s">
        <v>178</v>
      </c>
      <c r="AT1067" s="28" t="s">
        <v>161</v>
      </c>
      <c r="AU1067" s="28">
        <v>3</v>
      </c>
      <c r="AW1067" s="28" t="s">
        <v>142</v>
      </c>
      <c r="BH1067" s="28">
        <v>8517</v>
      </c>
      <c r="BI1067" s="28">
        <v>8210</v>
      </c>
      <c r="BM1067" s="401"/>
      <c r="BN1067" s="401"/>
      <c r="BR1067" s="401"/>
      <c r="BS1067" s="401"/>
      <c r="BW1067" s="28">
        <f>(7.5+7)/2</f>
        <v>7.25</v>
      </c>
      <c r="BX1067" s="28">
        <f>(8.5+8.4)/2</f>
        <v>8.4499999999999993</v>
      </c>
      <c r="CA1067" s="28" t="s">
        <v>1681</v>
      </c>
      <c r="EO1067" s="28">
        <v>43.8</v>
      </c>
      <c r="EP1067" s="28">
        <v>37.799999999999997</v>
      </c>
      <c r="ES1067" s="28" t="s">
        <v>767</v>
      </c>
      <c r="IO1067" s="28" t="s">
        <v>768</v>
      </c>
    </row>
    <row r="1068" spans="1:249" s="28" customFormat="1" x14ac:dyDescent="0.25">
      <c r="A1068" s="28">
        <v>52</v>
      </c>
      <c r="B1068" s="28" t="s">
        <v>755</v>
      </c>
      <c r="C1068" s="28" t="s">
        <v>756</v>
      </c>
      <c r="D1068" s="28">
        <v>1998</v>
      </c>
      <c r="E1068" s="28">
        <v>1989</v>
      </c>
      <c r="F1068" s="28" t="s">
        <v>757</v>
      </c>
      <c r="H1068" s="32" t="s">
        <v>2831</v>
      </c>
      <c r="I1068" s="28">
        <v>38.630000000000003</v>
      </c>
      <c r="J1068" s="28">
        <v>-75.459999999999994</v>
      </c>
      <c r="K1068" s="28">
        <v>10.8</v>
      </c>
      <c r="Q1068" s="46">
        <v>1</v>
      </c>
      <c r="R1068" s="46" t="s">
        <v>1735</v>
      </c>
      <c r="S1068" s="46"/>
      <c r="T1068" s="46" t="s">
        <v>1973</v>
      </c>
      <c r="U1068" s="46" t="s">
        <v>1386</v>
      </c>
      <c r="V1068" s="46" t="s">
        <v>1724</v>
      </c>
      <c r="W1068" s="46" t="s">
        <v>1386</v>
      </c>
      <c r="X1068" s="46" t="s">
        <v>1386</v>
      </c>
      <c r="Z1068" s="326"/>
      <c r="AA1068" s="326"/>
      <c r="AB1068" s="28" t="s">
        <v>176</v>
      </c>
      <c r="AF1068" s="28" t="s">
        <v>1347</v>
      </c>
      <c r="AG1068" s="28" t="s">
        <v>132</v>
      </c>
      <c r="AH1068" s="138" t="s">
        <v>132</v>
      </c>
      <c r="AI1068" s="28" t="s">
        <v>133</v>
      </c>
      <c r="AJ1068" s="141" t="s">
        <v>133</v>
      </c>
      <c r="AN1068" s="28" t="s">
        <v>157</v>
      </c>
      <c r="AO1068" s="28" t="s">
        <v>157</v>
      </c>
      <c r="AP1068" s="28" t="s">
        <v>178</v>
      </c>
      <c r="AQ1068" s="28" t="s">
        <v>760</v>
      </c>
      <c r="AR1068" s="28" t="s">
        <v>760</v>
      </c>
      <c r="AS1068" s="28" t="s">
        <v>178</v>
      </c>
      <c r="AT1068" s="28" t="s">
        <v>161</v>
      </c>
      <c r="AU1068" s="28">
        <v>3</v>
      </c>
      <c r="AW1068" s="28" t="s">
        <v>142</v>
      </c>
      <c r="BH1068" s="28">
        <v>7764</v>
      </c>
      <c r="BI1068" s="28">
        <v>8391</v>
      </c>
      <c r="BM1068" s="401"/>
      <c r="BN1068" s="401"/>
      <c r="BR1068" s="401"/>
      <c r="BS1068" s="401"/>
      <c r="EO1068" s="28">
        <v>58.1</v>
      </c>
      <c r="EP1068" s="28">
        <v>40.799999999999997</v>
      </c>
      <c r="ES1068" s="28" t="s">
        <v>767</v>
      </c>
      <c r="IO1068" s="28" t="s">
        <v>768</v>
      </c>
    </row>
    <row r="1069" spans="1:249" s="28" customFormat="1" x14ac:dyDescent="0.25">
      <c r="A1069" s="28">
        <v>52</v>
      </c>
      <c r="B1069" s="28" t="s">
        <v>755</v>
      </c>
      <c r="C1069" s="28" t="s">
        <v>756</v>
      </c>
      <c r="D1069" s="28">
        <v>1998</v>
      </c>
      <c r="E1069" s="28">
        <v>1989</v>
      </c>
      <c r="F1069" s="28" t="s">
        <v>757</v>
      </c>
      <c r="H1069" s="32" t="s">
        <v>2831</v>
      </c>
      <c r="I1069" s="28">
        <v>38.630000000000003</v>
      </c>
      <c r="J1069" s="28">
        <v>-75.459999999999994</v>
      </c>
      <c r="K1069" s="28">
        <v>10.8</v>
      </c>
      <c r="Q1069" s="46">
        <v>1</v>
      </c>
      <c r="R1069" s="46" t="s">
        <v>1735</v>
      </c>
      <c r="S1069" s="46"/>
      <c r="T1069" s="46" t="s">
        <v>1973</v>
      </c>
      <c r="U1069" s="46" t="s">
        <v>1386</v>
      </c>
      <c r="V1069" s="46" t="s">
        <v>1724</v>
      </c>
      <c r="W1069" s="46" t="s">
        <v>1386</v>
      </c>
      <c r="X1069" s="46" t="s">
        <v>1386</v>
      </c>
      <c r="Z1069" s="326"/>
      <c r="AA1069" s="326"/>
      <c r="AB1069" s="28" t="s">
        <v>176</v>
      </c>
      <c r="AF1069" s="28" t="s">
        <v>1347</v>
      </c>
      <c r="AG1069" s="28" t="s">
        <v>132</v>
      </c>
      <c r="AH1069" s="138" t="s">
        <v>132</v>
      </c>
      <c r="AI1069" s="28" t="s">
        <v>133</v>
      </c>
      <c r="AJ1069" s="141" t="s">
        <v>133</v>
      </c>
      <c r="AN1069" s="28" t="s">
        <v>157</v>
      </c>
      <c r="AO1069" s="28" t="s">
        <v>157</v>
      </c>
      <c r="AP1069" s="28" t="s">
        <v>178</v>
      </c>
      <c r="AQ1069" s="28" t="s">
        <v>760</v>
      </c>
      <c r="AR1069" s="28" t="s">
        <v>760</v>
      </c>
      <c r="AS1069" s="28" t="s">
        <v>178</v>
      </c>
      <c r="AT1069" s="28" t="s">
        <v>161</v>
      </c>
      <c r="AU1069" s="28">
        <v>3</v>
      </c>
      <c r="AW1069" s="28" t="s">
        <v>142</v>
      </c>
      <c r="BM1069" s="401"/>
      <c r="BN1069" s="401"/>
      <c r="BR1069" s="401"/>
      <c r="BS1069" s="401"/>
      <c r="EO1069" s="28">
        <v>24</v>
      </c>
      <c r="EP1069" s="28">
        <v>15.8</v>
      </c>
      <c r="ES1069" s="28" t="s">
        <v>767</v>
      </c>
      <c r="IO1069" s="28" t="s">
        <v>768</v>
      </c>
    </row>
    <row r="1070" spans="1:249" s="33" customFormat="1" x14ac:dyDescent="0.25">
      <c r="A1070" s="33">
        <v>52</v>
      </c>
      <c r="B1070" s="33" t="s">
        <v>755</v>
      </c>
      <c r="C1070" s="33" t="s">
        <v>756</v>
      </c>
      <c r="D1070" s="33">
        <v>1998</v>
      </c>
      <c r="E1070" s="33">
        <v>1989</v>
      </c>
      <c r="F1070" s="33" t="s">
        <v>757</v>
      </c>
      <c r="H1070" s="32" t="s">
        <v>2831</v>
      </c>
      <c r="I1070" s="33">
        <v>38.630000000000003</v>
      </c>
      <c r="J1070" s="33">
        <v>-75.459999999999994</v>
      </c>
      <c r="K1070" s="33">
        <v>10.8</v>
      </c>
      <c r="Q1070" s="47">
        <v>1</v>
      </c>
      <c r="R1070" s="47" t="s">
        <v>1735</v>
      </c>
      <c r="S1070" s="47"/>
      <c r="T1070" s="47" t="s">
        <v>1973</v>
      </c>
      <c r="U1070" s="47" t="s">
        <v>1386</v>
      </c>
      <c r="V1070" s="47" t="s">
        <v>1724</v>
      </c>
      <c r="W1070" s="47" t="s">
        <v>1386</v>
      </c>
      <c r="X1070" s="47" t="s">
        <v>1386</v>
      </c>
      <c r="Z1070" s="327"/>
      <c r="AA1070" s="327"/>
      <c r="AB1070" s="33" t="s">
        <v>176</v>
      </c>
      <c r="AF1070" s="33" t="s">
        <v>1347</v>
      </c>
      <c r="AG1070" s="33" t="s">
        <v>132</v>
      </c>
      <c r="AH1070" s="138" t="s">
        <v>132</v>
      </c>
      <c r="AI1070" s="33" t="s">
        <v>133</v>
      </c>
      <c r="AJ1070" s="141" t="s">
        <v>133</v>
      </c>
      <c r="AN1070" s="33" t="s">
        <v>232</v>
      </c>
      <c r="AO1070" s="33" t="s">
        <v>232</v>
      </c>
      <c r="AP1070" s="33" t="s">
        <v>178</v>
      </c>
      <c r="AQ1070" s="33" t="s">
        <v>758</v>
      </c>
      <c r="AR1070" s="33" t="s">
        <v>758</v>
      </c>
      <c r="AS1070" s="33" t="s">
        <v>178</v>
      </c>
      <c r="AT1070" s="33" t="s">
        <v>161</v>
      </c>
      <c r="AU1070" s="33">
        <v>3</v>
      </c>
      <c r="AW1070" s="33" t="s">
        <v>142</v>
      </c>
      <c r="BH1070" s="33">
        <v>8210</v>
      </c>
      <c r="BI1070" s="33">
        <v>7539</v>
      </c>
      <c r="BM1070" s="402"/>
      <c r="BN1070" s="402"/>
      <c r="BR1070" s="402"/>
      <c r="BS1070" s="402"/>
      <c r="BW1070" s="33">
        <f>(9.8+4.8)/2</f>
        <v>7.3000000000000007</v>
      </c>
      <c r="BX1070" s="33">
        <f>(7.7+6.4)/2</f>
        <v>7.0500000000000007</v>
      </c>
      <c r="CA1070" s="33" t="s">
        <v>1681</v>
      </c>
      <c r="EO1070" s="33">
        <v>61.6</v>
      </c>
      <c r="EP1070" s="33">
        <v>31</v>
      </c>
      <c r="ES1070" s="33" t="s">
        <v>767</v>
      </c>
      <c r="IO1070" s="33" t="s">
        <v>768</v>
      </c>
    </row>
    <row r="1071" spans="1:249" s="33" customFormat="1" x14ac:dyDescent="0.25">
      <c r="A1071" s="33">
        <v>52</v>
      </c>
      <c r="B1071" s="33" t="s">
        <v>755</v>
      </c>
      <c r="C1071" s="33" t="s">
        <v>756</v>
      </c>
      <c r="D1071" s="33">
        <v>1998</v>
      </c>
      <c r="E1071" s="33">
        <v>1989</v>
      </c>
      <c r="F1071" s="33" t="s">
        <v>757</v>
      </c>
      <c r="H1071" s="32" t="s">
        <v>2831</v>
      </c>
      <c r="I1071" s="33">
        <v>38.630000000000003</v>
      </c>
      <c r="J1071" s="33">
        <v>-75.459999999999994</v>
      </c>
      <c r="K1071" s="33">
        <v>10.8</v>
      </c>
      <c r="Q1071" s="47">
        <v>1</v>
      </c>
      <c r="R1071" s="47" t="s">
        <v>1735</v>
      </c>
      <c r="S1071" s="47"/>
      <c r="T1071" s="47" t="s">
        <v>1973</v>
      </c>
      <c r="U1071" s="47" t="s">
        <v>1386</v>
      </c>
      <c r="V1071" s="47" t="s">
        <v>1724</v>
      </c>
      <c r="W1071" s="47" t="s">
        <v>1386</v>
      </c>
      <c r="X1071" s="47" t="s">
        <v>1386</v>
      </c>
      <c r="Z1071" s="327"/>
      <c r="AA1071" s="327"/>
      <c r="AB1071" s="33" t="s">
        <v>176</v>
      </c>
      <c r="AF1071" s="33" t="s">
        <v>1347</v>
      </c>
      <c r="AG1071" s="33" t="s">
        <v>132</v>
      </c>
      <c r="AH1071" s="138" t="s">
        <v>132</v>
      </c>
      <c r="AI1071" s="33" t="s">
        <v>133</v>
      </c>
      <c r="AJ1071" s="141" t="s">
        <v>133</v>
      </c>
      <c r="AN1071" s="33" t="s">
        <v>232</v>
      </c>
      <c r="AO1071" s="33" t="s">
        <v>232</v>
      </c>
      <c r="AP1071" s="33" t="s">
        <v>178</v>
      </c>
      <c r="AQ1071" s="33" t="s">
        <v>759</v>
      </c>
      <c r="AR1071" s="33" t="s">
        <v>759</v>
      </c>
      <c r="AS1071" s="33" t="s">
        <v>178</v>
      </c>
      <c r="AT1071" s="33" t="s">
        <v>161</v>
      </c>
      <c r="AU1071" s="33">
        <v>3</v>
      </c>
      <c r="AW1071" s="33" t="s">
        <v>142</v>
      </c>
      <c r="BH1071" s="33">
        <v>8963</v>
      </c>
      <c r="BI1071" s="33">
        <v>8109</v>
      </c>
      <c r="BM1071" s="402"/>
      <c r="BN1071" s="402"/>
      <c r="BR1071" s="402"/>
      <c r="BS1071" s="402"/>
      <c r="BW1071" s="33">
        <f>(9.9+7)/2</f>
        <v>8.4499999999999993</v>
      </c>
      <c r="BX1071" s="33">
        <f>(7.7+6.8)/2</f>
        <v>7.25</v>
      </c>
      <c r="CA1071" s="33" t="s">
        <v>1681</v>
      </c>
      <c r="EO1071" s="33">
        <v>33</v>
      </c>
      <c r="EP1071" s="33">
        <v>37.299999999999997</v>
      </c>
      <c r="ES1071" s="33" t="s">
        <v>767</v>
      </c>
      <c r="IO1071" s="33" t="s">
        <v>768</v>
      </c>
    </row>
    <row r="1072" spans="1:249" s="33" customFormat="1" x14ac:dyDescent="0.25">
      <c r="A1072" s="33">
        <v>52</v>
      </c>
      <c r="B1072" s="33" t="s">
        <v>755</v>
      </c>
      <c r="C1072" s="33" t="s">
        <v>756</v>
      </c>
      <c r="D1072" s="33">
        <v>1998</v>
      </c>
      <c r="E1072" s="33">
        <v>1989</v>
      </c>
      <c r="F1072" s="33" t="s">
        <v>757</v>
      </c>
      <c r="H1072" s="32" t="s">
        <v>2831</v>
      </c>
      <c r="I1072" s="33">
        <v>38.630000000000003</v>
      </c>
      <c r="J1072" s="33">
        <v>-75.459999999999994</v>
      </c>
      <c r="K1072" s="33">
        <v>10.8</v>
      </c>
      <c r="Q1072" s="47">
        <v>1</v>
      </c>
      <c r="R1072" s="47" t="s">
        <v>1735</v>
      </c>
      <c r="S1072" s="47"/>
      <c r="T1072" s="47" t="s">
        <v>1973</v>
      </c>
      <c r="U1072" s="47" t="s">
        <v>1386</v>
      </c>
      <c r="V1072" s="47" t="s">
        <v>1724</v>
      </c>
      <c r="W1072" s="47" t="s">
        <v>1386</v>
      </c>
      <c r="X1072" s="47" t="s">
        <v>1386</v>
      </c>
      <c r="Z1072" s="327"/>
      <c r="AA1072" s="327"/>
      <c r="AB1072" s="33" t="s">
        <v>176</v>
      </c>
      <c r="AF1072" s="33" t="s">
        <v>1347</v>
      </c>
      <c r="AG1072" s="33" t="s">
        <v>132</v>
      </c>
      <c r="AH1072" s="138" t="s">
        <v>132</v>
      </c>
      <c r="AI1072" s="33" t="s">
        <v>133</v>
      </c>
      <c r="AJ1072" s="141" t="s">
        <v>133</v>
      </c>
      <c r="AN1072" s="33" t="s">
        <v>232</v>
      </c>
      <c r="AO1072" s="33" t="s">
        <v>232</v>
      </c>
      <c r="AP1072" s="33" t="s">
        <v>178</v>
      </c>
      <c r="AQ1072" s="33" t="s">
        <v>760</v>
      </c>
      <c r="AR1072" s="33" t="s">
        <v>760</v>
      </c>
      <c r="AS1072" s="33" t="s">
        <v>178</v>
      </c>
      <c r="AT1072" s="33" t="s">
        <v>161</v>
      </c>
      <c r="AU1072" s="33">
        <v>3</v>
      </c>
      <c r="AW1072" s="33" t="s">
        <v>142</v>
      </c>
      <c r="BH1072" s="33">
        <v>8957</v>
      </c>
      <c r="BI1072" s="33">
        <v>8379</v>
      </c>
      <c r="BM1072" s="402"/>
      <c r="BN1072" s="402"/>
      <c r="BR1072" s="402"/>
      <c r="BS1072" s="402"/>
      <c r="EO1072" s="33">
        <v>64.400000000000006</v>
      </c>
      <c r="EP1072" s="33">
        <v>46.2</v>
      </c>
      <c r="ES1072" s="33" t="s">
        <v>767</v>
      </c>
      <c r="IO1072" s="33" t="s">
        <v>768</v>
      </c>
    </row>
    <row r="1073" spans="1:249" s="33" customFormat="1" x14ac:dyDescent="0.25">
      <c r="A1073" s="33">
        <v>52</v>
      </c>
      <c r="B1073" s="33" t="s">
        <v>755</v>
      </c>
      <c r="C1073" s="33" t="s">
        <v>756</v>
      </c>
      <c r="D1073" s="33">
        <v>1998</v>
      </c>
      <c r="E1073" s="33">
        <v>1989</v>
      </c>
      <c r="F1073" s="33" t="s">
        <v>757</v>
      </c>
      <c r="H1073" s="32" t="s">
        <v>2831</v>
      </c>
      <c r="I1073" s="33">
        <v>38.630000000000003</v>
      </c>
      <c r="J1073" s="33">
        <v>-75.459999999999994</v>
      </c>
      <c r="K1073" s="33">
        <v>10.8</v>
      </c>
      <c r="Q1073" s="47">
        <v>1</v>
      </c>
      <c r="R1073" s="47" t="s">
        <v>1735</v>
      </c>
      <c r="S1073" s="47"/>
      <c r="T1073" s="47" t="s">
        <v>1973</v>
      </c>
      <c r="U1073" s="47" t="s">
        <v>1386</v>
      </c>
      <c r="V1073" s="47" t="s">
        <v>1724</v>
      </c>
      <c r="W1073" s="47" t="s">
        <v>1386</v>
      </c>
      <c r="X1073" s="47" t="s">
        <v>1386</v>
      </c>
      <c r="Z1073" s="327"/>
      <c r="AA1073" s="327"/>
      <c r="AB1073" s="33" t="s">
        <v>176</v>
      </c>
      <c r="AF1073" s="33" t="s">
        <v>1347</v>
      </c>
      <c r="AG1073" s="33" t="s">
        <v>132</v>
      </c>
      <c r="AH1073" s="138" t="s">
        <v>132</v>
      </c>
      <c r="AI1073" s="33" t="s">
        <v>133</v>
      </c>
      <c r="AJ1073" s="141" t="s">
        <v>133</v>
      </c>
      <c r="AN1073" s="33" t="s">
        <v>232</v>
      </c>
      <c r="AO1073" s="33" t="s">
        <v>232</v>
      </c>
      <c r="AP1073" s="33" t="s">
        <v>178</v>
      </c>
      <c r="AQ1073" s="33" t="s">
        <v>760</v>
      </c>
      <c r="AR1073" s="33" t="s">
        <v>760</v>
      </c>
      <c r="AS1073" s="33" t="s">
        <v>178</v>
      </c>
      <c r="AT1073" s="33" t="s">
        <v>161</v>
      </c>
      <c r="AU1073" s="33">
        <v>3</v>
      </c>
      <c r="AW1073" s="33" t="s">
        <v>142</v>
      </c>
      <c r="BM1073" s="402"/>
      <c r="BN1073" s="402"/>
      <c r="BR1073" s="402"/>
      <c r="BS1073" s="402"/>
      <c r="EO1073" s="33">
        <v>23.5</v>
      </c>
      <c r="EP1073" s="33">
        <v>24.1</v>
      </c>
      <c r="ES1073" s="33" t="s">
        <v>767</v>
      </c>
      <c r="IO1073" s="33" t="s">
        <v>768</v>
      </c>
    </row>
    <row r="1074" spans="1:249" s="28" customFormat="1" x14ac:dyDescent="0.25">
      <c r="A1074" s="28">
        <v>52</v>
      </c>
      <c r="B1074" s="28" t="s">
        <v>755</v>
      </c>
      <c r="C1074" s="28" t="s">
        <v>756</v>
      </c>
      <c r="D1074" s="28">
        <v>1998</v>
      </c>
      <c r="E1074" s="28">
        <v>1990</v>
      </c>
      <c r="F1074" s="28" t="s">
        <v>757</v>
      </c>
      <c r="H1074" s="32" t="s">
        <v>2831</v>
      </c>
      <c r="I1074" s="28">
        <v>38.630000000000003</v>
      </c>
      <c r="J1074" s="28">
        <v>-75.459999999999994</v>
      </c>
      <c r="K1074" s="28">
        <v>10.8</v>
      </c>
      <c r="Q1074" s="46">
        <v>2</v>
      </c>
      <c r="R1074" s="46" t="s">
        <v>1735</v>
      </c>
      <c r="S1074" s="46"/>
      <c r="T1074" s="46" t="s">
        <v>1973</v>
      </c>
      <c r="U1074" s="46" t="s">
        <v>1386</v>
      </c>
      <c r="V1074" s="46" t="s">
        <v>1724</v>
      </c>
      <c r="W1074" s="46" t="s">
        <v>1386</v>
      </c>
      <c r="X1074" s="46" t="s">
        <v>1386</v>
      </c>
      <c r="Z1074" s="326"/>
      <c r="AA1074" s="326"/>
      <c r="AB1074" s="28" t="s">
        <v>176</v>
      </c>
      <c r="AF1074" s="28" t="s">
        <v>1347</v>
      </c>
      <c r="AG1074" s="28" t="s">
        <v>132</v>
      </c>
      <c r="AH1074" s="138" t="s">
        <v>132</v>
      </c>
      <c r="AI1074" s="28" t="s">
        <v>133</v>
      </c>
      <c r="AJ1074" s="141" t="s">
        <v>133</v>
      </c>
      <c r="AN1074" s="28" t="s">
        <v>157</v>
      </c>
      <c r="AO1074" s="28" t="s">
        <v>157</v>
      </c>
      <c r="AP1074" s="28" t="s">
        <v>178</v>
      </c>
      <c r="AQ1074" s="28" t="s">
        <v>758</v>
      </c>
      <c r="AR1074" s="28" t="s">
        <v>758</v>
      </c>
      <c r="AS1074" s="28" t="s">
        <v>178</v>
      </c>
      <c r="AT1074" s="28" t="s">
        <v>161</v>
      </c>
      <c r="AU1074" s="28">
        <v>3</v>
      </c>
      <c r="AW1074" s="28" t="s">
        <v>142</v>
      </c>
      <c r="BH1074" s="28">
        <v>7009</v>
      </c>
      <c r="BI1074" s="28">
        <v>7323</v>
      </c>
      <c r="BM1074" s="401"/>
      <c r="BN1074" s="401"/>
      <c r="BR1074" s="401"/>
      <c r="BS1074" s="401"/>
      <c r="BW1074" s="28">
        <f>(3.6+6.5+8.8)/3</f>
        <v>6.3</v>
      </c>
      <c r="BX1074" s="28">
        <f>(2.9+9+6.7)/3</f>
        <v>6.2</v>
      </c>
      <c r="CA1074" s="28" t="s">
        <v>1681</v>
      </c>
      <c r="EO1074" s="28">
        <v>41.6</v>
      </c>
      <c r="EP1074" s="28">
        <v>27.2</v>
      </c>
      <c r="ES1074" s="28" t="s">
        <v>767</v>
      </c>
      <c r="IO1074" s="28" t="s">
        <v>768</v>
      </c>
    </row>
    <row r="1075" spans="1:249" s="28" customFormat="1" x14ac:dyDescent="0.25">
      <c r="A1075" s="28">
        <v>52</v>
      </c>
      <c r="B1075" s="28" t="s">
        <v>755</v>
      </c>
      <c r="C1075" s="28" t="s">
        <v>756</v>
      </c>
      <c r="D1075" s="28">
        <v>1998</v>
      </c>
      <c r="E1075" s="28">
        <v>1990</v>
      </c>
      <c r="F1075" s="28" t="s">
        <v>757</v>
      </c>
      <c r="H1075" s="32" t="s">
        <v>2831</v>
      </c>
      <c r="I1075" s="28">
        <v>38.630000000000003</v>
      </c>
      <c r="J1075" s="28">
        <v>-75.459999999999994</v>
      </c>
      <c r="K1075" s="28">
        <v>10.8</v>
      </c>
      <c r="Q1075" s="46">
        <v>2</v>
      </c>
      <c r="R1075" s="46" t="s">
        <v>1735</v>
      </c>
      <c r="S1075" s="46"/>
      <c r="T1075" s="46" t="s">
        <v>1973</v>
      </c>
      <c r="U1075" s="46" t="s">
        <v>1386</v>
      </c>
      <c r="V1075" s="46" t="s">
        <v>1724</v>
      </c>
      <c r="W1075" s="46" t="s">
        <v>1386</v>
      </c>
      <c r="X1075" s="46" t="s">
        <v>1386</v>
      </c>
      <c r="Z1075" s="326"/>
      <c r="AA1075" s="326"/>
      <c r="AB1075" s="28" t="s">
        <v>176</v>
      </c>
      <c r="AF1075" s="28" t="s">
        <v>1347</v>
      </c>
      <c r="AG1075" s="28" t="s">
        <v>132</v>
      </c>
      <c r="AH1075" s="138" t="s">
        <v>132</v>
      </c>
      <c r="AI1075" s="28" t="s">
        <v>133</v>
      </c>
      <c r="AJ1075" s="141" t="s">
        <v>133</v>
      </c>
      <c r="AN1075" s="28" t="s">
        <v>157</v>
      </c>
      <c r="AO1075" s="28" t="s">
        <v>157</v>
      </c>
      <c r="AP1075" s="28" t="s">
        <v>178</v>
      </c>
      <c r="AQ1075" s="28" t="s">
        <v>759</v>
      </c>
      <c r="AR1075" s="28" t="s">
        <v>759</v>
      </c>
      <c r="AS1075" s="28" t="s">
        <v>178</v>
      </c>
      <c r="AT1075" s="28" t="s">
        <v>161</v>
      </c>
      <c r="AU1075" s="28">
        <v>3</v>
      </c>
      <c r="AW1075" s="28" t="s">
        <v>142</v>
      </c>
      <c r="BH1075" s="28">
        <v>6475</v>
      </c>
      <c r="BI1075" s="28">
        <v>7025</v>
      </c>
      <c r="BM1075" s="401"/>
      <c r="BN1075" s="401"/>
      <c r="BR1075" s="401"/>
      <c r="BS1075" s="401"/>
      <c r="EO1075" s="28">
        <v>45.7</v>
      </c>
      <c r="EP1075" s="28">
        <v>31.4</v>
      </c>
      <c r="ES1075" s="28" t="s">
        <v>767</v>
      </c>
      <c r="IO1075" s="28" t="s">
        <v>768</v>
      </c>
    </row>
    <row r="1076" spans="1:249" s="28" customFormat="1" x14ac:dyDescent="0.25">
      <c r="A1076" s="28">
        <v>52</v>
      </c>
      <c r="B1076" s="28" t="s">
        <v>755</v>
      </c>
      <c r="C1076" s="28" t="s">
        <v>756</v>
      </c>
      <c r="D1076" s="28">
        <v>1998</v>
      </c>
      <c r="E1076" s="28">
        <v>1990</v>
      </c>
      <c r="F1076" s="28" t="s">
        <v>757</v>
      </c>
      <c r="H1076" s="32" t="s">
        <v>2831</v>
      </c>
      <c r="I1076" s="28">
        <v>38.630000000000003</v>
      </c>
      <c r="J1076" s="28">
        <v>-75.459999999999994</v>
      </c>
      <c r="K1076" s="28">
        <v>10.8</v>
      </c>
      <c r="Q1076" s="46">
        <v>2</v>
      </c>
      <c r="R1076" s="46" t="s">
        <v>1735</v>
      </c>
      <c r="S1076" s="46"/>
      <c r="T1076" s="46" t="s">
        <v>1973</v>
      </c>
      <c r="U1076" s="46" t="s">
        <v>1386</v>
      </c>
      <c r="V1076" s="46" t="s">
        <v>1724</v>
      </c>
      <c r="W1076" s="46" t="s">
        <v>1386</v>
      </c>
      <c r="X1076" s="46" t="s">
        <v>1386</v>
      </c>
      <c r="Z1076" s="326"/>
      <c r="AA1076" s="326"/>
      <c r="AB1076" s="28" t="s">
        <v>176</v>
      </c>
      <c r="AF1076" s="28" t="s">
        <v>1347</v>
      </c>
      <c r="AG1076" s="28" t="s">
        <v>132</v>
      </c>
      <c r="AH1076" s="138" t="s">
        <v>132</v>
      </c>
      <c r="AI1076" s="28" t="s">
        <v>133</v>
      </c>
      <c r="AJ1076" s="141" t="s">
        <v>133</v>
      </c>
      <c r="AN1076" s="28" t="s">
        <v>157</v>
      </c>
      <c r="AO1076" s="28" t="s">
        <v>157</v>
      </c>
      <c r="AP1076" s="28" t="s">
        <v>178</v>
      </c>
      <c r="AQ1076" s="28" t="s">
        <v>760</v>
      </c>
      <c r="AR1076" s="28" t="s">
        <v>760</v>
      </c>
      <c r="AS1076" s="28" t="s">
        <v>178</v>
      </c>
      <c r="AT1076" s="28" t="s">
        <v>161</v>
      </c>
      <c r="AU1076" s="28">
        <v>3</v>
      </c>
      <c r="AW1076" s="28" t="s">
        <v>142</v>
      </c>
      <c r="BH1076" s="28">
        <v>6617</v>
      </c>
      <c r="BI1076" s="28">
        <v>7291</v>
      </c>
      <c r="BM1076" s="401"/>
      <c r="BN1076" s="401"/>
      <c r="BR1076" s="401"/>
      <c r="BS1076" s="401"/>
      <c r="EO1076" s="28">
        <v>25.3</v>
      </c>
      <c r="EP1076" s="28">
        <v>19.399999999999999</v>
      </c>
      <c r="ES1076" s="28" t="s">
        <v>767</v>
      </c>
      <c r="IO1076" s="28" t="s">
        <v>768</v>
      </c>
    </row>
    <row r="1077" spans="1:249" s="28" customFormat="1" x14ac:dyDescent="0.25">
      <c r="A1077" s="28">
        <v>52</v>
      </c>
      <c r="B1077" s="28" t="s">
        <v>755</v>
      </c>
      <c r="C1077" s="28" t="s">
        <v>756</v>
      </c>
      <c r="D1077" s="28">
        <v>1998</v>
      </c>
      <c r="E1077" s="28">
        <v>1990</v>
      </c>
      <c r="F1077" s="28" t="s">
        <v>757</v>
      </c>
      <c r="H1077" s="32" t="s">
        <v>2831</v>
      </c>
      <c r="I1077" s="28">
        <v>38.630000000000003</v>
      </c>
      <c r="J1077" s="28">
        <v>-75.459999999999994</v>
      </c>
      <c r="K1077" s="28">
        <v>10.8</v>
      </c>
      <c r="Q1077" s="46">
        <v>2</v>
      </c>
      <c r="R1077" s="46" t="s">
        <v>1735</v>
      </c>
      <c r="S1077" s="46"/>
      <c r="T1077" s="46" t="s">
        <v>1973</v>
      </c>
      <c r="U1077" s="46" t="s">
        <v>1386</v>
      </c>
      <c r="V1077" s="46" t="s">
        <v>1724</v>
      </c>
      <c r="W1077" s="46" t="s">
        <v>1386</v>
      </c>
      <c r="X1077" s="46" t="s">
        <v>1386</v>
      </c>
      <c r="Z1077" s="326"/>
      <c r="AA1077" s="326"/>
      <c r="AB1077" s="28" t="s">
        <v>176</v>
      </c>
      <c r="AF1077" s="28" t="s">
        <v>1347</v>
      </c>
      <c r="AG1077" s="28" t="s">
        <v>132</v>
      </c>
      <c r="AH1077" s="138" t="s">
        <v>132</v>
      </c>
      <c r="AI1077" s="28" t="s">
        <v>133</v>
      </c>
      <c r="AJ1077" s="141" t="s">
        <v>133</v>
      </c>
      <c r="AN1077" s="28" t="s">
        <v>157</v>
      </c>
      <c r="AO1077" s="28" t="s">
        <v>157</v>
      </c>
      <c r="AP1077" s="28" t="s">
        <v>178</v>
      </c>
      <c r="AQ1077" s="28" t="s">
        <v>760</v>
      </c>
      <c r="AR1077" s="28" t="s">
        <v>760</v>
      </c>
      <c r="AS1077" s="28" t="s">
        <v>178</v>
      </c>
      <c r="AT1077" s="28" t="s">
        <v>161</v>
      </c>
      <c r="AU1077" s="28">
        <v>3</v>
      </c>
      <c r="AW1077" s="28" t="s">
        <v>142</v>
      </c>
      <c r="BM1077" s="401"/>
      <c r="BN1077" s="401"/>
      <c r="BR1077" s="401"/>
      <c r="BS1077" s="401"/>
      <c r="EO1077" s="28">
        <v>3.6</v>
      </c>
      <c r="EP1077" s="28">
        <v>4.4000000000000004</v>
      </c>
      <c r="ES1077" s="28" t="s">
        <v>767</v>
      </c>
      <c r="IO1077" s="28" t="s">
        <v>768</v>
      </c>
    </row>
    <row r="1078" spans="1:249" s="33" customFormat="1" x14ac:dyDescent="0.25">
      <c r="A1078" s="33">
        <v>52</v>
      </c>
      <c r="B1078" s="33" t="s">
        <v>755</v>
      </c>
      <c r="C1078" s="33" t="s">
        <v>756</v>
      </c>
      <c r="D1078" s="33">
        <v>1998</v>
      </c>
      <c r="E1078" s="33">
        <v>1990</v>
      </c>
      <c r="F1078" s="33" t="s">
        <v>757</v>
      </c>
      <c r="H1078" s="32" t="s">
        <v>2831</v>
      </c>
      <c r="I1078" s="33">
        <v>38.630000000000003</v>
      </c>
      <c r="J1078" s="33">
        <v>-75.459999999999994</v>
      </c>
      <c r="K1078" s="33">
        <v>10.8</v>
      </c>
      <c r="Q1078" s="47">
        <v>2</v>
      </c>
      <c r="R1078" s="47" t="s">
        <v>1735</v>
      </c>
      <c r="S1078" s="47"/>
      <c r="T1078" s="47" t="s">
        <v>1973</v>
      </c>
      <c r="U1078" s="47" t="s">
        <v>1386</v>
      </c>
      <c r="V1078" s="47" t="s">
        <v>1724</v>
      </c>
      <c r="W1078" s="47" t="s">
        <v>1386</v>
      </c>
      <c r="X1078" s="47" t="s">
        <v>1386</v>
      </c>
      <c r="Z1078" s="327"/>
      <c r="AA1078" s="327"/>
      <c r="AB1078" s="33" t="s">
        <v>176</v>
      </c>
      <c r="AF1078" s="33" t="s">
        <v>1347</v>
      </c>
      <c r="AG1078" s="33" t="s">
        <v>132</v>
      </c>
      <c r="AH1078" s="138" t="s">
        <v>132</v>
      </c>
      <c r="AI1078" s="33" t="s">
        <v>133</v>
      </c>
      <c r="AJ1078" s="141" t="s">
        <v>133</v>
      </c>
      <c r="AN1078" s="33" t="s">
        <v>232</v>
      </c>
      <c r="AO1078" s="33" t="s">
        <v>232</v>
      </c>
      <c r="AP1078" s="33" t="s">
        <v>178</v>
      </c>
      <c r="AQ1078" s="33" t="s">
        <v>758</v>
      </c>
      <c r="AR1078" s="33" t="s">
        <v>758</v>
      </c>
      <c r="AS1078" s="33" t="s">
        <v>178</v>
      </c>
      <c r="AT1078" s="33" t="s">
        <v>161</v>
      </c>
      <c r="AU1078" s="33">
        <v>3</v>
      </c>
      <c r="AW1078" s="33" t="s">
        <v>142</v>
      </c>
      <c r="BH1078" s="33">
        <v>8593</v>
      </c>
      <c r="BI1078" s="33">
        <v>8059</v>
      </c>
      <c r="BM1078" s="402"/>
      <c r="BN1078" s="402"/>
      <c r="BR1078" s="402"/>
      <c r="BS1078" s="402"/>
      <c r="BW1078" s="33">
        <f>(3.3+6.6+7.9)/3</f>
        <v>5.9333333333333327</v>
      </c>
      <c r="BX1078" s="33">
        <f>(2.3+7.3+6.3)/3</f>
        <v>5.3</v>
      </c>
      <c r="CA1078" s="33" t="s">
        <v>1681</v>
      </c>
      <c r="EO1078" s="33">
        <v>31.1</v>
      </c>
      <c r="EP1078" s="33">
        <v>48.6</v>
      </c>
      <c r="ES1078" s="33" t="s">
        <v>767</v>
      </c>
      <c r="IO1078" s="33" t="s">
        <v>768</v>
      </c>
    </row>
    <row r="1079" spans="1:249" s="33" customFormat="1" x14ac:dyDescent="0.25">
      <c r="A1079" s="33">
        <v>52</v>
      </c>
      <c r="B1079" s="33" t="s">
        <v>755</v>
      </c>
      <c r="C1079" s="33" t="s">
        <v>756</v>
      </c>
      <c r="D1079" s="33">
        <v>1998</v>
      </c>
      <c r="E1079" s="33">
        <v>1990</v>
      </c>
      <c r="F1079" s="33" t="s">
        <v>757</v>
      </c>
      <c r="H1079" s="32" t="s">
        <v>2831</v>
      </c>
      <c r="I1079" s="33">
        <v>38.630000000000003</v>
      </c>
      <c r="J1079" s="33">
        <v>-75.459999999999994</v>
      </c>
      <c r="K1079" s="33">
        <v>10.8</v>
      </c>
      <c r="Q1079" s="47">
        <v>2</v>
      </c>
      <c r="R1079" s="47" t="s">
        <v>1735</v>
      </c>
      <c r="S1079" s="47"/>
      <c r="T1079" s="47" t="s">
        <v>1973</v>
      </c>
      <c r="U1079" s="47" t="s">
        <v>1386</v>
      </c>
      <c r="V1079" s="47" t="s">
        <v>1724</v>
      </c>
      <c r="W1079" s="47" t="s">
        <v>1386</v>
      </c>
      <c r="X1079" s="47" t="s">
        <v>1386</v>
      </c>
      <c r="Z1079" s="327"/>
      <c r="AA1079" s="327"/>
      <c r="AB1079" s="33" t="s">
        <v>176</v>
      </c>
      <c r="AF1079" s="33" t="s">
        <v>1347</v>
      </c>
      <c r="AG1079" s="33" t="s">
        <v>132</v>
      </c>
      <c r="AH1079" s="138" t="s">
        <v>132</v>
      </c>
      <c r="AI1079" s="33" t="s">
        <v>133</v>
      </c>
      <c r="AJ1079" s="141" t="s">
        <v>133</v>
      </c>
      <c r="AN1079" s="33" t="s">
        <v>232</v>
      </c>
      <c r="AO1079" s="33" t="s">
        <v>232</v>
      </c>
      <c r="AP1079" s="33" t="s">
        <v>178</v>
      </c>
      <c r="AQ1079" s="33" t="s">
        <v>759</v>
      </c>
      <c r="AR1079" s="33" t="s">
        <v>759</v>
      </c>
      <c r="AS1079" s="33" t="s">
        <v>178</v>
      </c>
      <c r="AT1079" s="33" t="s">
        <v>161</v>
      </c>
      <c r="AU1079" s="33">
        <v>3</v>
      </c>
      <c r="AW1079" s="33" t="s">
        <v>142</v>
      </c>
      <c r="BH1079" s="33">
        <v>7558</v>
      </c>
      <c r="BI1079" s="33">
        <v>7401</v>
      </c>
      <c r="BM1079" s="402"/>
      <c r="BN1079" s="402"/>
      <c r="BR1079" s="402"/>
      <c r="BS1079" s="402"/>
      <c r="EO1079" s="33">
        <v>37.4</v>
      </c>
      <c r="EP1079" s="33">
        <v>35.1</v>
      </c>
      <c r="ES1079" s="33" t="s">
        <v>767</v>
      </c>
      <c r="IO1079" s="33" t="s">
        <v>768</v>
      </c>
    </row>
    <row r="1080" spans="1:249" s="33" customFormat="1" x14ac:dyDescent="0.25">
      <c r="A1080" s="33">
        <v>52</v>
      </c>
      <c r="B1080" s="33" t="s">
        <v>755</v>
      </c>
      <c r="C1080" s="33" t="s">
        <v>756</v>
      </c>
      <c r="D1080" s="33">
        <v>1998</v>
      </c>
      <c r="E1080" s="33">
        <v>1990</v>
      </c>
      <c r="F1080" s="33" t="s">
        <v>757</v>
      </c>
      <c r="H1080" s="32" t="s">
        <v>2831</v>
      </c>
      <c r="I1080" s="33">
        <v>38.630000000000003</v>
      </c>
      <c r="J1080" s="33">
        <v>-75.459999999999994</v>
      </c>
      <c r="K1080" s="33">
        <v>10.8</v>
      </c>
      <c r="Q1080" s="47">
        <v>2</v>
      </c>
      <c r="R1080" s="47" t="s">
        <v>1735</v>
      </c>
      <c r="S1080" s="47"/>
      <c r="T1080" s="47" t="s">
        <v>1973</v>
      </c>
      <c r="U1080" s="47" t="s">
        <v>1386</v>
      </c>
      <c r="V1080" s="47" t="s">
        <v>1724</v>
      </c>
      <c r="W1080" s="47" t="s">
        <v>1386</v>
      </c>
      <c r="X1080" s="47" t="s">
        <v>1386</v>
      </c>
      <c r="Z1080" s="327"/>
      <c r="AA1080" s="327"/>
      <c r="AB1080" s="33" t="s">
        <v>176</v>
      </c>
      <c r="AF1080" s="33" t="s">
        <v>1347</v>
      </c>
      <c r="AG1080" s="33" t="s">
        <v>132</v>
      </c>
      <c r="AH1080" s="138" t="s">
        <v>132</v>
      </c>
      <c r="AI1080" s="33" t="s">
        <v>133</v>
      </c>
      <c r="AJ1080" s="141" t="s">
        <v>133</v>
      </c>
      <c r="AN1080" s="33" t="s">
        <v>232</v>
      </c>
      <c r="AO1080" s="33" t="s">
        <v>232</v>
      </c>
      <c r="AP1080" s="33" t="s">
        <v>178</v>
      </c>
      <c r="AQ1080" s="33" t="s">
        <v>760</v>
      </c>
      <c r="AR1080" s="33" t="s">
        <v>760</v>
      </c>
      <c r="AS1080" s="33" t="s">
        <v>178</v>
      </c>
      <c r="AT1080" s="33" t="s">
        <v>161</v>
      </c>
      <c r="AU1080" s="33">
        <v>3</v>
      </c>
      <c r="AW1080" s="33" t="s">
        <v>142</v>
      </c>
      <c r="BH1080" s="33">
        <v>7777</v>
      </c>
      <c r="BI1080" s="33">
        <v>7605</v>
      </c>
      <c r="BM1080" s="402"/>
      <c r="BN1080" s="402"/>
      <c r="BR1080" s="402"/>
      <c r="BS1080" s="402"/>
      <c r="EO1080" s="33">
        <v>28.7</v>
      </c>
      <c r="EP1080" s="33">
        <v>19.399999999999999</v>
      </c>
      <c r="ES1080" s="33" t="s">
        <v>767</v>
      </c>
      <c r="IO1080" s="33" t="s">
        <v>768</v>
      </c>
    </row>
    <row r="1081" spans="1:249" s="33" customFormat="1" x14ac:dyDescent="0.25">
      <c r="A1081" s="33">
        <v>52</v>
      </c>
      <c r="B1081" s="33" t="s">
        <v>755</v>
      </c>
      <c r="C1081" s="33" t="s">
        <v>756</v>
      </c>
      <c r="D1081" s="33">
        <v>1998</v>
      </c>
      <c r="E1081" s="33">
        <v>1990</v>
      </c>
      <c r="F1081" s="33" t="s">
        <v>757</v>
      </c>
      <c r="H1081" s="32" t="s">
        <v>2831</v>
      </c>
      <c r="I1081" s="33">
        <v>38.630000000000003</v>
      </c>
      <c r="J1081" s="33">
        <v>-75.459999999999994</v>
      </c>
      <c r="K1081" s="33">
        <v>10.8</v>
      </c>
      <c r="Q1081" s="47">
        <v>2</v>
      </c>
      <c r="R1081" s="47" t="s">
        <v>1735</v>
      </c>
      <c r="S1081" s="47"/>
      <c r="T1081" s="47" t="s">
        <v>1973</v>
      </c>
      <c r="U1081" s="47" t="s">
        <v>1386</v>
      </c>
      <c r="V1081" s="47" t="s">
        <v>1724</v>
      </c>
      <c r="W1081" s="47" t="s">
        <v>1386</v>
      </c>
      <c r="X1081" s="47" t="s">
        <v>1386</v>
      </c>
      <c r="Z1081" s="327"/>
      <c r="AA1081" s="327"/>
      <c r="AB1081" s="33" t="s">
        <v>176</v>
      </c>
      <c r="AF1081" s="33" t="s">
        <v>1347</v>
      </c>
      <c r="AG1081" s="33" t="s">
        <v>132</v>
      </c>
      <c r="AH1081" s="138" t="s">
        <v>132</v>
      </c>
      <c r="AI1081" s="33" t="s">
        <v>133</v>
      </c>
      <c r="AJ1081" s="141" t="s">
        <v>133</v>
      </c>
      <c r="AN1081" s="33" t="s">
        <v>232</v>
      </c>
      <c r="AO1081" s="33" t="s">
        <v>232</v>
      </c>
      <c r="AP1081" s="33" t="s">
        <v>178</v>
      </c>
      <c r="AQ1081" s="33" t="s">
        <v>760</v>
      </c>
      <c r="AR1081" s="33" t="s">
        <v>760</v>
      </c>
      <c r="AS1081" s="33" t="s">
        <v>178</v>
      </c>
      <c r="AT1081" s="33" t="s">
        <v>161</v>
      </c>
      <c r="AU1081" s="33">
        <v>3</v>
      </c>
      <c r="AW1081" s="33" t="s">
        <v>142</v>
      </c>
      <c r="BM1081" s="402"/>
      <c r="BN1081" s="402"/>
      <c r="BR1081" s="402"/>
      <c r="BS1081" s="402"/>
      <c r="EO1081" s="33">
        <v>6.2</v>
      </c>
      <c r="EP1081" s="33">
        <v>6.5</v>
      </c>
      <c r="ES1081" s="33" t="s">
        <v>767</v>
      </c>
      <c r="IO1081" s="33" t="s">
        <v>768</v>
      </c>
    </row>
    <row r="1082" spans="1:249" s="28" customFormat="1" x14ac:dyDescent="0.25">
      <c r="A1082" s="28">
        <v>52</v>
      </c>
      <c r="B1082" s="28" t="s">
        <v>755</v>
      </c>
      <c r="C1082" s="28" t="s">
        <v>756</v>
      </c>
      <c r="D1082" s="28">
        <v>1998</v>
      </c>
      <c r="E1082" s="28">
        <v>1991</v>
      </c>
      <c r="F1082" s="28" t="s">
        <v>757</v>
      </c>
      <c r="H1082" s="32" t="s">
        <v>2831</v>
      </c>
      <c r="I1082" s="28">
        <v>38.630000000000003</v>
      </c>
      <c r="J1082" s="28">
        <v>-75.459999999999994</v>
      </c>
      <c r="K1082" s="28">
        <v>10.8</v>
      </c>
      <c r="Q1082" s="46">
        <v>3</v>
      </c>
      <c r="R1082" s="46" t="s">
        <v>1735</v>
      </c>
      <c r="S1082" s="46"/>
      <c r="T1082" s="46" t="s">
        <v>1973</v>
      </c>
      <c r="U1082" s="46" t="s">
        <v>1386</v>
      </c>
      <c r="V1082" s="46" t="s">
        <v>1724</v>
      </c>
      <c r="W1082" s="46" t="s">
        <v>1386</v>
      </c>
      <c r="X1082" s="46" t="s">
        <v>1386</v>
      </c>
      <c r="Z1082" s="326"/>
      <c r="AA1082" s="326"/>
      <c r="AB1082" s="28" t="s">
        <v>176</v>
      </c>
      <c r="AF1082" s="28" t="s">
        <v>1347</v>
      </c>
      <c r="AG1082" s="28" t="s">
        <v>132</v>
      </c>
      <c r="AH1082" s="138" t="s">
        <v>132</v>
      </c>
      <c r="AI1082" s="28" t="s">
        <v>133</v>
      </c>
      <c r="AJ1082" s="141" t="s">
        <v>133</v>
      </c>
      <c r="AN1082" s="28" t="s">
        <v>157</v>
      </c>
      <c r="AO1082" s="28" t="s">
        <v>157</v>
      </c>
      <c r="AP1082" s="28" t="s">
        <v>178</v>
      </c>
      <c r="AQ1082" s="28" t="s">
        <v>758</v>
      </c>
      <c r="AR1082" s="28" t="s">
        <v>758</v>
      </c>
      <c r="AS1082" s="28" t="s">
        <v>178</v>
      </c>
      <c r="AT1082" s="28" t="s">
        <v>161</v>
      </c>
      <c r="AU1082" s="28">
        <v>3</v>
      </c>
      <c r="AW1082" s="28" t="s">
        <v>142</v>
      </c>
      <c r="BH1082" s="28">
        <v>8216</v>
      </c>
      <c r="BI1082" s="28">
        <v>8106</v>
      </c>
      <c r="BM1082" s="401"/>
      <c r="BN1082" s="401"/>
      <c r="BR1082" s="401"/>
      <c r="BS1082" s="401"/>
      <c r="BW1082" s="28">
        <f>(3+5)/2</f>
        <v>4</v>
      </c>
      <c r="BX1082" s="28">
        <f>(1.4+7.4)/2</f>
        <v>4.4000000000000004</v>
      </c>
      <c r="CA1082" s="28" t="s">
        <v>1681</v>
      </c>
      <c r="EO1082" s="28">
        <v>3.8</v>
      </c>
      <c r="EP1082" s="28">
        <v>3.7</v>
      </c>
      <c r="ES1082" s="28" t="s">
        <v>767</v>
      </c>
      <c r="IO1082" s="28" t="s">
        <v>768</v>
      </c>
    </row>
    <row r="1083" spans="1:249" s="28" customFormat="1" x14ac:dyDescent="0.25">
      <c r="A1083" s="28">
        <v>52</v>
      </c>
      <c r="B1083" s="28" t="s">
        <v>755</v>
      </c>
      <c r="C1083" s="28" t="s">
        <v>756</v>
      </c>
      <c r="D1083" s="28">
        <v>1998</v>
      </c>
      <c r="E1083" s="28">
        <v>1991</v>
      </c>
      <c r="F1083" s="28" t="s">
        <v>757</v>
      </c>
      <c r="H1083" s="32" t="s">
        <v>2831</v>
      </c>
      <c r="I1083" s="28">
        <v>38.630000000000003</v>
      </c>
      <c r="J1083" s="28">
        <v>-75.459999999999994</v>
      </c>
      <c r="K1083" s="28">
        <v>10.8</v>
      </c>
      <c r="Q1083" s="46">
        <v>3</v>
      </c>
      <c r="R1083" s="46" t="s">
        <v>1735</v>
      </c>
      <c r="S1083" s="46"/>
      <c r="T1083" s="46" t="s">
        <v>1973</v>
      </c>
      <c r="U1083" s="46" t="s">
        <v>1386</v>
      </c>
      <c r="V1083" s="46" t="s">
        <v>1724</v>
      </c>
      <c r="W1083" s="46" t="s">
        <v>1386</v>
      </c>
      <c r="X1083" s="46" t="s">
        <v>1386</v>
      </c>
      <c r="Z1083" s="326"/>
      <c r="AA1083" s="326"/>
      <c r="AB1083" s="28" t="s">
        <v>176</v>
      </c>
      <c r="AF1083" s="28" t="s">
        <v>1347</v>
      </c>
      <c r="AG1083" s="28" t="s">
        <v>132</v>
      </c>
      <c r="AH1083" s="138" t="s">
        <v>132</v>
      </c>
      <c r="AI1083" s="28" t="s">
        <v>133</v>
      </c>
      <c r="AJ1083" s="141" t="s">
        <v>133</v>
      </c>
      <c r="AN1083" s="28" t="s">
        <v>157</v>
      </c>
      <c r="AO1083" s="28" t="s">
        <v>157</v>
      </c>
      <c r="AP1083" s="28" t="s">
        <v>178</v>
      </c>
      <c r="AQ1083" s="28" t="s">
        <v>759</v>
      </c>
      <c r="AR1083" s="28" t="s">
        <v>759</v>
      </c>
      <c r="AS1083" s="28" t="s">
        <v>178</v>
      </c>
      <c r="AT1083" s="28" t="s">
        <v>161</v>
      </c>
      <c r="AU1083" s="28">
        <v>3</v>
      </c>
      <c r="AW1083" s="28" t="s">
        <v>142</v>
      </c>
      <c r="BH1083" s="28">
        <v>7243</v>
      </c>
      <c r="BI1083" s="28">
        <v>8467</v>
      </c>
      <c r="BM1083" s="401"/>
      <c r="BN1083" s="401"/>
      <c r="BR1083" s="401"/>
      <c r="BS1083" s="401"/>
      <c r="EO1083" s="28">
        <v>28.3</v>
      </c>
      <c r="EP1083" s="28">
        <v>25.4</v>
      </c>
      <c r="ES1083" s="28" t="s">
        <v>767</v>
      </c>
      <c r="IO1083" s="28" t="s">
        <v>768</v>
      </c>
    </row>
    <row r="1084" spans="1:249" s="28" customFormat="1" x14ac:dyDescent="0.25">
      <c r="A1084" s="28">
        <v>52</v>
      </c>
      <c r="B1084" s="28" t="s">
        <v>755</v>
      </c>
      <c r="C1084" s="28" t="s">
        <v>756</v>
      </c>
      <c r="D1084" s="28">
        <v>1998</v>
      </c>
      <c r="E1084" s="28">
        <v>1991</v>
      </c>
      <c r="F1084" s="28" t="s">
        <v>757</v>
      </c>
      <c r="H1084" s="32" t="s">
        <v>2831</v>
      </c>
      <c r="I1084" s="28">
        <v>38.630000000000003</v>
      </c>
      <c r="J1084" s="28">
        <v>-75.459999999999994</v>
      </c>
      <c r="K1084" s="28">
        <v>10.8</v>
      </c>
      <c r="Q1084" s="46">
        <v>3</v>
      </c>
      <c r="R1084" s="46" t="s">
        <v>1735</v>
      </c>
      <c r="S1084" s="46"/>
      <c r="T1084" s="46" t="s">
        <v>1973</v>
      </c>
      <c r="U1084" s="46" t="s">
        <v>1386</v>
      </c>
      <c r="V1084" s="46" t="s">
        <v>1724</v>
      </c>
      <c r="W1084" s="46" t="s">
        <v>1386</v>
      </c>
      <c r="X1084" s="46" t="s">
        <v>1386</v>
      </c>
      <c r="Z1084" s="326"/>
      <c r="AA1084" s="326"/>
      <c r="AB1084" s="28" t="s">
        <v>176</v>
      </c>
      <c r="AF1084" s="28" t="s">
        <v>1347</v>
      </c>
      <c r="AG1084" s="28" t="s">
        <v>132</v>
      </c>
      <c r="AH1084" s="138" t="s">
        <v>132</v>
      </c>
      <c r="AI1084" s="28" t="s">
        <v>133</v>
      </c>
      <c r="AJ1084" s="141" t="s">
        <v>133</v>
      </c>
      <c r="AN1084" s="28" t="s">
        <v>157</v>
      </c>
      <c r="AO1084" s="28" t="s">
        <v>157</v>
      </c>
      <c r="AP1084" s="28" t="s">
        <v>178</v>
      </c>
      <c r="AQ1084" s="28" t="s">
        <v>760</v>
      </c>
      <c r="AR1084" s="28" t="s">
        <v>760</v>
      </c>
      <c r="AS1084" s="28" t="s">
        <v>178</v>
      </c>
      <c r="AT1084" s="28" t="s">
        <v>161</v>
      </c>
      <c r="AU1084" s="28">
        <v>3</v>
      </c>
      <c r="AW1084" s="28" t="s">
        <v>142</v>
      </c>
      <c r="BH1084" s="28">
        <v>8060</v>
      </c>
      <c r="BI1084" s="28">
        <v>8294</v>
      </c>
      <c r="BM1084" s="401"/>
      <c r="BN1084" s="401"/>
      <c r="BR1084" s="401"/>
      <c r="BS1084" s="401"/>
      <c r="ES1084" s="28" t="s">
        <v>767</v>
      </c>
      <c r="IO1084" s="28" t="s">
        <v>768</v>
      </c>
    </row>
    <row r="1085" spans="1:249" s="33" customFormat="1" x14ac:dyDescent="0.25">
      <c r="A1085" s="33">
        <v>52</v>
      </c>
      <c r="B1085" s="33" t="s">
        <v>755</v>
      </c>
      <c r="C1085" s="33" t="s">
        <v>756</v>
      </c>
      <c r="D1085" s="33">
        <v>1998</v>
      </c>
      <c r="E1085" s="33">
        <v>1991</v>
      </c>
      <c r="F1085" s="33" t="s">
        <v>757</v>
      </c>
      <c r="H1085" s="32" t="s">
        <v>2831</v>
      </c>
      <c r="I1085" s="33">
        <v>38.630000000000003</v>
      </c>
      <c r="J1085" s="33">
        <v>-75.459999999999994</v>
      </c>
      <c r="K1085" s="33">
        <v>10.8</v>
      </c>
      <c r="Q1085" s="47">
        <v>3</v>
      </c>
      <c r="R1085" s="47" t="s">
        <v>1735</v>
      </c>
      <c r="S1085" s="47"/>
      <c r="T1085" s="47" t="s">
        <v>1973</v>
      </c>
      <c r="U1085" s="47" t="s">
        <v>1386</v>
      </c>
      <c r="V1085" s="47" t="s">
        <v>1724</v>
      </c>
      <c r="W1085" s="47" t="s">
        <v>1386</v>
      </c>
      <c r="X1085" s="47" t="s">
        <v>1386</v>
      </c>
      <c r="Z1085" s="327"/>
      <c r="AA1085" s="327"/>
      <c r="AB1085" s="33" t="s">
        <v>176</v>
      </c>
      <c r="AF1085" s="28" t="s">
        <v>1347</v>
      </c>
      <c r="AG1085" s="33" t="s">
        <v>132</v>
      </c>
      <c r="AH1085" s="138" t="s">
        <v>132</v>
      </c>
      <c r="AI1085" s="33" t="s">
        <v>133</v>
      </c>
      <c r="AJ1085" s="141" t="s">
        <v>133</v>
      </c>
      <c r="AN1085" s="33" t="s">
        <v>232</v>
      </c>
      <c r="AO1085" s="33" t="s">
        <v>232</v>
      </c>
      <c r="AP1085" s="33" t="s">
        <v>178</v>
      </c>
      <c r="AQ1085" s="33" t="s">
        <v>758</v>
      </c>
      <c r="AR1085" s="33" t="s">
        <v>758</v>
      </c>
      <c r="AS1085" s="33" t="s">
        <v>178</v>
      </c>
      <c r="AT1085" s="33" t="s">
        <v>161</v>
      </c>
      <c r="AU1085" s="33">
        <v>3</v>
      </c>
      <c r="AW1085" s="33" t="s">
        <v>142</v>
      </c>
      <c r="BH1085" s="33">
        <v>8060</v>
      </c>
      <c r="BI1085" s="33">
        <v>8122</v>
      </c>
      <c r="BM1085" s="402"/>
      <c r="BN1085" s="402"/>
      <c r="BR1085" s="402"/>
      <c r="BS1085" s="402"/>
      <c r="BW1085" s="33">
        <f>(2.1+8.8)/2</f>
        <v>5.45</v>
      </c>
      <c r="BX1085" s="33">
        <f>(1.1+6.8)/2</f>
        <v>3.95</v>
      </c>
      <c r="CA1085" s="33" t="s">
        <v>1681</v>
      </c>
      <c r="EO1085" s="33">
        <v>4.5999999999999996</v>
      </c>
      <c r="EP1085" s="33">
        <v>4.7</v>
      </c>
      <c r="ES1085" s="33" t="s">
        <v>767</v>
      </c>
      <c r="IO1085" s="33" t="s">
        <v>768</v>
      </c>
    </row>
    <row r="1086" spans="1:249" s="33" customFormat="1" x14ac:dyDescent="0.25">
      <c r="A1086" s="33">
        <v>52</v>
      </c>
      <c r="B1086" s="33" t="s">
        <v>755</v>
      </c>
      <c r="C1086" s="33" t="s">
        <v>756</v>
      </c>
      <c r="D1086" s="33">
        <v>1998</v>
      </c>
      <c r="E1086" s="33">
        <v>1991</v>
      </c>
      <c r="F1086" s="33" t="s">
        <v>757</v>
      </c>
      <c r="H1086" s="32" t="s">
        <v>2831</v>
      </c>
      <c r="I1086" s="33">
        <v>38.630000000000003</v>
      </c>
      <c r="J1086" s="33">
        <v>-75.459999999999994</v>
      </c>
      <c r="K1086" s="33">
        <v>10.8</v>
      </c>
      <c r="Q1086" s="47">
        <v>3</v>
      </c>
      <c r="R1086" s="47" t="s">
        <v>1735</v>
      </c>
      <c r="S1086" s="47"/>
      <c r="T1086" s="47" t="s">
        <v>1973</v>
      </c>
      <c r="U1086" s="47" t="s">
        <v>1386</v>
      </c>
      <c r="V1086" s="47" t="s">
        <v>1724</v>
      </c>
      <c r="W1086" s="47" t="s">
        <v>1386</v>
      </c>
      <c r="X1086" s="47" t="s">
        <v>1386</v>
      </c>
      <c r="Z1086" s="327"/>
      <c r="AA1086" s="327"/>
      <c r="AB1086" s="33" t="s">
        <v>176</v>
      </c>
      <c r="AF1086" s="33" t="s">
        <v>1347</v>
      </c>
      <c r="AG1086" s="33" t="s">
        <v>132</v>
      </c>
      <c r="AH1086" s="138" t="s">
        <v>132</v>
      </c>
      <c r="AI1086" s="33" t="s">
        <v>133</v>
      </c>
      <c r="AJ1086" s="141" t="s">
        <v>133</v>
      </c>
      <c r="AN1086" s="33" t="s">
        <v>232</v>
      </c>
      <c r="AO1086" s="33" t="s">
        <v>232</v>
      </c>
      <c r="AP1086" s="33" t="s">
        <v>178</v>
      </c>
      <c r="AQ1086" s="33" t="s">
        <v>759</v>
      </c>
      <c r="AR1086" s="33" t="s">
        <v>759</v>
      </c>
      <c r="AS1086" s="33" t="s">
        <v>178</v>
      </c>
      <c r="AT1086" s="33" t="s">
        <v>161</v>
      </c>
      <c r="AU1086" s="33">
        <v>3</v>
      </c>
      <c r="AW1086" s="33" t="s">
        <v>142</v>
      </c>
      <c r="BH1086" s="33">
        <v>7871</v>
      </c>
      <c r="BI1086" s="33">
        <v>8091</v>
      </c>
      <c r="BM1086" s="402"/>
      <c r="BN1086" s="402"/>
      <c r="BR1086" s="402"/>
      <c r="BS1086" s="402"/>
      <c r="EO1086" s="33">
        <v>33.1</v>
      </c>
      <c r="EP1086" s="33">
        <v>28.1</v>
      </c>
      <c r="ES1086" s="33" t="s">
        <v>767</v>
      </c>
      <c r="IO1086" s="33" t="s">
        <v>768</v>
      </c>
    </row>
    <row r="1087" spans="1:249" s="33" customFormat="1" x14ac:dyDescent="0.25">
      <c r="A1087" s="33">
        <v>52</v>
      </c>
      <c r="B1087" s="33" t="s">
        <v>755</v>
      </c>
      <c r="C1087" s="33" t="s">
        <v>756</v>
      </c>
      <c r="D1087" s="33">
        <v>1998</v>
      </c>
      <c r="E1087" s="33">
        <v>1991</v>
      </c>
      <c r="F1087" s="33" t="s">
        <v>757</v>
      </c>
      <c r="H1087" s="32" t="s">
        <v>2831</v>
      </c>
      <c r="I1087" s="33">
        <v>38.630000000000003</v>
      </c>
      <c r="J1087" s="33">
        <v>-75.459999999999994</v>
      </c>
      <c r="K1087" s="33">
        <v>10.8</v>
      </c>
      <c r="Q1087" s="47">
        <v>3</v>
      </c>
      <c r="R1087" s="47" t="s">
        <v>1735</v>
      </c>
      <c r="S1087" s="47"/>
      <c r="T1087" s="47" t="s">
        <v>1973</v>
      </c>
      <c r="U1087" s="47" t="s">
        <v>1386</v>
      </c>
      <c r="V1087" s="47" t="s">
        <v>1724</v>
      </c>
      <c r="W1087" s="47" t="s">
        <v>1386</v>
      </c>
      <c r="X1087" s="47" t="s">
        <v>1386</v>
      </c>
      <c r="Z1087" s="327"/>
      <c r="AA1087" s="327"/>
      <c r="AB1087" s="33" t="s">
        <v>176</v>
      </c>
      <c r="AF1087" s="33" t="s">
        <v>1347</v>
      </c>
      <c r="AG1087" s="33" t="s">
        <v>132</v>
      </c>
      <c r="AH1087" s="138" t="s">
        <v>132</v>
      </c>
      <c r="AI1087" s="33" t="s">
        <v>133</v>
      </c>
      <c r="AJ1087" s="141" t="s">
        <v>133</v>
      </c>
      <c r="AN1087" s="33" t="s">
        <v>232</v>
      </c>
      <c r="AO1087" s="33" t="s">
        <v>232</v>
      </c>
      <c r="AP1087" s="33" t="s">
        <v>178</v>
      </c>
      <c r="AQ1087" s="33" t="s">
        <v>760</v>
      </c>
      <c r="AR1087" s="33" t="s">
        <v>760</v>
      </c>
      <c r="AS1087" s="33" t="s">
        <v>178</v>
      </c>
      <c r="AT1087" s="33" t="s">
        <v>161</v>
      </c>
      <c r="AU1087" s="33">
        <v>3</v>
      </c>
      <c r="AW1087" s="33" t="s">
        <v>142</v>
      </c>
      <c r="BH1087" s="33">
        <v>8201</v>
      </c>
      <c r="BI1087" s="33">
        <v>8372</v>
      </c>
      <c r="BM1087" s="402"/>
      <c r="BN1087" s="402"/>
      <c r="BR1087" s="402"/>
      <c r="BS1087" s="402"/>
      <c r="EO1087" s="87"/>
      <c r="EP1087" s="87"/>
      <c r="EQ1087" s="87"/>
      <c r="ER1087" s="87"/>
      <c r="IO1087" s="33" t="s">
        <v>768</v>
      </c>
    </row>
    <row r="1088" spans="1:249" s="24" customFormat="1" x14ac:dyDescent="0.25">
      <c r="A1088" s="24">
        <v>53</v>
      </c>
      <c r="B1088" s="24" t="s">
        <v>769</v>
      </c>
      <c r="C1088" s="24" t="s">
        <v>770</v>
      </c>
      <c r="D1088" s="24">
        <v>2006</v>
      </c>
      <c r="E1088" s="24">
        <v>2000</v>
      </c>
      <c r="F1088" s="24" t="s">
        <v>771</v>
      </c>
      <c r="G1088" s="24" t="s">
        <v>772</v>
      </c>
      <c r="H1088" s="32" t="s">
        <v>2831</v>
      </c>
      <c r="I1088" s="24">
        <v>33.950000000000003</v>
      </c>
      <c r="J1088" s="24">
        <v>-83.38</v>
      </c>
      <c r="K1088" s="24">
        <v>208.4</v>
      </c>
      <c r="N1088" s="24">
        <f>278+505</f>
        <v>783</v>
      </c>
      <c r="O1088" s="24">
        <f>588+645</f>
        <v>1233</v>
      </c>
      <c r="Q1088" s="42">
        <v>1</v>
      </c>
      <c r="R1088" s="42" t="s">
        <v>1735</v>
      </c>
      <c r="S1088" s="42"/>
      <c r="T1088" s="42" t="s">
        <v>1974</v>
      </c>
      <c r="U1088" s="42" t="s">
        <v>1393</v>
      </c>
      <c r="V1088" s="42" t="s">
        <v>1727</v>
      </c>
      <c r="W1088" s="42" t="s">
        <v>1393</v>
      </c>
      <c r="X1088" s="42" t="s">
        <v>1393</v>
      </c>
      <c r="Z1088" s="321">
        <f t="shared" ref="Z1088:Z1119" si="228">650/1000*100</f>
        <v>65</v>
      </c>
      <c r="AA1088" s="321">
        <f>25</f>
        <v>25</v>
      </c>
      <c r="AB1088" s="24" t="s">
        <v>241</v>
      </c>
      <c r="AC1088" s="24">
        <v>6.6</v>
      </c>
      <c r="AD1088" s="24">
        <v>0.88</v>
      </c>
      <c r="AF1088" s="24" t="s">
        <v>1348</v>
      </c>
      <c r="AG1088" s="24" t="s">
        <v>132</v>
      </c>
      <c r="AH1088" s="138" t="s">
        <v>132</v>
      </c>
      <c r="AI1088" s="24" t="s">
        <v>585</v>
      </c>
      <c r="AJ1088" s="140" t="s">
        <v>1632</v>
      </c>
      <c r="AK1088" s="24" t="s">
        <v>779</v>
      </c>
      <c r="AL1088" s="24" t="s">
        <v>779</v>
      </c>
      <c r="AM1088" s="24" t="s">
        <v>178</v>
      </c>
      <c r="AN1088" s="24" t="s">
        <v>157</v>
      </c>
      <c r="AO1088" s="24" t="s">
        <v>157</v>
      </c>
      <c r="AP1088" s="24" t="s">
        <v>178</v>
      </c>
      <c r="AQ1088" s="24" t="s">
        <v>339</v>
      </c>
      <c r="AR1088" s="24" t="s">
        <v>339</v>
      </c>
      <c r="AS1088" s="24" t="s">
        <v>178</v>
      </c>
      <c r="AT1088" s="24" t="s">
        <v>120</v>
      </c>
      <c r="AU1088" s="24">
        <v>3</v>
      </c>
      <c r="AW1088" s="24" t="s">
        <v>336</v>
      </c>
      <c r="AY1088" s="24">
        <f>6.07*1000</f>
        <v>6070</v>
      </c>
      <c r="AZ1088" s="24">
        <v>29</v>
      </c>
      <c r="BC1088" s="24">
        <v>5200</v>
      </c>
      <c r="BD1088" s="24">
        <v>6300</v>
      </c>
      <c r="BG1088" s="24" t="s">
        <v>1671</v>
      </c>
      <c r="BH1088" s="24">
        <v>814</v>
      </c>
      <c r="BI1088" s="24">
        <v>1107</v>
      </c>
      <c r="BM1088" s="395"/>
      <c r="BN1088" s="395"/>
      <c r="BR1088" s="395"/>
      <c r="BS1088" s="395"/>
      <c r="BW1088" s="24">
        <f>55.8*0.28</f>
        <v>15.624000000000001</v>
      </c>
      <c r="BX1088" s="24">
        <f>47.8*0.28</f>
        <v>13.384</v>
      </c>
      <c r="CA1088" s="24" t="s">
        <v>466</v>
      </c>
      <c r="GW1088" s="24">
        <v>11</v>
      </c>
      <c r="GX1088" s="24">
        <v>20</v>
      </c>
      <c r="HA1088" s="24" t="s">
        <v>1705</v>
      </c>
      <c r="IO1088" s="24" t="s">
        <v>780</v>
      </c>
    </row>
    <row r="1089" spans="1:249" s="24" customFormat="1" x14ac:dyDescent="0.25">
      <c r="A1089" s="24">
        <v>53</v>
      </c>
      <c r="B1089" s="24" t="s">
        <v>769</v>
      </c>
      <c r="C1089" s="24" t="s">
        <v>770</v>
      </c>
      <c r="D1089" s="24">
        <v>2006</v>
      </c>
      <c r="E1089" s="24">
        <v>2000</v>
      </c>
      <c r="F1089" s="24" t="s">
        <v>771</v>
      </c>
      <c r="G1089" s="24" t="s">
        <v>772</v>
      </c>
      <c r="H1089" s="32" t="s">
        <v>2831</v>
      </c>
      <c r="I1089" s="24">
        <v>33.950000000000003</v>
      </c>
      <c r="J1089" s="24">
        <v>-83.38</v>
      </c>
      <c r="K1089" s="24">
        <v>208.4</v>
      </c>
      <c r="N1089" s="24">
        <f t="shared" ref="N1089:N1102" si="229">278+505</f>
        <v>783</v>
      </c>
      <c r="O1089" s="24">
        <f t="shared" ref="O1089:O1152" si="230">588+645</f>
        <v>1233</v>
      </c>
      <c r="Q1089" s="42">
        <v>1</v>
      </c>
      <c r="R1089" s="42" t="s">
        <v>1735</v>
      </c>
      <c r="S1089" s="42"/>
      <c r="T1089" s="42" t="s">
        <v>1974</v>
      </c>
      <c r="U1089" s="42" t="s">
        <v>1393</v>
      </c>
      <c r="V1089" s="42" t="s">
        <v>1727</v>
      </c>
      <c r="W1089" s="42" t="s">
        <v>1393</v>
      </c>
      <c r="X1089" s="42" t="s">
        <v>1393</v>
      </c>
      <c r="Z1089" s="321">
        <f t="shared" si="228"/>
        <v>65</v>
      </c>
      <c r="AA1089" s="321">
        <f>25</f>
        <v>25</v>
      </c>
      <c r="AB1089" s="24" t="s">
        <v>241</v>
      </c>
      <c r="AC1089" s="24">
        <v>6.6</v>
      </c>
      <c r="AD1089" s="24">
        <v>0.88</v>
      </c>
      <c r="AF1089" s="24" t="s">
        <v>1348</v>
      </c>
      <c r="AG1089" s="24" t="s">
        <v>132</v>
      </c>
      <c r="AH1089" s="138" t="s">
        <v>132</v>
      </c>
      <c r="AI1089" s="24" t="s">
        <v>585</v>
      </c>
      <c r="AJ1089" s="140" t="s">
        <v>1632</v>
      </c>
      <c r="AK1089" s="24" t="s">
        <v>779</v>
      </c>
      <c r="AL1089" s="24" t="s">
        <v>779</v>
      </c>
      <c r="AM1089" s="24" t="s">
        <v>178</v>
      </c>
      <c r="AN1089" s="24" t="s">
        <v>773</v>
      </c>
      <c r="AO1089" s="24" t="s">
        <v>773</v>
      </c>
      <c r="AP1089" s="24" t="s">
        <v>178</v>
      </c>
      <c r="AQ1089" s="24" t="s">
        <v>339</v>
      </c>
      <c r="AR1089" s="24" t="s">
        <v>339</v>
      </c>
      <c r="AS1089" s="24" t="s">
        <v>178</v>
      </c>
      <c r="AT1089" s="24" t="s">
        <v>120</v>
      </c>
      <c r="AU1089" s="24">
        <v>3</v>
      </c>
      <c r="AW1089" s="24" t="s">
        <v>336</v>
      </c>
      <c r="AY1089" s="24">
        <f t="shared" ref="AY1089:AY1090" si="231">6.07*1000</f>
        <v>6070</v>
      </c>
      <c r="AZ1089" s="24">
        <v>29</v>
      </c>
      <c r="BH1089" s="24">
        <v>480</v>
      </c>
      <c r="BI1089" s="24">
        <v>674</v>
      </c>
      <c r="BM1089" s="395"/>
      <c r="BN1089" s="395"/>
      <c r="BR1089" s="395"/>
      <c r="BS1089" s="395"/>
      <c r="BW1089" s="24">
        <f>50.5*0.28</f>
        <v>14.14</v>
      </c>
      <c r="BX1089" s="24">
        <f>57*0.28</f>
        <v>15.96</v>
      </c>
      <c r="CA1089" s="24" t="s">
        <v>466</v>
      </c>
      <c r="GW1089" s="24">
        <v>8</v>
      </c>
      <c r="GX1089" s="24">
        <v>11</v>
      </c>
      <c r="HA1089" s="24" t="s">
        <v>1705</v>
      </c>
      <c r="IO1089" s="24" t="s">
        <v>780</v>
      </c>
    </row>
    <row r="1090" spans="1:249" s="24" customFormat="1" x14ac:dyDescent="0.25">
      <c r="A1090" s="24">
        <v>53</v>
      </c>
      <c r="B1090" s="24" t="s">
        <v>769</v>
      </c>
      <c r="C1090" s="24" t="s">
        <v>770</v>
      </c>
      <c r="D1090" s="24">
        <v>2006</v>
      </c>
      <c r="E1090" s="24">
        <v>2000</v>
      </c>
      <c r="F1090" s="24" t="s">
        <v>771</v>
      </c>
      <c r="G1090" s="24" t="s">
        <v>772</v>
      </c>
      <c r="H1090" s="32" t="s">
        <v>2831</v>
      </c>
      <c r="I1090" s="24">
        <v>33.950000000000003</v>
      </c>
      <c r="J1090" s="24">
        <v>-83.38</v>
      </c>
      <c r="K1090" s="24">
        <v>208.4</v>
      </c>
      <c r="N1090" s="24">
        <f t="shared" si="229"/>
        <v>783</v>
      </c>
      <c r="O1090" s="24">
        <f t="shared" si="230"/>
        <v>1233</v>
      </c>
      <c r="Q1090" s="42">
        <v>1</v>
      </c>
      <c r="R1090" s="42" t="s">
        <v>1735</v>
      </c>
      <c r="S1090" s="42"/>
      <c r="T1090" s="42" t="s">
        <v>1974</v>
      </c>
      <c r="U1090" s="42" t="s">
        <v>1393</v>
      </c>
      <c r="V1090" s="42" t="s">
        <v>1727</v>
      </c>
      <c r="W1090" s="42" t="s">
        <v>1393</v>
      </c>
      <c r="X1090" s="42" t="s">
        <v>1393</v>
      </c>
      <c r="Z1090" s="321">
        <f t="shared" si="228"/>
        <v>65</v>
      </c>
      <c r="AA1090" s="321">
        <f>25</f>
        <v>25</v>
      </c>
      <c r="AB1090" s="24" t="s">
        <v>241</v>
      </c>
      <c r="AC1090" s="24">
        <v>6.6</v>
      </c>
      <c r="AD1090" s="24">
        <v>0.88</v>
      </c>
      <c r="AF1090" s="24" t="s">
        <v>1348</v>
      </c>
      <c r="AG1090" s="24" t="s">
        <v>132</v>
      </c>
      <c r="AH1090" s="138" t="s">
        <v>132</v>
      </c>
      <c r="AI1090" s="24" t="s">
        <v>585</v>
      </c>
      <c r="AJ1090" s="140" t="s">
        <v>1632</v>
      </c>
      <c r="AK1090" s="24" t="s">
        <v>779</v>
      </c>
      <c r="AL1090" s="24" t="s">
        <v>779</v>
      </c>
      <c r="AM1090" s="24" t="s">
        <v>178</v>
      </c>
      <c r="AN1090" s="24" t="s">
        <v>774</v>
      </c>
      <c r="AO1090" s="24" t="s">
        <v>774</v>
      </c>
      <c r="AP1090" s="24" t="s">
        <v>178</v>
      </c>
      <c r="AQ1090" s="24" t="s">
        <v>339</v>
      </c>
      <c r="AR1090" s="24" t="s">
        <v>339</v>
      </c>
      <c r="AS1090" s="24" t="s">
        <v>178</v>
      </c>
      <c r="AT1090" s="24" t="s">
        <v>120</v>
      </c>
      <c r="AU1090" s="24">
        <v>3</v>
      </c>
      <c r="AW1090" s="24" t="s">
        <v>336</v>
      </c>
      <c r="AY1090" s="24">
        <f t="shared" si="231"/>
        <v>6070</v>
      </c>
      <c r="AZ1090" s="24">
        <v>29</v>
      </c>
      <c r="BH1090" s="24">
        <v>802</v>
      </c>
      <c r="BI1090" s="24">
        <v>857</v>
      </c>
      <c r="BM1090" s="395"/>
      <c r="BN1090" s="395"/>
      <c r="BR1090" s="395"/>
      <c r="BS1090" s="395"/>
      <c r="BW1090" s="24">
        <f>51.2*0.28</f>
        <v>14.336000000000002</v>
      </c>
      <c r="BX1090" s="24">
        <f>54.8*0.28</f>
        <v>15.344000000000001</v>
      </c>
      <c r="CA1090" s="24" t="s">
        <v>466</v>
      </c>
      <c r="GW1090" s="24">
        <v>14</v>
      </c>
      <c r="GX1090" s="24">
        <v>14</v>
      </c>
      <c r="HA1090" s="24" t="s">
        <v>1705</v>
      </c>
      <c r="IO1090" s="24" t="s">
        <v>780</v>
      </c>
    </row>
    <row r="1091" spans="1:249" s="74" customFormat="1" x14ac:dyDescent="0.25">
      <c r="A1091" s="74">
        <v>53</v>
      </c>
      <c r="B1091" s="74" t="s">
        <v>769</v>
      </c>
      <c r="C1091" s="74" t="s">
        <v>770</v>
      </c>
      <c r="D1091" s="74">
        <v>2006</v>
      </c>
      <c r="E1091" s="74">
        <v>2000</v>
      </c>
      <c r="F1091" s="74" t="s">
        <v>771</v>
      </c>
      <c r="G1091" s="74" t="s">
        <v>772</v>
      </c>
      <c r="H1091" s="32" t="s">
        <v>2831</v>
      </c>
      <c r="I1091" s="74">
        <v>33.950000000000003</v>
      </c>
      <c r="J1091" s="74">
        <v>-83.38</v>
      </c>
      <c r="K1091" s="74">
        <v>208.4</v>
      </c>
      <c r="N1091" s="24">
        <f t="shared" si="229"/>
        <v>783</v>
      </c>
      <c r="O1091" s="24">
        <f t="shared" si="230"/>
        <v>1233</v>
      </c>
      <c r="Q1091" s="75">
        <v>1</v>
      </c>
      <c r="R1091" s="75" t="s">
        <v>1735</v>
      </c>
      <c r="S1091" s="75"/>
      <c r="T1091" s="42" t="s">
        <v>1974</v>
      </c>
      <c r="U1091" s="75" t="s">
        <v>1393</v>
      </c>
      <c r="V1091" s="42" t="s">
        <v>1727</v>
      </c>
      <c r="W1091" s="75" t="s">
        <v>1393</v>
      </c>
      <c r="X1091" s="75" t="s">
        <v>1393</v>
      </c>
      <c r="Z1091" s="337">
        <f t="shared" si="228"/>
        <v>65</v>
      </c>
      <c r="AA1091" s="337">
        <f>25</f>
        <v>25</v>
      </c>
      <c r="AB1091" s="74" t="s">
        <v>241</v>
      </c>
      <c r="AC1091" s="74">
        <v>6.6</v>
      </c>
      <c r="AD1091" s="74">
        <v>0.88</v>
      </c>
      <c r="AF1091" s="24" t="s">
        <v>1348</v>
      </c>
      <c r="AG1091" s="74" t="s">
        <v>244</v>
      </c>
      <c r="AH1091" s="138" t="s">
        <v>578</v>
      </c>
      <c r="AI1091" s="74" t="s">
        <v>585</v>
      </c>
      <c r="AJ1091" s="140" t="s">
        <v>1632</v>
      </c>
      <c r="AK1091" s="24" t="s">
        <v>779</v>
      </c>
      <c r="AL1091" s="24" t="s">
        <v>779</v>
      </c>
      <c r="AM1091" s="24" t="s">
        <v>178</v>
      </c>
      <c r="AN1091" s="74" t="s">
        <v>157</v>
      </c>
      <c r="AO1091" s="74" t="s">
        <v>157</v>
      </c>
      <c r="AP1091" s="74" t="s">
        <v>178</v>
      </c>
      <c r="AQ1091" s="74" t="s">
        <v>339</v>
      </c>
      <c r="AR1091" s="74" t="s">
        <v>339</v>
      </c>
      <c r="AS1091" s="74" t="s">
        <v>178</v>
      </c>
      <c r="AT1091" s="74" t="s">
        <v>120</v>
      </c>
      <c r="AU1091" s="74">
        <v>3</v>
      </c>
      <c r="AW1091" s="74" t="s">
        <v>336</v>
      </c>
      <c r="AY1091" s="74">
        <f>5.1*1000</f>
        <v>5100</v>
      </c>
      <c r="AZ1091" s="74">
        <v>12</v>
      </c>
      <c r="BC1091" s="74">
        <v>5200</v>
      </c>
      <c r="BD1091" s="74">
        <v>8200</v>
      </c>
      <c r="BG1091" s="74" t="s">
        <v>1671</v>
      </c>
      <c r="BH1091" s="74">
        <v>814</v>
      </c>
      <c r="BI1091" s="74">
        <v>661</v>
      </c>
      <c r="BM1091" s="412"/>
      <c r="BN1091" s="412"/>
      <c r="BR1091" s="412"/>
      <c r="BS1091" s="412"/>
      <c r="BW1091" s="74">
        <v>15.624000000000001</v>
      </c>
      <c r="BX1091" s="74">
        <f>61*0.28</f>
        <v>17.080000000000002</v>
      </c>
      <c r="BY1091" s="24"/>
      <c r="BZ1091" s="24"/>
      <c r="CA1091" s="24" t="s">
        <v>466</v>
      </c>
      <c r="GW1091" s="24">
        <v>11</v>
      </c>
      <c r="GX1091" s="74">
        <v>11</v>
      </c>
      <c r="HA1091" s="24" t="s">
        <v>1705</v>
      </c>
      <c r="IO1091" s="24" t="s">
        <v>780</v>
      </c>
    </row>
    <row r="1092" spans="1:249" s="74" customFormat="1" x14ac:dyDescent="0.25">
      <c r="A1092" s="74">
        <v>53</v>
      </c>
      <c r="B1092" s="74" t="s">
        <v>769</v>
      </c>
      <c r="C1092" s="74" t="s">
        <v>770</v>
      </c>
      <c r="D1092" s="74">
        <v>2006</v>
      </c>
      <c r="E1092" s="74">
        <v>2000</v>
      </c>
      <c r="F1092" s="74" t="s">
        <v>771</v>
      </c>
      <c r="G1092" s="74" t="s">
        <v>772</v>
      </c>
      <c r="H1092" s="32" t="s">
        <v>2831</v>
      </c>
      <c r="I1092" s="74">
        <v>33.950000000000003</v>
      </c>
      <c r="J1092" s="74">
        <v>-83.38</v>
      </c>
      <c r="K1092" s="74">
        <v>208.4</v>
      </c>
      <c r="N1092" s="24">
        <f t="shared" si="229"/>
        <v>783</v>
      </c>
      <c r="O1092" s="24">
        <f t="shared" si="230"/>
        <v>1233</v>
      </c>
      <c r="Q1092" s="75">
        <v>1</v>
      </c>
      <c r="R1092" s="75" t="s">
        <v>1735</v>
      </c>
      <c r="S1092" s="75"/>
      <c r="T1092" s="42" t="s">
        <v>1974</v>
      </c>
      <c r="U1092" s="75" t="s">
        <v>1393</v>
      </c>
      <c r="V1092" s="42" t="s">
        <v>1727</v>
      </c>
      <c r="W1092" s="75" t="s">
        <v>1393</v>
      </c>
      <c r="X1092" s="75" t="s">
        <v>1393</v>
      </c>
      <c r="Z1092" s="337">
        <f t="shared" si="228"/>
        <v>65</v>
      </c>
      <c r="AA1092" s="337">
        <f>25</f>
        <v>25</v>
      </c>
      <c r="AB1092" s="74" t="s">
        <v>241</v>
      </c>
      <c r="AC1092" s="74">
        <v>6.6</v>
      </c>
      <c r="AD1092" s="74">
        <v>0.88</v>
      </c>
      <c r="AF1092" s="24" t="s">
        <v>1348</v>
      </c>
      <c r="AG1092" s="74" t="s">
        <v>244</v>
      </c>
      <c r="AH1092" s="138" t="s">
        <v>578</v>
      </c>
      <c r="AI1092" s="74" t="s">
        <v>585</v>
      </c>
      <c r="AJ1092" s="140" t="s">
        <v>1632</v>
      </c>
      <c r="AK1092" s="24" t="s">
        <v>779</v>
      </c>
      <c r="AL1092" s="24" t="s">
        <v>779</v>
      </c>
      <c r="AM1092" s="24" t="s">
        <v>178</v>
      </c>
      <c r="AN1092" s="74" t="s">
        <v>773</v>
      </c>
      <c r="AO1092" s="74" t="s">
        <v>773</v>
      </c>
      <c r="AP1092" s="74" t="s">
        <v>178</v>
      </c>
      <c r="AQ1092" s="74" t="s">
        <v>339</v>
      </c>
      <c r="AR1092" s="74" t="s">
        <v>339</v>
      </c>
      <c r="AS1092" s="74" t="s">
        <v>178</v>
      </c>
      <c r="AT1092" s="74" t="s">
        <v>120</v>
      </c>
      <c r="AU1092" s="74">
        <v>3</v>
      </c>
      <c r="AW1092" s="74" t="s">
        <v>336</v>
      </c>
      <c r="AY1092" s="74">
        <f t="shared" ref="AY1092:AY1093" si="232">5.1*1000</f>
        <v>5100</v>
      </c>
      <c r="AZ1092" s="74">
        <v>12</v>
      </c>
      <c r="BH1092" s="74">
        <v>480</v>
      </c>
      <c r="BI1092" s="74">
        <v>664</v>
      </c>
      <c r="BM1092" s="412"/>
      <c r="BN1092" s="412"/>
      <c r="BR1092" s="412"/>
      <c r="BS1092" s="412"/>
      <c r="BW1092" s="74">
        <v>14.14</v>
      </c>
      <c r="BX1092" s="74">
        <f>61.8*0.28</f>
        <v>17.304000000000002</v>
      </c>
      <c r="BY1092" s="24"/>
      <c r="BZ1092" s="24"/>
      <c r="CA1092" s="24" t="s">
        <v>466</v>
      </c>
      <c r="GW1092" s="24">
        <v>8</v>
      </c>
      <c r="GX1092" s="74">
        <v>11</v>
      </c>
      <c r="HA1092" s="24" t="s">
        <v>1705</v>
      </c>
      <c r="IO1092" s="24" t="s">
        <v>780</v>
      </c>
    </row>
    <row r="1093" spans="1:249" s="74" customFormat="1" x14ac:dyDescent="0.25">
      <c r="A1093" s="74">
        <v>53</v>
      </c>
      <c r="B1093" s="74" t="s">
        <v>769</v>
      </c>
      <c r="C1093" s="74" t="s">
        <v>770</v>
      </c>
      <c r="D1093" s="74">
        <v>2006</v>
      </c>
      <c r="E1093" s="74">
        <v>2000</v>
      </c>
      <c r="F1093" s="74" t="s">
        <v>771</v>
      </c>
      <c r="G1093" s="74" t="s">
        <v>772</v>
      </c>
      <c r="H1093" s="32" t="s">
        <v>2831</v>
      </c>
      <c r="I1093" s="74">
        <v>33.950000000000003</v>
      </c>
      <c r="J1093" s="74">
        <v>-83.38</v>
      </c>
      <c r="K1093" s="74">
        <v>208.4</v>
      </c>
      <c r="N1093" s="24">
        <f t="shared" si="229"/>
        <v>783</v>
      </c>
      <c r="O1093" s="24">
        <f t="shared" si="230"/>
        <v>1233</v>
      </c>
      <c r="Q1093" s="75">
        <v>1</v>
      </c>
      <c r="R1093" s="75" t="s">
        <v>1735</v>
      </c>
      <c r="S1093" s="75"/>
      <c r="T1093" s="42" t="s">
        <v>1974</v>
      </c>
      <c r="U1093" s="75" t="s">
        <v>1393</v>
      </c>
      <c r="V1093" s="42" t="s">
        <v>1727</v>
      </c>
      <c r="W1093" s="75" t="s">
        <v>1393</v>
      </c>
      <c r="X1093" s="75" t="s">
        <v>1393</v>
      </c>
      <c r="Z1093" s="337">
        <f t="shared" si="228"/>
        <v>65</v>
      </c>
      <c r="AA1093" s="337">
        <f>25</f>
        <v>25</v>
      </c>
      <c r="AB1093" s="74" t="s">
        <v>241</v>
      </c>
      <c r="AC1093" s="74">
        <v>6.6</v>
      </c>
      <c r="AD1093" s="74">
        <v>0.88</v>
      </c>
      <c r="AF1093" s="24" t="s">
        <v>1348</v>
      </c>
      <c r="AG1093" s="74" t="s">
        <v>244</v>
      </c>
      <c r="AH1093" s="138" t="s">
        <v>578</v>
      </c>
      <c r="AI1093" s="74" t="s">
        <v>585</v>
      </c>
      <c r="AJ1093" s="140" t="s">
        <v>1632</v>
      </c>
      <c r="AK1093" s="24" t="s">
        <v>779</v>
      </c>
      <c r="AL1093" s="24" t="s">
        <v>779</v>
      </c>
      <c r="AM1093" s="24" t="s">
        <v>178</v>
      </c>
      <c r="AN1093" s="74" t="s">
        <v>774</v>
      </c>
      <c r="AO1093" s="74" t="s">
        <v>774</v>
      </c>
      <c r="AP1093" s="74" t="s">
        <v>178</v>
      </c>
      <c r="AQ1093" s="74" t="s">
        <v>339</v>
      </c>
      <c r="AR1093" s="74" t="s">
        <v>339</v>
      </c>
      <c r="AS1093" s="74" t="s">
        <v>178</v>
      </c>
      <c r="AT1093" s="74" t="s">
        <v>120</v>
      </c>
      <c r="AU1093" s="74">
        <v>3</v>
      </c>
      <c r="AW1093" s="74" t="s">
        <v>336</v>
      </c>
      <c r="AY1093" s="74">
        <f t="shared" si="232"/>
        <v>5100</v>
      </c>
      <c r="AZ1093" s="74">
        <v>12</v>
      </c>
      <c r="BH1093" s="74">
        <v>802</v>
      </c>
      <c r="BI1093" s="74">
        <v>657</v>
      </c>
      <c r="BM1093" s="412"/>
      <c r="BN1093" s="412"/>
      <c r="BR1093" s="412"/>
      <c r="BS1093" s="412"/>
      <c r="BW1093" s="74">
        <v>14.336000000000002</v>
      </c>
      <c r="BX1093" s="74">
        <f>62.9*0.28</f>
        <v>17.612000000000002</v>
      </c>
      <c r="BY1093" s="24"/>
      <c r="BZ1093" s="24"/>
      <c r="CA1093" s="24" t="s">
        <v>466</v>
      </c>
      <c r="GW1093" s="24">
        <v>14</v>
      </c>
      <c r="GX1093" s="74">
        <v>11</v>
      </c>
      <c r="HA1093" s="24" t="s">
        <v>1705</v>
      </c>
      <c r="IO1093" s="24" t="s">
        <v>780</v>
      </c>
    </row>
    <row r="1094" spans="1:249" s="24" customFormat="1" x14ac:dyDescent="0.25">
      <c r="A1094" s="24">
        <v>53</v>
      </c>
      <c r="B1094" s="24" t="s">
        <v>769</v>
      </c>
      <c r="C1094" s="24" t="s">
        <v>770</v>
      </c>
      <c r="D1094" s="24">
        <v>2006</v>
      </c>
      <c r="E1094" s="24">
        <v>2000</v>
      </c>
      <c r="F1094" s="24" t="s">
        <v>771</v>
      </c>
      <c r="G1094" s="24" t="s">
        <v>772</v>
      </c>
      <c r="H1094" s="32" t="s">
        <v>2831</v>
      </c>
      <c r="I1094" s="24">
        <v>33.950000000000003</v>
      </c>
      <c r="J1094" s="24">
        <v>-83.38</v>
      </c>
      <c r="K1094" s="24">
        <v>208.4</v>
      </c>
      <c r="N1094" s="24">
        <f t="shared" si="229"/>
        <v>783</v>
      </c>
      <c r="O1094" s="24">
        <f t="shared" si="230"/>
        <v>1233</v>
      </c>
      <c r="Q1094" s="42">
        <v>1</v>
      </c>
      <c r="R1094" s="42" t="s">
        <v>1735</v>
      </c>
      <c r="S1094" s="42"/>
      <c r="T1094" s="42" t="s">
        <v>1974</v>
      </c>
      <c r="U1094" s="42" t="s">
        <v>1393</v>
      </c>
      <c r="V1094" s="42" t="s">
        <v>1727</v>
      </c>
      <c r="W1094" s="42" t="s">
        <v>1393</v>
      </c>
      <c r="X1094" s="42" t="s">
        <v>1393</v>
      </c>
      <c r="Z1094" s="321">
        <f t="shared" si="228"/>
        <v>65</v>
      </c>
      <c r="AA1094" s="321">
        <f>25</f>
        <v>25</v>
      </c>
      <c r="AB1094" s="24" t="s">
        <v>241</v>
      </c>
      <c r="AC1094" s="24">
        <v>6.6</v>
      </c>
      <c r="AD1094" s="24">
        <v>0.88</v>
      </c>
      <c r="AF1094" s="24" t="s">
        <v>1348</v>
      </c>
      <c r="AG1094" s="24" t="s">
        <v>1522</v>
      </c>
      <c r="AH1094" s="138" t="s">
        <v>1586</v>
      </c>
      <c r="AI1094" s="24" t="s">
        <v>585</v>
      </c>
      <c r="AJ1094" s="140" t="s">
        <v>1632</v>
      </c>
      <c r="AK1094" s="24" t="s">
        <v>779</v>
      </c>
      <c r="AL1094" s="24" t="s">
        <v>779</v>
      </c>
      <c r="AM1094" s="24" t="s">
        <v>178</v>
      </c>
      <c r="AN1094" s="24" t="s">
        <v>157</v>
      </c>
      <c r="AO1094" s="24" t="s">
        <v>157</v>
      </c>
      <c r="AP1094" s="24" t="s">
        <v>178</v>
      </c>
      <c r="AQ1094" s="24" t="s">
        <v>339</v>
      </c>
      <c r="AR1094" s="24" t="s">
        <v>339</v>
      </c>
      <c r="AS1094" s="24" t="s">
        <v>178</v>
      </c>
      <c r="AT1094" s="24" t="s">
        <v>120</v>
      </c>
      <c r="AU1094" s="24">
        <v>3</v>
      </c>
      <c r="AW1094" s="24" t="s">
        <v>336</v>
      </c>
      <c r="AY1094" s="24">
        <f>8.18*1000</f>
        <v>8180</v>
      </c>
      <c r="AZ1094" s="24">
        <v>10</v>
      </c>
      <c r="BC1094" s="24">
        <v>5200</v>
      </c>
      <c r="BD1094" s="24">
        <v>7300</v>
      </c>
      <c r="BG1094" s="24" t="s">
        <v>1671</v>
      </c>
      <c r="BH1094" s="24">
        <v>814</v>
      </c>
      <c r="BI1094" s="24">
        <v>837</v>
      </c>
      <c r="BM1094" s="395"/>
      <c r="BN1094" s="395"/>
      <c r="BR1094" s="395"/>
      <c r="BS1094" s="395"/>
      <c r="BW1094" s="24">
        <f>55.8*0.28</f>
        <v>15.624000000000001</v>
      </c>
      <c r="BX1094" s="24">
        <f>53.7*0.28</f>
        <v>15.036000000000001</v>
      </c>
      <c r="CA1094" s="24" t="s">
        <v>466</v>
      </c>
      <c r="GW1094" s="24">
        <v>11</v>
      </c>
      <c r="GX1094" s="24">
        <v>17</v>
      </c>
      <c r="HA1094" s="24" t="s">
        <v>1705</v>
      </c>
      <c r="IO1094" s="24" t="s">
        <v>780</v>
      </c>
    </row>
    <row r="1095" spans="1:249" s="24" customFormat="1" x14ac:dyDescent="0.25">
      <c r="A1095" s="24">
        <v>53</v>
      </c>
      <c r="B1095" s="24" t="s">
        <v>769</v>
      </c>
      <c r="C1095" s="24" t="s">
        <v>770</v>
      </c>
      <c r="D1095" s="24">
        <v>2006</v>
      </c>
      <c r="E1095" s="24">
        <v>2000</v>
      </c>
      <c r="F1095" s="24" t="s">
        <v>771</v>
      </c>
      <c r="G1095" s="24" t="s">
        <v>772</v>
      </c>
      <c r="H1095" s="32" t="s">
        <v>2831</v>
      </c>
      <c r="I1095" s="24">
        <v>33.950000000000003</v>
      </c>
      <c r="J1095" s="24">
        <v>-83.38</v>
      </c>
      <c r="K1095" s="24">
        <v>208.4</v>
      </c>
      <c r="N1095" s="24">
        <f t="shared" si="229"/>
        <v>783</v>
      </c>
      <c r="O1095" s="24">
        <f t="shared" si="230"/>
        <v>1233</v>
      </c>
      <c r="Q1095" s="42">
        <v>1</v>
      </c>
      <c r="R1095" s="42" t="s">
        <v>1735</v>
      </c>
      <c r="S1095" s="42"/>
      <c r="T1095" s="42" t="s">
        <v>1974</v>
      </c>
      <c r="U1095" s="42" t="s">
        <v>1393</v>
      </c>
      <c r="V1095" s="42" t="s">
        <v>1727</v>
      </c>
      <c r="W1095" s="42" t="s">
        <v>1393</v>
      </c>
      <c r="X1095" s="42" t="s">
        <v>1393</v>
      </c>
      <c r="Z1095" s="321">
        <f t="shared" si="228"/>
        <v>65</v>
      </c>
      <c r="AA1095" s="321">
        <f>25</f>
        <v>25</v>
      </c>
      <c r="AB1095" s="24" t="s">
        <v>241</v>
      </c>
      <c r="AC1095" s="24">
        <v>6.6</v>
      </c>
      <c r="AD1095" s="24">
        <v>0.88</v>
      </c>
      <c r="AF1095" s="24" t="s">
        <v>1348</v>
      </c>
      <c r="AG1095" s="24" t="s">
        <v>1522</v>
      </c>
      <c r="AH1095" s="138" t="s">
        <v>1586</v>
      </c>
      <c r="AI1095" s="24" t="s">
        <v>585</v>
      </c>
      <c r="AJ1095" s="140" t="s">
        <v>1632</v>
      </c>
      <c r="AK1095" s="24" t="s">
        <v>779</v>
      </c>
      <c r="AL1095" s="24" t="s">
        <v>779</v>
      </c>
      <c r="AM1095" s="24" t="s">
        <v>178</v>
      </c>
      <c r="AN1095" s="24" t="s">
        <v>773</v>
      </c>
      <c r="AO1095" s="24" t="s">
        <v>773</v>
      </c>
      <c r="AP1095" s="24" t="s">
        <v>178</v>
      </c>
      <c r="AQ1095" s="24" t="s">
        <v>339</v>
      </c>
      <c r="AR1095" s="24" t="s">
        <v>339</v>
      </c>
      <c r="AS1095" s="24" t="s">
        <v>178</v>
      </c>
      <c r="AT1095" s="24" t="s">
        <v>120</v>
      </c>
      <c r="AU1095" s="24">
        <v>3</v>
      </c>
      <c r="AW1095" s="24" t="s">
        <v>336</v>
      </c>
      <c r="AY1095" s="24">
        <f t="shared" ref="AY1095:AY1102" si="233">8.18*1000</f>
        <v>8180</v>
      </c>
      <c r="AZ1095" s="24">
        <v>10</v>
      </c>
      <c r="BH1095" s="24">
        <v>480</v>
      </c>
      <c r="BI1095" s="24">
        <v>516</v>
      </c>
      <c r="BM1095" s="395"/>
      <c r="BN1095" s="395"/>
      <c r="BR1095" s="395"/>
      <c r="BS1095" s="395"/>
      <c r="BW1095" s="24">
        <f>50.5*0.28</f>
        <v>14.14</v>
      </c>
      <c r="BX1095" s="24">
        <f>60.8*0.28</f>
        <v>17.024000000000001</v>
      </c>
      <c r="CA1095" s="24" t="s">
        <v>466</v>
      </c>
      <c r="GW1095" s="24">
        <v>8</v>
      </c>
      <c r="GX1095" s="24">
        <v>9</v>
      </c>
      <c r="HA1095" s="24" t="s">
        <v>1705</v>
      </c>
      <c r="IO1095" s="24" t="s">
        <v>780</v>
      </c>
    </row>
    <row r="1096" spans="1:249" s="24" customFormat="1" x14ac:dyDescent="0.25">
      <c r="A1096" s="24">
        <v>53</v>
      </c>
      <c r="B1096" s="24" t="s">
        <v>769</v>
      </c>
      <c r="C1096" s="24" t="s">
        <v>770</v>
      </c>
      <c r="D1096" s="24">
        <v>2006</v>
      </c>
      <c r="E1096" s="24">
        <v>2000</v>
      </c>
      <c r="F1096" s="24" t="s">
        <v>771</v>
      </c>
      <c r="G1096" s="24" t="s">
        <v>772</v>
      </c>
      <c r="H1096" s="32" t="s">
        <v>2831</v>
      </c>
      <c r="I1096" s="24">
        <v>33.950000000000003</v>
      </c>
      <c r="J1096" s="24">
        <v>-83.38</v>
      </c>
      <c r="K1096" s="24">
        <v>208.4</v>
      </c>
      <c r="N1096" s="24">
        <f t="shared" si="229"/>
        <v>783</v>
      </c>
      <c r="O1096" s="24">
        <f t="shared" si="230"/>
        <v>1233</v>
      </c>
      <c r="Q1096" s="42">
        <v>1</v>
      </c>
      <c r="R1096" s="42" t="s">
        <v>1735</v>
      </c>
      <c r="S1096" s="42"/>
      <c r="T1096" s="42" t="s">
        <v>1974</v>
      </c>
      <c r="U1096" s="42" t="s">
        <v>1393</v>
      </c>
      <c r="V1096" s="42" t="s">
        <v>1727</v>
      </c>
      <c r="W1096" s="42" t="s">
        <v>1393</v>
      </c>
      <c r="X1096" s="42" t="s">
        <v>1393</v>
      </c>
      <c r="Z1096" s="321">
        <f t="shared" si="228"/>
        <v>65</v>
      </c>
      <c r="AA1096" s="321">
        <f>25</f>
        <v>25</v>
      </c>
      <c r="AB1096" s="24" t="s">
        <v>241</v>
      </c>
      <c r="AC1096" s="24">
        <v>6.6</v>
      </c>
      <c r="AD1096" s="24">
        <v>0.88</v>
      </c>
      <c r="AF1096" s="24" t="s">
        <v>1348</v>
      </c>
      <c r="AG1096" s="24" t="s">
        <v>1522</v>
      </c>
      <c r="AH1096" s="138" t="s">
        <v>1586</v>
      </c>
      <c r="AI1096" s="24" t="s">
        <v>585</v>
      </c>
      <c r="AJ1096" s="140" t="s">
        <v>1632</v>
      </c>
      <c r="AK1096" s="24" t="s">
        <v>779</v>
      </c>
      <c r="AL1096" s="24" t="s">
        <v>779</v>
      </c>
      <c r="AM1096" s="24" t="s">
        <v>178</v>
      </c>
      <c r="AN1096" s="24" t="s">
        <v>774</v>
      </c>
      <c r="AO1096" s="24" t="s">
        <v>774</v>
      </c>
      <c r="AP1096" s="24" t="s">
        <v>178</v>
      </c>
      <c r="AQ1096" s="24" t="s">
        <v>339</v>
      </c>
      <c r="AR1096" s="24" t="s">
        <v>339</v>
      </c>
      <c r="AS1096" s="24" t="s">
        <v>178</v>
      </c>
      <c r="AT1096" s="24" t="s">
        <v>120</v>
      </c>
      <c r="AU1096" s="24">
        <v>3</v>
      </c>
      <c r="AW1096" s="24" t="s">
        <v>336</v>
      </c>
      <c r="AY1096" s="24">
        <f t="shared" si="233"/>
        <v>8180</v>
      </c>
      <c r="AZ1096" s="24">
        <v>10</v>
      </c>
      <c r="BH1096" s="24">
        <v>802</v>
      </c>
      <c r="BI1096" s="24">
        <v>856</v>
      </c>
      <c r="BM1096" s="395"/>
      <c r="BN1096" s="395"/>
      <c r="BR1096" s="395"/>
      <c r="BS1096" s="395"/>
      <c r="BW1096" s="24">
        <f>51.2*0.28</f>
        <v>14.336000000000002</v>
      </c>
      <c r="BX1096" s="24">
        <f>54.7*0.28</f>
        <v>15.316000000000003</v>
      </c>
      <c r="CA1096" s="24" t="s">
        <v>466</v>
      </c>
      <c r="GW1096" s="24">
        <v>14</v>
      </c>
      <c r="GX1096" s="24">
        <v>8</v>
      </c>
      <c r="HA1096" s="24" t="s">
        <v>1705</v>
      </c>
      <c r="IO1096" s="24" t="s">
        <v>780</v>
      </c>
    </row>
    <row r="1097" spans="1:249" s="24" customFormat="1" x14ac:dyDescent="0.25">
      <c r="A1097" s="24">
        <v>53</v>
      </c>
      <c r="B1097" s="24" t="s">
        <v>769</v>
      </c>
      <c r="C1097" s="24" t="s">
        <v>770</v>
      </c>
      <c r="D1097" s="24">
        <v>2006</v>
      </c>
      <c r="E1097" s="24">
        <v>2000</v>
      </c>
      <c r="F1097" s="24" t="s">
        <v>771</v>
      </c>
      <c r="G1097" s="24" t="s">
        <v>772</v>
      </c>
      <c r="H1097" s="32" t="s">
        <v>2831</v>
      </c>
      <c r="I1097" s="24">
        <v>33.950000000000003</v>
      </c>
      <c r="J1097" s="24">
        <v>-83.38</v>
      </c>
      <c r="K1097" s="24">
        <v>208.4</v>
      </c>
      <c r="N1097" s="24">
        <f t="shared" si="229"/>
        <v>783</v>
      </c>
      <c r="O1097" s="24">
        <f t="shared" si="230"/>
        <v>1233</v>
      </c>
      <c r="Q1097" s="42">
        <v>1</v>
      </c>
      <c r="R1097" s="42" t="s">
        <v>1735</v>
      </c>
      <c r="S1097" s="42"/>
      <c r="T1097" s="42" t="s">
        <v>1974</v>
      </c>
      <c r="U1097" s="42" t="s">
        <v>1393</v>
      </c>
      <c r="V1097" s="42" t="s">
        <v>1727</v>
      </c>
      <c r="W1097" s="42" t="s">
        <v>1393</v>
      </c>
      <c r="X1097" s="42" t="s">
        <v>1393</v>
      </c>
      <c r="Z1097" s="321">
        <f t="shared" si="228"/>
        <v>65</v>
      </c>
      <c r="AA1097" s="321">
        <f>25</f>
        <v>25</v>
      </c>
      <c r="AB1097" s="24" t="s">
        <v>241</v>
      </c>
      <c r="AC1097" s="24">
        <v>6.6</v>
      </c>
      <c r="AD1097" s="24">
        <v>0.88</v>
      </c>
      <c r="AF1097" s="24" t="s">
        <v>1348</v>
      </c>
      <c r="AG1097" s="24" t="s">
        <v>1522</v>
      </c>
      <c r="AH1097" s="138" t="s">
        <v>1586</v>
      </c>
      <c r="AI1097" s="24" t="s">
        <v>585</v>
      </c>
      <c r="AJ1097" s="140" t="s">
        <v>1632</v>
      </c>
      <c r="AK1097" s="24" t="s">
        <v>779</v>
      </c>
      <c r="AL1097" s="24" t="s">
        <v>779</v>
      </c>
      <c r="AM1097" s="24" t="s">
        <v>178</v>
      </c>
      <c r="AN1097" s="24" t="s">
        <v>157</v>
      </c>
      <c r="AO1097" s="24" t="s">
        <v>157</v>
      </c>
      <c r="AP1097" s="24" t="s">
        <v>178</v>
      </c>
      <c r="AQ1097" s="24" t="s">
        <v>775</v>
      </c>
      <c r="AR1097" s="24" t="s">
        <v>775</v>
      </c>
      <c r="AS1097" s="24" t="s">
        <v>178</v>
      </c>
      <c r="AT1097" s="24" t="s">
        <v>120</v>
      </c>
      <c r="AU1097" s="24">
        <v>3</v>
      </c>
      <c r="AW1097" s="24" t="s">
        <v>336</v>
      </c>
      <c r="AY1097" s="24">
        <f t="shared" si="233"/>
        <v>8180</v>
      </c>
      <c r="AZ1097" s="24">
        <v>10</v>
      </c>
      <c r="BH1097" s="24">
        <v>814</v>
      </c>
      <c r="BI1097" s="24">
        <v>1009</v>
      </c>
      <c r="BM1097" s="395"/>
      <c r="BN1097" s="395"/>
      <c r="BR1097" s="395"/>
      <c r="BS1097" s="395"/>
      <c r="BW1097" s="24">
        <f>52.5*0.28</f>
        <v>14.700000000000001</v>
      </c>
      <c r="BX1097" s="24">
        <f>56.1*0.28</f>
        <v>15.708000000000002</v>
      </c>
      <c r="CA1097" s="24" t="s">
        <v>466</v>
      </c>
      <c r="IO1097" s="24" t="s">
        <v>780</v>
      </c>
    </row>
    <row r="1098" spans="1:249" s="24" customFormat="1" x14ac:dyDescent="0.25">
      <c r="A1098" s="24">
        <v>53</v>
      </c>
      <c r="B1098" s="24" t="s">
        <v>769</v>
      </c>
      <c r="C1098" s="24" t="s">
        <v>770</v>
      </c>
      <c r="D1098" s="24">
        <v>2006</v>
      </c>
      <c r="E1098" s="24">
        <v>2000</v>
      </c>
      <c r="F1098" s="24" t="s">
        <v>771</v>
      </c>
      <c r="G1098" s="24" t="s">
        <v>772</v>
      </c>
      <c r="H1098" s="32" t="s">
        <v>2831</v>
      </c>
      <c r="I1098" s="24">
        <v>33.950000000000003</v>
      </c>
      <c r="J1098" s="24">
        <v>-83.38</v>
      </c>
      <c r="K1098" s="24">
        <v>208.4</v>
      </c>
      <c r="N1098" s="24">
        <f t="shared" si="229"/>
        <v>783</v>
      </c>
      <c r="O1098" s="24">
        <f t="shared" si="230"/>
        <v>1233</v>
      </c>
      <c r="Q1098" s="42">
        <v>1</v>
      </c>
      <c r="R1098" s="42" t="s">
        <v>1735</v>
      </c>
      <c r="S1098" s="42"/>
      <c r="T1098" s="42" t="s">
        <v>1974</v>
      </c>
      <c r="U1098" s="42" t="s">
        <v>1393</v>
      </c>
      <c r="V1098" s="42" t="s">
        <v>1727</v>
      </c>
      <c r="W1098" s="42" t="s">
        <v>1393</v>
      </c>
      <c r="X1098" s="42" t="s">
        <v>1393</v>
      </c>
      <c r="Z1098" s="321">
        <f t="shared" si="228"/>
        <v>65</v>
      </c>
      <c r="AA1098" s="321">
        <f>25</f>
        <v>25</v>
      </c>
      <c r="AB1098" s="24" t="s">
        <v>241</v>
      </c>
      <c r="AC1098" s="24">
        <v>6.6</v>
      </c>
      <c r="AD1098" s="24">
        <v>0.88</v>
      </c>
      <c r="AF1098" s="24" t="s">
        <v>1348</v>
      </c>
      <c r="AG1098" s="24" t="s">
        <v>1522</v>
      </c>
      <c r="AH1098" s="138" t="s">
        <v>1586</v>
      </c>
      <c r="AI1098" s="24" t="s">
        <v>585</v>
      </c>
      <c r="AJ1098" s="140" t="s">
        <v>1632</v>
      </c>
      <c r="AK1098" s="24" t="s">
        <v>779</v>
      </c>
      <c r="AL1098" s="24" t="s">
        <v>779</v>
      </c>
      <c r="AM1098" s="24" t="s">
        <v>178</v>
      </c>
      <c r="AN1098" s="24" t="s">
        <v>773</v>
      </c>
      <c r="AO1098" s="24" t="s">
        <v>773</v>
      </c>
      <c r="AP1098" s="24" t="s">
        <v>178</v>
      </c>
      <c r="AQ1098" s="24" t="s">
        <v>775</v>
      </c>
      <c r="AR1098" s="24" t="s">
        <v>775</v>
      </c>
      <c r="AS1098" s="24" t="s">
        <v>178</v>
      </c>
      <c r="AT1098" s="24" t="s">
        <v>120</v>
      </c>
      <c r="AU1098" s="24">
        <v>3</v>
      </c>
      <c r="AW1098" s="24" t="s">
        <v>336</v>
      </c>
      <c r="AY1098" s="24">
        <f t="shared" si="233"/>
        <v>8180</v>
      </c>
      <c r="AZ1098" s="24">
        <v>10</v>
      </c>
      <c r="BH1098" s="24">
        <v>480</v>
      </c>
      <c r="BI1098" s="24">
        <v>645</v>
      </c>
      <c r="BM1098" s="395"/>
      <c r="BN1098" s="395"/>
      <c r="BR1098" s="395"/>
      <c r="BS1098" s="395"/>
      <c r="IO1098" s="24" t="s">
        <v>780</v>
      </c>
    </row>
    <row r="1099" spans="1:249" s="24" customFormat="1" x14ac:dyDescent="0.25">
      <c r="A1099" s="24">
        <v>53</v>
      </c>
      <c r="B1099" s="24" t="s">
        <v>769</v>
      </c>
      <c r="C1099" s="24" t="s">
        <v>770</v>
      </c>
      <c r="D1099" s="24">
        <v>2006</v>
      </c>
      <c r="E1099" s="24">
        <v>2000</v>
      </c>
      <c r="F1099" s="24" t="s">
        <v>771</v>
      </c>
      <c r="G1099" s="24" t="s">
        <v>772</v>
      </c>
      <c r="H1099" s="32" t="s">
        <v>2831</v>
      </c>
      <c r="I1099" s="24">
        <v>33.950000000000003</v>
      </c>
      <c r="J1099" s="24">
        <v>-83.38</v>
      </c>
      <c r="K1099" s="24">
        <v>208.4</v>
      </c>
      <c r="N1099" s="24">
        <f t="shared" si="229"/>
        <v>783</v>
      </c>
      <c r="O1099" s="24">
        <f t="shared" si="230"/>
        <v>1233</v>
      </c>
      <c r="Q1099" s="42">
        <v>1</v>
      </c>
      <c r="R1099" s="42" t="s">
        <v>1735</v>
      </c>
      <c r="S1099" s="42"/>
      <c r="T1099" s="42" t="s">
        <v>1974</v>
      </c>
      <c r="U1099" s="42" t="s">
        <v>1393</v>
      </c>
      <c r="V1099" s="42" t="s">
        <v>1727</v>
      </c>
      <c r="W1099" s="42" t="s">
        <v>1393</v>
      </c>
      <c r="X1099" s="42" t="s">
        <v>1393</v>
      </c>
      <c r="Z1099" s="321">
        <f t="shared" si="228"/>
        <v>65</v>
      </c>
      <c r="AA1099" s="321">
        <f>25</f>
        <v>25</v>
      </c>
      <c r="AB1099" s="24" t="s">
        <v>241</v>
      </c>
      <c r="AC1099" s="24">
        <v>6.6</v>
      </c>
      <c r="AD1099" s="24">
        <v>0.88</v>
      </c>
      <c r="AF1099" s="24" t="s">
        <v>1348</v>
      </c>
      <c r="AG1099" s="24" t="s">
        <v>1522</v>
      </c>
      <c r="AH1099" s="138" t="s">
        <v>1586</v>
      </c>
      <c r="AI1099" s="24" t="s">
        <v>585</v>
      </c>
      <c r="AJ1099" s="140" t="s">
        <v>1632</v>
      </c>
      <c r="AK1099" s="24" t="s">
        <v>779</v>
      </c>
      <c r="AL1099" s="24" t="s">
        <v>779</v>
      </c>
      <c r="AM1099" s="24" t="s">
        <v>178</v>
      </c>
      <c r="AN1099" s="24" t="s">
        <v>774</v>
      </c>
      <c r="AO1099" s="24" t="s">
        <v>774</v>
      </c>
      <c r="AP1099" s="24" t="s">
        <v>178</v>
      </c>
      <c r="AQ1099" s="24" t="s">
        <v>775</v>
      </c>
      <c r="AR1099" s="24" t="s">
        <v>775</v>
      </c>
      <c r="AS1099" s="24" t="s">
        <v>178</v>
      </c>
      <c r="AT1099" s="24" t="s">
        <v>120</v>
      </c>
      <c r="AU1099" s="24">
        <v>3</v>
      </c>
      <c r="AW1099" s="24" t="s">
        <v>336</v>
      </c>
      <c r="AY1099" s="24">
        <f t="shared" si="233"/>
        <v>8180</v>
      </c>
      <c r="AZ1099" s="24">
        <v>10</v>
      </c>
      <c r="BH1099" s="24">
        <v>802</v>
      </c>
      <c r="BI1099" s="24">
        <v>666</v>
      </c>
      <c r="BM1099" s="395"/>
      <c r="BN1099" s="395"/>
      <c r="BR1099" s="395"/>
      <c r="BS1099" s="395"/>
      <c r="IO1099" s="24" t="s">
        <v>780</v>
      </c>
    </row>
    <row r="1100" spans="1:249" s="24" customFormat="1" x14ac:dyDescent="0.25">
      <c r="A1100" s="24">
        <v>53</v>
      </c>
      <c r="B1100" s="24" t="s">
        <v>769</v>
      </c>
      <c r="C1100" s="24" t="s">
        <v>770</v>
      </c>
      <c r="D1100" s="24">
        <v>2006</v>
      </c>
      <c r="E1100" s="24">
        <v>2000</v>
      </c>
      <c r="F1100" s="24" t="s">
        <v>771</v>
      </c>
      <c r="G1100" s="24" t="s">
        <v>772</v>
      </c>
      <c r="H1100" s="32" t="s">
        <v>2831</v>
      </c>
      <c r="I1100" s="24">
        <v>33.950000000000003</v>
      </c>
      <c r="J1100" s="24">
        <v>-83.38</v>
      </c>
      <c r="K1100" s="24">
        <v>208.4</v>
      </c>
      <c r="N1100" s="24">
        <f t="shared" si="229"/>
        <v>783</v>
      </c>
      <c r="O1100" s="24">
        <f t="shared" si="230"/>
        <v>1233</v>
      </c>
      <c r="Q1100" s="42">
        <v>1</v>
      </c>
      <c r="R1100" s="42" t="s">
        <v>1735</v>
      </c>
      <c r="S1100" s="42"/>
      <c r="T1100" s="42" t="s">
        <v>1974</v>
      </c>
      <c r="U1100" s="42" t="s">
        <v>1393</v>
      </c>
      <c r="V1100" s="42" t="s">
        <v>1727</v>
      </c>
      <c r="W1100" s="42" t="s">
        <v>1393</v>
      </c>
      <c r="X1100" s="42" t="s">
        <v>1393</v>
      </c>
      <c r="Z1100" s="321">
        <f t="shared" si="228"/>
        <v>65</v>
      </c>
      <c r="AA1100" s="321">
        <f>25</f>
        <v>25</v>
      </c>
      <c r="AB1100" s="24" t="s">
        <v>241</v>
      </c>
      <c r="AC1100" s="24">
        <v>6.6</v>
      </c>
      <c r="AD1100" s="24">
        <v>0.88</v>
      </c>
      <c r="AF1100" s="24" t="s">
        <v>1348</v>
      </c>
      <c r="AG1100" s="24" t="s">
        <v>1522</v>
      </c>
      <c r="AH1100" s="138" t="s">
        <v>1586</v>
      </c>
      <c r="AI1100" s="24" t="s">
        <v>585</v>
      </c>
      <c r="AJ1100" s="140" t="s">
        <v>1632</v>
      </c>
      <c r="AK1100" s="24" t="s">
        <v>779</v>
      </c>
      <c r="AL1100" s="24" t="s">
        <v>779</v>
      </c>
      <c r="AM1100" s="24" t="s">
        <v>178</v>
      </c>
      <c r="AN1100" s="24" t="s">
        <v>157</v>
      </c>
      <c r="AO1100" s="24" t="s">
        <v>157</v>
      </c>
      <c r="AP1100" s="24" t="s">
        <v>178</v>
      </c>
      <c r="AQ1100" s="24" t="s">
        <v>776</v>
      </c>
      <c r="AR1100" s="24" t="s">
        <v>776</v>
      </c>
      <c r="AS1100" s="24" t="s">
        <v>178</v>
      </c>
      <c r="AT1100" s="24" t="s">
        <v>120</v>
      </c>
      <c r="AU1100" s="24">
        <v>3</v>
      </c>
      <c r="AW1100" s="24" t="s">
        <v>336</v>
      </c>
      <c r="AY1100" s="24">
        <f t="shared" si="233"/>
        <v>8180</v>
      </c>
      <c r="AZ1100" s="24">
        <v>10</v>
      </c>
      <c r="BH1100" s="24">
        <v>814</v>
      </c>
      <c r="BI1100" s="24">
        <v>824</v>
      </c>
      <c r="BM1100" s="395"/>
      <c r="BN1100" s="395"/>
      <c r="BR1100" s="395"/>
      <c r="BS1100" s="395"/>
      <c r="BW1100" s="24">
        <f>52.5*0.28</f>
        <v>14.700000000000001</v>
      </c>
      <c r="BX1100" s="24">
        <f>59.9*0.28</f>
        <v>16.772000000000002</v>
      </c>
      <c r="CA1100" s="24" t="s">
        <v>466</v>
      </c>
      <c r="IO1100" s="24" t="s">
        <v>780</v>
      </c>
    </row>
    <row r="1101" spans="1:249" s="24" customFormat="1" x14ac:dyDescent="0.25">
      <c r="A1101" s="24">
        <v>53</v>
      </c>
      <c r="B1101" s="24" t="s">
        <v>769</v>
      </c>
      <c r="C1101" s="24" t="s">
        <v>770</v>
      </c>
      <c r="D1101" s="24">
        <v>2006</v>
      </c>
      <c r="E1101" s="24">
        <v>2000</v>
      </c>
      <c r="F1101" s="24" t="s">
        <v>771</v>
      </c>
      <c r="G1101" s="24" t="s">
        <v>772</v>
      </c>
      <c r="H1101" s="32" t="s">
        <v>2831</v>
      </c>
      <c r="I1101" s="24">
        <v>33.950000000000003</v>
      </c>
      <c r="J1101" s="24">
        <v>-83.38</v>
      </c>
      <c r="K1101" s="24">
        <v>208.4</v>
      </c>
      <c r="N1101" s="24">
        <f t="shared" si="229"/>
        <v>783</v>
      </c>
      <c r="O1101" s="24">
        <f t="shared" si="230"/>
        <v>1233</v>
      </c>
      <c r="Q1101" s="42">
        <v>1</v>
      </c>
      <c r="R1101" s="42" t="s">
        <v>1735</v>
      </c>
      <c r="S1101" s="42"/>
      <c r="T1101" s="42" t="s">
        <v>1974</v>
      </c>
      <c r="U1101" s="42" t="s">
        <v>1393</v>
      </c>
      <c r="V1101" s="42" t="s">
        <v>1727</v>
      </c>
      <c r="W1101" s="42" t="s">
        <v>1393</v>
      </c>
      <c r="X1101" s="42" t="s">
        <v>1393</v>
      </c>
      <c r="Z1101" s="321">
        <f t="shared" si="228"/>
        <v>65</v>
      </c>
      <c r="AA1101" s="321">
        <f>25</f>
        <v>25</v>
      </c>
      <c r="AB1101" s="24" t="s">
        <v>241</v>
      </c>
      <c r="AC1101" s="24">
        <v>6.6</v>
      </c>
      <c r="AD1101" s="24">
        <v>0.88</v>
      </c>
      <c r="AF1101" s="24" t="s">
        <v>1348</v>
      </c>
      <c r="AG1101" s="24" t="s">
        <v>1522</v>
      </c>
      <c r="AH1101" s="138" t="s">
        <v>1586</v>
      </c>
      <c r="AI1101" s="24" t="s">
        <v>585</v>
      </c>
      <c r="AJ1101" s="140" t="s">
        <v>1632</v>
      </c>
      <c r="AK1101" s="24" t="s">
        <v>779</v>
      </c>
      <c r="AL1101" s="24" t="s">
        <v>779</v>
      </c>
      <c r="AM1101" s="24" t="s">
        <v>178</v>
      </c>
      <c r="AN1101" s="24" t="s">
        <v>773</v>
      </c>
      <c r="AO1101" s="24" t="s">
        <v>773</v>
      </c>
      <c r="AP1101" s="24" t="s">
        <v>178</v>
      </c>
      <c r="AQ1101" s="24" t="s">
        <v>776</v>
      </c>
      <c r="AR1101" s="24" t="s">
        <v>776</v>
      </c>
      <c r="AS1101" s="24" t="s">
        <v>178</v>
      </c>
      <c r="AT1101" s="24" t="s">
        <v>120</v>
      </c>
      <c r="AU1101" s="24">
        <v>3</v>
      </c>
      <c r="AW1101" s="24" t="s">
        <v>336</v>
      </c>
      <c r="AY1101" s="24">
        <f t="shared" si="233"/>
        <v>8180</v>
      </c>
      <c r="AZ1101" s="24">
        <v>10</v>
      </c>
      <c r="BH1101" s="24">
        <v>480</v>
      </c>
      <c r="BI1101" s="24">
        <v>594</v>
      </c>
      <c r="BM1101" s="395"/>
      <c r="BN1101" s="395"/>
      <c r="BR1101" s="395"/>
      <c r="BS1101" s="395"/>
      <c r="IO1101" s="24" t="s">
        <v>780</v>
      </c>
    </row>
    <row r="1102" spans="1:249" s="24" customFormat="1" x14ac:dyDescent="0.25">
      <c r="A1102" s="24">
        <v>53</v>
      </c>
      <c r="B1102" s="24" t="s">
        <v>769</v>
      </c>
      <c r="C1102" s="24" t="s">
        <v>770</v>
      </c>
      <c r="D1102" s="24">
        <v>2006</v>
      </c>
      <c r="E1102" s="24">
        <v>2000</v>
      </c>
      <c r="F1102" s="24" t="s">
        <v>771</v>
      </c>
      <c r="G1102" s="24" t="s">
        <v>772</v>
      </c>
      <c r="H1102" s="32" t="s">
        <v>2831</v>
      </c>
      <c r="I1102" s="24">
        <v>33.950000000000003</v>
      </c>
      <c r="J1102" s="24">
        <v>-83.38</v>
      </c>
      <c r="K1102" s="24">
        <v>208.4</v>
      </c>
      <c r="N1102" s="24">
        <f t="shared" si="229"/>
        <v>783</v>
      </c>
      <c r="O1102" s="24">
        <f t="shared" si="230"/>
        <v>1233</v>
      </c>
      <c r="Q1102" s="42">
        <v>1</v>
      </c>
      <c r="R1102" s="42" t="s">
        <v>1735</v>
      </c>
      <c r="S1102" s="42"/>
      <c r="T1102" s="42" t="s">
        <v>1974</v>
      </c>
      <c r="U1102" s="42" t="s">
        <v>1393</v>
      </c>
      <c r="V1102" s="42" t="s">
        <v>1727</v>
      </c>
      <c r="W1102" s="42" t="s">
        <v>1393</v>
      </c>
      <c r="X1102" s="42" t="s">
        <v>1393</v>
      </c>
      <c r="Z1102" s="321">
        <f t="shared" si="228"/>
        <v>65</v>
      </c>
      <c r="AA1102" s="321">
        <f>25</f>
        <v>25</v>
      </c>
      <c r="AB1102" s="24" t="s">
        <v>241</v>
      </c>
      <c r="AC1102" s="24">
        <v>6.6</v>
      </c>
      <c r="AD1102" s="24">
        <v>0.88</v>
      </c>
      <c r="AF1102" s="24" t="s">
        <v>1348</v>
      </c>
      <c r="AG1102" s="24" t="s">
        <v>1522</v>
      </c>
      <c r="AH1102" s="138" t="s">
        <v>1586</v>
      </c>
      <c r="AI1102" s="24" t="s">
        <v>585</v>
      </c>
      <c r="AJ1102" s="140" t="s">
        <v>1632</v>
      </c>
      <c r="AK1102" s="24" t="s">
        <v>779</v>
      </c>
      <c r="AL1102" s="24" t="s">
        <v>779</v>
      </c>
      <c r="AM1102" s="24" t="s">
        <v>178</v>
      </c>
      <c r="AN1102" s="24" t="s">
        <v>774</v>
      </c>
      <c r="AO1102" s="24" t="s">
        <v>774</v>
      </c>
      <c r="AP1102" s="24" t="s">
        <v>178</v>
      </c>
      <c r="AQ1102" s="24" t="s">
        <v>776</v>
      </c>
      <c r="AR1102" s="24" t="s">
        <v>776</v>
      </c>
      <c r="AS1102" s="24" t="s">
        <v>178</v>
      </c>
      <c r="AT1102" s="24" t="s">
        <v>120</v>
      </c>
      <c r="AU1102" s="24">
        <v>3</v>
      </c>
      <c r="AW1102" s="24" t="s">
        <v>336</v>
      </c>
      <c r="AY1102" s="24">
        <f t="shared" si="233"/>
        <v>8180</v>
      </c>
      <c r="AZ1102" s="24">
        <v>10</v>
      </c>
      <c r="BH1102" s="24">
        <v>802</v>
      </c>
      <c r="BI1102" s="24">
        <v>647</v>
      </c>
      <c r="BM1102" s="395"/>
      <c r="BN1102" s="395"/>
      <c r="BR1102" s="395"/>
      <c r="BS1102" s="395"/>
      <c r="IO1102" s="24" t="s">
        <v>780</v>
      </c>
    </row>
    <row r="1103" spans="1:249" s="72" customFormat="1" x14ac:dyDescent="0.25">
      <c r="A1103" s="72">
        <v>53</v>
      </c>
      <c r="B1103" s="72" t="s">
        <v>769</v>
      </c>
      <c r="C1103" s="72" t="s">
        <v>770</v>
      </c>
      <c r="D1103" s="72">
        <v>2006</v>
      </c>
      <c r="E1103" s="72">
        <v>2001</v>
      </c>
      <c r="F1103" s="72" t="s">
        <v>771</v>
      </c>
      <c r="G1103" s="72" t="s">
        <v>772</v>
      </c>
      <c r="H1103" s="32" t="s">
        <v>2831</v>
      </c>
      <c r="I1103" s="72">
        <v>33.950000000000003</v>
      </c>
      <c r="J1103" s="72">
        <v>-83.38</v>
      </c>
      <c r="K1103" s="72">
        <v>208.4</v>
      </c>
      <c r="N1103" s="72">
        <f>341+407</f>
        <v>748</v>
      </c>
      <c r="O1103" s="72">
        <f t="shared" si="230"/>
        <v>1233</v>
      </c>
      <c r="Q1103" s="73">
        <v>2</v>
      </c>
      <c r="R1103" s="73" t="s">
        <v>1735</v>
      </c>
      <c r="S1103" s="73"/>
      <c r="T1103" s="42" t="s">
        <v>1974</v>
      </c>
      <c r="U1103" s="73" t="s">
        <v>1393</v>
      </c>
      <c r="V1103" s="42" t="s">
        <v>1727</v>
      </c>
      <c r="W1103" s="73" t="s">
        <v>1393</v>
      </c>
      <c r="X1103" s="73" t="s">
        <v>1393</v>
      </c>
      <c r="Z1103" s="338">
        <f t="shared" si="228"/>
        <v>65</v>
      </c>
      <c r="AA1103" s="338">
        <f>25</f>
        <v>25</v>
      </c>
      <c r="AB1103" s="72" t="s">
        <v>241</v>
      </c>
      <c r="AC1103" s="72">
        <v>6.6</v>
      </c>
      <c r="AD1103" s="72">
        <v>0.88</v>
      </c>
      <c r="AF1103" s="24" t="s">
        <v>1348</v>
      </c>
      <c r="AG1103" s="72" t="s">
        <v>132</v>
      </c>
      <c r="AH1103" s="138" t="s">
        <v>132</v>
      </c>
      <c r="AI1103" s="72" t="s">
        <v>221</v>
      </c>
      <c r="AJ1103" s="140" t="s">
        <v>1632</v>
      </c>
      <c r="AK1103" s="72" t="s">
        <v>779</v>
      </c>
      <c r="AL1103" s="72" t="s">
        <v>779</v>
      </c>
      <c r="AM1103" s="72" t="s">
        <v>178</v>
      </c>
      <c r="AN1103" s="72" t="s">
        <v>157</v>
      </c>
      <c r="AO1103" s="72" t="s">
        <v>157</v>
      </c>
      <c r="AP1103" s="72" t="s">
        <v>178</v>
      </c>
      <c r="AQ1103" s="72" t="s">
        <v>339</v>
      </c>
      <c r="AR1103" s="72" t="s">
        <v>339</v>
      </c>
      <c r="AS1103" s="72" t="s">
        <v>178</v>
      </c>
      <c r="AT1103" s="72" t="s">
        <v>120</v>
      </c>
      <c r="AU1103" s="72">
        <v>3</v>
      </c>
      <c r="AW1103" s="72" t="s">
        <v>336</v>
      </c>
      <c r="AY1103" s="72">
        <v>3810</v>
      </c>
      <c r="AZ1103" s="72">
        <v>57</v>
      </c>
      <c r="BC1103" s="72">
        <v>10600</v>
      </c>
      <c r="BD1103" s="72">
        <v>7100</v>
      </c>
      <c r="BG1103" s="72" t="s">
        <v>1671</v>
      </c>
      <c r="BH1103" s="72">
        <v>2700</v>
      </c>
      <c r="BI1103" s="72">
        <v>1500</v>
      </c>
      <c r="BM1103" s="413"/>
      <c r="BN1103" s="413"/>
      <c r="BR1103" s="413"/>
      <c r="BS1103" s="413"/>
      <c r="BY1103" s="24"/>
      <c r="BZ1103" s="24"/>
      <c r="CA1103" s="24"/>
      <c r="GW1103" s="72">
        <v>11</v>
      </c>
      <c r="GX1103" s="72">
        <v>17</v>
      </c>
      <c r="HA1103" s="24" t="s">
        <v>1705</v>
      </c>
      <c r="IO1103" s="72" t="s">
        <v>780</v>
      </c>
    </row>
    <row r="1104" spans="1:249" s="72" customFormat="1" x14ac:dyDescent="0.25">
      <c r="A1104" s="72">
        <v>53</v>
      </c>
      <c r="B1104" s="72" t="s">
        <v>769</v>
      </c>
      <c r="C1104" s="72" t="s">
        <v>770</v>
      </c>
      <c r="D1104" s="72">
        <v>2006</v>
      </c>
      <c r="E1104" s="72">
        <v>2001</v>
      </c>
      <c r="F1104" s="72" t="s">
        <v>771</v>
      </c>
      <c r="G1104" s="72" t="s">
        <v>772</v>
      </c>
      <c r="H1104" s="32" t="s">
        <v>2831</v>
      </c>
      <c r="I1104" s="72">
        <v>33.950000000000003</v>
      </c>
      <c r="J1104" s="72">
        <v>-83.38</v>
      </c>
      <c r="K1104" s="72">
        <v>208.4</v>
      </c>
      <c r="N1104" s="72">
        <f t="shared" ref="N1104:N1111" si="234">341+407</f>
        <v>748</v>
      </c>
      <c r="O1104" s="72">
        <f t="shared" si="230"/>
        <v>1233</v>
      </c>
      <c r="Q1104" s="73">
        <v>2</v>
      </c>
      <c r="R1104" s="73" t="s">
        <v>1735</v>
      </c>
      <c r="S1104" s="73"/>
      <c r="T1104" s="42" t="s">
        <v>1974</v>
      </c>
      <c r="U1104" s="73" t="s">
        <v>1393</v>
      </c>
      <c r="V1104" s="42" t="s">
        <v>1727</v>
      </c>
      <c r="W1104" s="73" t="s">
        <v>1393</v>
      </c>
      <c r="X1104" s="73" t="s">
        <v>1393</v>
      </c>
      <c r="Z1104" s="338">
        <f t="shared" si="228"/>
        <v>65</v>
      </c>
      <c r="AA1104" s="338">
        <f>25</f>
        <v>25</v>
      </c>
      <c r="AB1104" s="72" t="s">
        <v>241</v>
      </c>
      <c r="AC1104" s="72">
        <v>6.6</v>
      </c>
      <c r="AD1104" s="72">
        <v>0.88</v>
      </c>
      <c r="AF1104" s="24" t="s">
        <v>1348</v>
      </c>
      <c r="AG1104" s="72" t="s">
        <v>244</v>
      </c>
      <c r="AH1104" s="138" t="s">
        <v>578</v>
      </c>
      <c r="AI1104" s="72" t="s">
        <v>221</v>
      </c>
      <c r="AJ1104" s="140" t="s">
        <v>1632</v>
      </c>
      <c r="AK1104" s="72" t="s">
        <v>779</v>
      </c>
      <c r="AL1104" s="72" t="s">
        <v>779</v>
      </c>
      <c r="AM1104" s="72" t="s">
        <v>178</v>
      </c>
      <c r="AN1104" s="72" t="s">
        <v>157</v>
      </c>
      <c r="AO1104" s="72" t="s">
        <v>157</v>
      </c>
      <c r="AP1104" s="72" t="s">
        <v>178</v>
      </c>
      <c r="AQ1104" s="72" t="s">
        <v>339</v>
      </c>
      <c r="AR1104" s="72" t="s">
        <v>339</v>
      </c>
      <c r="AS1104" s="72" t="s">
        <v>178</v>
      </c>
      <c r="AT1104" s="72" t="s">
        <v>120</v>
      </c>
      <c r="AU1104" s="72">
        <v>3</v>
      </c>
      <c r="AW1104" s="72" t="s">
        <v>336</v>
      </c>
      <c r="AY1104" s="72">
        <v>3810</v>
      </c>
      <c r="AZ1104" s="72">
        <v>57</v>
      </c>
      <c r="BC1104" s="72">
        <v>10600</v>
      </c>
      <c r="BD1104" s="72">
        <v>14800</v>
      </c>
      <c r="BG1104" s="72" t="s">
        <v>1671</v>
      </c>
      <c r="BH1104" s="72">
        <v>2700</v>
      </c>
      <c r="BI1104" s="72">
        <v>3300</v>
      </c>
      <c r="BM1104" s="413"/>
      <c r="BN1104" s="413"/>
      <c r="BR1104" s="413"/>
      <c r="BS1104" s="413"/>
      <c r="BY1104" s="24"/>
      <c r="BZ1104" s="24"/>
      <c r="CA1104" s="24"/>
      <c r="GW1104" s="72">
        <v>8</v>
      </c>
      <c r="GX1104" s="72">
        <v>9</v>
      </c>
      <c r="HA1104" s="24" t="s">
        <v>1705</v>
      </c>
      <c r="IO1104" s="72" t="s">
        <v>780</v>
      </c>
    </row>
    <row r="1105" spans="1:249" s="72" customFormat="1" x14ac:dyDescent="0.25">
      <c r="A1105" s="72">
        <v>53</v>
      </c>
      <c r="B1105" s="72" t="s">
        <v>769</v>
      </c>
      <c r="C1105" s="72" t="s">
        <v>770</v>
      </c>
      <c r="D1105" s="72">
        <v>2006</v>
      </c>
      <c r="E1105" s="72">
        <v>2001</v>
      </c>
      <c r="F1105" s="72" t="s">
        <v>771</v>
      </c>
      <c r="G1105" s="72" t="s">
        <v>772</v>
      </c>
      <c r="H1105" s="32" t="s">
        <v>2831</v>
      </c>
      <c r="I1105" s="72">
        <v>33.950000000000003</v>
      </c>
      <c r="J1105" s="72">
        <v>-83.38</v>
      </c>
      <c r="K1105" s="72">
        <v>208.4</v>
      </c>
      <c r="N1105" s="72">
        <f t="shared" si="234"/>
        <v>748</v>
      </c>
      <c r="O1105" s="72">
        <f t="shared" si="230"/>
        <v>1233</v>
      </c>
      <c r="Q1105" s="73">
        <v>2</v>
      </c>
      <c r="R1105" s="73" t="s">
        <v>1735</v>
      </c>
      <c r="S1105" s="73"/>
      <c r="T1105" s="42" t="s">
        <v>1974</v>
      </c>
      <c r="U1105" s="73" t="s">
        <v>1393</v>
      </c>
      <c r="V1105" s="42" t="s">
        <v>1727</v>
      </c>
      <c r="W1105" s="73" t="s">
        <v>1393</v>
      </c>
      <c r="X1105" s="73" t="s">
        <v>1393</v>
      </c>
      <c r="Z1105" s="338">
        <f t="shared" si="228"/>
        <v>65</v>
      </c>
      <c r="AA1105" s="338">
        <f>25</f>
        <v>25</v>
      </c>
      <c r="AB1105" s="72" t="s">
        <v>241</v>
      </c>
      <c r="AC1105" s="72">
        <v>6.6</v>
      </c>
      <c r="AD1105" s="72">
        <v>0.88</v>
      </c>
      <c r="AF1105" s="24" t="s">
        <v>1348</v>
      </c>
      <c r="AG1105" s="72" t="s">
        <v>1522</v>
      </c>
      <c r="AH1105" s="138" t="s">
        <v>1586</v>
      </c>
      <c r="AI1105" s="72" t="s">
        <v>221</v>
      </c>
      <c r="AJ1105" s="140" t="s">
        <v>1632</v>
      </c>
      <c r="AK1105" s="72" t="s">
        <v>779</v>
      </c>
      <c r="AL1105" s="72" t="s">
        <v>779</v>
      </c>
      <c r="AM1105" s="72" t="s">
        <v>178</v>
      </c>
      <c r="AN1105" s="72" t="s">
        <v>157</v>
      </c>
      <c r="AO1105" s="72" t="s">
        <v>157</v>
      </c>
      <c r="AP1105" s="72" t="s">
        <v>178</v>
      </c>
      <c r="AQ1105" s="72" t="s">
        <v>339</v>
      </c>
      <c r="AR1105" s="72" t="s">
        <v>339</v>
      </c>
      <c r="AS1105" s="72" t="s">
        <v>178</v>
      </c>
      <c r="AT1105" s="72" t="s">
        <v>120</v>
      </c>
      <c r="AU1105" s="72">
        <v>3</v>
      </c>
      <c r="AW1105" s="72" t="s">
        <v>336</v>
      </c>
      <c r="AY1105" s="72">
        <v>3810</v>
      </c>
      <c r="AZ1105" s="72">
        <v>57</v>
      </c>
      <c r="BC1105" s="72">
        <v>10600</v>
      </c>
      <c r="BD1105" s="72">
        <v>13800</v>
      </c>
      <c r="BG1105" s="72" t="s">
        <v>1671</v>
      </c>
      <c r="BH1105" s="72">
        <v>2700</v>
      </c>
      <c r="BI1105" s="72">
        <v>3500</v>
      </c>
      <c r="BM1105" s="413"/>
      <c r="BN1105" s="413"/>
      <c r="BR1105" s="413"/>
      <c r="BS1105" s="413"/>
      <c r="BY1105" s="24"/>
      <c r="BZ1105" s="24"/>
      <c r="CA1105" s="24"/>
      <c r="GW1105" s="72">
        <v>14</v>
      </c>
      <c r="GX1105" s="72">
        <v>8</v>
      </c>
      <c r="HA1105" s="24" t="s">
        <v>1705</v>
      </c>
      <c r="IO1105" s="72" t="s">
        <v>780</v>
      </c>
    </row>
    <row r="1106" spans="1:249" s="72" customFormat="1" x14ac:dyDescent="0.25">
      <c r="A1106" s="72">
        <v>53</v>
      </c>
      <c r="B1106" s="72" t="s">
        <v>769</v>
      </c>
      <c r="C1106" s="72" t="s">
        <v>770</v>
      </c>
      <c r="D1106" s="72">
        <v>2006</v>
      </c>
      <c r="E1106" s="72">
        <v>2001</v>
      </c>
      <c r="F1106" s="72" t="s">
        <v>771</v>
      </c>
      <c r="G1106" s="72" t="s">
        <v>772</v>
      </c>
      <c r="H1106" s="32" t="s">
        <v>2831</v>
      </c>
      <c r="I1106" s="72">
        <v>33.950000000000003</v>
      </c>
      <c r="J1106" s="72">
        <v>-83.38</v>
      </c>
      <c r="K1106" s="72">
        <v>208.4</v>
      </c>
      <c r="N1106" s="72">
        <f t="shared" si="234"/>
        <v>748</v>
      </c>
      <c r="O1106" s="72">
        <f t="shared" si="230"/>
        <v>1233</v>
      </c>
      <c r="Q1106" s="73">
        <v>2</v>
      </c>
      <c r="R1106" s="73" t="s">
        <v>1735</v>
      </c>
      <c r="S1106" s="73"/>
      <c r="T1106" s="42" t="s">
        <v>1974</v>
      </c>
      <c r="U1106" s="73" t="s">
        <v>1393</v>
      </c>
      <c r="V1106" s="42" t="s">
        <v>1727</v>
      </c>
      <c r="W1106" s="73" t="s">
        <v>1393</v>
      </c>
      <c r="X1106" s="73" t="s">
        <v>1393</v>
      </c>
      <c r="Z1106" s="338">
        <f t="shared" si="228"/>
        <v>65</v>
      </c>
      <c r="AA1106" s="338">
        <f>25</f>
        <v>25</v>
      </c>
      <c r="AB1106" s="72" t="s">
        <v>241</v>
      </c>
      <c r="AC1106" s="72">
        <v>6.6</v>
      </c>
      <c r="AD1106" s="72">
        <v>0.88</v>
      </c>
      <c r="AF1106" s="24" t="s">
        <v>1348</v>
      </c>
      <c r="AG1106" s="72" t="s">
        <v>132</v>
      </c>
      <c r="AH1106" s="138" t="s">
        <v>132</v>
      </c>
      <c r="AI1106" s="72" t="s">
        <v>221</v>
      </c>
      <c r="AJ1106" s="140" t="s">
        <v>1632</v>
      </c>
      <c r="AK1106" s="72" t="s">
        <v>779</v>
      </c>
      <c r="AL1106" s="72" t="s">
        <v>779</v>
      </c>
      <c r="AM1106" s="72" t="s">
        <v>178</v>
      </c>
      <c r="AN1106" s="72" t="s">
        <v>157</v>
      </c>
      <c r="AO1106" s="72" t="s">
        <v>157</v>
      </c>
      <c r="AP1106" s="72" t="s">
        <v>178</v>
      </c>
      <c r="AQ1106" s="72" t="s">
        <v>777</v>
      </c>
      <c r="AR1106" s="72" t="s">
        <v>777</v>
      </c>
      <c r="AS1106" s="72" t="s">
        <v>178</v>
      </c>
      <c r="AT1106" s="72" t="s">
        <v>120</v>
      </c>
      <c r="AU1106" s="72">
        <v>3</v>
      </c>
      <c r="AW1106" s="72" t="s">
        <v>336</v>
      </c>
      <c r="AY1106" s="72">
        <v>2440</v>
      </c>
      <c r="AZ1106" s="72">
        <v>12</v>
      </c>
      <c r="BC1106" s="72">
        <v>11200</v>
      </c>
      <c r="BD1106" s="72">
        <v>9400</v>
      </c>
      <c r="BG1106" s="72" t="s">
        <v>1671</v>
      </c>
      <c r="BH1106" s="72">
        <v>2200</v>
      </c>
      <c r="BI1106" s="72">
        <v>2200</v>
      </c>
      <c r="BM1106" s="413"/>
      <c r="BN1106" s="413"/>
      <c r="BR1106" s="413"/>
      <c r="BS1106" s="413"/>
      <c r="BY1106" s="24"/>
      <c r="BZ1106" s="24"/>
      <c r="CA1106" s="24"/>
      <c r="IO1106" s="72" t="s">
        <v>780</v>
      </c>
    </row>
    <row r="1107" spans="1:249" s="72" customFormat="1" x14ac:dyDescent="0.25">
      <c r="A1107" s="72">
        <v>53</v>
      </c>
      <c r="B1107" s="72" t="s">
        <v>769</v>
      </c>
      <c r="C1107" s="72" t="s">
        <v>770</v>
      </c>
      <c r="D1107" s="72">
        <v>2006</v>
      </c>
      <c r="E1107" s="72">
        <v>2001</v>
      </c>
      <c r="F1107" s="72" t="s">
        <v>771</v>
      </c>
      <c r="G1107" s="72" t="s">
        <v>772</v>
      </c>
      <c r="H1107" s="32" t="s">
        <v>2831</v>
      </c>
      <c r="I1107" s="72">
        <v>33.950000000000003</v>
      </c>
      <c r="J1107" s="72">
        <v>-83.38</v>
      </c>
      <c r="K1107" s="72">
        <v>208.4</v>
      </c>
      <c r="N1107" s="72">
        <f t="shared" si="234"/>
        <v>748</v>
      </c>
      <c r="O1107" s="72">
        <f t="shared" si="230"/>
        <v>1233</v>
      </c>
      <c r="Q1107" s="73">
        <v>2</v>
      </c>
      <c r="R1107" s="73" t="s">
        <v>1735</v>
      </c>
      <c r="S1107" s="73"/>
      <c r="T1107" s="42" t="s">
        <v>1974</v>
      </c>
      <c r="U1107" s="73" t="s">
        <v>1393</v>
      </c>
      <c r="V1107" s="42" t="s">
        <v>1727</v>
      </c>
      <c r="W1107" s="73" t="s">
        <v>1393</v>
      </c>
      <c r="X1107" s="73" t="s">
        <v>1393</v>
      </c>
      <c r="Z1107" s="338">
        <f t="shared" si="228"/>
        <v>65</v>
      </c>
      <c r="AA1107" s="338">
        <f>25</f>
        <v>25</v>
      </c>
      <c r="AB1107" s="72" t="s">
        <v>241</v>
      </c>
      <c r="AC1107" s="72">
        <v>6.6</v>
      </c>
      <c r="AD1107" s="72">
        <v>0.88</v>
      </c>
      <c r="AF1107" s="24" t="s">
        <v>1348</v>
      </c>
      <c r="AG1107" s="72" t="s">
        <v>244</v>
      </c>
      <c r="AH1107" s="138" t="s">
        <v>578</v>
      </c>
      <c r="AI1107" s="72" t="s">
        <v>221</v>
      </c>
      <c r="AJ1107" s="140" t="s">
        <v>1632</v>
      </c>
      <c r="AK1107" s="72" t="s">
        <v>779</v>
      </c>
      <c r="AL1107" s="72" t="s">
        <v>779</v>
      </c>
      <c r="AM1107" s="72" t="s">
        <v>178</v>
      </c>
      <c r="AN1107" s="72" t="s">
        <v>157</v>
      </c>
      <c r="AO1107" s="72" t="s">
        <v>157</v>
      </c>
      <c r="AP1107" s="72" t="s">
        <v>178</v>
      </c>
      <c r="AQ1107" s="72" t="s">
        <v>777</v>
      </c>
      <c r="AR1107" s="72" t="s">
        <v>777</v>
      </c>
      <c r="AS1107" s="72" t="s">
        <v>178</v>
      </c>
      <c r="AT1107" s="72" t="s">
        <v>120</v>
      </c>
      <c r="AU1107" s="72">
        <v>3</v>
      </c>
      <c r="AW1107" s="72" t="s">
        <v>336</v>
      </c>
      <c r="AY1107" s="72">
        <v>2440</v>
      </c>
      <c r="AZ1107" s="72">
        <v>12</v>
      </c>
      <c r="BC1107" s="72">
        <v>11200</v>
      </c>
      <c r="BD1107" s="72">
        <v>14300</v>
      </c>
      <c r="BG1107" s="72" t="s">
        <v>1671</v>
      </c>
      <c r="BH1107" s="72">
        <v>2200</v>
      </c>
      <c r="BI1107" s="72">
        <v>3700</v>
      </c>
      <c r="BM1107" s="413"/>
      <c r="BN1107" s="413"/>
      <c r="BR1107" s="413"/>
      <c r="BS1107" s="413"/>
      <c r="BY1107" s="24"/>
      <c r="BZ1107" s="24"/>
      <c r="CA1107" s="24"/>
      <c r="IO1107" s="72" t="s">
        <v>780</v>
      </c>
    </row>
    <row r="1108" spans="1:249" s="72" customFormat="1" x14ac:dyDescent="0.25">
      <c r="A1108" s="72">
        <v>53</v>
      </c>
      <c r="B1108" s="72" t="s">
        <v>769</v>
      </c>
      <c r="C1108" s="72" t="s">
        <v>770</v>
      </c>
      <c r="D1108" s="72">
        <v>2006</v>
      </c>
      <c r="E1108" s="72">
        <v>2001</v>
      </c>
      <c r="F1108" s="72" t="s">
        <v>771</v>
      </c>
      <c r="G1108" s="72" t="s">
        <v>772</v>
      </c>
      <c r="H1108" s="32" t="s">
        <v>2831</v>
      </c>
      <c r="I1108" s="72">
        <v>33.950000000000003</v>
      </c>
      <c r="J1108" s="72">
        <v>-83.38</v>
      </c>
      <c r="K1108" s="72">
        <v>208.4</v>
      </c>
      <c r="N1108" s="72">
        <f t="shared" si="234"/>
        <v>748</v>
      </c>
      <c r="O1108" s="72">
        <f t="shared" si="230"/>
        <v>1233</v>
      </c>
      <c r="Q1108" s="73">
        <v>2</v>
      </c>
      <c r="R1108" s="73" t="s">
        <v>1735</v>
      </c>
      <c r="S1108" s="73"/>
      <c r="T1108" s="42" t="s">
        <v>1974</v>
      </c>
      <c r="U1108" s="73" t="s">
        <v>1393</v>
      </c>
      <c r="V1108" s="42" t="s">
        <v>1727</v>
      </c>
      <c r="W1108" s="73" t="s">
        <v>1393</v>
      </c>
      <c r="X1108" s="73" t="s">
        <v>1393</v>
      </c>
      <c r="Z1108" s="338">
        <f t="shared" si="228"/>
        <v>65</v>
      </c>
      <c r="AA1108" s="338">
        <f>25</f>
        <v>25</v>
      </c>
      <c r="AB1108" s="72" t="s">
        <v>241</v>
      </c>
      <c r="AC1108" s="72">
        <v>6.6</v>
      </c>
      <c r="AD1108" s="72">
        <v>0.88</v>
      </c>
      <c r="AF1108" s="24" t="s">
        <v>1348</v>
      </c>
      <c r="AG1108" s="72" t="s">
        <v>1522</v>
      </c>
      <c r="AH1108" s="138" t="s">
        <v>1586</v>
      </c>
      <c r="AI1108" s="72" t="s">
        <v>221</v>
      </c>
      <c r="AJ1108" s="140" t="s">
        <v>1632</v>
      </c>
      <c r="AK1108" s="72" t="s">
        <v>779</v>
      </c>
      <c r="AL1108" s="72" t="s">
        <v>779</v>
      </c>
      <c r="AM1108" s="72" t="s">
        <v>178</v>
      </c>
      <c r="AN1108" s="72" t="s">
        <v>157</v>
      </c>
      <c r="AO1108" s="72" t="s">
        <v>157</v>
      </c>
      <c r="AP1108" s="72" t="s">
        <v>178</v>
      </c>
      <c r="AQ1108" s="72" t="s">
        <v>777</v>
      </c>
      <c r="AR1108" s="72" t="s">
        <v>777</v>
      </c>
      <c r="AS1108" s="72" t="s">
        <v>178</v>
      </c>
      <c r="AT1108" s="72" t="s">
        <v>120</v>
      </c>
      <c r="AU1108" s="72">
        <v>3</v>
      </c>
      <c r="AW1108" s="72" t="s">
        <v>336</v>
      </c>
      <c r="AY1108" s="72">
        <v>2440</v>
      </c>
      <c r="AZ1108" s="72">
        <v>12</v>
      </c>
      <c r="BC1108" s="72">
        <v>11200</v>
      </c>
      <c r="BD1108" s="72">
        <v>14600</v>
      </c>
      <c r="BG1108" s="72" t="s">
        <v>1671</v>
      </c>
      <c r="BH1108" s="72">
        <v>2200</v>
      </c>
      <c r="BI1108" s="72">
        <v>4100</v>
      </c>
      <c r="BM1108" s="413"/>
      <c r="BN1108" s="413"/>
      <c r="BR1108" s="413"/>
      <c r="BS1108" s="413"/>
      <c r="BY1108" s="24"/>
      <c r="BZ1108" s="24"/>
      <c r="CA1108" s="24"/>
      <c r="IO1108" s="72" t="s">
        <v>780</v>
      </c>
    </row>
    <row r="1109" spans="1:249" s="72" customFormat="1" x14ac:dyDescent="0.25">
      <c r="A1109" s="72">
        <v>53</v>
      </c>
      <c r="B1109" s="72" t="s">
        <v>769</v>
      </c>
      <c r="C1109" s="72" t="s">
        <v>770</v>
      </c>
      <c r="D1109" s="72">
        <v>2006</v>
      </c>
      <c r="E1109" s="72">
        <v>2001</v>
      </c>
      <c r="F1109" s="72" t="s">
        <v>771</v>
      </c>
      <c r="G1109" s="72" t="s">
        <v>772</v>
      </c>
      <c r="H1109" s="32" t="s">
        <v>2831</v>
      </c>
      <c r="I1109" s="72">
        <v>33.950000000000003</v>
      </c>
      <c r="J1109" s="72">
        <v>-83.38</v>
      </c>
      <c r="K1109" s="72">
        <v>208.4</v>
      </c>
      <c r="N1109" s="72">
        <f t="shared" si="234"/>
        <v>748</v>
      </c>
      <c r="O1109" s="72">
        <f t="shared" si="230"/>
        <v>1233</v>
      </c>
      <c r="Q1109" s="73">
        <v>2</v>
      </c>
      <c r="R1109" s="73" t="s">
        <v>1735</v>
      </c>
      <c r="S1109" s="73"/>
      <c r="T1109" s="42" t="s">
        <v>1974</v>
      </c>
      <c r="U1109" s="73" t="s">
        <v>1393</v>
      </c>
      <c r="V1109" s="42" t="s">
        <v>1727</v>
      </c>
      <c r="W1109" s="73" t="s">
        <v>1393</v>
      </c>
      <c r="X1109" s="73" t="s">
        <v>1393</v>
      </c>
      <c r="Z1109" s="338">
        <f t="shared" si="228"/>
        <v>65</v>
      </c>
      <c r="AA1109" s="338">
        <f>25</f>
        <v>25</v>
      </c>
      <c r="AB1109" s="72" t="s">
        <v>241</v>
      </c>
      <c r="AC1109" s="72">
        <v>6.6</v>
      </c>
      <c r="AD1109" s="72">
        <v>0.88</v>
      </c>
      <c r="AF1109" s="24" t="s">
        <v>1348</v>
      </c>
      <c r="AG1109" s="72" t="s">
        <v>132</v>
      </c>
      <c r="AH1109" s="138" t="s">
        <v>132</v>
      </c>
      <c r="AI1109" s="72" t="s">
        <v>221</v>
      </c>
      <c r="AJ1109" s="140" t="s">
        <v>1632</v>
      </c>
      <c r="AK1109" s="72" t="s">
        <v>779</v>
      </c>
      <c r="AL1109" s="72" t="s">
        <v>779</v>
      </c>
      <c r="AM1109" s="72" t="s">
        <v>178</v>
      </c>
      <c r="AN1109" s="72" t="s">
        <v>157</v>
      </c>
      <c r="AO1109" s="72" t="s">
        <v>157</v>
      </c>
      <c r="AP1109" s="72" t="s">
        <v>178</v>
      </c>
      <c r="AQ1109" s="72" t="s">
        <v>778</v>
      </c>
      <c r="AR1109" s="72" t="s">
        <v>778</v>
      </c>
      <c r="AS1109" s="72" t="s">
        <v>178</v>
      </c>
      <c r="AT1109" s="72" t="s">
        <v>120</v>
      </c>
      <c r="AU1109" s="72">
        <v>3</v>
      </c>
      <c r="AW1109" s="72" t="s">
        <v>336</v>
      </c>
      <c r="AY1109" s="72">
        <v>5980</v>
      </c>
      <c r="AZ1109" s="72">
        <v>32</v>
      </c>
      <c r="BC1109" s="72">
        <v>14300</v>
      </c>
      <c r="BD1109" s="72">
        <v>11700</v>
      </c>
      <c r="BG1109" s="72" t="s">
        <v>1671</v>
      </c>
      <c r="BH1109" s="72">
        <v>3400</v>
      </c>
      <c r="BI1109" s="72">
        <v>3300</v>
      </c>
      <c r="BM1109" s="413"/>
      <c r="BN1109" s="413"/>
      <c r="BR1109" s="413"/>
      <c r="BS1109" s="413"/>
      <c r="BY1109" s="24"/>
      <c r="BZ1109" s="24"/>
      <c r="CA1109" s="24"/>
      <c r="IO1109" s="72" t="s">
        <v>780</v>
      </c>
    </row>
    <row r="1110" spans="1:249" s="72" customFormat="1" x14ac:dyDescent="0.25">
      <c r="A1110" s="72">
        <v>53</v>
      </c>
      <c r="B1110" s="72" t="s">
        <v>769</v>
      </c>
      <c r="C1110" s="72" t="s">
        <v>770</v>
      </c>
      <c r="D1110" s="72">
        <v>2006</v>
      </c>
      <c r="E1110" s="72">
        <v>2001</v>
      </c>
      <c r="F1110" s="72" t="s">
        <v>771</v>
      </c>
      <c r="G1110" s="72" t="s">
        <v>772</v>
      </c>
      <c r="H1110" s="32" t="s">
        <v>2831</v>
      </c>
      <c r="I1110" s="72">
        <v>33.950000000000003</v>
      </c>
      <c r="J1110" s="72">
        <v>-83.38</v>
      </c>
      <c r="K1110" s="72">
        <v>208.4</v>
      </c>
      <c r="N1110" s="72">
        <f t="shared" si="234"/>
        <v>748</v>
      </c>
      <c r="O1110" s="72">
        <f t="shared" si="230"/>
        <v>1233</v>
      </c>
      <c r="Q1110" s="73">
        <v>2</v>
      </c>
      <c r="R1110" s="73" t="s">
        <v>1735</v>
      </c>
      <c r="S1110" s="73"/>
      <c r="T1110" s="42" t="s">
        <v>1974</v>
      </c>
      <c r="U1110" s="73" t="s">
        <v>1393</v>
      </c>
      <c r="V1110" s="42" t="s">
        <v>1727</v>
      </c>
      <c r="W1110" s="73" t="s">
        <v>1393</v>
      </c>
      <c r="X1110" s="73" t="s">
        <v>1393</v>
      </c>
      <c r="Z1110" s="338">
        <f t="shared" si="228"/>
        <v>65</v>
      </c>
      <c r="AA1110" s="338">
        <f>25</f>
        <v>25</v>
      </c>
      <c r="AB1110" s="72" t="s">
        <v>241</v>
      </c>
      <c r="AC1110" s="72">
        <v>6.6</v>
      </c>
      <c r="AD1110" s="72">
        <v>0.88</v>
      </c>
      <c r="AF1110" s="24" t="s">
        <v>1348</v>
      </c>
      <c r="AG1110" s="72" t="s">
        <v>244</v>
      </c>
      <c r="AH1110" s="138" t="s">
        <v>578</v>
      </c>
      <c r="AI1110" s="72" t="s">
        <v>221</v>
      </c>
      <c r="AJ1110" s="140" t="s">
        <v>1632</v>
      </c>
      <c r="AK1110" s="72" t="s">
        <v>779</v>
      </c>
      <c r="AL1110" s="72" t="s">
        <v>779</v>
      </c>
      <c r="AM1110" s="72" t="s">
        <v>178</v>
      </c>
      <c r="AN1110" s="72" t="s">
        <v>157</v>
      </c>
      <c r="AO1110" s="72" t="s">
        <v>157</v>
      </c>
      <c r="AP1110" s="72" t="s">
        <v>178</v>
      </c>
      <c r="AQ1110" s="72" t="s">
        <v>778</v>
      </c>
      <c r="AR1110" s="72" t="s">
        <v>778</v>
      </c>
      <c r="AS1110" s="72" t="s">
        <v>178</v>
      </c>
      <c r="AT1110" s="72" t="s">
        <v>120</v>
      </c>
      <c r="AU1110" s="72">
        <v>3</v>
      </c>
      <c r="AW1110" s="72" t="s">
        <v>336</v>
      </c>
      <c r="AY1110" s="72">
        <v>5980</v>
      </c>
      <c r="AZ1110" s="72">
        <v>32</v>
      </c>
      <c r="BC1110" s="72">
        <v>14300</v>
      </c>
      <c r="BD1110" s="72">
        <v>13200</v>
      </c>
      <c r="BG1110" s="72" t="s">
        <v>1671</v>
      </c>
      <c r="BH1110" s="72">
        <v>3400</v>
      </c>
      <c r="BI1110" s="72">
        <v>3600</v>
      </c>
      <c r="BM1110" s="413"/>
      <c r="BN1110" s="413"/>
      <c r="BR1110" s="413"/>
      <c r="BS1110" s="413"/>
      <c r="BY1110" s="24"/>
      <c r="BZ1110" s="24"/>
      <c r="CA1110" s="24"/>
      <c r="IO1110" s="72" t="s">
        <v>780</v>
      </c>
    </row>
    <row r="1111" spans="1:249" s="72" customFormat="1" x14ac:dyDescent="0.25">
      <c r="A1111" s="72">
        <v>53</v>
      </c>
      <c r="B1111" s="72" t="s">
        <v>769</v>
      </c>
      <c r="C1111" s="72" t="s">
        <v>770</v>
      </c>
      <c r="D1111" s="72">
        <v>2006</v>
      </c>
      <c r="E1111" s="72">
        <v>2001</v>
      </c>
      <c r="F1111" s="72" t="s">
        <v>771</v>
      </c>
      <c r="G1111" s="72" t="s">
        <v>772</v>
      </c>
      <c r="H1111" s="32" t="s">
        <v>2831</v>
      </c>
      <c r="I1111" s="72">
        <v>33.950000000000003</v>
      </c>
      <c r="J1111" s="72">
        <v>-83.38</v>
      </c>
      <c r="K1111" s="72">
        <v>208.4</v>
      </c>
      <c r="N1111" s="72">
        <f t="shared" si="234"/>
        <v>748</v>
      </c>
      <c r="O1111" s="72">
        <f t="shared" si="230"/>
        <v>1233</v>
      </c>
      <c r="Q1111" s="73">
        <v>2</v>
      </c>
      <c r="R1111" s="73" t="s">
        <v>1735</v>
      </c>
      <c r="S1111" s="73"/>
      <c r="T1111" s="42" t="s">
        <v>1974</v>
      </c>
      <c r="U1111" s="73" t="s">
        <v>1393</v>
      </c>
      <c r="V1111" s="42" t="s">
        <v>1727</v>
      </c>
      <c r="W1111" s="73" t="s">
        <v>1393</v>
      </c>
      <c r="X1111" s="73" t="s">
        <v>1393</v>
      </c>
      <c r="Z1111" s="338">
        <f t="shared" si="228"/>
        <v>65</v>
      </c>
      <c r="AA1111" s="338">
        <f>25</f>
        <v>25</v>
      </c>
      <c r="AB1111" s="72" t="s">
        <v>241</v>
      </c>
      <c r="AC1111" s="72">
        <v>6.6</v>
      </c>
      <c r="AD1111" s="72">
        <v>0.88</v>
      </c>
      <c r="AF1111" s="24" t="s">
        <v>1348</v>
      </c>
      <c r="AG1111" s="72" t="s">
        <v>1522</v>
      </c>
      <c r="AH1111" s="138" t="s">
        <v>1586</v>
      </c>
      <c r="AI1111" s="72" t="s">
        <v>221</v>
      </c>
      <c r="AJ1111" s="140" t="s">
        <v>1632</v>
      </c>
      <c r="AK1111" s="72" t="s">
        <v>779</v>
      </c>
      <c r="AL1111" s="72" t="s">
        <v>779</v>
      </c>
      <c r="AM1111" s="72" t="s">
        <v>178</v>
      </c>
      <c r="AN1111" s="72" t="s">
        <v>157</v>
      </c>
      <c r="AO1111" s="72" t="s">
        <v>157</v>
      </c>
      <c r="AP1111" s="72" t="s">
        <v>178</v>
      </c>
      <c r="AQ1111" s="72" t="s">
        <v>778</v>
      </c>
      <c r="AR1111" s="72" t="s">
        <v>778</v>
      </c>
      <c r="AS1111" s="72" t="s">
        <v>178</v>
      </c>
      <c r="AT1111" s="72" t="s">
        <v>120</v>
      </c>
      <c r="AU1111" s="72">
        <v>3</v>
      </c>
      <c r="AW1111" s="72" t="s">
        <v>336</v>
      </c>
      <c r="AY1111" s="72">
        <v>5980</v>
      </c>
      <c r="AZ1111" s="72">
        <v>32</v>
      </c>
      <c r="BC1111" s="72">
        <v>14300</v>
      </c>
      <c r="BD1111" s="72">
        <v>14100</v>
      </c>
      <c r="BG1111" s="72" t="s">
        <v>1671</v>
      </c>
      <c r="BH1111" s="72">
        <v>3400</v>
      </c>
      <c r="BI1111" s="72">
        <v>4400</v>
      </c>
      <c r="BM1111" s="413"/>
      <c r="BN1111" s="413"/>
      <c r="BR1111" s="413"/>
      <c r="BS1111" s="413"/>
      <c r="BY1111" s="24"/>
      <c r="BZ1111" s="24"/>
      <c r="CA1111" s="24"/>
      <c r="IO1111" s="72" t="s">
        <v>780</v>
      </c>
    </row>
    <row r="1112" spans="1:249" s="32" customFormat="1" x14ac:dyDescent="0.25">
      <c r="A1112" s="32">
        <v>53</v>
      </c>
      <c r="B1112" s="32" t="s">
        <v>769</v>
      </c>
      <c r="C1112" s="32" t="s">
        <v>770</v>
      </c>
      <c r="D1112" s="32">
        <v>2006</v>
      </c>
      <c r="E1112" s="32">
        <v>2002</v>
      </c>
      <c r="F1112" s="32" t="s">
        <v>771</v>
      </c>
      <c r="G1112" s="32" t="s">
        <v>772</v>
      </c>
      <c r="H1112" s="32" t="s">
        <v>2831</v>
      </c>
      <c r="I1112" s="32">
        <v>33.950000000000003</v>
      </c>
      <c r="J1112" s="32">
        <v>-83.38</v>
      </c>
      <c r="K1112" s="32">
        <v>208.4</v>
      </c>
      <c r="N1112" s="32">
        <v>971</v>
      </c>
      <c r="O1112" s="32">
        <f t="shared" si="230"/>
        <v>1233</v>
      </c>
      <c r="Q1112" s="44">
        <v>3</v>
      </c>
      <c r="R1112" s="44" t="s">
        <v>1735</v>
      </c>
      <c r="S1112" s="44"/>
      <c r="T1112" s="44" t="s">
        <v>1974</v>
      </c>
      <c r="U1112" s="44" t="s">
        <v>1393</v>
      </c>
      <c r="V1112" s="44" t="s">
        <v>1727</v>
      </c>
      <c r="W1112" s="44" t="s">
        <v>1393</v>
      </c>
      <c r="X1112" s="44" t="s">
        <v>1393</v>
      </c>
      <c r="Z1112" s="323">
        <f t="shared" si="228"/>
        <v>65</v>
      </c>
      <c r="AA1112" s="323">
        <f>25</f>
        <v>25</v>
      </c>
      <c r="AB1112" s="32" t="s">
        <v>241</v>
      </c>
      <c r="AC1112" s="32">
        <v>6.6</v>
      </c>
      <c r="AD1112" s="32">
        <v>0.88</v>
      </c>
      <c r="AF1112" s="32" t="s">
        <v>1348</v>
      </c>
      <c r="AG1112" s="32" t="s">
        <v>1522</v>
      </c>
      <c r="AH1112" s="138" t="s">
        <v>1586</v>
      </c>
      <c r="AI1112" s="32" t="s">
        <v>585</v>
      </c>
      <c r="AJ1112" s="140" t="s">
        <v>1632</v>
      </c>
      <c r="AK1112" s="32" t="s">
        <v>779</v>
      </c>
      <c r="AL1112" s="32" t="s">
        <v>779</v>
      </c>
      <c r="AM1112" s="32" t="s">
        <v>178</v>
      </c>
      <c r="AN1112" s="32" t="s">
        <v>157</v>
      </c>
      <c r="AO1112" s="32" t="s">
        <v>157</v>
      </c>
      <c r="AP1112" s="32" t="s">
        <v>178</v>
      </c>
      <c r="AQ1112" s="32" t="s">
        <v>339</v>
      </c>
      <c r="AR1112" s="32" t="s">
        <v>339</v>
      </c>
      <c r="AS1112" s="32" t="s">
        <v>178</v>
      </c>
      <c r="AT1112" s="32" t="s">
        <v>120</v>
      </c>
      <c r="AU1112" s="32">
        <v>3</v>
      </c>
      <c r="AW1112" s="32" t="s">
        <v>336</v>
      </c>
      <c r="AY1112" s="32">
        <v>2280</v>
      </c>
      <c r="AZ1112" s="32">
        <v>40</v>
      </c>
      <c r="BH1112" s="32">
        <v>814</v>
      </c>
      <c r="BI1112" s="32">
        <v>692</v>
      </c>
      <c r="BM1112" s="397"/>
      <c r="BN1112" s="397"/>
      <c r="BR1112" s="397"/>
      <c r="BS1112" s="397"/>
      <c r="GW1112" s="32">
        <v>11</v>
      </c>
      <c r="GX1112" s="32">
        <v>14</v>
      </c>
      <c r="HA1112" s="32" t="s">
        <v>1705</v>
      </c>
      <c r="IO1112" s="32" t="s">
        <v>780</v>
      </c>
    </row>
    <row r="1113" spans="1:249" s="32" customFormat="1" x14ac:dyDescent="0.25">
      <c r="A1113" s="32">
        <v>53</v>
      </c>
      <c r="B1113" s="32" t="s">
        <v>769</v>
      </c>
      <c r="C1113" s="32" t="s">
        <v>770</v>
      </c>
      <c r="D1113" s="32">
        <v>2006</v>
      </c>
      <c r="E1113" s="32">
        <v>2002</v>
      </c>
      <c r="F1113" s="32" t="s">
        <v>771</v>
      </c>
      <c r="G1113" s="32" t="s">
        <v>772</v>
      </c>
      <c r="H1113" s="32" t="s">
        <v>2831</v>
      </c>
      <c r="I1113" s="32">
        <v>33.950000000000003</v>
      </c>
      <c r="J1113" s="32">
        <v>-83.38</v>
      </c>
      <c r="K1113" s="32">
        <v>208.4</v>
      </c>
      <c r="N1113" s="32">
        <v>971</v>
      </c>
      <c r="O1113" s="32">
        <f t="shared" si="230"/>
        <v>1233</v>
      </c>
      <c r="Q1113" s="44">
        <v>3</v>
      </c>
      <c r="R1113" s="44" t="s">
        <v>1735</v>
      </c>
      <c r="S1113" s="44"/>
      <c r="T1113" s="44" t="s">
        <v>1974</v>
      </c>
      <c r="U1113" s="44" t="s">
        <v>1393</v>
      </c>
      <c r="V1113" s="44" t="s">
        <v>1727</v>
      </c>
      <c r="W1113" s="44" t="s">
        <v>1393</v>
      </c>
      <c r="X1113" s="44" t="s">
        <v>1393</v>
      </c>
      <c r="Z1113" s="323">
        <f t="shared" si="228"/>
        <v>65</v>
      </c>
      <c r="AA1113" s="323">
        <f>25</f>
        <v>25</v>
      </c>
      <c r="AB1113" s="32" t="s">
        <v>241</v>
      </c>
      <c r="AC1113" s="32">
        <v>6.6</v>
      </c>
      <c r="AD1113" s="32">
        <v>0.88</v>
      </c>
      <c r="AF1113" s="32" t="s">
        <v>1348</v>
      </c>
      <c r="AG1113" s="32" t="s">
        <v>1522</v>
      </c>
      <c r="AH1113" s="138" t="s">
        <v>1586</v>
      </c>
      <c r="AI1113" s="32" t="s">
        <v>585</v>
      </c>
      <c r="AJ1113" s="140" t="s">
        <v>1632</v>
      </c>
      <c r="AK1113" s="32" t="s">
        <v>779</v>
      </c>
      <c r="AL1113" s="32" t="s">
        <v>779</v>
      </c>
      <c r="AM1113" s="32" t="s">
        <v>178</v>
      </c>
      <c r="AN1113" s="32" t="s">
        <v>773</v>
      </c>
      <c r="AO1113" s="32" t="s">
        <v>773</v>
      </c>
      <c r="AP1113" s="32" t="s">
        <v>178</v>
      </c>
      <c r="AQ1113" s="32" t="s">
        <v>339</v>
      </c>
      <c r="AR1113" s="32" t="s">
        <v>339</v>
      </c>
      <c r="AS1113" s="32" t="s">
        <v>178</v>
      </c>
      <c r="AT1113" s="32" t="s">
        <v>120</v>
      </c>
      <c r="AU1113" s="32">
        <v>3</v>
      </c>
      <c r="AW1113" s="32" t="s">
        <v>336</v>
      </c>
      <c r="AY1113" s="32">
        <v>2280</v>
      </c>
      <c r="AZ1113" s="32">
        <v>40</v>
      </c>
      <c r="BH1113" s="32">
        <v>480</v>
      </c>
      <c r="BI1113" s="32">
        <v>826</v>
      </c>
      <c r="BM1113" s="397"/>
      <c r="BN1113" s="397"/>
      <c r="BR1113" s="397"/>
      <c r="BS1113" s="397"/>
      <c r="GW1113" s="32">
        <v>8</v>
      </c>
      <c r="GX1113" s="32">
        <v>14</v>
      </c>
      <c r="HA1113" s="32" t="s">
        <v>1705</v>
      </c>
      <c r="IO1113" s="32" t="s">
        <v>780</v>
      </c>
    </row>
    <row r="1114" spans="1:249" s="32" customFormat="1" x14ac:dyDescent="0.25">
      <c r="A1114" s="32">
        <v>53</v>
      </c>
      <c r="B1114" s="32" t="s">
        <v>769</v>
      </c>
      <c r="C1114" s="32" t="s">
        <v>770</v>
      </c>
      <c r="D1114" s="32">
        <v>2006</v>
      </c>
      <c r="E1114" s="32">
        <v>2002</v>
      </c>
      <c r="F1114" s="32" t="s">
        <v>771</v>
      </c>
      <c r="G1114" s="32" t="s">
        <v>772</v>
      </c>
      <c r="H1114" s="32" t="s">
        <v>2831</v>
      </c>
      <c r="I1114" s="32">
        <v>33.950000000000003</v>
      </c>
      <c r="J1114" s="32">
        <v>-83.38</v>
      </c>
      <c r="K1114" s="32">
        <v>208.4</v>
      </c>
      <c r="N1114" s="32">
        <v>971</v>
      </c>
      <c r="O1114" s="32">
        <f t="shared" si="230"/>
        <v>1233</v>
      </c>
      <c r="Q1114" s="44">
        <v>3</v>
      </c>
      <c r="R1114" s="44" t="s">
        <v>1735</v>
      </c>
      <c r="S1114" s="44"/>
      <c r="T1114" s="44" t="s">
        <v>1974</v>
      </c>
      <c r="U1114" s="44" t="s">
        <v>1393</v>
      </c>
      <c r="V1114" s="44" t="s">
        <v>1727</v>
      </c>
      <c r="W1114" s="44" t="s">
        <v>1393</v>
      </c>
      <c r="X1114" s="44" t="s">
        <v>1393</v>
      </c>
      <c r="Z1114" s="323">
        <f t="shared" si="228"/>
        <v>65</v>
      </c>
      <c r="AA1114" s="323">
        <f>25</f>
        <v>25</v>
      </c>
      <c r="AB1114" s="32" t="s">
        <v>241</v>
      </c>
      <c r="AC1114" s="32">
        <v>6.6</v>
      </c>
      <c r="AD1114" s="32">
        <v>0.88</v>
      </c>
      <c r="AF1114" s="32" t="s">
        <v>1348</v>
      </c>
      <c r="AG1114" s="32" t="s">
        <v>1522</v>
      </c>
      <c r="AH1114" s="138" t="s">
        <v>1586</v>
      </c>
      <c r="AI1114" s="32" t="s">
        <v>585</v>
      </c>
      <c r="AJ1114" s="140" t="s">
        <v>1632</v>
      </c>
      <c r="AK1114" s="32" t="s">
        <v>779</v>
      </c>
      <c r="AL1114" s="32" t="s">
        <v>779</v>
      </c>
      <c r="AM1114" s="32" t="s">
        <v>178</v>
      </c>
      <c r="AN1114" s="32" t="s">
        <v>774</v>
      </c>
      <c r="AO1114" s="32" t="s">
        <v>774</v>
      </c>
      <c r="AP1114" s="32" t="s">
        <v>178</v>
      </c>
      <c r="AQ1114" s="32" t="s">
        <v>339</v>
      </c>
      <c r="AR1114" s="32" t="s">
        <v>339</v>
      </c>
      <c r="AS1114" s="32" t="s">
        <v>178</v>
      </c>
      <c r="AT1114" s="32" t="s">
        <v>120</v>
      </c>
      <c r="AU1114" s="32">
        <v>3</v>
      </c>
      <c r="AW1114" s="32" t="s">
        <v>336</v>
      </c>
      <c r="AY1114" s="32">
        <v>2280</v>
      </c>
      <c r="AZ1114" s="32">
        <v>40</v>
      </c>
      <c r="BH1114" s="32">
        <v>802</v>
      </c>
      <c r="BI1114" s="32">
        <v>1546</v>
      </c>
      <c r="BM1114" s="397"/>
      <c r="BN1114" s="397"/>
      <c r="BR1114" s="397"/>
      <c r="BS1114" s="397"/>
      <c r="GW1114" s="32">
        <v>14</v>
      </c>
      <c r="GX1114" s="32">
        <v>22</v>
      </c>
      <c r="HA1114" s="32" t="s">
        <v>1705</v>
      </c>
      <c r="IO1114" s="32" t="s">
        <v>780</v>
      </c>
    </row>
    <row r="1115" spans="1:249" s="32" customFormat="1" x14ac:dyDescent="0.25">
      <c r="A1115" s="32">
        <v>53</v>
      </c>
      <c r="B1115" s="32" t="s">
        <v>769</v>
      </c>
      <c r="C1115" s="32" t="s">
        <v>770</v>
      </c>
      <c r="D1115" s="32">
        <v>2006</v>
      </c>
      <c r="E1115" s="32">
        <v>2002</v>
      </c>
      <c r="F1115" s="32" t="s">
        <v>771</v>
      </c>
      <c r="G1115" s="32" t="s">
        <v>772</v>
      </c>
      <c r="H1115" s="32" t="s">
        <v>2831</v>
      </c>
      <c r="I1115" s="32">
        <v>33.950000000000003</v>
      </c>
      <c r="J1115" s="32">
        <v>-83.38</v>
      </c>
      <c r="K1115" s="32">
        <v>208.4</v>
      </c>
      <c r="N1115" s="32">
        <v>971</v>
      </c>
      <c r="O1115" s="32">
        <f t="shared" si="230"/>
        <v>1233</v>
      </c>
      <c r="Q1115" s="44">
        <v>3</v>
      </c>
      <c r="R1115" s="44" t="s">
        <v>1735</v>
      </c>
      <c r="S1115" s="44"/>
      <c r="T1115" s="44" t="s">
        <v>1974</v>
      </c>
      <c r="U1115" s="44" t="s">
        <v>1393</v>
      </c>
      <c r="V1115" s="44" t="s">
        <v>1727</v>
      </c>
      <c r="W1115" s="44" t="s">
        <v>1393</v>
      </c>
      <c r="X1115" s="44" t="s">
        <v>1393</v>
      </c>
      <c r="Z1115" s="323">
        <f t="shared" si="228"/>
        <v>65</v>
      </c>
      <c r="AA1115" s="323">
        <f>25</f>
        <v>25</v>
      </c>
      <c r="AB1115" s="32" t="s">
        <v>241</v>
      </c>
      <c r="AC1115" s="32">
        <v>6.6</v>
      </c>
      <c r="AD1115" s="32">
        <v>0.88</v>
      </c>
      <c r="AF1115" s="32" t="s">
        <v>1348</v>
      </c>
      <c r="AG1115" s="32" t="s">
        <v>1522</v>
      </c>
      <c r="AH1115" s="138" t="s">
        <v>1586</v>
      </c>
      <c r="AI1115" s="32" t="s">
        <v>585</v>
      </c>
      <c r="AJ1115" s="140" t="s">
        <v>1632</v>
      </c>
      <c r="AK1115" s="32" t="s">
        <v>779</v>
      </c>
      <c r="AL1115" s="32" t="s">
        <v>779</v>
      </c>
      <c r="AM1115" s="32" t="s">
        <v>178</v>
      </c>
      <c r="AN1115" s="32" t="s">
        <v>157</v>
      </c>
      <c r="AO1115" s="32" t="s">
        <v>157</v>
      </c>
      <c r="AP1115" s="32" t="s">
        <v>178</v>
      </c>
      <c r="AQ1115" s="32" t="s">
        <v>775</v>
      </c>
      <c r="AR1115" s="32" t="s">
        <v>775</v>
      </c>
      <c r="AS1115" s="32" t="s">
        <v>178</v>
      </c>
      <c r="AT1115" s="32" t="s">
        <v>120</v>
      </c>
      <c r="AU1115" s="32">
        <v>3</v>
      </c>
      <c r="AW1115" s="32" t="s">
        <v>336</v>
      </c>
      <c r="AY1115" s="32">
        <v>5160</v>
      </c>
      <c r="AZ1115" s="32">
        <v>10</v>
      </c>
      <c r="BH1115" s="32">
        <v>814</v>
      </c>
      <c r="BI1115" s="32">
        <v>640</v>
      </c>
      <c r="BM1115" s="397"/>
      <c r="BN1115" s="397"/>
      <c r="BR1115" s="397"/>
      <c r="BS1115" s="397"/>
      <c r="GW1115" s="32">
        <v>11</v>
      </c>
      <c r="GX1115" s="32">
        <v>12</v>
      </c>
      <c r="HA1115" s="32" t="s">
        <v>1705</v>
      </c>
      <c r="IO1115" s="32" t="s">
        <v>780</v>
      </c>
    </row>
    <row r="1116" spans="1:249" s="32" customFormat="1" x14ac:dyDescent="0.25">
      <c r="A1116" s="32">
        <v>53</v>
      </c>
      <c r="B1116" s="32" t="s">
        <v>769</v>
      </c>
      <c r="C1116" s="32" t="s">
        <v>770</v>
      </c>
      <c r="D1116" s="32">
        <v>2006</v>
      </c>
      <c r="E1116" s="32">
        <v>2002</v>
      </c>
      <c r="F1116" s="32" t="s">
        <v>771</v>
      </c>
      <c r="G1116" s="32" t="s">
        <v>772</v>
      </c>
      <c r="H1116" s="32" t="s">
        <v>2831</v>
      </c>
      <c r="I1116" s="32">
        <v>33.950000000000003</v>
      </c>
      <c r="J1116" s="32">
        <v>-83.38</v>
      </c>
      <c r="K1116" s="32">
        <v>208.4</v>
      </c>
      <c r="N1116" s="32">
        <v>971</v>
      </c>
      <c r="O1116" s="32">
        <f t="shared" si="230"/>
        <v>1233</v>
      </c>
      <c r="Q1116" s="44">
        <v>3</v>
      </c>
      <c r="R1116" s="44" t="s">
        <v>1735</v>
      </c>
      <c r="S1116" s="44"/>
      <c r="T1116" s="44" t="s">
        <v>1974</v>
      </c>
      <c r="U1116" s="44" t="s">
        <v>1393</v>
      </c>
      <c r="V1116" s="44" t="s">
        <v>1727</v>
      </c>
      <c r="W1116" s="44" t="s">
        <v>1393</v>
      </c>
      <c r="X1116" s="44" t="s">
        <v>1393</v>
      </c>
      <c r="Z1116" s="323">
        <f t="shared" si="228"/>
        <v>65</v>
      </c>
      <c r="AA1116" s="323">
        <f>25</f>
        <v>25</v>
      </c>
      <c r="AB1116" s="32" t="s">
        <v>241</v>
      </c>
      <c r="AC1116" s="32">
        <v>6.6</v>
      </c>
      <c r="AD1116" s="32">
        <v>0.88</v>
      </c>
      <c r="AF1116" s="32" t="s">
        <v>1348</v>
      </c>
      <c r="AG1116" s="32" t="s">
        <v>1522</v>
      </c>
      <c r="AH1116" s="138" t="s">
        <v>1586</v>
      </c>
      <c r="AI1116" s="32" t="s">
        <v>585</v>
      </c>
      <c r="AJ1116" s="140" t="s">
        <v>1632</v>
      </c>
      <c r="AK1116" s="32" t="s">
        <v>779</v>
      </c>
      <c r="AL1116" s="32" t="s">
        <v>779</v>
      </c>
      <c r="AM1116" s="32" t="s">
        <v>178</v>
      </c>
      <c r="AN1116" s="32" t="s">
        <v>773</v>
      </c>
      <c r="AO1116" s="32" t="s">
        <v>773</v>
      </c>
      <c r="AP1116" s="32" t="s">
        <v>178</v>
      </c>
      <c r="AQ1116" s="32" t="s">
        <v>775</v>
      </c>
      <c r="AR1116" s="32" t="s">
        <v>775</v>
      </c>
      <c r="AS1116" s="32" t="s">
        <v>178</v>
      </c>
      <c r="AT1116" s="32" t="s">
        <v>120</v>
      </c>
      <c r="AU1116" s="32">
        <v>3</v>
      </c>
      <c r="AW1116" s="32" t="s">
        <v>336</v>
      </c>
      <c r="AY1116" s="32">
        <v>5160</v>
      </c>
      <c r="AZ1116" s="32">
        <v>10</v>
      </c>
      <c r="BH1116" s="32">
        <v>480</v>
      </c>
      <c r="BI1116" s="32">
        <v>774</v>
      </c>
      <c r="BM1116" s="397"/>
      <c r="BN1116" s="397"/>
      <c r="BR1116" s="397"/>
      <c r="BS1116" s="397"/>
      <c r="GW1116" s="32">
        <v>8</v>
      </c>
      <c r="GX1116" s="32">
        <v>13</v>
      </c>
      <c r="HA1116" s="32" t="s">
        <v>1705</v>
      </c>
      <c r="IO1116" s="32" t="s">
        <v>780</v>
      </c>
    </row>
    <row r="1117" spans="1:249" s="32" customFormat="1" x14ac:dyDescent="0.25">
      <c r="A1117" s="32">
        <v>53</v>
      </c>
      <c r="B1117" s="32" t="s">
        <v>769</v>
      </c>
      <c r="C1117" s="32" t="s">
        <v>770</v>
      </c>
      <c r="D1117" s="32">
        <v>2006</v>
      </c>
      <c r="E1117" s="32">
        <v>2002</v>
      </c>
      <c r="F1117" s="32" t="s">
        <v>771</v>
      </c>
      <c r="G1117" s="32" t="s">
        <v>772</v>
      </c>
      <c r="H1117" s="32" t="s">
        <v>2831</v>
      </c>
      <c r="I1117" s="32">
        <v>33.950000000000003</v>
      </c>
      <c r="J1117" s="32">
        <v>-83.38</v>
      </c>
      <c r="K1117" s="32">
        <v>208.4</v>
      </c>
      <c r="N1117" s="32">
        <v>971</v>
      </c>
      <c r="O1117" s="32">
        <f t="shared" si="230"/>
        <v>1233</v>
      </c>
      <c r="Q1117" s="44">
        <v>3</v>
      </c>
      <c r="R1117" s="44" t="s">
        <v>1735</v>
      </c>
      <c r="S1117" s="44"/>
      <c r="T1117" s="44" t="s">
        <v>1974</v>
      </c>
      <c r="U1117" s="44" t="s">
        <v>1393</v>
      </c>
      <c r="V1117" s="44" t="s">
        <v>1727</v>
      </c>
      <c r="W1117" s="44" t="s">
        <v>1393</v>
      </c>
      <c r="X1117" s="44" t="s">
        <v>1393</v>
      </c>
      <c r="Z1117" s="323">
        <f t="shared" si="228"/>
        <v>65</v>
      </c>
      <c r="AA1117" s="323">
        <f>25</f>
        <v>25</v>
      </c>
      <c r="AB1117" s="32" t="s">
        <v>241</v>
      </c>
      <c r="AC1117" s="32">
        <v>6.6</v>
      </c>
      <c r="AD1117" s="32">
        <v>0.88</v>
      </c>
      <c r="AF1117" s="32" t="s">
        <v>1348</v>
      </c>
      <c r="AG1117" s="32" t="s">
        <v>1522</v>
      </c>
      <c r="AH1117" s="138" t="s">
        <v>1586</v>
      </c>
      <c r="AI1117" s="32" t="s">
        <v>585</v>
      </c>
      <c r="AJ1117" s="140" t="s">
        <v>1632</v>
      </c>
      <c r="AK1117" s="32" t="s">
        <v>779</v>
      </c>
      <c r="AL1117" s="32" t="s">
        <v>779</v>
      </c>
      <c r="AM1117" s="32" t="s">
        <v>178</v>
      </c>
      <c r="AN1117" s="32" t="s">
        <v>774</v>
      </c>
      <c r="AO1117" s="32" t="s">
        <v>774</v>
      </c>
      <c r="AP1117" s="32" t="s">
        <v>178</v>
      </c>
      <c r="AQ1117" s="32" t="s">
        <v>775</v>
      </c>
      <c r="AR1117" s="32" t="s">
        <v>775</v>
      </c>
      <c r="AS1117" s="32" t="s">
        <v>178</v>
      </c>
      <c r="AT1117" s="32" t="s">
        <v>120</v>
      </c>
      <c r="AU1117" s="32">
        <v>3</v>
      </c>
      <c r="AW1117" s="32" t="s">
        <v>336</v>
      </c>
      <c r="AY1117" s="32">
        <v>5160</v>
      </c>
      <c r="AZ1117" s="32">
        <v>10</v>
      </c>
      <c r="BH1117" s="32">
        <v>802</v>
      </c>
      <c r="BI1117" s="32">
        <v>1525</v>
      </c>
      <c r="BM1117" s="397"/>
      <c r="BN1117" s="397"/>
      <c r="BR1117" s="397"/>
      <c r="BS1117" s="397"/>
      <c r="GW1117" s="32">
        <v>14</v>
      </c>
      <c r="GX1117" s="32">
        <v>22</v>
      </c>
      <c r="HA1117" s="32" t="s">
        <v>1705</v>
      </c>
      <c r="IO1117" s="32" t="s">
        <v>780</v>
      </c>
    </row>
    <row r="1118" spans="1:249" s="32" customFormat="1" x14ac:dyDescent="0.25">
      <c r="A1118" s="32">
        <v>53</v>
      </c>
      <c r="B1118" s="32" t="s">
        <v>769</v>
      </c>
      <c r="C1118" s="32" t="s">
        <v>770</v>
      </c>
      <c r="D1118" s="32">
        <v>2006</v>
      </c>
      <c r="E1118" s="32">
        <v>2002</v>
      </c>
      <c r="F1118" s="32" t="s">
        <v>771</v>
      </c>
      <c r="G1118" s="32" t="s">
        <v>772</v>
      </c>
      <c r="H1118" s="32" t="s">
        <v>2831</v>
      </c>
      <c r="I1118" s="32">
        <v>33.950000000000003</v>
      </c>
      <c r="J1118" s="32">
        <v>-83.38</v>
      </c>
      <c r="K1118" s="32">
        <v>208.4</v>
      </c>
      <c r="N1118" s="32">
        <v>971</v>
      </c>
      <c r="O1118" s="32">
        <f t="shared" si="230"/>
        <v>1233</v>
      </c>
      <c r="Q1118" s="44">
        <v>3</v>
      </c>
      <c r="R1118" s="44" t="s">
        <v>1735</v>
      </c>
      <c r="S1118" s="44"/>
      <c r="T1118" s="44" t="s">
        <v>1974</v>
      </c>
      <c r="U1118" s="44" t="s">
        <v>1393</v>
      </c>
      <c r="V1118" s="44" t="s">
        <v>1727</v>
      </c>
      <c r="W1118" s="44" t="s">
        <v>1393</v>
      </c>
      <c r="X1118" s="44" t="s">
        <v>1393</v>
      </c>
      <c r="Z1118" s="323">
        <f t="shared" si="228"/>
        <v>65</v>
      </c>
      <c r="AA1118" s="323">
        <f>25</f>
        <v>25</v>
      </c>
      <c r="AB1118" s="32" t="s">
        <v>241</v>
      </c>
      <c r="AC1118" s="32">
        <v>6.6</v>
      </c>
      <c r="AD1118" s="32">
        <v>0.88</v>
      </c>
      <c r="AF1118" s="32" t="s">
        <v>1348</v>
      </c>
      <c r="AG1118" s="32" t="s">
        <v>1522</v>
      </c>
      <c r="AH1118" s="138" t="s">
        <v>1586</v>
      </c>
      <c r="AI1118" s="32" t="s">
        <v>585</v>
      </c>
      <c r="AJ1118" s="140" t="s">
        <v>1632</v>
      </c>
      <c r="AK1118" s="32" t="s">
        <v>779</v>
      </c>
      <c r="AL1118" s="32" t="s">
        <v>779</v>
      </c>
      <c r="AM1118" s="32" t="s">
        <v>178</v>
      </c>
      <c r="AN1118" s="32" t="s">
        <v>157</v>
      </c>
      <c r="AO1118" s="32" t="s">
        <v>157</v>
      </c>
      <c r="AP1118" s="32" t="s">
        <v>178</v>
      </c>
      <c r="AQ1118" s="32" t="s">
        <v>776</v>
      </c>
      <c r="AR1118" s="32" t="s">
        <v>776</v>
      </c>
      <c r="AS1118" s="32" t="s">
        <v>178</v>
      </c>
      <c r="AT1118" s="32" t="s">
        <v>120</v>
      </c>
      <c r="AU1118" s="32">
        <v>3</v>
      </c>
      <c r="AW1118" s="32" t="s">
        <v>336</v>
      </c>
      <c r="AY1118" s="32">
        <v>5720</v>
      </c>
      <c r="AZ1118" s="32">
        <v>11</v>
      </c>
      <c r="BH1118" s="32">
        <v>814</v>
      </c>
      <c r="BI1118" s="32">
        <v>509</v>
      </c>
      <c r="BM1118" s="397"/>
      <c r="BN1118" s="397"/>
      <c r="BR1118" s="397"/>
      <c r="BS1118" s="397"/>
      <c r="GW1118" s="32">
        <v>11</v>
      </c>
      <c r="GX1118" s="32">
        <v>12</v>
      </c>
      <c r="HA1118" s="32" t="s">
        <v>1705</v>
      </c>
      <c r="IO1118" s="32" t="s">
        <v>780</v>
      </c>
    </row>
    <row r="1119" spans="1:249" s="32" customFormat="1" x14ac:dyDescent="0.25">
      <c r="A1119" s="32">
        <v>53</v>
      </c>
      <c r="B1119" s="32" t="s">
        <v>769</v>
      </c>
      <c r="C1119" s="32" t="s">
        <v>770</v>
      </c>
      <c r="D1119" s="32">
        <v>2006</v>
      </c>
      <c r="E1119" s="32">
        <v>2002</v>
      </c>
      <c r="F1119" s="32" t="s">
        <v>771</v>
      </c>
      <c r="G1119" s="32" t="s">
        <v>772</v>
      </c>
      <c r="H1119" s="32" t="s">
        <v>2831</v>
      </c>
      <c r="I1119" s="32">
        <v>33.950000000000003</v>
      </c>
      <c r="J1119" s="32">
        <v>-83.38</v>
      </c>
      <c r="K1119" s="32">
        <v>208.4</v>
      </c>
      <c r="N1119" s="32">
        <v>971</v>
      </c>
      <c r="O1119" s="32">
        <f t="shared" si="230"/>
        <v>1233</v>
      </c>
      <c r="Q1119" s="44">
        <v>3</v>
      </c>
      <c r="R1119" s="44" t="s">
        <v>1735</v>
      </c>
      <c r="S1119" s="44"/>
      <c r="T1119" s="44" t="s">
        <v>1974</v>
      </c>
      <c r="U1119" s="44" t="s">
        <v>1393</v>
      </c>
      <c r="V1119" s="44" t="s">
        <v>1727</v>
      </c>
      <c r="W1119" s="44" t="s">
        <v>1393</v>
      </c>
      <c r="X1119" s="44" t="s">
        <v>1393</v>
      </c>
      <c r="Z1119" s="323">
        <f t="shared" si="228"/>
        <v>65</v>
      </c>
      <c r="AA1119" s="323">
        <f>25</f>
        <v>25</v>
      </c>
      <c r="AB1119" s="32" t="s">
        <v>241</v>
      </c>
      <c r="AC1119" s="32">
        <v>6.6</v>
      </c>
      <c r="AD1119" s="32">
        <v>0.88</v>
      </c>
      <c r="AF1119" s="32" t="s">
        <v>1348</v>
      </c>
      <c r="AG1119" s="32" t="s">
        <v>1522</v>
      </c>
      <c r="AH1119" s="138" t="s">
        <v>1586</v>
      </c>
      <c r="AI1119" s="32" t="s">
        <v>585</v>
      </c>
      <c r="AJ1119" s="140" t="s">
        <v>1632</v>
      </c>
      <c r="AK1119" s="32" t="s">
        <v>779</v>
      </c>
      <c r="AL1119" s="32" t="s">
        <v>779</v>
      </c>
      <c r="AM1119" s="32" t="s">
        <v>178</v>
      </c>
      <c r="AN1119" s="32" t="s">
        <v>773</v>
      </c>
      <c r="AO1119" s="32" t="s">
        <v>773</v>
      </c>
      <c r="AP1119" s="32" t="s">
        <v>178</v>
      </c>
      <c r="AQ1119" s="32" t="s">
        <v>776</v>
      </c>
      <c r="AR1119" s="32" t="s">
        <v>776</v>
      </c>
      <c r="AS1119" s="32" t="s">
        <v>178</v>
      </c>
      <c r="AT1119" s="32" t="s">
        <v>120</v>
      </c>
      <c r="AU1119" s="32">
        <v>3</v>
      </c>
      <c r="AW1119" s="32" t="s">
        <v>336</v>
      </c>
      <c r="AY1119" s="32">
        <v>5720</v>
      </c>
      <c r="AZ1119" s="32">
        <v>11</v>
      </c>
      <c r="BH1119" s="32">
        <v>480</v>
      </c>
      <c r="BI1119" s="32">
        <v>464</v>
      </c>
      <c r="BM1119" s="397"/>
      <c r="BN1119" s="397"/>
      <c r="BR1119" s="397"/>
      <c r="BS1119" s="397"/>
      <c r="GW1119" s="32">
        <v>8</v>
      </c>
      <c r="GX1119" s="32">
        <v>10</v>
      </c>
      <c r="HA1119" s="32" t="s">
        <v>1705</v>
      </c>
      <c r="IO1119" s="32" t="s">
        <v>780</v>
      </c>
    </row>
    <row r="1120" spans="1:249" s="32" customFormat="1" x14ac:dyDescent="0.25">
      <c r="A1120" s="32">
        <v>53</v>
      </c>
      <c r="B1120" s="32" t="s">
        <v>769</v>
      </c>
      <c r="C1120" s="32" t="s">
        <v>770</v>
      </c>
      <c r="D1120" s="32">
        <v>2006</v>
      </c>
      <c r="E1120" s="32">
        <v>2002</v>
      </c>
      <c r="F1120" s="32" t="s">
        <v>771</v>
      </c>
      <c r="G1120" s="32" t="s">
        <v>772</v>
      </c>
      <c r="H1120" s="32" t="s">
        <v>2831</v>
      </c>
      <c r="I1120" s="32">
        <v>33.950000000000003</v>
      </c>
      <c r="J1120" s="32">
        <v>-83.38</v>
      </c>
      <c r="K1120" s="32">
        <v>208.4</v>
      </c>
      <c r="N1120" s="32">
        <v>971</v>
      </c>
      <c r="O1120" s="32">
        <f t="shared" si="230"/>
        <v>1233</v>
      </c>
      <c r="Q1120" s="44">
        <v>3</v>
      </c>
      <c r="R1120" s="44" t="s">
        <v>1735</v>
      </c>
      <c r="S1120" s="44"/>
      <c r="T1120" s="44" t="s">
        <v>1974</v>
      </c>
      <c r="U1120" s="44" t="s">
        <v>1393</v>
      </c>
      <c r="V1120" s="44" t="s">
        <v>1727</v>
      </c>
      <c r="W1120" s="44" t="s">
        <v>1393</v>
      </c>
      <c r="X1120" s="44" t="s">
        <v>1393</v>
      </c>
      <c r="Z1120" s="323">
        <f t="shared" ref="Z1120:Z1156" si="235">650/1000*100</f>
        <v>65</v>
      </c>
      <c r="AA1120" s="323">
        <f>25</f>
        <v>25</v>
      </c>
      <c r="AB1120" s="32" t="s">
        <v>241</v>
      </c>
      <c r="AC1120" s="32">
        <v>6.6</v>
      </c>
      <c r="AD1120" s="32">
        <v>0.88</v>
      </c>
      <c r="AF1120" s="32" t="s">
        <v>1348</v>
      </c>
      <c r="AG1120" s="32" t="s">
        <v>1522</v>
      </c>
      <c r="AH1120" s="138" t="s">
        <v>1586</v>
      </c>
      <c r="AI1120" s="32" t="s">
        <v>585</v>
      </c>
      <c r="AJ1120" s="140" t="s">
        <v>1632</v>
      </c>
      <c r="AK1120" s="32" t="s">
        <v>779</v>
      </c>
      <c r="AL1120" s="32" t="s">
        <v>779</v>
      </c>
      <c r="AM1120" s="32" t="s">
        <v>178</v>
      </c>
      <c r="AN1120" s="32" t="s">
        <v>774</v>
      </c>
      <c r="AO1120" s="32" t="s">
        <v>774</v>
      </c>
      <c r="AP1120" s="32" t="s">
        <v>178</v>
      </c>
      <c r="AQ1120" s="32" t="s">
        <v>776</v>
      </c>
      <c r="AR1120" s="32" t="s">
        <v>776</v>
      </c>
      <c r="AS1120" s="32" t="s">
        <v>178</v>
      </c>
      <c r="AT1120" s="32" t="s">
        <v>120</v>
      </c>
      <c r="AU1120" s="32">
        <v>3</v>
      </c>
      <c r="AW1120" s="32" t="s">
        <v>336</v>
      </c>
      <c r="AY1120" s="32">
        <v>5720</v>
      </c>
      <c r="AZ1120" s="32">
        <v>11</v>
      </c>
      <c r="BH1120" s="32">
        <v>802</v>
      </c>
      <c r="BI1120" s="32">
        <v>787</v>
      </c>
      <c r="BM1120" s="397"/>
      <c r="BN1120" s="397"/>
      <c r="BR1120" s="397"/>
      <c r="BS1120" s="397"/>
      <c r="GW1120" s="32">
        <v>14</v>
      </c>
      <c r="GX1120" s="32">
        <v>12</v>
      </c>
      <c r="HA1120" s="32" t="s">
        <v>1705</v>
      </c>
      <c r="IO1120" s="32" t="s">
        <v>780</v>
      </c>
    </row>
    <row r="1121" spans="1:249" s="24" customFormat="1" x14ac:dyDescent="0.25">
      <c r="A1121" s="24">
        <v>53</v>
      </c>
      <c r="B1121" s="24" t="s">
        <v>769</v>
      </c>
      <c r="C1121" s="24" t="s">
        <v>770</v>
      </c>
      <c r="D1121" s="24">
        <v>2006</v>
      </c>
      <c r="E1121" s="24">
        <v>2000</v>
      </c>
      <c r="F1121" s="24" t="s">
        <v>771</v>
      </c>
      <c r="G1121" s="24" t="s">
        <v>772</v>
      </c>
      <c r="H1121" s="32" t="s">
        <v>2831</v>
      </c>
      <c r="I1121" s="24">
        <v>33.950000000000003</v>
      </c>
      <c r="J1121" s="24">
        <v>-83.38</v>
      </c>
      <c r="K1121" s="24">
        <v>208.4</v>
      </c>
      <c r="N1121" s="24">
        <f>278+505</f>
        <v>783</v>
      </c>
      <c r="O1121" s="24">
        <f>588+645</f>
        <v>1233</v>
      </c>
      <c r="Q1121" s="42">
        <v>1</v>
      </c>
      <c r="R1121" s="42" t="s">
        <v>1735</v>
      </c>
      <c r="S1121" s="42"/>
      <c r="T1121" s="42" t="s">
        <v>781</v>
      </c>
      <c r="U1121" s="42" t="s">
        <v>1392</v>
      </c>
      <c r="V1121" s="42" t="s">
        <v>1727</v>
      </c>
      <c r="W1121" s="42" t="s">
        <v>1392</v>
      </c>
      <c r="X1121" s="42" t="s">
        <v>1393</v>
      </c>
      <c r="Z1121" s="321">
        <f t="shared" si="235"/>
        <v>65</v>
      </c>
      <c r="AA1121" s="321">
        <f>25</f>
        <v>25</v>
      </c>
      <c r="AB1121" s="24" t="s">
        <v>241</v>
      </c>
      <c r="AC1121" s="24">
        <v>6.6</v>
      </c>
      <c r="AD1121" s="24">
        <v>0.88</v>
      </c>
      <c r="AF1121" s="24" t="s">
        <v>1348</v>
      </c>
      <c r="AG1121" s="24" t="s">
        <v>132</v>
      </c>
      <c r="AH1121" s="138" t="s">
        <v>132</v>
      </c>
      <c r="AI1121" s="24" t="s">
        <v>585</v>
      </c>
      <c r="AJ1121" s="140" t="s">
        <v>1632</v>
      </c>
      <c r="AK1121" s="24" t="s">
        <v>779</v>
      </c>
      <c r="AL1121" s="24" t="s">
        <v>779</v>
      </c>
      <c r="AM1121" s="24" t="s">
        <v>178</v>
      </c>
      <c r="AT1121" s="24" t="s">
        <v>120</v>
      </c>
      <c r="AU1121" s="24">
        <v>3</v>
      </c>
      <c r="AW1121" s="24" t="s">
        <v>336</v>
      </c>
      <c r="AY1121" s="24">
        <f>6.07*1000</f>
        <v>6070</v>
      </c>
      <c r="AZ1121" s="24">
        <v>29</v>
      </c>
      <c r="BM1121" s="395"/>
      <c r="BN1121" s="395"/>
      <c r="BR1121" s="395"/>
      <c r="BS1121" s="395"/>
      <c r="BW1121" s="24">
        <v>5.4824000000000002</v>
      </c>
      <c r="BX1121" s="24">
        <v>4.6144000000000007</v>
      </c>
      <c r="CA1121" s="24" t="s">
        <v>466</v>
      </c>
      <c r="IO1121" s="24" t="s">
        <v>780</v>
      </c>
    </row>
    <row r="1122" spans="1:249" s="24" customFormat="1" x14ac:dyDescent="0.25">
      <c r="A1122" s="24">
        <v>53</v>
      </c>
      <c r="B1122" s="24" t="s">
        <v>769</v>
      </c>
      <c r="C1122" s="24" t="s">
        <v>770</v>
      </c>
      <c r="D1122" s="24">
        <v>2006</v>
      </c>
      <c r="E1122" s="24">
        <v>2000</v>
      </c>
      <c r="F1122" s="24" t="s">
        <v>771</v>
      </c>
      <c r="G1122" s="24" t="s">
        <v>772</v>
      </c>
      <c r="H1122" s="32" t="s">
        <v>2831</v>
      </c>
      <c r="I1122" s="24">
        <v>33.950000000000003</v>
      </c>
      <c r="J1122" s="24">
        <v>-83.38</v>
      </c>
      <c r="K1122" s="24">
        <v>208.4</v>
      </c>
      <c r="N1122" s="24">
        <f t="shared" ref="N1122:N1144" si="236">278+505</f>
        <v>783</v>
      </c>
      <c r="O1122" s="24">
        <f t="shared" si="230"/>
        <v>1233</v>
      </c>
      <c r="Q1122" s="42">
        <v>1</v>
      </c>
      <c r="R1122" s="42" t="s">
        <v>1735</v>
      </c>
      <c r="S1122" s="42"/>
      <c r="T1122" s="42" t="s">
        <v>781</v>
      </c>
      <c r="U1122" s="42" t="s">
        <v>1392</v>
      </c>
      <c r="V1122" s="42" t="s">
        <v>1727</v>
      </c>
      <c r="W1122" s="42" t="s">
        <v>1392</v>
      </c>
      <c r="X1122" s="42" t="s">
        <v>1393</v>
      </c>
      <c r="Z1122" s="321">
        <f t="shared" si="235"/>
        <v>65</v>
      </c>
      <c r="AA1122" s="321">
        <f>25</f>
        <v>25</v>
      </c>
      <c r="AB1122" s="24" t="s">
        <v>241</v>
      </c>
      <c r="AC1122" s="24">
        <v>6.6</v>
      </c>
      <c r="AD1122" s="24">
        <v>0.88</v>
      </c>
      <c r="AF1122" s="24" t="s">
        <v>1348</v>
      </c>
      <c r="AG1122" s="24" t="s">
        <v>244</v>
      </c>
      <c r="AH1122" s="138" t="s">
        <v>578</v>
      </c>
      <c r="AI1122" s="24" t="s">
        <v>585</v>
      </c>
      <c r="AJ1122" s="140" t="s">
        <v>1632</v>
      </c>
      <c r="AK1122" s="24" t="s">
        <v>779</v>
      </c>
      <c r="AL1122" s="24" t="s">
        <v>779</v>
      </c>
      <c r="AM1122" s="24" t="s">
        <v>178</v>
      </c>
      <c r="AT1122" s="24" t="s">
        <v>120</v>
      </c>
      <c r="AU1122" s="24">
        <v>3</v>
      </c>
      <c r="AW1122" s="24" t="s">
        <v>336</v>
      </c>
      <c r="AY1122" s="24">
        <v>5100</v>
      </c>
      <c r="AZ1122" s="24">
        <v>12</v>
      </c>
      <c r="BM1122" s="395"/>
      <c r="BN1122" s="395"/>
      <c r="BR1122" s="395"/>
      <c r="BS1122" s="395"/>
      <c r="BW1122" s="24">
        <v>5.4824000000000002</v>
      </c>
      <c r="BX1122" s="24">
        <v>7.0364000000000004</v>
      </c>
      <c r="CA1122" s="24" t="s">
        <v>466</v>
      </c>
      <c r="IO1122" s="24" t="s">
        <v>780</v>
      </c>
    </row>
    <row r="1123" spans="1:249" s="24" customFormat="1" x14ac:dyDescent="0.25">
      <c r="A1123" s="24">
        <v>53</v>
      </c>
      <c r="B1123" s="24" t="s">
        <v>769</v>
      </c>
      <c r="C1123" s="24" t="s">
        <v>770</v>
      </c>
      <c r="D1123" s="24">
        <v>2006</v>
      </c>
      <c r="E1123" s="24">
        <v>2000</v>
      </c>
      <c r="F1123" s="24" t="s">
        <v>771</v>
      </c>
      <c r="G1123" s="24" t="s">
        <v>772</v>
      </c>
      <c r="H1123" s="32" t="s">
        <v>2831</v>
      </c>
      <c r="I1123" s="24">
        <v>33.950000000000003</v>
      </c>
      <c r="J1123" s="24">
        <v>-83.38</v>
      </c>
      <c r="K1123" s="24">
        <v>208.4</v>
      </c>
      <c r="N1123" s="24">
        <f t="shared" si="236"/>
        <v>783</v>
      </c>
      <c r="O1123" s="24">
        <f t="shared" si="230"/>
        <v>1233</v>
      </c>
      <c r="Q1123" s="42">
        <v>1</v>
      </c>
      <c r="R1123" s="42" t="s">
        <v>1735</v>
      </c>
      <c r="S1123" s="42"/>
      <c r="T1123" s="42" t="s">
        <v>781</v>
      </c>
      <c r="U1123" s="42" t="s">
        <v>1392</v>
      </c>
      <c r="V1123" s="42" t="s">
        <v>1727</v>
      </c>
      <c r="W1123" s="42" t="s">
        <v>1392</v>
      </c>
      <c r="X1123" s="42" t="s">
        <v>1393</v>
      </c>
      <c r="Z1123" s="321">
        <f t="shared" si="235"/>
        <v>65</v>
      </c>
      <c r="AA1123" s="321">
        <f>25</f>
        <v>25</v>
      </c>
      <c r="AB1123" s="24" t="s">
        <v>241</v>
      </c>
      <c r="AC1123" s="24">
        <v>6.6</v>
      </c>
      <c r="AD1123" s="24">
        <v>0.88</v>
      </c>
      <c r="AF1123" s="24" t="s">
        <v>1348</v>
      </c>
      <c r="AG1123" s="24" t="s">
        <v>1522</v>
      </c>
      <c r="AH1123" s="138" t="s">
        <v>1586</v>
      </c>
      <c r="AI1123" s="24" t="s">
        <v>585</v>
      </c>
      <c r="AJ1123" s="140" t="s">
        <v>1632</v>
      </c>
      <c r="AK1123" s="24" t="s">
        <v>779</v>
      </c>
      <c r="AL1123" s="24" t="s">
        <v>779</v>
      </c>
      <c r="AM1123" s="24" t="s">
        <v>178</v>
      </c>
      <c r="AT1123" s="24" t="s">
        <v>120</v>
      </c>
      <c r="AU1123" s="24">
        <v>3</v>
      </c>
      <c r="AW1123" s="24" t="s">
        <v>336</v>
      </c>
      <c r="AY1123" s="24">
        <v>8180</v>
      </c>
      <c r="AZ1123" s="24">
        <v>10</v>
      </c>
      <c r="BM1123" s="395"/>
      <c r="BN1123" s="395"/>
      <c r="BR1123" s="395"/>
      <c r="BS1123" s="395"/>
      <c r="BW1123" s="24">
        <v>5.4824000000000002</v>
      </c>
      <c r="BX1123" s="24">
        <v>5.4824000000000002</v>
      </c>
      <c r="CA1123" s="24" t="s">
        <v>466</v>
      </c>
      <c r="IO1123" s="24" t="s">
        <v>780</v>
      </c>
    </row>
    <row r="1124" spans="1:249" s="74" customFormat="1" x14ac:dyDescent="0.25">
      <c r="A1124" s="74">
        <v>53</v>
      </c>
      <c r="B1124" s="74" t="s">
        <v>769</v>
      </c>
      <c r="C1124" s="74" t="s">
        <v>770</v>
      </c>
      <c r="D1124" s="74">
        <v>2006</v>
      </c>
      <c r="E1124" s="74">
        <v>2000</v>
      </c>
      <c r="F1124" s="74" t="s">
        <v>771</v>
      </c>
      <c r="G1124" s="74" t="s">
        <v>772</v>
      </c>
      <c r="H1124" s="32" t="s">
        <v>2831</v>
      </c>
      <c r="I1124" s="74">
        <v>33.950000000000003</v>
      </c>
      <c r="J1124" s="74">
        <v>-83.38</v>
      </c>
      <c r="K1124" s="74">
        <v>208.4</v>
      </c>
      <c r="N1124" s="24">
        <f t="shared" si="236"/>
        <v>783</v>
      </c>
      <c r="O1124" s="24">
        <f t="shared" si="230"/>
        <v>1233</v>
      </c>
      <c r="Q1124" s="75">
        <v>1</v>
      </c>
      <c r="R1124" s="75" t="s">
        <v>1735</v>
      </c>
      <c r="S1124" s="75"/>
      <c r="T1124" s="75" t="s">
        <v>782</v>
      </c>
      <c r="U1124" s="75" t="s">
        <v>1392</v>
      </c>
      <c r="V1124" s="42" t="s">
        <v>1727</v>
      </c>
      <c r="W1124" s="42" t="s">
        <v>1392</v>
      </c>
      <c r="X1124" s="75" t="s">
        <v>1393</v>
      </c>
      <c r="Z1124" s="337">
        <f t="shared" si="235"/>
        <v>65</v>
      </c>
      <c r="AA1124" s="337">
        <f>25</f>
        <v>25</v>
      </c>
      <c r="AB1124" s="74" t="s">
        <v>241</v>
      </c>
      <c r="AC1124" s="74">
        <v>6.6</v>
      </c>
      <c r="AD1124" s="74">
        <v>0.88</v>
      </c>
      <c r="AF1124" s="74" t="s">
        <v>1348</v>
      </c>
      <c r="AG1124" s="74" t="s">
        <v>132</v>
      </c>
      <c r="AH1124" s="138" t="s">
        <v>132</v>
      </c>
      <c r="AI1124" s="74" t="s">
        <v>585</v>
      </c>
      <c r="AJ1124" s="140" t="s">
        <v>1632</v>
      </c>
      <c r="AK1124" s="24" t="s">
        <v>779</v>
      </c>
      <c r="AL1124" s="24" t="s">
        <v>779</v>
      </c>
      <c r="AM1124" s="24" t="s">
        <v>178</v>
      </c>
      <c r="AT1124" s="74" t="s">
        <v>120</v>
      </c>
      <c r="AU1124" s="74">
        <v>3</v>
      </c>
      <c r="AW1124" s="74" t="s">
        <v>336</v>
      </c>
      <c r="AY1124" s="74">
        <v>6070</v>
      </c>
      <c r="AZ1124" s="74">
        <v>29</v>
      </c>
      <c r="BM1124" s="412"/>
      <c r="BN1124" s="412"/>
      <c r="BR1124" s="412"/>
      <c r="BS1124" s="412"/>
      <c r="BW1124" s="74">
        <v>5.9444000000000008</v>
      </c>
      <c r="BX1124" s="74">
        <v>5.4880000000000013</v>
      </c>
      <c r="BY1124" s="24"/>
      <c r="BZ1124" s="24"/>
      <c r="CA1124" s="24" t="s">
        <v>466</v>
      </c>
      <c r="CC1124" s="24"/>
      <c r="CD1124" s="24"/>
      <c r="CE1124" s="24"/>
      <c r="EO1124" s="24"/>
      <c r="ES1124" s="24"/>
      <c r="IO1124" s="24" t="s">
        <v>780</v>
      </c>
    </row>
    <row r="1125" spans="1:249" s="74" customFormat="1" x14ac:dyDescent="0.25">
      <c r="A1125" s="74">
        <v>53</v>
      </c>
      <c r="B1125" s="74" t="s">
        <v>769</v>
      </c>
      <c r="C1125" s="74" t="s">
        <v>770</v>
      </c>
      <c r="D1125" s="74">
        <v>2006</v>
      </c>
      <c r="E1125" s="74">
        <v>2000</v>
      </c>
      <c r="F1125" s="74" t="s">
        <v>771</v>
      </c>
      <c r="G1125" s="74" t="s">
        <v>772</v>
      </c>
      <c r="H1125" s="32" t="s">
        <v>2831</v>
      </c>
      <c r="I1125" s="74">
        <v>33.950000000000003</v>
      </c>
      <c r="J1125" s="74">
        <v>-83.38</v>
      </c>
      <c r="K1125" s="74">
        <v>208.4</v>
      </c>
      <c r="N1125" s="24">
        <f t="shared" si="236"/>
        <v>783</v>
      </c>
      <c r="O1125" s="24">
        <f t="shared" si="230"/>
        <v>1233</v>
      </c>
      <c r="Q1125" s="75">
        <v>1</v>
      </c>
      <c r="R1125" s="75" t="s">
        <v>1735</v>
      </c>
      <c r="S1125" s="75"/>
      <c r="T1125" s="75" t="s">
        <v>782</v>
      </c>
      <c r="U1125" s="75" t="s">
        <v>1392</v>
      </c>
      <c r="V1125" s="42" t="s">
        <v>1727</v>
      </c>
      <c r="W1125" s="42" t="s">
        <v>1392</v>
      </c>
      <c r="X1125" s="75" t="s">
        <v>1393</v>
      </c>
      <c r="Z1125" s="337">
        <f t="shared" si="235"/>
        <v>65</v>
      </c>
      <c r="AA1125" s="337">
        <f>25</f>
        <v>25</v>
      </c>
      <c r="AB1125" s="74" t="s">
        <v>241</v>
      </c>
      <c r="AC1125" s="74">
        <v>6.6</v>
      </c>
      <c r="AD1125" s="74">
        <v>0.88</v>
      </c>
      <c r="AF1125" s="74" t="s">
        <v>1348</v>
      </c>
      <c r="AG1125" s="74" t="s">
        <v>244</v>
      </c>
      <c r="AH1125" s="138" t="s">
        <v>578</v>
      </c>
      <c r="AI1125" s="74" t="s">
        <v>585</v>
      </c>
      <c r="AJ1125" s="140" t="s">
        <v>1632</v>
      </c>
      <c r="AK1125" s="24" t="s">
        <v>779</v>
      </c>
      <c r="AL1125" s="24" t="s">
        <v>779</v>
      </c>
      <c r="AM1125" s="24" t="s">
        <v>178</v>
      </c>
      <c r="AT1125" s="74" t="s">
        <v>120</v>
      </c>
      <c r="AU1125" s="74">
        <v>3</v>
      </c>
      <c r="AW1125" s="74" t="s">
        <v>336</v>
      </c>
      <c r="AY1125" s="74">
        <v>5100</v>
      </c>
      <c r="AZ1125" s="74">
        <v>12</v>
      </c>
      <c r="BM1125" s="412"/>
      <c r="BN1125" s="412"/>
      <c r="BR1125" s="412"/>
      <c r="BS1125" s="412"/>
      <c r="BW1125" s="74">
        <v>5.9444000000000008</v>
      </c>
      <c r="BX1125" s="74">
        <v>6.3560000000000008</v>
      </c>
      <c r="BY1125" s="24"/>
      <c r="BZ1125" s="24"/>
      <c r="CA1125" s="24" t="s">
        <v>466</v>
      </c>
      <c r="CC1125" s="24"/>
      <c r="CD1125" s="24"/>
      <c r="CE1125" s="24"/>
      <c r="EO1125" s="24"/>
      <c r="ES1125" s="24"/>
      <c r="IO1125" s="24" t="s">
        <v>780</v>
      </c>
    </row>
    <row r="1126" spans="1:249" s="74" customFormat="1" x14ac:dyDescent="0.25">
      <c r="A1126" s="74">
        <v>53</v>
      </c>
      <c r="B1126" s="74" t="s">
        <v>769</v>
      </c>
      <c r="C1126" s="74" t="s">
        <v>770</v>
      </c>
      <c r="D1126" s="74">
        <v>2006</v>
      </c>
      <c r="E1126" s="74">
        <v>2000</v>
      </c>
      <c r="F1126" s="74" t="s">
        <v>771</v>
      </c>
      <c r="G1126" s="74" t="s">
        <v>772</v>
      </c>
      <c r="H1126" s="32" t="s">
        <v>2831</v>
      </c>
      <c r="I1126" s="74">
        <v>33.950000000000003</v>
      </c>
      <c r="J1126" s="74">
        <v>-83.38</v>
      </c>
      <c r="K1126" s="74">
        <v>208.4</v>
      </c>
      <c r="N1126" s="24">
        <f t="shared" si="236"/>
        <v>783</v>
      </c>
      <c r="O1126" s="24">
        <f t="shared" si="230"/>
        <v>1233</v>
      </c>
      <c r="Q1126" s="75">
        <v>1</v>
      </c>
      <c r="R1126" s="75" t="s">
        <v>1735</v>
      </c>
      <c r="S1126" s="75"/>
      <c r="T1126" s="75" t="s">
        <v>782</v>
      </c>
      <c r="U1126" s="75" t="s">
        <v>1392</v>
      </c>
      <c r="V1126" s="42" t="s">
        <v>1727</v>
      </c>
      <c r="W1126" s="42" t="s">
        <v>1392</v>
      </c>
      <c r="X1126" s="75" t="s">
        <v>1393</v>
      </c>
      <c r="Z1126" s="337">
        <f t="shared" si="235"/>
        <v>65</v>
      </c>
      <c r="AA1126" s="337">
        <f>25</f>
        <v>25</v>
      </c>
      <c r="AB1126" s="74" t="s">
        <v>241</v>
      </c>
      <c r="AC1126" s="74">
        <v>6.6</v>
      </c>
      <c r="AD1126" s="74">
        <v>0.88</v>
      </c>
      <c r="AF1126" s="74" t="s">
        <v>1348</v>
      </c>
      <c r="AG1126" s="74" t="s">
        <v>1522</v>
      </c>
      <c r="AH1126" s="138" t="s">
        <v>1586</v>
      </c>
      <c r="AI1126" s="74" t="s">
        <v>585</v>
      </c>
      <c r="AJ1126" s="140" t="s">
        <v>1632</v>
      </c>
      <c r="AK1126" s="24" t="s">
        <v>779</v>
      </c>
      <c r="AL1126" s="24" t="s">
        <v>779</v>
      </c>
      <c r="AM1126" s="24" t="s">
        <v>178</v>
      </c>
      <c r="AT1126" s="74" t="s">
        <v>120</v>
      </c>
      <c r="AU1126" s="74">
        <v>3</v>
      </c>
      <c r="AW1126" s="74" t="s">
        <v>336</v>
      </c>
      <c r="AY1126" s="74">
        <v>8180</v>
      </c>
      <c r="AZ1126" s="74">
        <v>10</v>
      </c>
      <c r="BM1126" s="412"/>
      <c r="BN1126" s="412"/>
      <c r="BR1126" s="412"/>
      <c r="BS1126" s="412"/>
      <c r="BW1126" s="74">
        <v>5.9444000000000008</v>
      </c>
      <c r="BX1126" s="74">
        <v>5.9640000000000004</v>
      </c>
      <c r="BY1126" s="24"/>
      <c r="BZ1126" s="24"/>
      <c r="CA1126" s="24" t="s">
        <v>466</v>
      </c>
      <c r="CC1126" s="24"/>
      <c r="CD1126" s="24"/>
      <c r="CE1126" s="24"/>
      <c r="EO1126" s="24"/>
      <c r="ES1126" s="24"/>
      <c r="IO1126" s="24" t="s">
        <v>780</v>
      </c>
    </row>
    <row r="1127" spans="1:249" s="24" customFormat="1" x14ac:dyDescent="0.25">
      <c r="A1127" s="24">
        <v>53</v>
      </c>
      <c r="B1127" s="24" t="s">
        <v>769</v>
      </c>
      <c r="C1127" s="24" t="s">
        <v>770</v>
      </c>
      <c r="D1127" s="24">
        <v>2006</v>
      </c>
      <c r="E1127" s="24">
        <v>2001</v>
      </c>
      <c r="F1127" s="24" t="s">
        <v>771</v>
      </c>
      <c r="G1127" s="24" t="s">
        <v>772</v>
      </c>
      <c r="H1127" s="32" t="s">
        <v>2831</v>
      </c>
      <c r="I1127" s="24">
        <v>33.950000000000003</v>
      </c>
      <c r="J1127" s="24">
        <v>-83.38</v>
      </c>
      <c r="K1127" s="24">
        <v>208.4</v>
      </c>
      <c r="N1127" s="24">
        <v>748</v>
      </c>
      <c r="O1127" s="24">
        <f>588+645</f>
        <v>1233</v>
      </c>
      <c r="Q1127" s="42">
        <v>2</v>
      </c>
      <c r="R1127" s="42" t="s">
        <v>1735</v>
      </c>
      <c r="S1127" s="42"/>
      <c r="T1127" s="42" t="s">
        <v>781</v>
      </c>
      <c r="U1127" s="42" t="s">
        <v>1392</v>
      </c>
      <c r="V1127" s="42" t="s">
        <v>1727</v>
      </c>
      <c r="W1127" s="42" t="s">
        <v>1392</v>
      </c>
      <c r="X1127" s="42" t="s">
        <v>1393</v>
      </c>
      <c r="Z1127" s="321">
        <f t="shared" si="235"/>
        <v>65</v>
      </c>
      <c r="AA1127" s="321">
        <f>25</f>
        <v>25</v>
      </c>
      <c r="AB1127" s="24" t="s">
        <v>241</v>
      </c>
      <c r="AC1127" s="24">
        <v>6.6</v>
      </c>
      <c r="AD1127" s="24">
        <v>0.88</v>
      </c>
      <c r="AF1127" s="24" t="s">
        <v>1348</v>
      </c>
      <c r="AG1127" s="24" t="s">
        <v>132</v>
      </c>
      <c r="AH1127" s="138" t="s">
        <v>132</v>
      </c>
      <c r="AI1127" s="24" t="s">
        <v>585</v>
      </c>
      <c r="AJ1127" s="140" t="s">
        <v>1632</v>
      </c>
      <c r="AK1127" s="24" t="s">
        <v>779</v>
      </c>
      <c r="AL1127" s="24" t="s">
        <v>779</v>
      </c>
      <c r="AM1127" s="24" t="s">
        <v>178</v>
      </c>
      <c r="AT1127" s="24" t="s">
        <v>120</v>
      </c>
      <c r="AU1127" s="24">
        <v>3</v>
      </c>
      <c r="AW1127" s="24" t="s">
        <v>336</v>
      </c>
      <c r="AY1127" s="24">
        <v>3810</v>
      </c>
      <c r="AZ1127" s="24">
        <v>57</v>
      </c>
      <c r="BM1127" s="395"/>
      <c r="BN1127" s="395"/>
      <c r="BR1127" s="395"/>
      <c r="BS1127" s="395"/>
      <c r="BW1127" s="24">
        <v>3.6624000000000003</v>
      </c>
      <c r="BX1127" s="24">
        <v>3.6120000000000005</v>
      </c>
      <c r="CA1127" s="24" t="s">
        <v>466</v>
      </c>
      <c r="IO1127" s="24" t="s">
        <v>780</v>
      </c>
    </row>
    <row r="1128" spans="1:249" s="24" customFormat="1" x14ac:dyDescent="0.25">
      <c r="A1128" s="24">
        <v>53</v>
      </c>
      <c r="B1128" s="24" t="s">
        <v>769</v>
      </c>
      <c r="C1128" s="24" t="s">
        <v>770</v>
      </c>
      <c r="D1128" s="24">
        <v>2006</v>
      </c>
      <c r="E1128" s="24">
        <v>2001</v>
      </c>
      <c r="F1128" s="24" t="s">
        <v>771</v>
      </c>
      <c r="G1128" s="24" t="s">
        <v>772</v>
      </c>
      <c r="H1128" s="32" t="s">
        <v>2831</v>
      </c>
      <c r="I1128" s="24">
        <v>33.950000000000003</v>
      </c>
      <c r="J1128" s="24">
        <v>-83.38</v>
      </c>
      <c r="K1128" s="24">
        <v>208.4</v>
      </c>
      <c r="N1128" s="24">
        <v>748</v>
      </c>
      <c r="O1128" s="24">
        <f t="shared" si="230"/>
        <v>1233</v>
      </c>
      <c r="Q1128" s="42">
        <v>2</v>
      </c>
      <c r="R1128" s="42" t="s">
        <v>1735</v>
      </c>
      <c r="S1128" s="42"/>
      <c r="T1128" s="42" t="s">
        <v>781</v>
      </c>
      <c r="U1128" s="42" t="s">
        <v>1392</v>
      </c>
      <c r="V1128" s="42" t="s">
        <v>1727</v>
      </c>
      <c r="W1128" s="42" t="s">
        <v>1392</v>
      </c>
      <c r="X1128" s="42" t="s">
        <v>1393</v>
      </c>
      <c r="Z1128" s="321">
        <f t="shared" si="235"/>
        <v>65</v>
      </c>
      <c r="AA1128" s="321">
        <f>25</f>
        <v>25</v>
      </c>
      <c r="AB1128" s="24" t="s">
        <v>241</v>
      </c>
      <c r="AC1128" s="24">
        <v>6.6</v>
      </c>
      <c r="AD1128" s="24">
        <v>0.88</v>
      </c>
      <c r="AF1128" s="24" t="s">
        <v>1348</v>
      </c>
      <c r="AG1128" s="24" t="s">
        <v>244</v>
      </c>
      <c r="AH1128" s="138" t="s">
        <v>578</v>
      </c>
      <c r="AI1128" s="24" t="s">
        <v>585</v>
      </c>
      <c r="AJ1128" s="140" t="s">
        <v>1632</v>
      </c>
      <c r="AK1128" s="24" t="s">
        <v>779</v>
      </c>
      <c r="AL1128" s="24" t="s">
        <v>779</v>
      </c>
      <c r="AM1128" s="24" t="s">
        <v>178</v>
      </c>
      <c r="AT1128" s="24" t="s">
        <v>120</v>
      </c>
      <c r="AU1128" s="24">
        <v>3</v>
      </c>
      <c r="AW1128" s="24" t="s">
        <v>336</v>
      </c>
      <c r="AY1128" s="24">
        <v>2440</v>
      </c>
      <c r="AZ1128" s="24">
        <v>12</v>
      </c>
      <c r="BM1128" s="395"/>
      <c r="BN1128" s="395"/>
      <c r="BR1128" s="395"/>
      <c r="BS1128" s="395"/>
      <c r="BW1128" s="24">
        <v>3.6624000000000003</v>
      </c>
      <c r="BX1128" s="24">
        <v>4.2111999999999998</v>
      </c>
      <c r="CA1128" s="24" t="s">
        <v>466</v>
      </c>
      <c r="IO1128" s="24" t="s">
        <v>780</v>
      </c>
    </row>
    <row r="1129" spans="1:249" s="24" customFormat="1" x14ac:dyDescent="0.25">
      <c r="A1129" s="24">
        <v>53</v>
      </c>
      <c r="B1129" s="24" t="s">
        <v>769</v>
      </c>
      <c r="C1129" s="24" t="s">
        <v>770</v>
      </c>
      <c r="D1129" s="24">
        <v>2006</v>
      </c>
      <c r="E1129" s="24">
        <v>2001</v>
      </c>
      <c r="F1129" s="24" t="s">
        <v>771</v>
      </c>
      <c r="G1129" s="24" t="s">
        <v>772</v>
      </c>
      <c r="H1129" s="32" t="s">
        <v>2831</v>
      </c>
      <c r="I1129" s="24">
        <v>33.950000000000003</v>
      </c>
      <c r="J1129" s="24">
        <v>-83.38</v>
      </c>
      <c r="K1129" s="24">
        <v>208.4</v>
      </c>
      <c r="N1129" s="24">
        <v>748</v>
      </c>
      <c r="O1129" s="24">
        <f t="shared" si="230"/>
        <v>1233</v>
      </c>
      <c r="Q1129" s="42">
        <v>2</v>
      </c>
      <c r="R1129" s="42" t="s">
        <v>1735</v>
      </c>
      <c r="S1129" s="42"/>
      <c r="T1129" s="42" t="s">
        <v>781</v>
      </c>
      <c r="U1129" s="42" t="s">
        <v>1392</v>
      </c>
      <c r="V1129" s="42" t="s">
        <v>1727</v>
      </c>
      <c r="W1129" s="42" t="s">
        <v>1392</v>
      </c>
      <c r="X1129" s="42" t="s">
        <v>1393</v>
      </c>
      <c r="Z1129" s="321">
        <f t="shared" si="235"/>
        <v>65</v>
      </c>
      <c r="AA1129" s="321">
        <f>25</f>
        <v>25</v>
      </c>
      <c r="AB1129" s="24" t="s">
        <v>241</v>
      </c>
      <c r="AC1129" s="24">
        <v>6.6</v>
      </c>
      <c r="AD1129" s="24">
        <v>0.88</v>
      </c>
      <c r="AF1129" s="24" t="s">
        <v>1348</v>
      </c>
      <c r="AG1129" s="24" t="s">
        <v>1522</v>
      </c>
      <c r="AH1129" s="138" t="s">
        <v>1586</v>
      </c>
      <c r="AI1129" s="24" t="s">
        <v>585</v>
      </c>
      <c r="AJ1129" s="140" t="s">
        <v>1632</v>
      </c>
      <c r="AK1129" s="24" t="s">
        <v>779</v>
      </c>
      <c r="AL1129" s="24" t="s">
        <v>779</v>
      </c>
      <c r="AM1129" s="24" t="s">
        <v>178</v>
      </c>
      <c r="AT1129" s="24" t="s">
        <v>120</v>
      </c>
      <c r="AU1129" s="24">
        <v>3</v>
      </c>
      <c r="AW1129" s="24" t="s">
        <v>336</v>
      </c>
      <c r="AY1129" s="24">
        <v>5980</v>
      </c>
      <c r="AZ1129" s="24">
        <v>32</v>
      </c>
      <c r="BM1129" s="395"/>
      <c r="BN1129" s="395"/>
      <c r="BR1129" s="395"/>
      <c r="BS1129" s="395"/>
      <c r="BW1129" s="24">
        <v>3.6624000000000003</v>
      </c>
      <c r="BX1129" s="24">
        <v>3.6624000000000003</v>
      </c>
      <c r="CA1129" s="24" t="s">
        <v>466</v>
      </c>
      <c r="IO1129" s="24" t="s">
        <v>780</v>
      </c>
    </row>
    <row r="1130" spans="1:249" s="74" customFormat="1" x14ac:dyDescent="0.25">
      <c r="A1130" s="74">
        <v>53</v>
      </c>
      <c r="B1130" s="74" t="s">
        <v>769</v>
      </c>
      <c r="C1130" s="74" t="s">
        <v>770</v>
      </c>
      <c r="D1130" s="74">
        <v>2006</v>
      </c>
      <c r="E1130" s="74">
        <v>2001</v>
      </c>
      <c r="F1130" s="74" t="s">
        <v>771</v>
      </c>
      <c r="G1130" s="74" t="s">
        <v>772</v>
      </c>
      <c r="H1130" s="32" t="s">
        <v>2831</v>
      </c>
      <c r="I1130" s="74">
        <v>33.950000000000003</v>
      </c>
      <c r="J1130" s="74">
        <v>-83.38</v>
      </c>
      <c r="K1130" s="74">
        <v>208.4</v>
      </c>
      <c r="N1130" s="24">
        <v>748</v>
      </c>
      <c r="O1130" s="24">
        <f t="shared" si="230"/>
        <v>1233</v>
      </c>
      <c r="Q1130" s="75">
        <v>2</v>
      </c>
      <c r="R1130" s="75" t="s">
        <v>1735</v>
      </c>
      <c r="S1130" s="75"/>
      <c r="T1130" s="75" t="s">
        <v>782</v>
      </c>
      <c r="U1130" s="75" t="s">
        <v>1392</v>
      </c>
      <c r="V1130" s="42" t="s">
        <v>1727</v>
      </c>
      <c r="W1130" s="42" t="s">
        <v>1392</v>
      </c>
      <c r="X1130" s="75" t="s">
        <v>1393</v>
      </c>
      <c r="Z1130" s="337">
        <f t="shared" si="235"/>
        <v>65</v>
      </c>
      <c r="AA1130" s="337">
        <f>25</f>
        <v>25</v>
      </c>
      <c r="AB1130" s="74" t="s">
        <v>241</v>
      </c>
      <c r="AC1130" s="74">
        <v>6.6</v>
      </c>
      <c r="AD1130" s="74">
        <v>0.88</v>
      </c>
      <c r="AF1130" s="74" t="s">
        <v>1348</v>
      </c>
      <c r="AG1130" s="74" t="s">
        <v>132</v>
      </c>
      <c r="AH1130" s="138" t="s">
        <v>132</v>
      </c>
      <c r="AI1130" s="74" t="s">
        <v>585</v>
      </c>
      <c r="AJ1130" s="140" t="s">
        <v>1632</v>
      </c>
      <c r="AK1130" s="24" t="s">
        <v>779</v>
      </c>
      <c r="AL1130" s="24" t="s">
        <v>779</v>
      </c>
      <c r="AM1130" s="24" t="s">
        <v>178</v>
      </c>
      <c r="AT1130" s="74" t="s">
        <v>120</v>
      </c>
      <c r="AU1130" s="74">
        <v>3</v>
      </c>
      <c r="AW1130" s="74" t="s">
        <v>336</v>
      </c>
      <c r="AY1130" s="74">
        <v>3810</v>
      </c>
      <c r="AZ1130" s="74">
        <v>57</v>
      </c>
      <c r="BM1130" s="412"/>
      <c r="BN1130" s="412"/>
      <c r="BR1130" s="412"/>
      <c r="BS1130" s="412"/>
      <c r="BW1130" s="74">
        <v>5.7232000000000012</v>
      </c>
      <c r="BX1130" s="74">
        <v>4.6256000000000004</v>
      </c>
      <c r="BY1130" s="24"/>
      <c r="BZ1130" s="24"/>
      <c r="CA1130" s="24" t="s">
        <v>466</v>
      </c>
      <c r="CC1130" s="24"/>
      <c r="CD1130" s="24"/>
      <c r="CE1130" s="24"/>
      <c r="EO1130" s="24"/>
      <c r="ES1130" s="24"/>
      <c r="IO1130" s="24" t="s">
        <v>780</v>
      </c>
    </row>
    <row r="1131" spans="1:249" s="74" customFormat="1" x14ac:dyDescent="0.25">
      <c r="A1131" s="74">
        <v>53</v>
      </c>
      <c r="B1131" s="74" t="s">
        <v>769</v>
      </c>
      <c r="C1131" s="74" t="s">
        <v>770</v>
      </c>
      <c r="D1131" s="74">
        <v>2006</v>
      </c>
      <c r="E1131" s="74">
        <v>2001</v>
      </c>
      <c r="F1131" s="74" t="s">
        <v>771</v>
      </c>
      <c r="G1131" s="74" t="s">
        <v>772</v>
      </c>
      <c r="H1131" s="32" t="s">
        <v>2831</v>
      </c>
      <c r="I1131" s="74">
        <v>33.950000000000003</v>
      </c>
      <c r="J1131" s="74">
        <v>-83.38</v>
      </c>
      <c r="K1131" s="74">
        <v>208.4</v>
      </c>
      <c r="N1131" s="24">
        <v>748</v>
      </c>
      <c r="O1131" s="24">
        <f t="shared" si="230"/>
        <v>1233</v>
      </c>
      <c r="Q1131" s="75">
        <v>2</v>
      </c>
      <c r="R1131" s="75" t="s">
        <v>1735</v>
      </c>
      <c r="S1131" s="75"/>
      <c r="T1131" s="75" t="s">
        <v>782</v>
      </c>
      <c r="U1131" s="75" t="s">
        <v>1392</v>
      </c>
      <c r="V1131" s="42" t="s">
        <v>1727</v>
      </c>
      <c r="W1131" s="42" t="s">
        <v>1392</v>
      </c>
      <c r="X1131" s="75" t="s">
        <v>1393</v>
      </c>
      <c r="Z1131" s="337">
        <f t="shared" si="235"/>
        <v>65</v>
      </c>
      <c r="AA1131" s="337">
        <f>25</f>
        <v>25</v>
      </c>
      <c r="AB1131" s="74" t="s">
        <v>241</v>
      </c>
      <c r="AC1131" s="74">
        <v>6.6</v>
      </c>
      <c r="AD1131" s="74">
        <v>0.88</v>
      </c>
      <c r="AF1131" s="74" t="s">
        <v>1348</v>
      </c>
      <c r="AG1131" s="74" t="s">
        <v>244</v>
      </c>
      <c r="AH1131" s="138" t="s">
        <v>578</v>
      </c>
      <c r="AI1131" s="74" t="s">
        <v>585</v>
      </c>
      <c r="AJ1131" s="140" t="s">
        <v>1632</v>
      </c>
      <c r="AK1131" s="24" t="s">
        <v>779</v>
      </c>
      <c r="AL1131" s="24" t="s">
        <v>779</v>
      </c>
      <c r="AM1131" s="24" t="s">
        <v>178</v>
      </c>
      <c r="AT1131" s="74" t="s">
        <v>120</v>
      </c>
      <c r="AU1131" s="74">
        <v>3</v>
      </c>
      <c r="AW1131" s="74" t="s">
        <v>336</v>
      </c>
      <c r="AY1131" s="74">
        <v>2440</v>
      </c>
      <c r="AZ1131" s="74">
        <v>12</v>
      </c>
      <c r="BM1131" s="412"/>
      <c r="BN1131" s="412"/>
      <c r="BR1131" s="412"/>
      <c r="BS1131" s="412"/>
      <c r="BW1131" s="74">
        <v>5.7232000000000012</v>
      </c>
      <c r="BX1131" s="74">
        <v>5.7204000000000006</v>
      </c>
      <c r="BY1131" s="24"/>
      <c r="BZ1131" s="24"/>
      <c r="CA1131" s="24" t="s">
        <v>466</v>
      </c>
      <c r="CC1131" s="24"/>
      <c r="CD1131" s="24"/>
      <c r="CE1131" s="24"/>
      <c r="EO1131" s="24"/>
      <c r="ES1131" s="24"/>
      <c r="IO1131" s="24" t="s">
        <v>780</v>
      </c>
    </row>
    <row r="1132" spans="1:249" s="74" customFormat="1" x14ac:dyDescent="0.25">
      <c r="A1132" s="74">
        <v>53</v>
      </c>
      <c r="B1132" s="74" t="s">
        <v>769</v>
      </c>
      <c r="C1132" s="74" t="s">
        <v>770</v>
      </c>
      <c r="D1132" s="74">
        <v>2006</v>
      </c>
      <c r="E1132" s="74">
        <v>2001</v>
      </c>
      <c r="F1132" s="74" t="s">
        <v>771</v>
      </c>
      <c r="G1132" s="74" t="s">
        <v>772</v>
      </c>
      <c r="H1132" s="32" t="s">
        <v>2831</v>
      </c>
      <c r="I1132" s="74">
        <v>33.950000000000003</v>
      </c>
      <c r="J1132" s="74">
        <v>-83.38</v>
      </c>
      <c r="K1132" s="74">
        <v>208.4</v>
      </c>
      <c r="N1132" s="24">
        <v>748</v>
      </c>
      <c r="O1132" s="24">
        <f t="shared" si="230"/>
        <v>1233</v>
      </c>
      <c r="Q1132" s="75">
        <v>2</v>
      </c>
      <c r="R1132" s="75" t="s">
        <v>1735</v>
      </c>
      <c r="S1132" s="75"/>
      <c r="T1132" s="75" t="s">
        <v>782</v>
      </c>
      <c r="U1132" s="75" t="s">
        <v>1392</v>
      </c>
      <c r="V1132" s="42" t="s">
        <v>1727</v>
      </c>
      <c r="W1132" s="42" t="s">
        <v>1392</v>
      </c>
      <c r="X1132" s="75" t="s">
        <v>1393</v>
      </c>
      <c r="Z1132" s="337">
        <f t="shared" si="235"/>
        <v>65</v>
      </c>
      <c r="AA1132" s="337">
        <f>25</f>
        <v>25</v>
      </c>
      <c r="AB1132" s="74" t="s">
        <v>241</v>
      </c>
      <c r="AC1132" s="74">
        <v>6.6</v>
      </c>
      <c r="AD1132" s="74">
        <v>0.88</v>
      </c>
      <c r="AF1132" s="74" t="s">
        <v>1348</v>
      </c>
      <c r="AG1132" s="74" t="s">
        <v>1522</v>
      </c>
      <c r="AH1132" s="138" t="s">
        <v>1586</v>
      </c>
      <c r="AI1132" s="74" t="s">
        <v>585</v>
      </c>
      <c r="AJ1132" s="140" t="s">
        <v>1632</v>
      </c>
      <c r="AK1132" s="24" t="s">
        <v>779</v>
      </c>
      <c r="AL1132" s="24" t="s">
        <v>779</v>
      </c>
      <c r="AM1132" s="24" t="s">
        <v>178</v>
      </c>
      <c r="AT1132" s="74" t="s">
        <v>120</v>
      </c>
      <c r="AU1132" s="74">
        <v>3</v>
      </c>
      <c r="AW1132" s="74" t="s">
        <v>336</v>
      </c>
      <c r="AY1132" s="74">
        <v>5980</v>
      </c>
      <c r="AZ1132" s="74">
        <v>32</v>
      </c>
      <c r="BM1132" s="412"/>
      <c r="BN1132" s="412"/>
      <c r="BR1132" s="412"/>
      <c r="BS1132" s="412"/>
      <c r="BW1132" s="74">
        <v>5.7232000000000012</v>
      </c>
      <c r="BX1132" s="74">
        <v>5.3116000000000003</v>
      </c>
      <c r="BY1132" s="24"/>
      <c r="BZ1132" s="24"/>
      <c r="CA1132" s="24" t="s">
        <v>466</v>
      </c>
      <c r="CC1132" s="24"/>
      <c r="CD1132" s="24"/>
      <c r="CE1132" s="24"/>
      <c r="EO1132" s="24"/>
      <c r="ES1132" s="24"/>
      <c r="IO1132" s="24" t="s">
        <v>780</v>
      </c>
    </row>
    <row r="1133" spans="1:249" s="24" customFormat="1" x14ac:dyDescent="0.25">
      <c r="A1133" s="24">
        <v>53</v>
      </c>
      <c r="B1133" s="24" t="s">
        <v>769</v>
      </c>
      <c r="C1133" s="24" t="s">
        <v>770</v>
      </c>
      <c r="D1133" s="24">
        <v>2006</v>
      </c>
      <c r="E1133" s="24">
        <v>2002</v>
      </c>
      <c r="F1133" s="24" t="s">
        <v>771</v>
      </c>
      <c r="G1133" s="24" t="s">
        <v>772</v>
      </c>
      <c r="H1133" s="32" t="s">
        <v>2831</v>
      </c>
      <c r="I1133" s="24">
        <v>33.950000000000003</v>
      </c>
      <c r="J1133" s="24">
        <v>-83.38</v>
      </c>
      <c r="K1133" s="24">
        <v>208.4</v>
      </c>
      <c r="N1133" s="24">
        <v>971</v>
      </c>
      <c r="O1133" s="24">
        <f>588+645</f>
        <v>1233</v>
      </c>
      <c r="Q1133" s="42">
        <v>3</v>
      </c>
      <c r="R1133" s="42" t="s">
        <v>1735</v>
      </c>
      <c r="S1133" s="42"/>
      <c r="T1133" s="42" t="s">
        <v>781</v>
      </c>
      <c r="U1133" s="42" t="s">
        <v>1392</v>
      </c>
      <c r="V1133" s="42" t="s">
        <v>1727</v>
      </c>
      <c r="W1133" s="42" t="s">
        <v>1392</v>
      </c>
      <c r="X1133" s="42" t="s">
        <v>1393</v>
      </c>
      <c r="Z1133" s="321">
        <f t="shared" si="235"/>
        <v>65</v>
      </c>
      <c r="AA1133" s="321">
        <f>25</f>
        <v>25</v>
      </c>
      <c r="AB1133" s="24" t="s">
        <v>241</v>
      </c>
      <c r="AC1133" s="24">
        <v>6.6</v>
      </c>
      <c r="AD1133" s="24">
        <v>0.88</v>
      </c>
      <c r="AF1133" s="24" t="s">
        <v>1348</v>
      </c>
      <c r="AG1133" s="24" t="s">
        <v>132</v>
      </c>
      <c r="AH1133" s="138" t="s">
        <v>132</v>
      </c>
      <c r="AI1133" s="24" t="s">
        <v>585</v>
      </c>
      <c r="AJ1133" s="140" t="s">
        <v>1632</v>
      </c>
      <c r="AK1133" s="24" t="s">
        <v>779</v>
      </c>
      <c r="AL1133" s="24" t="s">
        <v>779</v>
      </c>
      <c r="AM1133" s="24" t="s">
        <v>178</v>
      </c>
      <c r="AT1133" s="24" t="s">
        <v>120</v>
      </c>
      <c r="AU1133" s="24">
        <v>3</v>
      </c>
      <c r="AW1133" s="24" t="s">
        <v>336</v>
      </c>
      <c r="AY1133" s="24">
        <v>2280</v>
      </c>
      <c r="AZ1133" s="24">
        <v>40</v>
      </c>
      <c r="BC1133" s="24">
        <v>3667</v>
      </c>
      <c r="BD1133" s="24">
        <v>3567</v>
      </c>
      <c r="BG1133" s="24" t="s">
        <v>1671</v>
      </c>
      <c r="BM1133" s="395"/>
      <c r="BN1133" s="395"/>
      <c r="BR1133" s="395"/>
      <c r="BS1133" s="395"/>
      <c r="BW1133" s="24">
        <v>6.0452000000000004</v>
      </c>
      <c r="BX1133" s="24">
        <v>7.0504000000000007</v>
      </c>
      <c r="CA1133" s="24" t="s">
        <v>466</v>
      </c>
      <c r="IO1133" s="24" t="s">
        <v>780</v>
      </c>
    </row>
    <row r="1134" spans="1:249" s="24" customFormat="1" x14ac:dyDescent="0.25">
      <c r="A1134" s="24">
        <v>53</v>
      </c>
      <c r="B1134" s="24" t="s">
        <v>769</v>
      </c>
      <c r="C1134" s="24" t="s">
        <v>770</v>
      </c>
      <c r="D1134" s="24">
        <v>2006</v>
      </c>
      <c r="E1134" s="24">
        <v>2002</v>
      </c>
      <c r="F1134" s="24" t="s">
        <v>771</v>
      </c>
      <c r="G1134" s="24" t="s">
        <v>772</v>
      </c>
      <c r="H1134" s="32" t="s">
        <v>2831</v>
      </c>
      <c r="I1134" s="24">
        <v>33.950000000000003</v>
      </c>
      <c r="J1134" s="24">
        <v>-83.38</v>
      </c>
      <c r="K1134" s="24">
        <v>208.4</v>
      </c>
      <c r="N1134" s="24">
        <v>971</v>
      </c>
      <c r="O1134" s="24">
        <f t="shared" si="230"/>
        <v>1233</v>
      </c>
      <c r="Q1134" s="42">
        <v>3</v>
      </c>
      <c r="R1134" s="42" t="s">
        <v>1735</v>
      </c>
      <c r="S1134" s="42"/>
      <c r="T1134" s="42" t="s">
        <v>781</v>
      </c>
      <c r="U1134" s="42" t="s">
        <v>1392</v>
      </c>
      <c r="V1134" s="42" t="s">
        <v>1727</v>
      </c>
      <c r="W1134" s="42" t="s">
        <v>1392</v>
      </c>
      <c r="X1134" s="42" t="s">
        <v>1393</v>
      </c>
      <c r="Z1134" s="321">
        <f t="shared" si="235"/>
        <v>65</v>
      </c>
      <c r="AA1134" s="321">
        <f>25</f>
        <v>25</v>
      </c>
      <c r="AB1134" s="24" t="s">
        <v>241</v>
      </c>
      <c r="AC1134" s="24">
        <v>6.6</v>
      </c>
      <c r="AD1134" s="24">
        <v>0.88</v>
      </c>
      <c r="AF1134" s="24" t="s">
        <v>1348</v>
      </c>
      <c r="AG1134" s="24" t="s">
        <v>244</v>
      </c>
      <c r="AH1134" s="138" t="s">
        <v>578</v>
      </c>
      <c r="AI1134" s="24" t="s">
        <v>585</v>
      </c>
      <c r="AJ1134" s="140" t="s">
        <v>1632</v>
      </c>
      <c r="AK1134" s="24" t="s">
        <v>779</v>
      </c>
      <c r="AL1134" s="24" t="s">
        <v>779</v>
      </c>
      <c r="AM1134" s="24" t="s">
        <v>178</v>
      </c>
      <c r="AT1134" s="24" t="s">
        <v>120</v>
      </c>
      <c r="AU1134" s="24">
        <v>3</v>
      </c>
      <c r="AW1134" s="24" t="s">
        <v>336</v>
      </c>
      <c r="AY1134" s="24">
        <v>5160</v>
      </c>
      <c r="AZ1134" s="24">
        <v>10</v>
      </c>
      <c r="BC1134" s="24">
        <v>3667</v>
      </c>
      <c r="BD1134" s="24">
        <v>4067</v>
      </c>
      <c r="BG1134" s="24" t="s">
        <v>1671</v>
      </c>
      <c r="BM1134" s="395"/>
      <c r="BN1134" s="395"/>
      <c r="BR1134" s="395"/>
      <c r="BS1134" s="395"/>
      <c r="BW1134" s="24">
        <v>6.0452000000000004</v>
      </c>
      <c r="BX1134" s="24">
        <v>9.2904</v>
      </c>
      <c r="CA1134" s="24" t="s">
        <v>466</v>
      </c>
      <c r="IO1134" s="24" t="s">
        <v>780</v>
      </c>
    </row>
    <row r="1135" spans="1:249" s="24" customFormat="1" x14ac:dyDescent="0.25">
      <c r="A1135" s="24">
        <v>53</v>
      </c>
      <c r="B1135" s="24" t="s">
        <v>769</v>
      </c>
      <c r="C1135" s="24" t="s">
        <v>770</v>
      </c>
      <c r="D1135" s="24">
        <v>2006</v>
      </c>
      <c r="E1135" s="24">
        <v>2002</v>
      </c>
      <c r="F1135" s="24" t="s">
        <v>771</v>
      </c>
      <c r="G1135" s="24" t="s">
        <v>772</v>
      </c>
      <c r="H1135" s="32" t="s">
        <v>2831</v>
      </c>
      <c r="I1135" s="24">
        <v>33.950000000000003</v>
      </c>
      <c r="J1135" s="24">
        <v>-83.38</v>
      </c>
      <c r="K1135" s="24">
        <v>208.4</v>
      </c>
      <c r="N1135" s="24">
        <v>971</v>
      </c>
      <c r="O1135" s="24">
        <f t="shared" si="230"/>
        <v>1233</v>
      </c>
      <c r="Q1135" s="42">
        <v>3</v>
      </c>
      <c r="R1135" s="42" t="s">
        <v>1735</v>
      </c>
      <c r="S1135" s="42"/>
      <c r="T1135" s="42" t="s">
        <v>781</v>
      </c>
      <c r="U1135" s="42" t="s">
        <v>1392</v>
      </c>
      <c r="V1135" s="42" t="s">
        <v>1727</v>
      </c>
      <c r="W1135" s="42" t="s">
        <v>1392</v>
      </c>
      <c r="X1135" s="42" t="s">
        <v>1393</v>
      </c>
      <c r="Z1135" s="321">
        <f t="shared" si="235"/>
        <v>65</v>
      </c>
      <c r="AA1135" s="321">
        <f>25</f>
        <v>25</v>
      </c>
      <c r="AB1135" s="24" t="s">
        <v>241</v>
      </c>
      <c r="AC1135" s="24">
        <v>6.6</v>
      </c>
      <c r="AD1135" s="24">
        <v>0.88</v>
      </c>
      <c r="AF1135" s="24" t="s">
        <v>1348</v>
      </c>
      <c r="AG1135" s="24" t="s">
        <v>1522</v>
      </c>
      <c r="AH1135" s="138" t="s">
        <v>1586</v>
      </c>
      <c r="AI1135" s="24" t="s">
        <v>585</v>
      </c>
      <c r="AJ1135" s="140" t="s">
        <v>1632</v>
      </c>
      <c r="AK1135" s="24" t="s">
        <v>779</v>
      </c>
      <c r="AL1135" s="24" t="s">
        <v>779</v>
      </c>
      <c r="AM1135" s="24" t="s">
        <v>178</v>
      </c>
      <c r="AT1135" s="24" t="s">
        <v>120</v>
      </c>
      <c r="AU1135" s="24">
        <v>3</v>
      </c>
      <c r="AW1135" s="24" t="s">
        <v>336</v>
      </c>
      <c r="AY1135" s="24">
        <v>5720</v>
      </c>
      <c r="AZ1135" s="24">
        <v>11</v>
      </c>
      <c r="BC1135" s="24">
        <v>3667</v>
      </c>
      <c r="BD1135" s="24">
        <v>4233</v>
      </c>
      <c r="BG1135" s="24" t="s">
        <v>1671</v>
      </c>
      <c r="BM1135" s="395"/>
      <c r="BN1135" s="395"/>
      <c r="BR1135" s="395"/>
      <c r="BS1135" s="395"/>
      <c r="BW1135" s="24">
        <v>6.0452000000000004</v>
      </c>
      <c r="BX1135" s="24">
        <v>9.2904</v>
      </c>
      <c r="CA1135" s="24" t="s">
        <v>466</v>
      </c>
      <c r="IO1135" s="24" t="s">
        <v>780</v>
      </c>
    </row>
    <row r="1136" spans="1:249" s="74" customFormat="1" x14ac:dyDescent="0.25">
      <c r="A1136" s="74">
        <v>53</v>
      </c>
      <c r="B1136" s="74" t="s">
        <v>769</v>
      </c>
      <c r="C1136" s="74" t="s">
        <v>770</v>
      </c>
      <c r="D1136" s="74">
        <v>2006</v>
      </c>
      <c r="E1136" s="74">
        <v>2002</v>
      </c>
      <c r="F1136" s="74" t="s">
        <v>771</v>
      </c>
      <c r="G1136" s="74" t="s">
        <v>772</v>
      </c>
      <c r="H1136" s="32" t="s">
        <v>2831</v>
      </c>
      <c r="I1136" s="74">
        <v>33.950000000000003</v>
      </c>
      <c r="J1136" s="74">
        <v>-83.38</v>
      </c>
      <c r="K1136" s="74">
        <v>208.4</v>
      </c>
      <c r="N1136" s="24">
        <v>971</v>
      </c>
      <c r="O1136" s="24">
        <f t="shared" si="230"/>
        <v>1233</v>
      </c>
      <c r="Q1136" s="75">
        <v>3</v>
      </c>
      <c r="R1136" s="75" t="s">
        <v>1735</v>
      </c>
      <c r="S1136" s="75"/>
      <c r="T1136" s="75" t="s">
        <v>782</v>
      </c>
      <c r="U1136" s="75" t="s">
        <v>1392</v>
      </c>
      <c r="V1136" s="42" t="s">
        <v>1727</v>
      </c>
      <c r="W1136" s="42" t="s">
        <v>1392</v>
      </c>
      <c r="X1136" s="75" t="s">
        <v>1393</v>
      </c>
      <c r="Z1136" s="337">
        <f t="shared" si="235"/>
        <v>65</v>
      </c>
      <c r="AA1136" s="337">
        <f>25</f>
        <v>25</v>
      </c>
      <c r="AB1136" s="74" t="s">
        <v>241</v>
      </c>
      <c r="AC1136" s="74">
        <v>6.6</v>
      </c>
      <c r="AD1136" s="74">
        <v>0.88</v>
      </c>
      <c r="AF1136" s="74" t="s">
        <v>1348</v>
      </c>
      <c r="AG1136" s="74" t="s">
        <v>132</v>
      </c>
      <c r="AH1136" s="138" t="s">
        <v>132</v>
      </c>
      <c r="AI1136" s="74" t="s">
        <v>585</v>
      </c>
      <c r="AJ1136" s="140" t="s">
        <v>1632</v>
      </c>
      <c r="AK1136" s="24" t="s">
        <v>779</v>
      </c>
      <c r="AL1136" s="24" t="s">
        <v>779</v>
      </c>
      <c r="AM1136" s="24" t="s">
        <v>178</v>
      </c>
      <c r="AT1136" s="74" t="s">
        <v>120</v>
      </c>
      <c r="AU1136" s="74">
        <v>3</v>
      </c>
      <c r="AW1136" s="74" t="s">
        <v>336</v>
      </c>
      <c r="AY1136" s="74">
        <v>2280</v>
      </c>
      <c r="AZ1136" s="74">
        <v>40</v>
      </c>
      <c r="BM1136" s="412"/>
      <c r="BN1136" s="412"/>
      <c r="BR1136" s="412"/>
      <c r="BS1136" s="412"/>
      <c r="BW1136" s="74">
        <v>5.9136000000000006</v>
      </c>
      <c r="BX1136" s="74">
        <v>6.6892000000000005</v>
      </c>
      <c r="BY1136" s="24"/>
      <c r="BZ1136" s="24"/>
      <c r="CA1136" s="24" t="s">
        <v>466</v>
      </c>
      <c r="CC1136" s="24"/>
      <c r="CD1136" s="24"/>
      <c r="CE1136" s="24"/>
      <c r="EO1136" s="24"/>
      <c r="ES1136" s="24"/>
      <c r="IO1136" s="24" t="s">
        <v>780</v>
      </c>
    </row>
    <row r="1137" spans="1:249" s="74" customFormat="1" x14ac:dyDescent="0.25">
      <c r="A1137" s="74">
        <v>53</v>
      </c>
      <c r="B1137" s="74" t="s">
        <v>769</v>
      </c>
      <c r="C1137" s="74" t="s">
        <v>770</v>
      </c>
      <c r="D1137" s="74">
        <v>2006</v>
      </c>
      <c r="E1137" s="74">
        <v>2002</v>
      </c>
      <c r="F1137" s="74" t="s">
        <v>771</v>
      </c>
      <c r="G1137" s="74" t="s">
        <v>772</v>
      </c>
      <c r="H1137" s="32" t="s">
        <v>2831</v>
      </c>
      <c r="I1137" s="74">
        <v>33.950000000000003</v>
      </c>
      <c r="J1137" s="74">
        <v>-83.38</v>
      </c>
      <c r="K1137" s="74">
        <v>208.4</v>
      </c>
      <c r="N1137" s="24">
        <v>971</v>
      </c>
      <c r="O1137" s="24">
        <f t="shared" si="230"/>
        <v>1233</v>
      </c>
      <c r="Q1137" s="75">
        <v>3</v>
      </c>
      <c r="R1137" s="75" t="s">
        <v>1735</v>
      </c>
      <c r="S1137" s="75"/>
      <c r="T1137" s="75" t="s">
        <v>782</v>
      </c>
      <c r="U1137" s="75" t="s">
        <v>1392</v>
      </c>
      <c r="V1137" s="42" t="s">
        <v>1727</v>
      </c>
      <c r="W1137" s="42" t="s">
        <v>1392</v>
      </c>
      <c r="X1137" s="75" t="s">
        <v>1393</v>
      </c>
      <c r="Z1137" s="337">
        <f t="shared" si="235"/>
        <v>65</v>
      </c>
      <c r="AA1137" s="337">
        <f>25</f>
        <v>25</v>
      </c>
      <c r="AB1137" s="74" t="s">
        <v>241</v>
      </c>
      <c r="AC1137" s="74">
        <v>6.6</v>
      </c>
      <c r="AD1137" s="74">
        <v>0.88</v>
      </c>
      <c r="AF1137" s="74" t="s">
        <v>1348</v>
      </c>
      <c r="AG1137" s="74" t="s">
        <v>244</v>
      </c>
      <c r="AH1137" s="138" t="s">
        <v>578</v>
      </c>
      <c r="AI1137" s="74" t="s">
        <v>585</v>
      </c>
      <c r="AJ1137" s="140" t="s">
        <v>1632</v>
      </c>
      <c r="AK1137" s="24" t="s">
        <v>779</v>
      </c>
      <c r="AL1137" s="24" t="s">
        <v>779</v>
      </c>
      <c r="AM1137" s="24" t="s">
        <v>178</v>
      </c>
      <c r="AT1137" s="74" t="s">
        <v>120</v>
      </c>
      <c r="AU1137" s="74">
        <v>3</v>
      </c>
      <c r="AW1137" s="74" t="s">
        <v>336</v>
      </c>
      <c r="AY1137" s="74">
        <v>5160</v>
      </c>
      <c r="AZ1137" s="74">
        <v>10</v>
      </c>
      <c r="BM1137" s="412"/>
      <c r="BN1137" s="412"/>
      <c r="BR1137" s="412"/>
      <c r="BS1137" s="412"/>
      <c r="BW1137" s="74">
        <v>5.9136000000000006</v>
      </c>
      <c r="BX1137" s="74">
        <v>7.1456000000000008</v>
      </c>
      <c r="BY1137" s="24"/>
      <c r="BZ1137" s="24"/>
      <c r="CA1137" s="24" t="s">
        <v>466</v>
      </c>
      <c r="CC1137" s="24"/>
      <c r="CD1137" s="24"/>
      <c r="CE1137" s="24"/>
      <c r="EO1137" s="24"/>
      <c r="ES1137" s="24"/>
      <c r="IO1137" s="24" t="s">
        <v>780</v>
      </c>
    </row>
    <row r="1138" spans="1:249" s="74" customFormat="1" x14ac:dyDescent="0.25">
      <c r="A1138" s="74">
        <v>53</v>
      </c>
      <c r="B1138" s="74" t="s">
        <v>769</v>
      </c>
      <c r="C1138" s="74" t="s">
        <v>770</v>
      </c>
      <c r="D1138" s="74">
        <v>2006</v>
      </c>
      <c r="E1138" s="74">
        <v>2002</v>
      </c>
      <c r="F1138" s="74" t="s">
        <v>771</v>
      </c>
      <c r="G1138" s="74" t="s">
        <v>772</v>
      </c>
      <c r="H1138" s="32" t="s">
        <v>2831</v>
      </c>
      <c r="I1138" s="74">
        <v>33.950000000000003</v>
      </c>
      <c r="J1138" s="74">
        <v>-83.38</v>
      </c>
      <c r="K1138" s="74">
        <v>208.4</v>
      </c>
      <c r="N1138" s="24">
        <v>971</v>
      </c>
      <c r="O1138" s="24">
        <f t="shared" si="230"/>
        <v>1233</v>
      </c>
      <c r="Q1138" s="75">
        <v>3</v>
      </c>
      <c r="R1138" s="75" t="s">
        <v>1735</v>
      </c>
      <c r="S1138" s="75"/>
      <c r="T1138" s="75" t="s">
        <v>782</v>
      </c>
      <c r="U1138" s="75" t="s">
        <v>1392</v>
      </c>
      <c r="V1138" s="42" t="s">
        <v>1727</v>
      </c>
      <c r="W1138" s="42" t="s">
        <v>1392</v>
      </c>
      <c r="X1138" s="75" t="s">
        <v>1393</v>
      </c>
      <c r="Z1138" s="337">
        <f t="shared" si="235"/>
        <v>65</v>
      </c>
      <c r="AA1138" s="337">
        <f>25</f>
        <v>25</v>
      </c>
      <c r="AB1138" s="74" t="s">
        <v>241</v>
      </c>
      <c r="AC1138" s="74">
        <v>6.6</v>
      </c>
      <c r="AD1138" s="74">
        <v>0.88</v>
      </c>
      <c r="AF1138" s="74" t="s">
        <v>1348</v>
      </c>
      <c r="AG1138" s="74" t="s">
        <v>1522</v>
      </c>
      <c r="AH1138" s="138" t="s">
        <v>1586</v>
      </c>
      <c r="AI1138" s="74" t="s">
        <v>585</v>
      </c>
      <c r="AJ1138" s="140" t="s">
        <v>1632</v>
      </c>
      <c r="AK1138" s="24" t="s">
        <v>779</v>
      </c>
      <c r="AL1138" s="24" t="s">
        <v>779</v>
      </c>
      <c r="AM1138" s="24" t="s">
        <v>178</v>
      </c>
      <c r="AT1138" s="74" t="s">
        <v>120</v>
      </c>
      <c r="AU1138" s="74">
        <v>3</v>
      </c>
      <c r="AW1138" s="74" t="s">
        <v>336</v>
      </c>
      <c r="AY1138" s="74">
        <v>5720</v>
      </c>
      <c r="AZ1138" s="74">
        <v>11</v>
      </c>
      <c r="BM1138" s="412"/>
      <c r="BN1138" s="412"/>
      <c r="BR1138" s="412"/>
      <c r="BS1138" s="412"/>
      <c r="BW1138" s="74">
        <v>5.9136000000000006</v>
      </c>
      <c r="BX1138" s="74">
        <v>6.370000000000001</v>
      </c>
      <c r="BY1138" s="24"/>
      <c r="BZ1138" s="24"/>
      <c r="CA1138" s="24" t="s">
        <v>466</v>
      </c>
      <c r="CC1138" s="24"/>
      <c r="CD1138" s="24"/>
      <c r="CE1138" s="24"/>
      <c r="EO1138" s="24"/>
      <c r="ES1138" s="24"/>
      <c r="IO1138" s="24" t="s">
        <v>780</v>
      </c>
    </row>
    <row r="1139" spans="1:249" s="32" customFormat="1" x14ac:dyDescent="0.25">
      <c r="A1139" s="32">
        <v>53</v>
      </c>
      <c r="B1139" s="32" t="s">
        <v>769</v>
      </c>
      <c r="C1139" s="32" t="s">
        <v>770</v>
      </c>
      <c r="D1139" s="32">
        <v>2006</v>
      </c>
      <c r="E1139" s="32">
        <v>2000</v>
      </c>
      <c r="F1139" s="32" t="s">
        <v>771</v>
      </c>
      <c r="G1139" s="32" t="s">
        <v>772</v>
      </c>
      <c r="H1139" s="32" t="s">
        <v>2831</v>
      </c>
      <c r="I1139" s="32">
        <v>33.950000000000003</v>
      </c>
      <c r="J1139" s="32">
        <v>-83.38</v>
      </c>
      <c r="K1139" s="32">
        <v>208.4</v>
      </c>
      <c r="N1139" s="32">
        <f>278+505</f>
        <v>783</v>
      </c>
      <c r="O1139" s="32">
        <f>588+645</f>
        <v>1233</v>
      </c>
      <c r="Q1139" s="44">
        <v>1</v>
      </c>
      <c r="R1139" s="44" t="s">
        <v>1735</v>
      </c>
      <c r="S1139" s="44"/>
      <c r="T1139" s="44" t="s">
        <v>781</v>
      </c>
      <c r="U1139" s="44" t="s">
        <v>1412</v>
      </c>
      <c r="V1139" s="44" t="s">
        <v>1727</v>
      </c>
      <c r="W1139" s="44" t="s">
        <v>1392</v>
      </c>
      <c r="X1139" s="44" t="s">
        <v>1393</v>
      </c>
      <c r="Z1139" s="323">
        <f t="shared" si="235"/>
        <v>65</v>
      </c>
      <c r="AA1139" s="323">
        <f>25</f>
        <v>25</v>
      </c>
      <c r="AB1139" s="32" t="s">
        <v>241</v>
      </c>
      <c r="AC1139" s="32">
        <v>6.6</v>
      </c>
      <c r="AD1139" s="32">
        <v>0.88</v>
      </c>
      <c r="AF1139" s="32" t="s">
        <v>1348</v>
      </c>
      <c r="AG1139" s="32" t="s">
        <v>132</v>
      </c>
      <c r="AH1139" s="138" t="s">
        <v>132</v>
      </c>
      <c r="AI1139" s="32" t="s">
        <v>585</v>
      </c>
      <c r="AJ1139" s="140" t="s">
        <v>1632</v>
      </c>
      <c r="AK1139" s="32" t="s">
        <v>779</v>
      </c>
      <c r="AL1139" s="32" t="s">
        <v>779</v>
      </c>
      <c r="AM1139" s="32" t="s">
        <v>178</v>
      </c>
      <c r="AT1139" s="32" t="s">
        <v>120</v>
      </c>
      <c r="AU1139" s="32">
        <v>3</v>
      </c>
      <c r="AW1139" s="32" t="s">
        <v>336</v>
      </c>
      <c r="AY1139" s="32">
        <f>6.07*1000</f>
        <v>6070</v>
      </c>
      <c r="AZ1139" s="32">
        <v>29</v>
      </c>
      <c r="BM1139" s="397"/>
      <c r="BN1139" s="397"/>
      <c r="BR1139" s="397"/>
      <c r="BS1139" s="397"/>
      <c r="BW1139" s="32">
        <v>8.0332000000000008</v>
      </c>
      <c r="BX1139" s="32">
        <v>6.983200000000001</v>
      </c>
      <c r="CA1139" s="32" t="s">
        <v>466</v>
      </c>
      <c r="CC1139" s="24"/>
      <c r="CD1139" s="24"/>
      <c r="CE1139" s="24"/>
      <c r="IO1139" s="32" t="s">
        <v>780</v>
      </c>
    </row>
    <row r="1140" spans="1:249" s="32" customFormat="1" x14ac:dyDescent="0.25">
      <c r="A1140" s="32">
        <v>53</v>
      </c>
      <c r="B1140" s="32" t="s">
        <v>769</v>
      </c>
      <c r="C1140" s="32" t="s">
        <v>770</v>
      </c>
      <c r="D1140" s="32">
        <v>2006</v>
      </c>
      <c r="E1140" s="32">
        <v>2000</v>
      </c>
      <c r="F1140" s="32" t="s">
        <v>771</v>
      </c>
      <c r="G1140" s="32" t="s">
        <v>772</v>
      </c>
      <c r="H1140" s="32" t="s">
        <v>2831</v>
      </c>
      <c r="I1140" s="32">
        <v>33.950000000000003</v>
      </c>
      <c r="J1140" s="32">
        <v>-83.38</v>
      </c>
      <c r="K1140" s="32">
        <v>208.4</v>
      </c>
      <c r="N1140" s="32">
        <f t="shared" si="236"/>
        <v>783</v>
      </c>
      <c r="O1140" s="32">
        <f t="shared" si="230"/>
        <v>1233</v>
      </c>
      <c r="Q1140" s="44">
        <v>1</v>
      </c>
      <c r="R1140" s="44" t="s">
        <v>1735</v>
      </c>
      <c r="S1140" s="44"/>
      <c r="T1140" s="44" t="s">
        <v>781</v>
      </c>
      <c r="U1140" s="44" t="s">
        <v>1412</v>
      </c>
      <c r="V1140" s="44" t="s">
        <v>1727</v>
      </c>
      <c r="W1140" s="44" t="s">
        <v>1392</v>
      </c>
      <c r="X1140" s="44" t="s">
        <v>1393</v>
      </c>
      <c r="Z1140" s="323">
        <f t="shared" si="235"/>
        <v>65</v>
      </c>
      <c r="AA1140" s="323">
        <f>25</f>
        <v>25</v>
      </c>
      <c r="AB1140" s="32" t="s">
        <v>241</v>
      </c>
      <c r="AC1140" s="32">
        <v>6.6</v>
      </c>
      <c r="AD1140" s="32">
        <v>0.88</v>
      </c>
      <c r="AF1140" s="32" t="s">
        <v>1348</v>
      </c>
      <c r="AG1140" s="32" t="s">
        <v>244</v>
      </c>
      <c r="AH1140" s="138" t="s">
        <v>578</v>
      </c>
      <c r="AI1140" s="32" t="s">
        <v>585</v>
      </c>
      <c r="AJ1140" s="140" t="s">
        <v>1632</v>
      </c>
      <c r="AK1140" s="32" t="s">
        <v>779</v>
      </c>
      <c r="AL1140" s="32" t="s">
        <v>779</v>
      </c>
      <c r="AM1140" s="32" t="s">
        <v>178</v>
      </c>
      <c r="AT1140" s="32" t="s">
        <v>120</v>
      </c>
      <c r="AU1140" s="32">
        <v>3</v>
      </c>
      <c r="AW1140" s="32" t="s">
        <v>336</v>
      </c>
      <c r="AY1140" s="32">
        <v>5100</v>
      </c>
      <c r="AZ1140" s="32">
        <v>12</v>
      </c>
      <c r="BM1140" s="397"/>
      <c r="BN1140" s="397"/>
      <c r="BR1140" s="397"/>
      <c r="BS1140" s="397"/>
      <c r="BW1140" s="32">
        <v>8.0332000000000008</v>
      </c>
      <c r="BX1140" s="32">
        <v>10.5448</v>
      </c>
      <c r="CA1140" s="32" t="s">
        <v>466</v>
      </c>
      <c r="CC1140" s="24"/>
      <c r="CD1140" s="24"/>
      <c r="CE1140" s="24"/>
      <c r="IO1140" s="32" t="s">
        <v>780</v>
      </c>
    </row>
    <row r="1141" spans="1:249" s="32" customFormat="1" x14ac:dyDescent="0.25">
      <c r="A1141" s="32">
        <v>53</v>
      </c>
      <c r="B1141" s="32" t="s">
        <v>769</v>
      </c>
      <c r="C1141" s="32" t="s">
        <v>770</v>
      </c>
      <c r="D1141" s="32">
        <v>2006</v>
      </c>
      <c r="E1141" s="32">
        <v>2000</v>
      </c>
      <c r="F1141" s="32" t="s">
        <v>771</v>
      </c>
      <c r="G1141" s="32" t="s">
        <v>772</v>
      </c>
      <c r="H1141" s="32" t="s">
        <v>2831</v>
      </c>
      <c r="I1141" s="32">
        <v>33.950000000000003</v>
      </c>
      <c r="J1141" s="32">
        <v>-83.38</v>
      </c>
      <c r="K1141" s="32">
        <v>208.4</v>
      </c>
      <c r="N1141" s="32">
        <f t="shared" si="236"/>
        <v>783</v>
      </c>
      <c r="O1141" s="32">
        <f t="shared" si="230"/>
        <v>1233</v>
      </c>
      <c r="Q1141" s="44">
        <v>1</v>
      </c>
      <c r="R1141" s="44" t="s">
        <v>1735</v>
      </c>
      <c r="S1141" s="44"/>
      <c r="T1141" s="44" t="s">
        <v>781</v>
      </c>
      <c r="U1141" s="44" t="s">
        <v>1412</v>
      </c>
      <c r="V1141" s="44" t="s">
        <v>1727</v>
      </c>
      <c r="W1141" s="44" t="s">
        <v>1392</v>
      </c>
      <c r="X1141" s="44" t="s">
        <v>1393</v>
      </c>
      <c r="Z1141" s="323">
        <f t="shared" si="235"/>
        <v>65</v>
      </c>
      <c r="AA1141" s="323">
        <f>25</f>
        <v>25</v>
      </c>
      <c r="AB1141" s="32" t="s">
        <v>241</v>
      </c>
      <c r="AC1141" s="32">
        <v>6.6</v>
      </c>
      <c r="AD1141" s="32">
        <v>0.88</v>
      </c>
      <c r="AF1141" s="32" t="s">
        <v>1348</v>
      </c>
      <c r="AG1141" s="32" t="s">
        <v>1522</v>
      </c>
      <c r="AH1141" s="138" t="s">
        <v>1586</v>
      </c>
      <c r="AI1141" s="32" t="s">
        <v>585</v>
      </c>
      <c r="AJ1141" s="140" t="s">
        <v>1632</v>
      </c>
      <c r="AK1141" s="32" t="s">
        <v>779</v>
      </c>
      <c r="AL1141" s="32" t="s">
        <v>779</v>
      </c>
      <c r="AM1141" s="32" t="s">
        <v>178</v>
      </c>
      <c r="AT1141" s="32" t="s">
        <v>120</v>
      </c>
      <c r="AU1141" s="32">
        <v>3</v>
      </c>
      <c r="AW1141" s="32" t="s">
        <v>336</v>
      </c>
      <c r="AY1141" s="32">
        <v>8180</v>
      </c>
      <c r="AZ1141" s="32">
        <v>10</v>
      </c>
      <c r="BM1141" s="397"/>
      <c r="BN1141" s="397"/>
      <c r="BR1141" s="397"/>
      <c r="BS1141" s="397"/>
      <c r="BW1141" s="32">
        <v>8.0332000000000008</v>
      </c>
      <c r="BX1141" s="32">
        <v>8.9012000000000011</v>
      </c>
      <c r="CA1141" s="32" t="s">
        <v>466</v>
      </c>
      <c r="CC1141" s="24"/>
      <c r="CD1141" s="24"/>
      <c r="CE1141" s="24"/>
      <c r="IO1141" s="32" t="s">
        <v>780</v>
      </c>
    </row>
    <row r="1142" spans="1:249" s="76" customFormat="1" x14ac:dyDescent="0.25">
      <c r="A1142" s="76">
        <v>53</v>
      </c>
      <c r="B1142" s="76" t="s">
        <v>769</v>
      </c>
      <c r="C1142" s="76" t="s">
        <v>770</v>
      </c>
      <c r="D1142" s="76">
        <v>2006</v>
      </c>
      <c r="E1142" s="76">
        <v>2000</v>
      </c>
      <c r="F1142" s="76" t="s">
        <v>771</v>
      </c>
      <c r="G1142" s="76" t="s">
        <v>772</v>
      </c>
      <c r="H1142" s="32" t="s">
        <v>2831</v>
      </c>
      <c r="I1142" s="76">
        <v>33.950000000000003</v>
      </c>
      <c r="J1142" s="76">
        <v>-83.38</v>
      </c>
      <c r="K1142" s="76">
        <v>208.4</v>
      </c>
      <c r="N1142" s="32">
        <f t="shared" si="236"/>
        <v>783</v>
      </c>
      <c r="O1142" s="32">
        <f t="shared" si="230"/>
        <v>1233</v>
      </c>
      <c r="Q1142" s="77">
        <v>1</v>
      </c>
      <c r="R1142" s="77" t="s">
        <v>1735</v>
      </c>
      <c r="S1142" s="77"/>
      <c r="T1142" s="77" t="s">
        <v>782</v>
      </c>
      <c r="U1142" s="77" t="s">
        <v>1412</v>
      </c>
      <c r="V1142" s="77" t="s">
        <v>1727</v>
      </c>
      <c r="W1142" s="77" t="s">
        <v>1392</v>
      </c>
      <c r="X1142" s="77" t="s">
        <v>1393</v>
      </c>
      <c r="Z1142" s="339">
        <f t="shared" si="235"/>
        <v>65</v>
      </c>
      <c r="AA1142" s="339">
        <f>25</f>
        <v>25</v>
      </c>
      <c r="AB1142" s="76" t="s">
        <v>241</v>
      </c>
      <c r="AC1142" s="76">
        <v>6.6</v>
      </c>
      <c r="AD1142" s="76">
        <v>0.88</v>
      </c>
      <c r="AF1142" s="76" t="s">
        <v>1348</v>
      </c>
      <c r="AG1142" s="76" t="s">
        <v>132</v>
      </c>
      <c r="AH1142" s="138" t="s">
        <v>132</v>
      </c>
      <c r="AI1142" s="76" t="s">
        <v>585</v>
      </c>
      <c r="AJ1142" s="140" t="s">
        <v>1632</v>
      </c>
      <c r="AK1142" s="32" t="s">
        <v>779</v>
      </c>
      <c r="AL1142" s="32" t="s">
        <v>779</v>
      </c>
      <c r="AM1142" s="32" t="s">
        <v>178</v>
      </c>
      <c r="AT1142" s="76" t="s">
        <v>120</v>
      </c>
      <c r="AU1142" s="76">
        <v>3</v>
      </c>
      <c r="AW1142" s="76" t="s">
        <v>336</v>
      </c>
      <c r="AY1142" s="76">
        <v>6070</v>
      </c>
      <c r="AZ1142" s="76">
        <v>29</v>
      </c>
      <c r="BM1142" s="414"/>
      <c r="BN1142" s="414"/>
      <c r="BR1142" s="414"/>
      <c r="BS1142" s="414"/>
      <c r="BW1142" s="76">
        <v>11.583600000000001</v>
      </c>
      <c r="BX1142" s="76">
        <v>11.356800000000002</v>
      </c>
      <c r="BY1142" s="32"/>
      <c r="BZ1142" s="32"/>
      <c r="CA1142" s="32" t="s">
        <v>466</v>
      </c>
      <c r="CC1142" s="24"/>
      <c r="CD1142" s="24"/>
      <c r="CE1142" s="24"/>
      <c r="EO1142" s="32"/>
      <c r="ES1142" s="32"/>
      <c r="IO1142" s="32" t="s">
        <v>780</v>
      </c>
    </row>
    <row r="1143" spans="1:249" s="76" customFormat="1" x14ac:dyDescent="0.25">
      <c r="A1143" s="76">
        <v>53</v>
      </c>
      <c r="B1143" s="76" t="s">
        <v>769</v>
      </c>
      <c r="C1143" s="76" t="s">
        <v>770</v>
      </c>
      <c r="D1143" s="76">
        <v>2006</v>
      </c>
      <c r="E1143" s="76">
        <v>2000</v>
      </c>
      <c r="F1143" s="76" t="s">
        <v>771</v>
      </c>
      <c r="G1143" s="76" t="s">
        <v>772</v>
      </c>
      <c r="H1143" s="32" t="s">
        <v>2831</v>
      </c>
      <c r="I1143" s="76">
        <v>33.950000000000003</v>
      </c>
      <c r="J1143" s="76">
        <v>-83.38</v>
      </c>
      <c r="K1143" s="76">
        <v>208.4</v>
      </c>
      <c r="N1143" s="32">
        <f t="shared" si="236"/>
        <v>783</v>
      </c>
      <c r="O1143" s="32">
        <f t="shared" si="230"/>
        <v>1233</v>
      </c>
      <c r="Q1143" s="77">
        <v>1</v>
      </c>
      <c r="R1143" s="77" t="s">
        <v>1735</v>
      </c>
      <c r="S1143" s="77"/>
      <c r="T1143" s="77" t="s">
        <v>782</v>
      </c>
      <c r="U1143" s="77" t="s">
        <v>1412</v>
      </c>
      <c r="V1143" s="77" t="s">
        <v>1727</v>
      </c>
      <c r="W1143" s="77" t="s">
        <v>1392</v>
      </c>
      <c r="X1143" s="77" t="s">
        <v>1393</v>
      </c>
      <c r="Z1143" s="339">
        <f t="shared" si="235"/>
        <v>65</v>
      </c>
      <c r="AA1143" s="339">
        <f>25</f>
        <v>25</v>
      </c>
      <c r="AB1143" s="76" t="s">
        <v>241</v>
      </c>
      <c r="AC1143" s="76">
        <v>6.6</v>
      </c>
      <c r="AD1143" s="76">
        <v>0.88</v>
      </c>
      <c r="AF1143" s="76" t="s">
        <v>1348</v>
      </c>
      <c r="AG1143" s="76" t="s">
        <v>244</v>
      </c>
      <c r="AH1143" s="138" t="s">
        <v>578</v>
      </c>
      <c r="AI1143" s="76" t="s">
        <v>585</v>
      </c>
      <c r="AJ1143" s="140" t="s">
        <v>1632</v>
      </c>
      <c r="AK1143" s="32" t="s">
        <v>779</v>
      </c>
      <c r="AL1143" s="32" t="s">
        <v>779</v>
      </c>
      <c r="AM1143" s="32" t="s">
        <v>178</v>
      </c>
      <c r="AT1143" s="76" t="s">
        <v>120</v>
      </c>
      <c r="AU1143" s="76">
        <v>3</v>
      </c>
      <c r="AW1143" s="76" t="s">
        <v>336</v>
      </c>
      <c r="AY1143" s="76">
        <v>5100</v>
      </c>
      <c r="AZ1143" s="76">
        <v>12</v>
      </c>
      <c r="BM1143" s="414"/>
      <c r="BN1143" s="414"/>
      <c r="BR1143" s="414"/>
      <c r="BS1143" s="414"/>
      <c r="BW1143" s="76">
        <v>11.583600000000001</v>
      </c>
      <c r="BX1143" s="76">
        <v>12.544</v>
      </c>
      <c r="BY1143" s="32"/>
      <c r="BZ1143" s="32"/>
      <c r="CA1143" s="32" t="s">
        <v>466</v>
      </c>
      <c r="CC1143" s="24"/>
      <c r="CD1143" s="24"/>
      <c r="CE1143" s="24"/>
      <c r="EO1143" s="32"/>
      <c r="ES1143" s="32"/>
      <c r="IO1143" s="32" t="s">
        <v>780</v>
      </c>
    </row>
    <row r="1144" spans="1:249" s="76" customFormat="1" x14ac:dyDescent="0.25">
      <c r="A1144" s="76">
        <v>53</v>
      </c>
      <c r="B1144" s="76" t="s">
        <v>769</v>
      </c>
      <c r="C1144" s="76" t="s">
        <v>770</v>
      </c>
      <c r="D1144" s="76">
        <v>2006</v>
      </c>
      <c r="E1144" s="76">
        <v>2000</v>
      </c>
      <c r="F1144" s="76" t="s">
        <v>771</v>
      </c>
      <c r="G1144" s="76" t="s">
        <v>772</v>
      </c>
      <c r="H1144" s="32" t="s">
        <v>2831</v>
      </c>
      <c r="I1144" s="76">
        <v>33.950000000000003</v>
      </c>
      <c r="J1144" s="76">
        <v>-83.38</v>
      </c>
      <c r="K1144" s="76">
        <v>208.4</v>
      </c>
      <c r="N1144" s="32">
        <f t="shared" si="236"/>
        <v>783</v>
      </c>
      <c r="O1144" s="32">
        <f t="shared" si="230"/>
        <v>1233</v>
      </c>
      <c r="Q1144" s="77">
        <v>1</v>
      </c>
      <c r="R1144" s="77" t="s">
        <v>1735</v>
      </c>
      <c r="S1144" s="77"/>
      <c r="T1144" s="77" t="s">
        <v>782</v>
      </c>
      <c r="U1144" s="77" t="s">
        <v>1412</v>
      </c>
      <c r="V1144" s="77" t="s">
        <v>1727</v>
      </c>
      <c r="W1144" s="77" t="s">
        <v>1392</v>
      </c>
      <c r="X1144" s="77" t="s">
        <v>1393</v>
      </c>
      <c r="Z1144" s="339">
        <f t="shared" si="235"/>
        <v>65</v>
      </c>
      <c r="AA1144" s="339">
        <f>25</f>
        <v>25</v>
      </c>
      <c r="AB1144" s="76" t="s">
        <v>241</v>
      </c>
      <c r="AC1144" s="76">
        <v>6.6</v>
      </c>
      <c r="AD1144" s="76">
        <v>0.88</v>
      </c>
      <c r="AF1144" s="76" t="s">
        <v>1348</v>
      </c>
      <c r="AG1144" s="76" t="s">
        <v>1522</v>
      </c>
      <c r="AH1144" s="138" t="s">
        <v>1586</v>
      </c>
      <c r="AI1144" s="76" t="s">
        <v>585</v>
      </c>
      <c r="AJ1144" s="140" t="s">
        <v>1632</v>
      </c>
      <c r="AK1144" s="32" t="s">
        <v>779</v>
      </c>
      <c r="AL1144" s="32" t="s">
        <v>779</v>
      </c>
      <c r="AM1144" s="32" t="s">
        <v>178</v>
      </c>
      <c r="AT1144" s="76" t="s">
        <v>120</v>
      </c>
      <c r="AU1144" s="76">
        <v>3</v>
      </c>
      <c r="AW1144" s="76" t="s">
        <v>336</v>
      </c>
      <c r="AY1144" s="76">
        <v>8180</v>
      </c>
      <c r="AZ1144" s="76">
        <v>10</v>
      </c>
      <c r="BM1144" s="414"/>
      <c r="BN1144" s="414"/>
      <c r="BR1144" s="414"/>
      <c r="BS1144" s="414"/>
      <c r="BW1144" s="76">
        <v>11.583600000000001</v>
      </c>
      <c r="BX1144" s="76">
        <v>11.8132</v>
      </c>
      <c r="BY1144" s="32"/>
      <c r="BZ1144" s="32"/>
      <c r="CA1144" s="32" t="s">
        <v>466</v>
      </c>
      <c r="CC1144" s="24"/>
      <c r="CD1144" s="24"/>
      <c r="CE1144" s="24"/>
      <c r="EO1144" s="32"/>
      <c r="ES1144" s="32"/>
      <c r="IO1144" s="32" t="s">
        <v>780</v>
      </c>
    </row>
    <row r="1145" spans="1:249" s="32" customFormat="1" x14ac:dyDescent="0.25">
      <c r="A1145" s="32">
        <v>53</v>
      </c>
      <c r="B1145" s="32" t="s">
        <v>769</v>
      </c>
      <c r="C1145" s="32" t="s">
        <v>770</v>
      </c>
      <c r="D1145" s="32">
        <v>2006</v>
      </c>
      <c r="E1145" s="32">
        <v>2001</v>
      </c>
      <c r="F1145" s="32" t="s">
        <v>771</v>
      </c>
      <c r="G1145" s="32" t="s">
        <v>772</v>
      </c>
      <c r="H1145" s="32" t="s">
        <v>2831</v>
      </c>
      <c r="I1145" s="32">
        <v>33.950000000000003</v>
      </c>
      <c r="J1145" s="32">
        <v>-83.38</v>
      </c>
      <c r="K1145" s="32">
        <v>208.4</v>
      </c>
      <c r="N1145" s="32">
        <v>748</v>
      </c>
      <c r="O1145" s="32">
        <f>588+645</f>
        <v>1233</v>
      </c>
      <c r="Q1145" s="44">
        <v>2</v>
      </c>
      <c r="R1145" s="44" t="s">
        <v>1735</v>
      </c>
      <c r="S1145" s="44"/>
      <c r="T1145" s="44" t="s">
        <v>781</v>
      </c>
      <c r="U1145" s="44" t="s">
        <v>1412</v>
      </c>
      <c r="V1145" s="44" t="s">
        <v>1727</v>
      </c>
      <c r="W1145" s="44" t="s">
        <v>1392</v>
      </c>
      <c r="X1145" s="44" t="s">
        <v>1393</v>
      </c>
      <c r="Z1145" s="323">
        <f t="shared" si="235"/>
        <v>65</v>
      </c>
      <c r="AA1145" s="323">
        <f>25</f>
        <v>25</v>
      </c>
      <c r="AB1145" s="32" t="s">
        <v>241</v>
      </c>
      <c r="AC1145" s="32">
        <v>6.6</v>
      </c>
      <c r="AD1145" s="32">
        <v>0.88</v>
      </c>
      <c r="AF1145" s="32" t="s">
        <v>1348</v>
      </c>
      <c r="AG1145" s="32" t="s">
        <v>132</v>
      </c>
      <c r="AH1145" s="138" t="s">
        <v>132</v>
      </c>
      <c r="AI1145" s="32" t="s">
        <v>585</v>
      </c>
      <c r="AJ1145" s="140" t="s">
        <v>1632</v>
      </c>
      <c r="AK1145" s="32" t="s">
        <v>779</v>
      </c>
      <c r="AL1145" s="32" t="s">
        <v>779</v>
      </c>
      <c r="AM1145" s="32" t="s">
        <v>178</v>
      </c>
      <c r="AT1145" s="32" t="s">
        <v>120</v>
      </c>
      <c r="AU1145" s="32">
        <v>3</v>
      </c>
      <c r="AW1145" s="32" t="s">
        <v>336</v>
      </c>
      <c r="AY1145" s="32">
        <v>3810</v>
      </c>
      <c r="AZ1145" s="32">
        <v>57</v>
      </c>
      <c r="BM1145" s="397"/>
      <c r="BN1145" s="397"/>
      <c r="BR1145" s="397"/>
      <c r="BS1145" s="397"/>
      <c r="BW1145" s="32">
        <v>8.0108000000000015</v>
      </c>
      <c r="BX1145" s="32">
        <v>8.0108000000000015</v>
      </c>
      <c r="CA1145" s="32" t="s">
        <v>466</v>
      </c>
      <c r="CC1145" s="24"/>
      <c r="CD1145" s="24"/>
      <c r="CE1145" s="24"/>
      <c r="IO1145" s="32" t="s">
        <v>780</v>
      </c>
    </row>
    <row r="1146" spans="1:249" s="32" customFormat="1" x14ac:dyDescent="0.25">
      <c r="A1146" s="32">
        <v>53</v>
      </c>
      <c r="B1146" s="32" t="s">
        <v>769</v>
      </c>
      <c r="C1146" s="32" t="s">
        <v>770</v>
      </c>
      <c r="D1146" s="32">
        <v>2006</v>
      </c>
      <c r="E1146" s="32">
        <v>2001</v>
      </c>
      <c r="F1146" s="32" t="s">
        <v>771</v>
      </c>
      <c r="G1146" s="32" t="s">
        <v>772</v>
      </c>
      <c r="H1146" s="32" t="s">
        <v>2831</v>
      </c>
      <c r="I1146" s="32">
        <v>33.950000000000003</v>
      </c>
      <c r="J1146" s="32">
        <v>-83.38</v>
      </c>
      <c r="K1146" s="32">
        <v>208.4</v>
      </c>
      <c r="N1146" s="32">
        <v>748</v>
      </c>
      <c r="O1146" s="32">
        <f t="shared" si="230"/>
        <v>1233</v>
      </c>
      <c r="Q1146" s="44">
        <v>2</v>
      </c>
      <c r="R1146" s="44" t="s">
        <v>1735</v>
      </c>
      <c r="S1146" s="44"/>
      <c r="T1146" s="44" t="s">
        <v>781</v>
      </c>
      <c r="U1146" s="44" t="s">
        <v>1412</v>
      </c>
      <c r="V1146" s="44" t="s">
        <v>1727</v>
      </c>
      <c r="W1146" s="44" t="s">
        <v>1392</v>
      </c>
      <c r="X1146" s="44" t="s">
        <v>1393</v>
      </c>
      <c r="Z1146" s="323">
        <f t="shared" si="235"/>
        <v>65</v>
      </c>
      <c r="AA1146" s="323">
        <f>25</f>
        <v>25</v>
      </c>
      <c r="AB1146" s="32" t="s">
        <v>241</v>
      </c>
      <c r="AC1146" s="32">
        <v>6.6</v>
      </c>
      <c r="AD1146" s="32">
        <v>0.88</v>
      </c>
      <c r="AF1146" s="32" t="s">
        <v>1348</v>
      </c>
      <c r="AG1146" s="32" t="s">
        <v>244</v>
      </c>
      <c r="AH1146" s="138" t="s">
        <v>578</v>
      </c>
      <c r="AI1146" s="32" t="s">
        <v>585</v>
      </c>
      <c r="AJ1146" s="140" t="s">
        <v>1632</v>
      </c>
      <c r="AK1146" s="32" t="s">
        <v>779</v>
      </c>
      <c r="AL1146" s="32" t="s">
        <v>779</v>
      </c>
      <c r="AM1146" s="32" t="s">
        <v>178</v>
      </c>
      <c r="AT1146" s="32" t="s">
        <v>120</v>
      </c>
      <c r="AU1146" s="32">
        <v>3</v>
      </c>
      <c r="AW1146" s="32" t="s">
        <v>336</v>
      </c>
      <c r="AY1146" s="32">
        <v>2440</v>
      </c>
      <c r="AZ1146" s="32">
        <v>12</v>
      </c>
      <c r="BM1146" s="397"/>
      <c r="BN1146" s="397"/>
      <c r="BR1146" s="397"/>
      <c r="BS1146" s="397"/>
      <c r="BW1146" s="32">
        <v>8.0108000000000015</v>
      </c>
      <c r="BX1146" s="32">
        <v>8.6492000000000004</v>
      </c>
      <c r="CA1146" s="32" t="s">
        <v>466</v>
      </c>
      <c r="CC1146" s="24"/>
      <c r="CD1146" s="24"/>
      <c r="CE1146" s="24"/>
      <c r="IO1146" s="32" t="s">
        <v>780</v>
      </c>
    </row>
    <row r="1147" spans="1:249" s="32" customFormat="1" x14ac:dyDescent="0.25">
      <c r="A1147" s="32">
        <v>53</v>
      </c>
      <c r="B1147" s="32" t="s">
        <v>769</v>
      </c>
      <c r="C1147" s="32" t="s">
        <v>770</v>
      </c>
      <c r="D1147" s="32">
        <v>2006</v>
      </c>
      <c r="E1147" s="32">
        <v>2001</v>
      </c>
      <c r="F1147" s="32" t="s">
        <v>771</v>
      </c>
      <c r="G1147" s="32" t="s">
        <v>772</v>
      </c>
      <c r="H1147" s="32" t="s">
        <v>2831</v>
      </c>
      <c r="I1147" s="32">
        <v>33.950000000000003</v>
      </c>
      <c r="J1147" s="32">
        <v>-83.38</v>
      </c>
      <c r="K1147" s="32">
        <v>208.4</v>
      </c>
      <c r="N1147" s="32">
        <v>748</v>
      </c>
      <c r="O1147" s="32">
        <f t="shared" si="230"/>
        <v>1233</v>
      </c>
      <c r="Q1147" s="44">
        <v>2</v>
      </c>
      <c r="R1147" s="44" t="s">
        <v>1735</v>
      </c>
      <c r="S1147" s="44"/>
      <c r="T1147" s="44" t="s">
        <v>781</v>
      </c>
      <c r="U1147" s="44" t="s">
        <v>1412</v>
      </c>
      <c r="V1147" s="44" t="s">
        <v>1727</v>
      </c>
      <c r="W1147" s="44" t="s">
        <v>1392</v>
      </c>
      <c r="X1147" s="44" t="s">
        <v>1393</v>
      </c>
      <c r="Z1147" s="323">
        <f t="shared" si="235"/>
        <v>65</v>
      </c>
      <c r="AA1147" s="323">
        <f>25</f>
        <v>25</v>
      </c>
      <c r="AB1147" s="32" t="s">
        <v>241</v>
      </c>
      <c r="AC1147" s="32">
        <v>6.6</v>
      </c>
      <c r="AD1147" s="32">
        <v>0.88</v>
      </c>
      <c r="AF1147" s="32" t="s">
        <v>1348</v>
      </c>
      <c r="AG1147" s="32" t="s">
        <v>1522</v>
      </c>
      <c r="AH1147" s="138" t="s">
        <v>1586</v>
      </c>
      <c r="AI1147" s="32" t="s">
        <v>585</v>
      </c>
      <c r="AJ1147" s="140" t="s">
        <v>1632</v>
      </c>
      <c r="AK1147" s="32" t="s">
        <v>779</v>
      </c>
      <c r="AL1147" s="32" t="s">
        <v>779</v>
      </c>
      <c r="AM1147" s="32" t="s">
        <v>178</v>
      </c>
      <c r="AT1147" s="32" t="s">
        <v>120</v>
      </c>
      <c r="AU1147" s="32">
        <v>3</v>
      </c>
      <c r="AW1147" s="32" t="s">
        <v>336</v>
      </c>
      <c r="AY1147" s="32">
        <v>5980</v>
      </c>
      <c r="AZ1147" s="32">
        <v>32</v>
      </c>
      <c r="BM1147" s="397"/>
      <c r="BN1147" s="397"/>
      <c r="BR1147" s="397"/>
      <c r="BS1147" s="397"/>
      <c r="BW1147" s="32">
        <v>8.0108000000000015</v>
      </c>
      <c r="BX1147" s="32">
        <v>8.0108000000000015</v>
      </c>
      <c r="CA1147" s="32" t="s">
        <v>466</v>
      </c>
      <c r="CC1147" s="24"/>
      <c r="CD1147" s="24"/>
      <c r="CE1147" s="24"/>
      <c r="IO1147" s="32" t="s">
        <v>780</v>
      </c>
    </row>
    <row r="1148" spans="1:249" s="76" customFormat="1" x14ac:dyDescent="0.25">
      <c r="A1148" s="76">
        <v>53</v>
      </c>
      <c r="B1148" s="76" t="s">
        <v>769</v>
      </c>
      <c r="C1148" s="76" t="s">
        <v>770</v>
      </c>
      <c r="D1148" s="76">
        <v>2006</v>
      </c>
      <c r="E1148" s="76">
        <v>2001</v>
      </c>
      <c r="F1148" s="76" t="s">
        <v>771</v>
      </c>
      <c r="G1148" s="76" t="s">
        <v>772</v>
      </c>
      <c r="H1148" s="32" t="s">
        <v>2831</v>
      </c>
      <c r="I1148" s="76">
        <v>33.950000000000003</v>
      </c>
      <c r="J1148" s="76">
        <v>-83.38</v>
      </c>
      <c r="K1148" s="76">
        <v>208.4</v>
      </c>
      <c r="N1148" s="32">
        <v>748</v>
      </c>
      <c r="O1148" s="32">
        <f t="shared" si="230"/>
        <v>1233</v>
      </c>
      <c r="Q1148" s="77">
        <v>2</v>
      </c>
      <c r="R1148" s="77" t="s">
        <v>1735</v>
      </c>
      <c r="S1148" s="77"/>
      <c r="T1148" s="77" t="s">
        <v>782</v>
      </c>
      <c r="U1148" s="77" t="s">
        <v>1412</v>
      </c>
      <c r="V1148" s="77" t="s">
        <v>1727</v>
      </c>
      <c r="W1148" s="77" t="s">
        <v>1392</v>
      </c>
      <c r="X1148" s="77" t="s">
        <v>1393</v>
      </c>
      <c r="Z1148" s="339">
        <f t="shared" si="235"/>
        <v>65</v>
      </c>
      <c r="AA1148" s="339">
        <f>25</f>
        <v>25</v>
      </c>
      <c r="AB1148" s="76" t="s">
        <v>241</v>
      </c>
      <c r="AC1148" s="76">
        <v>6.6</v>
      </c>
      <c r="AD1148" s="76">
        <v>0.88</v>
      </c>
      <c r="AF1148" s="76" t="s">
        <v>1348</v>
      </c>
      <c r="AG1148" s="76" t="s">
        <v>132</v>
      </c>
      <c r="AH1148" s="138" t="s">
        <v>132</v>
      </c>
      <c r="AI1148" s="76" t="s">
        <v>585</v>
      </c>
      <c r="AJ1148" s="140" t="s">
        <v>1632</v>
      </c>
      <c r="AK1148" s="32" t="s">
        <v>779</v>
      </c>
      <c r="AL1148" s="32" t="s">
        <v>779</v>
      </c>
      <c r="AM1148" s="32" t="s">
        <v>178</v>
      </c>
      <c r="AT1148" s="76" t="s">
        <v>120</v>
      </c>
      <c r="AU1148" s="76">
        <v>3</v>
      </c>
      <c r="AW1148" s="76" t="s">
        <v>336</v>
      </c>
      <c r="AY1148" s="76">
        <v>3810</v>
      </c>
      <c r="AZ1148" s="76">
        <v>57</v>
      </c>
      <c r="BM1148" s="414"/>
      <c r="BN1148" s="414"/>
      <c r="BR1148" s="414"/>
      <c r="BS1148" s="414"/>
      <c r="BW1148" s="76">
        <v>8.4560000000000013</v>
      </c>
      <c r="BX1148" s="76">
        <v>8.4560000000000013</v>
      </c>
      <c r="BY1148" s="32"/>
      <c r="BZ1148" s="32"/>
      <c r="CA1148" s="32" t="s">
        <v>466</v>
      </c>
      <c r="CC1148" s="24"/>
      <c r="CD1148" s="24"/>
      <c r="CE1148" s="24"/>
      <c r="EO1148" s="32"/>
      <c r="ES1148" s="32"/>
      <c r="IO1148" s="32" t="s">
        <v>780</v>
      </c>
    </row>
    <row r="1149" spans="1:249" s="76" customFormat="1" x14ac:dyDescent="0.25">
      <c r="A1149" s="76">
        <v>53</v>
      </c>
      <c r="B1149" s="76" t="s">
        <v>769</v>
      </c>
      <c r="C1149" s="76" t="s">
        <v>770</v>
      </c>
      <c r="D1149" s="76">
        <v>2006</v>
      </c>
      <c r="E1149" s="76">
        <v>2001</v>
      </c>
      <c r="F1149" s="76" t="s">
        <v>771</v>
      </c>
      <c r="G1149" s="76" t="s">
        <v>772</v>
      </c>
      <c r="H1149" s="32" t="s">
        <v>2831</v>
      </c>
      <c r="I1149" s="76">
        <v>33.950000000000003</v>
      </c>
      <c r="J1149" s="76">
        <v>-83.38</v>
      </c>
      <c r="K1149" s="76">
        <v>208.4</v>
      </c>
      <c r="N1149" s="32">
        <v>748</v>
      </c>
      <c r="O1149" s="32">
        <f t="shared" si="230"/>
        <v>1233</v>
      </c>
      <c r="Q1149" s="77">
        <v>2</v>
      </c>
      <c r="R1149" s="77" t="s">
        <v>1735</v>
      </c>
      <c r="S1149" s="77"/>
      <c r="T1149" s="77" t="s">
        <v>782</v>
      </c>
      <c r="U1149" s="77" t="s">
        <v>1412</v>
      </c>
      <c r="V1149" s="77" t="s">
        <v>1727</v>
      </c>
      <c r="W1149" s="77" t="s">
        <v>1392</v>
      </c>
      <c r="X1149" s="77" t="s">
        <v>1393</v>
      </c>
      <c r="Z1149" s="339">
        <f t="shared" si="235"/>
        <v>65</v>
      </c>
      <c r="AA1149" s="339">
        <f>25</f>
        <v>25</v>
      </c>
      <c r="AB1149" s="76" t="s">
        <v>241</v>
      </c>
      <c r="AC1149" s="76">
        <v>6.6</v>
      </c>
      <c r="AD1149" s="76">
        <v>0.88</v>
      </c>
      <c r="AF1149" s="76" t="s">
        <v>1348</v>
      </c>
      <c r="AG1149" s="76" t="s">
        <v>244</v>
      </c>
      <c r="AH1149" s="138" t="s">
        <v>578</v>
      </c>
      <c r="AI1149" s="76" t="s">
        <v>585</v>
      </c>
      <c r="AJ1149" s="140" t="s">
        <v>1632</v>
      </c>
      <c r="AK1149" s="32" t="s">
        <v>779</v>
      </c>
      <c r="AL1149" s="32" t="s">
        <v>779</v>
      </c>
      <c r="AM1149" s="32" t="s">
        <v>178</v>
      </c>
      <c r="AT1149" s="76" t="s">
        <v>120</v>
      </c>
      <c r="AU1149" s="76">
        <v>3</v>
      </c>
      <c r="AW1149" s="76" t="s">
        <v>336</v>
      </c>
      <c r="AY1149" s="76">
        <v>2440</v>
      </c>
      <c r="AZ1149" s="76">
        <v>12</v>
      </c>
      <c r="BM1149" s="414"/>
      <c r="BN1149" s="414"/>
      <c r="BR1149" s="414"/>
      <c r="BS1149" s="414"/>
      <c r="BW1149" s="76">
        <v>8.4560000000000013</v>
      </c>
      <c r="BX1149" s="76">
        <v>9.7356000000000016</v>
      </c>
      <c r="BY1149" s="32"/>
      <c r="BZ1149" s="32"/>
      <c r="CA1149" s="32" t="s">
        <v>466</v>
      </c>
      <c r="CC1149" s="24"/>
      <c r="CD1149" s="24"/>
      <c r="CE1149" s="24"/>
      <c r="EO1149" s="32"/>
      <c r="ES1149" s="32"/>
      <c r="IO1149" s="32" t="s">
        <v>780</v>
      </c>
    </row>
    <row r="1150" spans="1:249" s="76" customFormat="1" x14ac:dyDescent="0.25">
      <c r="A1150" s="76">
        <v>53</v>
      </c>
      <c r="B1150" s="76" t="s">
        <v>769</v>
      </c>
      <c r="C1150" s="76" t="s">
        <v>770</v>
      </c>
      <c r="D1150" s="76">
        <v>2006</v>
      </c>
      <c r="E1150" s="76">
        <v>2001</v>
      </c>
      <c r="F1150" s="76" t="s">
        <v>771</v>
      </c>
      <c r="G1150" s="76" t="s">
        <v>772</v>
      </c>
      <c r="H1150" s="32" t="s">
        <v>2831</v>
      </c>
      <c r="I1150" s="76">
        <v>33.950000000000003</v>
      </c>
      <c r="J1150" s="76">
        <v>-83.38</v>
      </c>
      <c r="K1150" s="76">
        <v>208.4</v>
      </c>
      <c r="N1150" s="32">
        <v>748</v>
      </c>
      <c r="O1150" s="32">
        <f t="shared" si="230"/>
        <v>1233</v>
      </c>
      <c r="Q1150" s="77">
        <v>2</v>
      </c>
      <c r="R1150" s="77" t="s">
        <v>1735</v>
      </c>
      <c r="S1150" s="77"/>
      <c r="T1150" s="77" t="s">
        <v>782</v>
      </c>
      <c r="U1150" s="77" t="s">
        <v>1412</v>
      </c>
      <c r="V1150" s="77" t="s">
        <v>1727</v>
      </c>
      <c r="W1150" s="77" t="s">
        <v>1392</v>
      </c>
      <c r="X1150" s="77" t="s">
        <v>1393</v>
      </c>
      <c r="Z1150" s="339">
        <f t="shared" si="235"/>
        <v>65</v>
      </c>
      <c r="AA1150" s="339">
        <f>25</f>
        <v>25</v>
      </c>
      <c r="AB1150" s="76" t="s">
        <v>241</v>
      </c>
      <c r="AC1150" s="76">
        <v>6.6</v>
      </c>
      <c r="AD1150" s="76">
        <v>0.88</v>
      </c>
      <c r="AF1150" s="76" t="s">
        <v>1348</v>
      </c>
      <c r="AG1150" s="76" t="s">
        <v>1522</v>
      </c>
      <c r="AH1150" s="138" t="s">
        <v>1586</v>
      </c>
      <c r="AI1150" s="76" t="s">
        <v>585</v>
      </c>
      <c r="AJ1150" s="140" t="s">
        <v>1632</v>
      </c>
      <c r="AK1150" s="32" t="s">
        <v>779</v>
      </c>
      <c r="AL1150" s="32" t="s">
        <v>779</v>
      </c>
      <c r="AM1150" s="32" t="s">
        <v>178</v>
      </c>
      <c r="AT1150" s="76" t="s">
        <v>120</v>
      </c>
      <c r="AU1150" s="76">
        <v>3</v>
      </c>
      <c r="AW1150" s="76" t="s">
        <v>336</v>
      </c>
      <c r="AY1150" s="76">
        <v>5980</v>
      </c>
      <c r="AZ1150" s="76">
        <v>32</v>
      </c>
      <c r="BM1150" s="414"/>
      <c r="BN1150" s="414"/>
      <c r="BR1150" s="414"/>
      <c r="BS1150" s="414"/>
      <c r="BW1150" s="76">
        <v>8.4560000000000013</v>
      </c>
      <c r="BX1150" s="76">
        <v>9.0944000000000003</v>
      </c>
      <c r="BY1150" s="32"/>
      <c r="BZ1150" s="32"/>
      <c r="CA1150" s="32" t="s">
        <v>466</v>
      </c>
      <c r="CC1150" s="24"/>
      <c r="CD1150" s="24"/>
      <c r="CE1150" s="24"/>
      <c r="EO1150" s="32"/>
      <c r="ES1150" s="32"/>
      <c r="IO1150" s="32" t="s">
        <v>780</v>
      </c>
    </row>
    <row r="1151" spans="1:249" s="32" customFormat="1" x14ac:dyDescent="0.25">
      <c r="A1151" s="32">
        <v>53</v>
      </c>
      <c r="B1151" s="32" t="s">
        <v>769</v>
      </c>
      <c r="C1151" s="32" t="s">
        <v>770</v>
      </c>
      <c r="D1151" s="32">
        <v>2006</v>
      </c>
      <c r="E1151" s="32">
        <v>2002</v>
      </c>
      <c r="F1151" s="32" t="s">
        <v>771</v>
      </c>
      <c r="G1151" s="32" t="s">
        <v>772</v>
      </c>
      <c r="H1151" s="32" t="s">
        <v>2831</v>
      </c>
      <c r="I1151" s="32">
        <v>33.950000000000003</v>
      </c>
      <c r="J1151" s="32">
        <v>-83.38</v>
      </c>
      <c r="K1151" s="32">
        <v>208.4</v>
      </c>
      <c r="N1151" s="32">
        <v>971</v>
      </c>
      <c r="O1151" s="32">
        <f>588+645</f>
        <v>1233</v>
      </c>
      <c r="Q1151" s="44">
        <v>3</v>
      </c>
      <c r="R1151" s="44" t="s">
        <v>1735</v>
      </c>
      <c r="S1151" s="44"/>
      <c r="T1151" s="44" t="s">
        <v>781</v>
      </c>
      <c r="U1151" s="44" t="s">
        <v>1412</v>
      </c>
      <c r="V1151" s="44" t="s">
        <v>1727</v>
      </c>
      <c r="W1151" s="44" t="s">
        <v>1392</v>
      </c>
      <c r="X1151" s="44" t="s">
        <v>1393</v>
      </c>
      <c r="Z1151" s="323">
        <f t="shared" si="235"/>
        <v>65</v>
      </c>
      <c r="AA1151" s="323">
        <f>25</f>
        <v>25</v>
      </c>
      <c r="AB1151" s="32" t="s">
        <v>241</v>
      </c>
      <c r="AC1151" s="32">
        <v>6.6</v>
      </c>
      <c r="AD1151" s="32">
        <v>0.88</v>
      </c>
      <c r="AF1151" s="32" t="s">
        <v>1348</v>
      </c>
      <c r="AG1151" s="32" t="s">
        <v>132</v>
      </c>
      <c r="AH1151" s="138" t="s">
        <v>132</v>
      </c>
      <c r="AI1151" s="32" t="s">
        <v>585</v>
      </c>
      <c r="AJ1151" s="140" t="s">
        <v>1632</v>
      </c>
      <c r="AK1151" s="32" t="s">
        <v>779</v>
      </c>
      <c r="AL1151" s="32" t="s">
        <v>779</v>
      </c>
      <c r="AM1151" s="32" t="s">
        <v>178</v>
      </c>
      <c r="AT1151" s="32" t="s">
        <v>120</v>
      </c>
      <c r="AU1151" s="32">
        <v>3</v>
      </c>
      <c r="AW1151" s="32" t="s">
        <v>336</v>
      </c>
      <c r="AY1151" s="32">
        <v>2280</v>
      </c>
      <c r="AZ1151" s="32">
        <v>40</v>
      </c>
      <c r="BM1151" s="397"/>
      <c r="BN1151" s="397"/>
      <c r="BR1151" s="397"/>
      <c r="BS1151" s="397"/>
      <c r="BW1151" s="32">
        <v>7.7588000000000008</v>
      </c>
      <c r="BX1151" s="32">
        <v>7.7560000000000002</v>
      </c>
      <c r="CA1151" s="32" t="s">
        <v>466</v>
      </c>
      <c r="CC1151" s="24"/>
      <c r="CD1151" s="24"/>
      <c r="CE1151" s="24"/>
      <c r="IO1151" s="32" t="s">
        <v>780</v>
      </c>
    </row>
    <row r="1152" spans="1:249" s="32" customFormat="1" x14ac:dyDescent="0.25">
      <c r="A1152" s="32">
        <v>53</v>
      </c>
      <c r="B1152" s="32" t="s">
        <v>769</v>
      </c>
      <c r="C1152" s="32" t="s">
        <v>770</v>
      </c>
      <c r="D1152" s="32">
        <v>2006</v>
      </c>
      <c r="E1152" s="32">
        <v>2002</v>
      </c>
      <c r="F1152" s="32" t="s">
        <v>771</v>
      </c>
      <c r="G1152" s="32" t="s">
        <v>772</v>
      </c>
      <c r="H1152" s="32" t="s">
        <v>2831</v>
      </c>
      <c r="I1152" s="32">
        <v>33.950000000000003</v>
      </c>
      <c r="J1152" s="32">
        <v>-83.38</v>
      </c>
      <c r="K1152" s="32">
        <v>208.4</v>
      </c>
      <c r="N1152" s="32">
        <v>971</v>
      </c>
      <c r="O1152" s="32">
        <f t="shared" si="230"/>
        <v>1233</v>
      </c>
      <c r="Q1152" s="44">
        <v>3</v>
      </c>
      <c r="R1152" s="44" t="s">
        <v>1735</v>
      </c>
      <c r="S1152" s="44"/>
      <c r="T1152" s="44" t="s">
        <v>781</v>
      </c>
      <c r="U1152" s="44" t="s">
        <v>1412</v>
      </c>
      <c r="V1152" s="44" t="s">
        <v>1727</v>
      </c>
      <c r="W1152" s="44" t="s">
        <v>1392</v>
      </c>
      <c r="X1152" s="44" t="s">
        <v>1393</v>
      </c>
      <c r="Z1152" s="323">
        <f t="shared" si="235"/>
        <v>65</v>
      </c>
      <c r="AA1152" s="323">
        <f>25</f>
        <v>25</v>
      </c>
      <c r="AB1152" s="32" t="s">
        <v>241</v>
      </c>
      <c r="AC1152" s="32">
        <v>6.6</v>
      </c>
      <c r="AD1152" s="32">
        <v>0.88</v>
      </c>
      <c r="AF1152" s="32" t="s">
        <v>1348</v>
      </c>
      <c r="AG1152" s="32" t="s">
        <v>244</v>
      </c>
      <c r="AH1152" s="138" t="s">
        <v>578</v>
      </c>
      <c r="AI1152" s="32" t="s">
        <v>585</v>
      </c>
      <c r="AJ1152" s="140" t="s">
        <v>1632</v>
      </c>
      <c r="AK1152" s="32" t="s">
        <v>779</v>
      </c>
      <c r="AL1152" s="32" t="s">
        <v>779</v>
      </c>
      <c r="AM1152" s="32" t="s">
        <v>178</v>
      </c>
      <c r="AT1152" s="32" t="s">
        <v>120</v>
      </c>
      <c r="AU1152" s="32">
        <v>3</v>
      </c>
      <c r="AW1152" s="32" t="s">
        <v>336</v>
      </c>
      <c r="AY1152" s="32">
        <v>5160</v>
      </c>
      <c r="AZ1152" s="32">
        <v>10</v>
      </c>
      <c r="BM1152" s="397"/>
      <c r="BN1152" s="397"/>
      <c r="BR1152" s="397"/>
      <c r="BS1152" s="397"/>
      <c r="BW1152" s="32">
        <v>7.7588000000000008</v>
      </c>
      <c r="BX1152" s="32">
        <v>9.5872000000000011</v>
      </c>
      <c r="CA1152" s="32" t="s">
        <v>466</v>
      </c>
      <c r="CC1152" s="24"/>
      <c r="CD1152" s="24"/>
      <c r="CE1152" s="24"/>
      <c r="IO1152" s="32" t="s">
        <v>780</v>
      </c>
    </row>
    <row r="1153" spans="1:251" s="32" customFormat="1" x14ac:dyDescent="0.25">
      <c r="A1153" s="32">
        <v>53</v>
      </c>
      <c r="B1153" s="32" t="s">
        <v>769</v>
      </c>
      <c r="C1153" s="32" t="s">
        <v>770</v>
      </c>
      <c r="D1153" s="32">
        <v>2006</v>
      </c>
      <c r="E1153" s="32">
        <v>2002</v>
      </c>
      <c r="F1153" s="32" t="s">
        <v>771</v>
      </c>
      <c r="G1153" s="32" t="s">
        <v>772</v>
      </c>
      <c r="H1153" s="32" t="s">
        <v>2831</v>
      </c>
      <c r="I1153" s="32">
        <v>33.950000000000003</v>
      </c>
      <c r="J1153" s="32">
        <v>-83.38</v>
      </c>
      <c r="K1153" s="32">
        <v>208.4</v>
      </c>
      <c r="N1153" s="32">
        <v>971</v>
      </c>
      <c r="O1153" s="32">
        <f t="shared" ref="O1153:O1156" si="237">588+645</f>
        <v>1233</v>
      </c>
      <c r="Q1153" s="44">
        <v>3</v>
      </c>
      <c r="R1153" s="44" t="s">
        <v>1735</v>
      </c>
      <c r="S1153" s="44"/>
      <c r="T1153" s="44" t="s">
        <v>781</v>
      </c>
      <c r="U1153" s="44" t="s">
        <v>1412</v>
      </c>
      <c r="V1153" s="44" t="s">
        <v>1727</v>
      </c>
      <c r="W1153" s="44" t="s">
        <v>1392</v>
      </c>
      <c r="X1153" s="44" t="s">
        <v>1393</v>
      </c>
      <c r="Z1153" s="323">
        <f t="shared" si="235"/>
        <v>65</v>
      </c>
      <c r="AA1153" s="323">
        <f>25</f>
        <v>25</v>
      </c>
      <c r="AB1153" s="32" t="s">
        <v>241</v>
      </c>
      <c r="AC1153" s="32">
        <v>6.6</v>
      </c>
      <c r="AD1153" s="32">
        <v>0.88</v>
      </c>
      <c r="AF1153" s="32" t="s">
        <v>1348</v>
      </c>
      <c r="AG1153" s="32" t="s">
        <v>1522</v>
      </c>
      <c r="AH1153" s="138" t="s">
        <v>1586</v>
      </c>
      <c r="AI1153" s="32" t="s">
        <v>585</v>
      </c>
      <c r="AJ1153" s="140" t="s">
        <v>1632</v>
      </c>
      <c r="AK1153" s="32" t="s">
        <v>779</v>
      </c>
      <c r="AL1153" s="32" t="s">
        <v>779</v>
      </c>
      <c r="AM1153" s="32" t="s">
        <v>178</v>
      </c>
      <c r="AT1153" s="32" t="s">
        <v>120</v>
      </c>
      <c r="AU1153" s="32">
        <v>3</v>
      </c>
      <c r="AW1153" s="32" t="s">
        <v>336</v>
      </c>
      <c r="AY1153" s="32">
        <v>5720</v>
      </c>
      <c r="AZ1153" s="32">
        <v>11</v>
      </c>
      <c r="BM1153" s="397"/>
      <c r="BN1153" s="397"/>
      <c r="BR1153" s="397"/>
      <c r="BS1153" s="397"/>
      <c r="BW1153" s="32">
        <v>7.7588000000000008</v>
      </c>
      <c r="BX1153" s="32">
        <v>8.6268000000000011</v>
      </c>
      <c r="CA1153" s="32" t="s">
        <v>466</v>
      </c>
      <c r="CC1153" s="24"/>
      <c r="CD1153" s="24"/>
      <c r="CE1153" s="24"/>
      <c r="IO1153" s="32" t="s">
        <v>780</v>
      </c>
    </row>
    <row r="1154" spans="1:251" s="76" customFormat="1" x14ac:dyDescent="0.25">
      <c r="A1154" s="76">
        <v>53</v>
      </c>
      <c r="B1154" s="76" t="s">
        <v>769</v>
      </c>
      <c r="C1154" s="76" t="s">
        <v>770</v>
      </c>
      <c r="D1154" s="76">
        <v>2006</v>
      </c>
      <c r="E1154" s="76">
        <v>2002</v>
      </c>
      <c r="F1154" s="76" t="s">
        <v>771</v>
      </c>
      <c r="G1154" s="76" t="s">
        <v>772</v>
      </c>
      <c r="H1154" s="32" t="s">
        <v>2831</v>
      </c>
      <c r="I1154" s="76">
        <v>33.950000000000003</v>
      </c>
      <c r="J1154" s="76">
        <v>-83.38</v>
      </c>
      <c r="K1154" s="76">
        <v>208.4</v>
      </c>
      <c r="N1154" s="32">
        <v>971</v>
      </c>
      <c r="O1154" s="32">
        <f t="shared" si="237"/>
        <v>1233</v>
      </c>
      <c r="Q1154" s="77">
        <v>3</v>
      </c>
      <c r="R1154" s="77" t="s">
        <v>1735</v>
      </c>
      <c r="S1154" s="77"/>
      <c r="T1154" s="77" t="s">
        <v>782</v>
      </c>
      <c r="U1154" s="77" t="s">
        <v>1412</v>
      </c>
      <c r="V1154" s="77" t="s">
        <v>1727</v>
      </c>
      <c r="W1154" s="77" t="s">
        <v>1392</v>
      </c>
      <c r="X1154" s="77" t="s">
        <v>1393</v>
      </c>
      <c r="Z1154" s="339">
        <f t="shared" si="235"/>
        <v>65</v>
      </c>
      <c r="AA1154" s="339">
        <f>25</f>
        <v>25</v>
      </c>
      <c r="AB1154" s="76" t="s">
        <v>241</v>
      </c>
      <c r="AC1154" s="76">
        <v>6.6</v>
      </c>
      <c r="AD1154" s="76">
        <v>0.88</v>
      </c>
      <c r="AF1154" s="76" t="s">
        <v>1348</v>
      </c>
      <c r="AG1154" s="76" t="s">
        <v>132</v>
      </c>
      <c r="AH1154" s="138" t="s">
        <v>132</v>
      </c>
      <c r="AI1154" s="76" t="s">
        <v>585</v>
      </c>
      <c r="AJ1154" s="140" t="s">
        <v>1632</v>
      </c>
      <c r="AK1154" s="32" t="s">
        <v>779</v>
      </c>
      <c r="AL1154" s="32" t="s">
        <v>779</v>
      </c>
      <c r="AM1154" s="32" t="s">
        <v>178</v>
      </c>
      <c r="AT1154" s="76" t="s">
        <v>120</v>
      </c>
      <c r="AU1154" s="76">
        <v>3</v>
      </c>
      <c r="AW1154" s="76" t="s">
        <v>336</v>
      </c>
      <c r="AY1154" s="76">
        <v>2280</v>
      </c>
      <c r="AZ1154" s="76">
        <v>40</v>
      </c>
      <c r="BM1154" s="414"/>
      <c r="BN1154" s="414"/>
      <c r="BR1154" s="414"/>
      <c r="BS1154" s="414"/>
      <c r="BW1154" s="76">
        <v>11.538800000000002</v>
      </c>
      <c r="BX1154" s="76">
        <v>13.367200000000002</v>
      </c>
      <c r="BY1154" s="32"/>
      <c r="BZ1154" s="32"/>
      <c r="CA1154" s="32" t="s">
        <v>466</v>
      </c>
      <c r="CC1154" s="24"/>
      <c r="CD1154" s="24"/>
      <c r="CE1154" s="24"/>
      <c r="EO1154" s="32"/>
      <c r="ES1154" s="32"/>
      <c r="IO1154" s="32" t="s">
        <v>780</v>
      </c>
    </row>
    <row r="1155" spans="1:251" s="76" customFormat="1" x14ac:dyDescent="0.25">
      <c r="A1155" s="76">
        <v>53</v>
      </c>
      <c r="B1155" s="76" t="s">
        <v>769</v>
      </c>
      <c r="C1155" s="76" t="s">
        <v>770</v>
      </c>
      <c r="D1155" s="76">
        <v>2006</v>
      </c>
      <c r="E1155" s="76">
        <v>2002</v>
      </c>
      <c r="F1155" s="76" t="s">
        <v>771</v>
      </c>
      <c r="G1155" s="76" t="s">
        <v>772</v>
      </c>
      <c r="H1155" s="32" t="s">
        <v>2831</v>
      </c>
      <c r="I1155" s="76">
        <v>33.950000000000003</v>
      </c>
      <c r="J1155" s="76">
        <v>-83.38</v>
      </c>
      <c r="K1155" s="76">
        <v>208.4</v>
      </c>
      <c r="N1155" s="32">
        <v>971</v>
      </c>
      <c r="O1155" s="32">
        <f t="shared" si="237"/>
        <v>1233</v>
      </c>
      <c r="Q1155" s="77">
        <v>3</v>
      </c>
      <c r="R1155" s="77" t="s">
        <v>1735</v>
      </c>
      <c r="S1155" s="77"/>
      <c r="T1155" s="77" t="s">
        <v>782</v>
      </c>
      <c r="U1155" s="77" t="s">
        <v>1412</v>
      </c>
      <c r="V1155" s="77" t="s">
        <v>1727</v>
      </c>
      <c r="W1155" s="77" t="s">
        <v>1392</v>
      </c>
      <c r="X1155" s="77" t="s">
        <v>1393</v>
      </c>
      <c r="Z1155" s="339">
        <f t="shared" si="235"/>
        <v>65</v>
      </c>
      <c r="AA1155" s="339">
        <f>25</f>
        <v>25</v>
      </c>
      <c r="AB1155" s="76" t="s">
        <v>241</v>
      </c>
      <c r="AC1155" s="76">
        <v>6.6</v>
      </c>
      <c r="AD1155" s="76">
        <v>0.88</v>
      </c>
      <c r="AF1155" s="76" t="s">
        <v>1348</v>
      </c>
      <c r="AG1155" s="76" t="s">
        <v>244</v>
      </c>
      <c r="AH1155" s="138" t="s">
        <v>578</v>
      </c>
      <c r="AI1155" s="76" t="s">
        <v>585</v>
      </c>
      <c r="AJ1155" s="140" t="s">
        <v>1632</v>
      </c>
      <c r="AK1155" s="32" t="s">
        <v>779</v>
      </c>
      <c r="AL1155" s="32" t="s">
        <v>779</v>
      </c>
      <c r="AM1155" s="32" t="s">
        <v>178</v>
      </c>
      <c r="AT1155" s="76" t="s">
        <v>120</v>
      </c>
      <c r="AU1155" s="76">
        <v>3</v>
      </c>
      <c r="AW1155" s="76" t="s">
        <v>336</v>
      </c>
      <c r="AY1155" s="76">
        <v>5160</v>
      </c>
      <c r="AZ1155" s="76">
        <v>10</v>
      </c>
      <c r="BM1155" s="414"/>
      <c r="BN1155" s="414"/>
      <c r="BR1155" s="414"/>
      <c r="BS1155" s="414"/>
      <c r="BW1155" s="76">
        <v>11.538800000000002</v>
      </c>
      <c r="BX1155" s="76">
        <v>12.908000000000001</v>
      </c>
      <c r="BY1155" s="32"/>
      <c r="BZ1155" s="32"/>
      <c r="CA1155" s="32" t="s">
        <v>466</v>
      </c>
      <c r="CC1155" s="24"/>
      <c r="CD1155" s="24"/>
      <c r="CE1155" s="24"/>
      <c r="EO1155" s="32"/>
      <c r="ES1155" s="32"/>
      <c r="IO1155" s="32" t="s">
        <v>780</v>
      </c>
    </row>
    <row r="1156" spans="1:251" s="76" customFormat="1" x14ac:dyDescent="0.25">
      <c r="A1156" s="76">
        <v>53</v>
      </c>
      <c r="B1156" s="76" t="s">
        <v>769</v>
      </c>
      <c r="C1156" s="76" t="s">
        <v>770</v>
      </c>
      <c r="D1156" s="76">
        <v>2006</v>
      </c>
      <c r="E1156" s="76">
        <v>2002</v>
      </c>
      <c r="F1156" s="76" t="s">
        <v>771</v>
      </c>
      <c r="G1156" s="76" t="s">
        <v>772</v>
      </c>
      <c r="H1156" s="32" t="s">
        <v>2831</v>
      </c>
      <c r="I1156" s="76">
        <v>33.950000000000003</v>
      </c>
      <c r="J1156" s="76">
        <v>-83.38</v>
      </c>
      <c r="K1156" s="76">
        <v>208.4</v>
      </c>
      <c r="N1156" s="32">
        <v>971</v>
      </c>
      <c r="O1156" s="32">
        <f t="shared" si="237"/>
        <v>1233</v>
      </c>
      <c r="Q1156" s="77">
        <v>3</v>
      </c>
      <c r="R1156" s="77" t="s">
        <v>1735</v>
      </c>
      <c r="S1156" s="77"/>
      <c r="T1156" s="77" t="s">
        <v>782</v>
      </c>
      <c r="U1156" s="77" t="s">
        <v>1412</v>
      </c>
      <c r="V1156" s="77" t="s">
        <v>1727</v>
      </c>
      <c r="W1156" s="77" t="s">
        <v>1392</v>
      </c>
      <c r="X1156" s="77" t="s">
        <v>1393</v>
      </c>
      <c r="Z1156" s="339">
        <f t="shared" si="235"/>
        <v>65</v>
      </c>
      <c r="AA1156" s="339">
        <f>25</f>
        <v>25</v>
      </c>
      <c r="AB1156" s="76" t="s">
        <v>241</v>
      </c>
      <c r="AC1156" s="76">
        <v>6.6</v>
      </c>
      <c r="AD1156" s="76">
        <v>0.88</v>
      </c>
      <c r="AF1156" s="76" t="s">
        <v>1348</v>
      </c>
      <c r="AG1156" s="76" t="s">
        <v>1522</v>
      </c>
      <c r="AH1156" s="138" t="s">
        <v>1586</v>
      </c>
      <c r="AI1156" s="76" t="s">
        <v>585</v>
      </c>
      <c r="AJ1156" s="140" t="s">
        <v>1632</v>
      </c>
      <c r="AK1156" s="32" t="s">
        <v>779</v>
      </c>
      <c r="AL1156" s="32" t="s">
        <v>779</v>
      </c>
      <c r="AM1156" s="32" t="s">
        <v>178</v>
      </c>
      <c r="AT1156" s="76" t="s">
        <v>120</v>
      </c>
      <c r="AU1156" s="76">
        <v>3</v>
      </c>
      <c r="AW1156" s="76" t="s">
        <v>336</v>
      </c>
      <c r="AY1156" s="76">
        <v>5720</v>
      </c>
      <c r="AZ1156" s="76">
        <v>11</v>
      </c>
      <c r="BM1156" s="414"/>
      <c r="BN1156" s="414"/>
      <c r="BR1156" s="414"/>
      <c r="BS1156" s="414"/>
      <c r="BW1156" s="76">
        <v>11.538800000000002</v>
      </c>
      <c r="BX1156" s="76">
        <v>12.177200000000001</v>
      </c>
      <c r="BY1156" s="32"/>
      <c r="BZ1156" s="32"/>
      <c r="CA1156" s="32" t="s">
        <v>466</v>
      </c>
      <c r="CC1156" s="24"/>
      <c r="CD1156" s="24"/>
      <c r="CE1156" s="24"/>
      <c r="EO1156" s="32"/>
      <c r="ES1156" s="32"/>
      <c r="IO1156" s="32" t="s">
        <v>780</v>
      </c>
    </row>
    <row r="1157" spans="1:251" s="39" customFormat="1" x14ac:dyDescent="0.25">
      <c r="A1157" s="39">
        <v>54</v>
      </c>
      <c r="B1157" s="39" t="s">
        <v>783</v>
      </c>
      <c r="C1157" s="39" t="s">
        <v>784</v>
      </c>
      <c r="D1157" s="39">
        <v>2014</v>
      </c>
      <c r="E1157" s="39">
        <v>2011</v>
      </c>
      <c r="F1157" s="39" t="s">
        <v>785</v>
      </c>
      <c r="G1157" s="39" t="s">
        <v>304</v>
      </c>
      <c r="H1157" s="32" t="s">
        <v>2831</v>
      </c>
      <c r="I1157" s="39">
        <v>40.733333333333334</v>
      </c>
      <c r="J1157" s="39">
        <v>-77.95</v>
      </c>
      <c r="K1157" s="39">
        <v>375.2</v>
      </c>
      <c r="Q1157" s="70" t="s">
        <v>1856</v>
      </c>
      <c r="R1157" s="70" t="s">
        <v>1735</v>
      </c>
      <c r="S1157" s="70"/>
      <c r="T1157" s="70" t="s">
        <v>1975</v>
      </c>
      <c r="U1157" s="70" t="s">
        <v>1381</v>
      </c>
      <c r="V1157" s="70" t="s">
        <v>1381</v>
      </c>
      <c r="W1157" s="70" t="s">
        <v>1381</v>
      </c>
      <c r="X1157" s="70" t="s">
        <v>1381</v>
      </c>
      <c r="Z1157" s="340"/>
      <c r="AA1157" s="340"/>
      <c r="AB1157" s="39" t="s">
        <v>451</v>
      </c>
      <c r="AG1157" s="39" t="s">
        <v>132</v>
      </c>
      <c r="AH1157" s="138" t="s">
        <v>132</v>
      </c>
      <c r="AI1157" s="39" t="s">
        <v>159</v>
      </c>
      <c r="AJ1157" s="141" t="s">
        <v>1626</v>
      </c>
      <c r="AK1157" s="39" t="s">
        <v>786</v>
      </c>
      <c r="AL1157" s="39" t="s">
        <v>786</v>
      </c>
      <c r="AM1157" s="39" t="s">
        <v>178</v>
      </c>
      <c r="AT1157" s="39" t="s">
        <v>161</v>
      </c>
      <c r="BB1157" s="39" t="s">
        <v>787</v>
      </c>
      <c r="BH1157" s="39">
        <v>3100</v>
      </c>
      <c r="BI1157" s="39">
        <v>3100</v>
      </c>
      <c r="BM1157" s="415"/>
      <c r="BN1157" s="415"/>
      <c r="BR1157" s="415"/>
      <c r="BS1157" s="415"/>
      <c r="IM1157" s="39">
        <v>99999</v>
      </c>
      <c r="IO1157" s="39" t="s">
        <v>788</v>
      </c>
      <c r="IQ1157"/>
    </row>
    <row r="1158" spans="1:251" s="39" customFormat="1" x14ac:dyDescent="0.25">
      <c r="A1158" s="39">
        <v>54</v>
      </c>
      <c r="B1158" s="39" t="s">
        <v>783</v>
      </c>
      <c r="C1158" s="39" t="s">
        <v>784</v>
      </c>
      <c r="D1158" s="39">
        <v>2014</v>
      </c>
      <c r="E1158" s="39">
        <v>2011</v>
      </c>
      <c r="F1158" s="39" t="s">
        <v>785</v>
      </c>
      <c r="G1158" s="39" t="s">
        <v>304</v>
      </c>
      <c r="H1158" s="32" t="s">
        <v>2831</v>
      </c>
      <c r="I1158" s="39">
        <v>40.733333333333334</v>
      </c>
      <c r="J1158" s="39">
        <v>-77.95</v>
      </c>
      <c r="K1158" s="39">
        <v>375.2</v>
      </c>
      <c r="Q1158" s="70" t="s">
        <v>1856</v>
      </c>
      <c r="R1158" s="70" t="s">
        <v>1735</v>
      </c>
      <c r="S1158" s="70"/>
      <c r="T1158" s="70" t="s">
        <v>1975</v>
      </c>
      <c r="U1158" s="70" t="s">
        <v>1381</v>
      </c>
      <c r="V1158" s="70" t="s">
        <v>1381</v>
      </c>
      <c r="W1158" s="70" t="s">
        <v>1381</v>
      </c>
      <c r="X1158" s="70" t="s">
        <v>1381</v>
      </c>
      <c r="Z1158" s="340"/>
      <c r="AA1158" s="340"/>
      <c r="AB1158" s="39" t="s">
        <v>451</v>
      </c>
      <c r="AG1158" s="39" t="s">
        <v>132</v>
      </c>
      <c r="AH1158" s="138" t="s">
        <v>132</v>
      </c>
      <c r="AI1158" s="39" t="s">
        <v>117</v>
      </c>
      <c r="AJ1158" s="141" t="s">
        <v>1626</v>
      </c>
      <c r="AK1158" s="39" t="s">
        <v>786</v>
      </c>
      <c r="AL1158" s="39" t="s">
        <v>786</v>
      </c>
      <c r="AM1158" s="39" t="s">
        <v>178</v>
      </c>
      <c r="AT1158" s="39" t="s">
        <v>161</v>
      </c>
      <c r="BB1158" s="39" t="s">
        <v>787</v>
      </c>
      <c r="BH1158" s="39">
        <v>5900</v>
      </c>
      <c r="BI1158" s="39">
        <v>5800</v>
      </c>
      <c r="BM1158" s="415"/>
      <c r="BN1158" s="415"/>
      <c r="BR1158" s="415"/>
      <c r="BS1158" s="415"/>
      <c r="IM1158" s="39">
        <v>99999</v>
      </c>
      <c r="IO1158" s="39" t="s">
        <v>788</v>
      </c>
      <c r="IQ1158"/>
    </row>
    <row r="1159" spans="1:251" s="39" customFormat="1" x14ac:dyDescent="0.25">
      <c r="A1159" s="39">
        <v>54</v>
      </c>
      <c r="B1159" s="39" t="s">
        <v>783</v>
      </c>
      <c r="C1159" s="39" t="s">
        <v>784</v>
      </c>
      <c r="D1159" s="39">
        <v>2014</v>
      </c>
      <c r="E1159" s="39">
        <v>2011</v>
      </c>
      <c r="F1159" s="39" t="s">
        <v>785</v>
      </c>
      <c r="G1159" s="39" t="s">
        <v>304</v>
      </c>
      <c r="H1159" s="32" t="s">
        <v>2831</v>
      </c>
      <c r="I1159" s="39">
        <v>40.733333333333334</v>
      </c>
      <c r="J1159" s="39">
        <v>-77.95</v>
      </c>
      <c r="K1159" s="39">
        <v>375.2</v>
      </c>
      <c r="Q1159" s="70" t="s">
        <v>1856</v>
      </c>
      <c r="R1159" s="70" t="s">
        <v>1735</v>
      </c>
      <c r="S1159" s="70"/>
      <c r="T1159" s="70" t="s">
        <v>1975</v>
      </c>
      <c r="U1159" s="70" t="s">
        <v>1381</v>
      </c>
      <c r="V1159" s="70" t="s">
        <v>1381</v>
      </c>
      <c r="W1159" s="70" t="s">
        <v>1381</v>
      </c>
      <c r="X1159" s="70" t="s">
        <v>1381</v>
      </c>
      <c r="Z1159" s="340"/>
      <c r="AA1159" s="340"/>
      <c r="AB1159" s="39" t="s">
        <v>451</v>
      </c>
      <c r="AG1159" s="39" t="s">
        <v>132</v>
      </c>
      <c r="AH1159" s="138" t="s">
        <v>132</v>
      </c>
      <c r="AI1159" s="39" t="s">
        <v>133</v>
      </c>
      <c r="AJ1159" s="141" t="s">
        <v>1626</v>
      </c>
      <c r="AK1159" s="39" t="s">
        <v>786</v>
      </c>
      <c r="AL1159" s="39" t="s">
        <v>786</v>
      </c>
      <c r="AM1159" s="39" t="s">
        <v>178</v>
      </c>
      <c r="AT1159" s="39" t="s">
        <v>161</v>
      </c>
      <c r="BB1159" s="39" t="s">
        <v>787</v>
      </c>
      <c r="BH1159" s="39">
        <v>8200</v>
      </c>
      <c r="BI1159" s="39">
        <v>8100</v>
      </c>
      <c r="BM1159" s="415"/>
      <c r="BN1159" s="415"/>
      <c r="BR1159" s="415"/>
      <c r="BS1159" s="415"/>
      <c r="IM1159" s="39">
        <v>99999</v>
      </c>
      <c r="IO1159" s="39" t="s">
        <v>788</v>
      </c>
      <c r="IQ1159"/>
    </row>
    <row r="1160" spans="1:251" s="24" customFormat="1" x14ac:dyDescent="0.25">
      <c r="A1160" s="24">
        <v>55</v>
      </c>
      <c r="B1160" s="24" t="s">
        <v>789</v>
      </c>
      <c r="C1160" s="24" t="s">
        <v>790</v>
      </c>
      <c r="D1160" s="24">
        <v>2001</v>
      </c>
      <c r="E1160" s="24">
        <v>1997</v>
      </c>
      <c r="F1160" s="24" t="s">
        <v>795</v>
      </c>
      <c r="G1160" s="24" t="s">
        <v>791</v>
      </c>
      <c r="H1160" s="32" t="s">
        <v>2831</v>
      </c>
      <c r="I1160" s="24">
        <v>45.23</v>
      </c>
      <c r="J1160" s="24">
        <v>-122.756</v>
      </c>
      <c r="K1160" s="24">
        <v>48.4</v>
      </c>
      <c r="Q1160" s="42" t="s">
        <v>1984</v>
      </c>
      <c r="R1160" s="42" t="s">
        <v>1869</v>
      </c>
      <c r="S1160" s="42"/>
      <c r="T1160" s="42" t="s">
        <v>1980</v>
      </c>
      <c r="U1160" s="42" t="s">
        <v>1384</v>
      </c>
      <c r="V1160" s="42" t="s">
        <v>1723</v>
      </c>
      <c r="W1160" s="42" t="s">
        <v>1384</v>
      </c>
      <c r="X1160" s="42" t="s">
        <v>1384</v>
      </c>
      <c r="Z1160" s="321">
        <v>28</v>
      </c>
      <c r="AA1160" s="321">
        <v>54</v>
      </c>
      <c r="AB1160" s="24" t="s">
        <v>451</v>
      </c>
      <c r="AC1160" s="24">
        <v>5.4</v>
      </c>
      <c r="AD1160" s="24">
        <v>1.71</v>
      </c>
      <c r="AF1160" s="24" t="s">
        <v>1349</v>
      </c>
      <c r="AG1160" s="24" t="s">
        <v>792</v>
      </c>
      <c r="AH1160" s="138" t="s">
        <v>1585</v>
      </c>
      <c r="AI1160" s="24" t="s">
        <v>635</v>
      </c>
      <c r="AJ1160" s="140" t="s">
        <v>1630</v>
      </c>
      <c r="AK1160" s="24" t="s">
        <v>799</v>
      </c>
      <c r="AL1160" s="24" t="s">
        <v>799</v>
      </c>
      <c r="AM1160" s="24" t="s">
        <v>178</v>
      </c>
      <c r="AT1160" s="24" t="s">
        <v>120</v>
      </c>
      <c r="AU1160" s="24">
        <v>4</v>
      </c>
      <c r="AW1160" s="24" t="s">
        <v>142</v>
      </c>
      <c r="BM1160" s="395"/>
      <c r="BN1160" s="395"/>
      <c r="BR1160" s="395"/>
      <c r="BS1160" s="395"/>
      <c r="FX1160" s="24">
        <v>0.96</v>
      </c>
      <c r="FY1160" s="24">
        <v>1.1200000000000001</v>
      </c>
      <c r="GB1160" s="24" t="s">
        <v>803</v>
      </c>
      <c r="IO1160" s="24" t="s">
        <v>804</v>
      </c>
    </row>
    <row r="1161" spans="1:251" s="24" customFormat="1" x14ac:dyDescent="0.25">
      <c r="A1161" s="24">
        <v>55</v>
      </c>
      <c r="B1161" s="24" t="s">
        <v>789</v>
      </c>
      <c r="C1161" s="24" t="s">
        <v>790</v>
      </c>
      <c r="D1161" s="24">
        <v>2001</v>
      </c>
      <c r="E1161" s="24">
        <v>1997</v>
      </c>
      <c r="F1161" s="24" t="s">
        <v>795</v>
      </c>
      <c r="G1161" s="24" t="s">
        <v>791</v>
      </c>
      <c r="H1161" s="32" t="s">
        <v>2831</v>
      </c>
      <c r="I1161" s="24">
        <v>45.23</v>
      </c>
      <c r="J1161" s="24">
        <v>-122.756</v>
      </c>
      <c r="K1161" s="24">
        <v>48.4</v>
      </c>
      <c r="Q1161" s="42" t="s">
        <v>1984</v>
      </c>
      <c r="R1161" s="42" t="s">
        <v>1869</v>
      </c>
      <c r="S1161" s="42"/>
      <c r="T1161" s="42" t="s">
        <v>1980</v>
      </c>
      <c r="U1161" s="42" t="s">
        <v>1384</v>
      </c>
      <c r="V1161" s="42" t="s">
        <v>1723</v>
      </c>
      <c r="W1161" s="42" t="s">
        <v>1384</v>
      </c>
      <c r="X1161" s="42" t="s">
        <v>1384</v>
      </c>
      <c r="Z1161" s="321">
        <v>28</v>
      </c>
      <c r="AA1161" s="321">
        <v>54</v>
      </c>
      <c r="AB1161" s="24" t="s">
        <v>451</v>
      </c>
      <c r="AC1161" s="24">
        <v>5.4</v>
      </c>
      <c r="AD1161" s="24">
        <v>1.71</v>
      </c>
      <c r="AF1161" s="24" t="s">
        <v>1349</v>
      </c>
      <c r="AG1161" s="24" t="s">
        <v>1582</v>
      </c>
      <c r="AH1161" s="138" t="s">
        <v>1586</v>
      </c>
      <c r="AI1161" s="24" t="s">
        <v>635</v>
      </c>
      <c r="AJ1161" s="140" t="s">
        <v>1630</v>
      </c>
      <c r="AK1161" s="24" t="s">
        <v>799</v>
      </c>
      <c r="AL1161" s="24" t="s">
        <v>799</v>
      </c>
      <c r="AM1161" s="24" t="s">
        <v>178</v>
      </c>
      <c r="AT1161" s="24" t="s">
        <v>120</v>
      </c>
      <c r="AU1161" s="24">
        <v>4</v>
      </c>
      <c r="AW1161" s="24" t="s">
        <v>142</v>
      </c>
      <c r="BM1161" s="395"/>
      <c r="BN1161" s="395"/>
      <c r="BR1161" s="395"/>
      <c r="BS1161" s="395"/>
      <c r="FX1161" s="24">
        <v>0.96</v>
      </c>
      <c r="FY1161" s="24">
        <v>0.84</v>
      </c>
      <c r="GB1161" s="24" t="s">
        <v>803</v>
      </c>
      <c r="IO1161" s="24" t="s">
        <v>804</v>
      </c>
    </row>
    <row r="1162" spans="1:251" s="40" customFormat="1" x14ac:dyDescent="0.25">
      <c r="A1162" s="40">
        <v>55</v>
      </c>
      <c r="B1162" s="40" t="s">
        <v>789</v>
      </c>
      <c r="C1162" s="40" t="s">
        <v>790</v>
      </c>
      <c r="D1162" s="40">
        <v>2001</v>
      </c>
      <c r="E1162" s="40">
        <v>1997</v>
      </c>
      <c r="F1162" s="40" t="s">
        <v>795</v>
      </c>
      <c r="G1162" s="40" t="s">
        <v>796</v>
      </c>
      <c r="H1162" s="32" t="s">
        <v>2831</v>
      </c>
      <c r="I1162" s="40">
        <v>44.56</v>
      </c>
      <c r="J1162" s="40">
        <v>-123.26</v>
      </c>
      <c r="K1162" s="40">
        <v>59.6</v>
      </c>
      <c r="Q1162" s="71" t="s">
        <v>1729</v>
      </c>
      <c r="R1162" s="71" t="s">
        <v>1741</v>
      </c>
      <c r="S1162" s="71"/>
      <c r="T1162" s="71" t="s">
        <v>1976</v>
      </c>
      <c r="U1162" s="71" t="s">
        <v>1384</v>
      </c>
      <c r="V1162" s="71" t="s">
        <v>1723</v>
      </c>
      <c r="W1162" s="71" t="s">
        <v>1384</v>
      </c>
      <c r="X1162" s="71" t="s">
        <v>1384</v>
      </c>
      <c r="Z1162" s="341">
        <v>22</v>
      </c>
      <c r="AA1162" s="341">
        <v>52</v>
      </c>
      <c r="AB1162" s="40" t="s">
        <v>451</v>
      </c>
      <c r="AC1162" s="40">
        <v>5.9</v>
      </c>
      <c r="AD1162" s="40">
        <v>1.65</v>
      </c>
      <c r="AF1162" s="40" t="s">
        <v>1349</v>
      </c>
      <c r="AG1162" s="40" t="s">
        <v>1582</v>
      </c>
      <c r="AH1162" s="138" t="s">
        <v>1586</v>
      </c>
      <c r="AI1162" s="40" t="s">
        <v>798</v>
      </c>
      <c r="AJ1162" s="140" t="s">
        <v>1630</v>
      </c>
      <c r="AK1162" s="40" t="s">
        <v>800</v>
      </c>
      <c r="AL1162" s="40" t="s">
        <v>800</v>
      </c>
      <c r="AM1162" s="40" t="s">
        <v>178</v>
      </c>
      <c r="AT1162" s="40" t="s">
        <v>120</v>
      </c>
      <c r="AU1162" s="40">
        <v>4</v>
      </c>
      <c r="AW1162" s="40" t="s">
        <v>142</v>
      </c>
      <c r="BM1162" s="416"/>
      <c r="BN1162" s="416"/>
      <c r="BR1162" s="416"/>
      <c r="BS1162" s="416"/>
      <c r="FX1162" s="40">
        <v>1.74</v>
      </c>
      <c r="FY1162" s="40">
        <v>4.7699999999999996</v>
      </c>
      <c r="GB1162" s="40" t="s">
        <v>803</v>
      </c>
      <c r="IO1162" s="40" t="s">
        <v>804</v>
      </c>
    </row>
    <row r="1163" spans="1:251" s="24" customFormat="1" x14ac:dyDescent="0.25">
      <c r="A1163" s="24">
        <v>55</v>
      </c>
      <c r="B1163" s="24" t="s">
        <v>789</v>
      </c>
      <c r="C1163" s="24" t="s">
        <v>790</v>
      </c>
      <c r="D1163" s="24">
        <v>2001</v>
      </c>
      <c r="E1163" s="24">
        <v>1997</v>
      </c>
      <c r="F1163" s="24" t="s">
        <v>795</v>
      </c>
      <c r="G1163" s="24" t="s">
        <v>793</v>
      </c>
      <c r="H1163" s="32" t="s">
        <v>2831</v>
      </c>
      <c r="I1163" s="24">
        <v>44.94</v>
      </c>
      <c r="J1163" s="24">
        <v>-123.04</v>
      </c>
      <c r="K1163" s="24">
        <v>49.3</v>
      </c>
      <c r="Q1163" s="42">
        <v>1</v>
      </c>
      <c r="R1163" s="42" t="s">
        <v>1986</v>
      </c>
      <c r="S1163" s="42"/>
      <c r="T1163" s="42" t="s">
        <v>1985</v>
      </c>
      <c r="U1163" s="42" t="s">
        <v>1384</v>
      </c>
      <c r="V1163" s="42" t="s">
        <v>1723</v>
      </c>
      <c r="W1163" s="42" t="s">
        <v>1384</v>
      </c>
      <c r="X1163" s="42" t="s">
        <v>1384</v>
      </c>
      <c r="Z1163" s="321">
        <v>46</v>
      </c>
      <c r="AA1163" s="321">
        <v>38</v>
      </c>
      <c r="AB1163" s="24" t="s">
        <v>607</v>
      </c>
      <c r="AC1163" s="24">
        <v>6.2</v>
      </c>
      <c r="AD1163" s="24">
        <v>2.02</v>
      </c>
      <c r="AF1163" s="24" t="s">
        <v>1349</v>
      </c>
      <c r="AG1163" s="24" t="s">
        <v>1582</v>
      </c>
      <c r="AH1163" s="138" t="s">
        <v>1586</v>
      </c>
      <c r="AI1163" s="24" t="s">
        <v>798</v>
      </c>
      <c r="AJ1163" s="140" t="s">
        <v>1630</v>
      </c>
      <c r="AK1163" s="24" t="s">
        <v>801</v>
      </c>
      <c r="AL1163" s="24" t="s">
        <v>801</v>
      </c>
      <c r="AM1163" s="24" t="s">
        <v>178</v>
      </c>
      <c r="AT1163" s="24" t="s">
        <v>120</v>
      </c>
      <c r="AU1163" s="24">
        <v>4</v>
      </c>
      <c r="AW1163" s="24" t="s">
        <v>142</v>
      </c>
      <c r="BM1163" s="395"/>
      <c r="BN1163" s="395"/>
      <c r="BR1163" s="395"/>
      <c r="BS1163" s="395"/>
      <c r="FX1163" s="24">
        <v>0.35</v>
      </c>
      <c r="FY1163" s="24">
        <v>1.34</v>
      </c>
      <c r="GB1163" s="24" t="s">
        <v>803</v>
      </c>
      <c r="IO1163" s="24" t="s">
        <v>804</v>
      </c>
    </row>
    <row r="1164" spans="1:251" s="40" customFormat="1" x14ac:dyDescent="0.25">
      <c r="A1164" s="40">
        <v>55</v>
      </c>
      <c r="B1164" s="40" t="s">
        <v>789</v>
      </c>
      <c r="C1164" s="40" t="s">
        <v>790</v>
      </c>
      <c r="D1164" s="40">
        <v>2001</v>
      </c>
      <c r="E1164" s="40">
        <v>1997</v>
      </c>
      <c r="F1164" s="40" t="s">
        <v>795</v>
      </c>
      <c r="G1164" s="40" t="s">
        <v>794</v>
      </c>
      <c r="H1164" s="32" t="s">
        <v>2831</v>
      </c>
      <c r="I1164" s="40">
        <v>45.01</v>
      </c>
      <c r="J1164" s="40">
        <v>-122.78</v>
      </c>
      <c r="K1164" s="40">
        <v>78.5</v>
      </c>
      <c r="Q1164" s="71">
        <v>1</v>
      </c>
      <c r="R1164" s="71" t="s">
        <v>1986</v>
      </c>
      <c r="S1164" s="71"/>
      <c r="T1164" s="71" t="s">
        <v>1985</v>
      </c>
      <c r="U1164" s="71" t="s">
        <v>1384</v>
      </c>
      <c r="V1164" s="71" t="s">
        <v>1723</v>
      </c>
      <c r="W1164" s="71" t="s">
        <v>1384</v>
      </c>
      <c r="X1164" s="71" t="s">
        <v>1384</v>
      </c>
      <c r="Z1164" s="341">
        <v>7</v>
      </c>
      <c r="AA1164" s="341">
        <v>67</v>
      </c>
      <c r="AB1164" s="40" t="s">
        <v>797</v>
      </c>
      <c r="AC1164" s="40">
        <v>5.9</v>
      </c>
      <c r="AD1164" s="40">
        <v>1.77</v>
      </c>
      <c r="AF1164" s="40" t="s">
        <v>1349</v>
      </c>
      <c r="AG1164" s="40" t="s">
        <v>1582</v>
      </c>
      <c r="AH1164" s="138" t="s">
        <v>1586</v>
      </c>
      <c r="AI1164" s="40" t="s">
        <v>634</v>
      </c>
      <c r="AJ1164" s="140" t="s">
        <v>1630</v>
      </c>
      <c r="AK1164" s="40" t="s">
        <v>802</v>
      </c>
      <c r="AL1164" s="40" t="s">
        <v>802</v>
      </c>
      <c r="AM1164" s="40" t="s">
        <v>178</v>
      </c>
      <c r="AT1164" s="40" t="s">
        <v>120</v>
      </c>
      <c r="AU1164" s="40">
        <v>4</v>
      </c>
      <c r="AW1164" s="40" t="s">
        <v>142</v>
      </c>
      <c r="BM1164" s="416"/>
      <c r="BN1164" s="416"/>
      <c r="BR1164" s="416"/>
      <c r="BS1164" s="416"/>
      <c r="FX1164" s="40">
        <v>3.23</v>
      </c>
      <c r="FY1164" s="40">
        <v>3.89</v>
      </c>
      <c r="GB1164" s="40" t="s">
        <v>803</v>
      </c>
      <c r="IO1164" s="40" t="s">
        <v>804</v>
      </c>
    </row>
    <row r="1165" spans="1:251" s="24" customFormat="1" x14ac:dyDescent="0.25">
      <c r="A1165" s="24">
        <v>55</v>
      </c>
      <c r="B1165" s="24" t="s">
        <v>789</v>
      </c>
      <c r="C1165" s="24" t="s">
        <v>790</v>
      </c>
      <c r="D1165" s="24">
        <v>2001</v>
      </c>
      <c r="E1165" s="24">
        <v>1998</v>
      </c>
      <c r="F1165" s="24" t="s">
        <v>795</v>
      </c>
      <c r="G1165" s="24" t="s">
        <v>796</v>
      </c>
      <c r="H1165" s="32" t="s">
        <v>2831</v>
      </c>
      <c r="I1165" s="24">
        <v>44.56</v>
      </c>
      <c r="J1165" s="24">
        <v>-123.26</v>
      </c>
      <c r="K1165" s="24">
        <v>59.6</v>
      </c>
      <c r="Q1165" s="42" t="s">
        <v>1852</v>
      </c>
      <c r="R1165" s="42" t="s">
        <v>1741</v>
      </c>
      <c r="S1165" s="42"/>
      <c r="T1165" s="42" t="s">
        <v>1977</v>
      </c>
      <c r="U1165" s="42" t="s">
        <v>1384</v>
      </c>
      <c r="V1165" s="42" t="s">
        <v>1723</v>
      </c>
      <c r="W1165" s="42" t="s">
        <v>1384</v>
      </c>
      <c r="X1165" s="42" t="s">
        <v>1384</v>
      </c>
      <c r="Z1165" s="321">
        <v>22</v>
      </c>
      <c r="AA1165" s="321">
        <v>52</v>
      </c>
      <c r="AB1165" s="24" t="s">
        <v>451</v>
      </c>
      <c r="AC1165" s="24">
        <v>5.9</v>
      </c>
      <c r="AD1165" s="24">
        <v>1.65</v>
      </c>
      <c r="AF1165" s="24" t="s">
        <v>1349</v>
      </c>
      <c r="AG1165" s="24" t="s">
        <v>1582</v>
      </c>
      <c r="AH1165" s="138" t="s">
        <v>1586</v>
      </c>
      <c r="AI1165" s="24" t="s">
        <v>805</v>
      </c>
      <c r="AJ1165" s="140" t="s">
        <v>1630</v>
      </c>
      <c r="AK1165" s="24" t="s">
        <v>800</v>
      </c>
      <c r="AL1165" s="24" t="s">
        <v>800</v>
      </c>
      <c r="AM1165" s="24" t="s">
        <v>178</v>
      </c>
      <c r="AT1165" s="24" t="s">
        <v>120</v>
      </c>
      <c r="AU1165" s="24">
        <v>4</v>
      </c>
      <c r="AW1165" s="24" t="s">
        <v>142</v>
      </c>
      <c r="BM1165" s="395"/>
      <c r="BN1165" s="395"/>
      <c r="BR1165" s="395"/>
      <c r="BS1165" s="395"/>
      <c r="FX1165" s="24">
        <v>9.15</v>
      </c>
      <c r="FY1165" s="24">
        <v>15.2</v>
      </c>
      <c r="GB1165" s="24" t="s">
        <v>803</v>
      </c>
      <c r="IO1165" s="24" t="s">
        <v>804</v>
      </c>
    </row>
    <row r="1166" spans="1:251" s="24" customFormat="1" x14ac:dyDescent="0.25">
      <c r="A1166" s="24">
        <v>55</v>
      </c>
      <c r="B1166" s="24" t="s">
        <v>789</v>
      </c>
      <c r="C1166" s="24" t="s">
        <v>790</v>
      </c>
      <c r="D1166" s="24">
        <v>2001</v>
      </c>
      <c r="E1166" s="24">
        <v>1998</v>
      </c>
      <c r="F1166" s="24" t="s">
        <v>795</v>
      </c>
      <c r="G1166" s="24" t="s">
        <v>796</v>
      </c>
      <c r="H1166" s="32" t="s">
        <v>2831</v>
      </c>
      <c r="I1166" s="24">
        <v>44.56</v>
      </c>
      <c r="J1166" s="24">
        <v>-123.26</v>
      </c>
      <c r="K1166" s="24">
        <v>59.6</v>
      </c>
      <c r="Q1166" s="42" t="s">
        <v>1852</v>
      </c>
      <c r="R1166" s="42" t="s">
        <v>1741</v>
      </c>
      <c r="S1166" s="42"/>
      <c r="T1166" s="42" t="s">
        <v>1978</v>
      </c>
      <c r="U1166" s="42" t="s">
        <v>1384</v>
      </c>
      <c r="V1166" s="42" t="s">
        <v>1723</v>
      </c>
      <c r="W1166" s="42" t="s">
        <v>1384</v>
      </c>
      <c r="X1166" s="42" t="s">
        <v>1384</v>
      </c>
      <c r="Z1166" s="321">
        <v>22</v>
      </c>
      <c r="AA1166" s="321">
        <v>52</v>
      </c>
      <c r="AB1166" s="24" t="s">
        <v>451</v>
      </c>
      <c r="AC1166" s="24">
        <v>5.9</v>
      </c>
      <c r="AD1166" s="24">
        <v>1.65</v>
      </c>
      <c r="AF1166" s="24" t="s">
        <v>1349</v>
      </c>
      <c r="AG1166" s="24" t="s">
        <v>1582</v>
      </c>
      <c r="AH1166" s="138" t="s">
        <v>1586</v>
      </c>
      <c r="AI1166" s="24" t="s">
        <v>805</v>
      </c>
      <c r="AJ1166" s="140" t="s">
        <v>1630</v>
      </c>
      <c r="AK1166" s="24" t="s">
        <v>800</v>
      </c>
      <c r="AL1166" s="24" t="s">
        <v>800</v>
      </c>
      <c r="AM1166" s="24" t="s">
        <v>178</v>
      </c>
      <c r="AT1166" s="24" t="s">
        <v>120</v>
      </c>
      <c r="AU1166" s="24">
        <v>4</v>
      </c>
      <c r="AW1166" s="24" t="s">
        <v>142</v>
      </c>
      <c r="BM1166" s="395"/>
      <c r="BN1166" s="395"/>
      <c r="BR1166" s="395"/>
      <c r="BS1166" s="395"/>
      <c r="FX1166" s="24">
        <v>3.58</v>
      </c>
      <c r="FY1166" s="24">
        <v>6.58</v>
      </c>
      <c r="GB1166" s="24" t="s">
        <v>803</v>
      </c>
      <c r="IO1166" s="24" t="s">
        <v>804</v>
      </c>
    </row>
    <row r="1167" spans="1:251" s="24" customFormat="1" x14ac:dyDescent="0.25">
      <c r="A1167" s="24">
        <v>55</v>
      </c>
      <c r="B1167" s="24" t="s">
        <v>789</v>
      </c>
      <c r="C1167" s="24" t="s">
        <v>790</v>
      </c>
      <c r="D1167" s="24">
        <v>2001</v>
      </c>
      <c r="E1167" s="24">
        <v>1998</v>
      </c>
      <c r="F1167" s="24" t="s">
        <v>795</v>
      </c>
      <c r="G1167" s="24" t="s">
        <v>796</v>
      </c>
      <c r="H1167" s="32" t="s">
        <v>2831</v>
      </c>
      <c r="I1167" s="24">
        <v>44.56</v>
      </c>
      <c r="J1167" s="24">
        <v>-123.26</v>
      </c>
      <c r="K1167" s="24">
        <v>59.6</v>
      </c>
      <c r="Q1167" s="42" t="s">
        <v>1852</v>
      </c>
      <c r="R1167" s="42" t="s">
        <v>1741</v>
      </c>
      <c r="S1167" s="42"/>
      <c r="T1167" s="42" t="s">
        <v>1979</v>
      </c>
      <c r="U1167" s="42" t="s">
        <v>1384</v>
      </c>
      <c r="V1167" s="42" t="s">
        <v>1723</v>
      </c>
      <c r="W1167" s="42" t="s">
        <v>1384</v>
      </c>
      <c r="X1167" s="42" t="s">
        <v>1384</v>
      </c>
      <c r="Z1167" s="321">
        <v>22</v>
      </c>
      <c r="AA1167" s="321">
        <v>52</v>
      </c>
      <c r="AB1167" s="24" t="s">
        <v>451</v>
      </c>
      <c r="AC1167" s="24">
        <v>5.9</v>
      </c>
      <c r="AD1167" s="24">
        <v>1.65</v>
      </c>
      <c r="AF1167" s="24" t="s">
        <v>1349</v>
      </c>
      <c r="AG1167" s="24" t="s">
        <v>1582</v>
      </c>
      <c r="AH1167" s="138" t="s">
        <v>1586</v>
      </c>
      <c r="AI1167" s="24" t="s">
        <v>805</v>
      </c>
      <c r="AJ1167" s="140" t="s">
        <v>1630</v>
      </c>
      <c r="AK1167" s="24" t="s">
        <v>800</v>
      </c>
      <c r="AL1167" s="24" t="s">
        <v>800</v>
      </c>
      <c r="AM1167" s="24" t="s">
        <v>178</v>
      </c>
      <c r="AT1167" s="24" t="s">
        <v>120</v>
      </c>
      <c r="AU1167" s="24">
        <v>4</v>
      </c>
      <c r="AW1167" s="24" t="s">
        <v>142</v>
      </c>
      <c r="BM1167" s="395"/>
      <c r="BN1167" s="395"/>
      <c r="BR1167" s="395"/>
      <c r="BS1167" s="395"/>
      <c r="FX1167" s="24">
        <v>1.95</v>
      </c>
      <c r="FY1167" s="24">
        <v>3.05</v>
      </c>
      <c r="GB1167" s="24" t="s">
        <v>803</v>
      </c>
      <c r="IO1167" s="24" t="s">
        <v>804</v>
      </c>
    </row>
    <row r="1168" spans="1:251" s="32" customFormat="1" x14ac:dyDescent="0.25">
      <c r="A1168" s="32">
        <v>55</v>
      </c>
      <c r="B1168" s="32" t="s">
        <v>789</v>
      </c>
      <c r="C1168" s="32" t="s">
        <v>790</v>
      </c>
      <c r="D1168" s="32">
        <v>2001</v>
      </c>
      <c r="E1168" s="32">
        <v>1998</v>
      </c>
      <c r="F1168" s="32" t="s">
        <v>795</v>
      </c>
      <c r="G1168" s="32" t="s">
        <v>791</v>
      </c>
      <c r="H1168" s="32" t="s">
        <v>2831</v>
      </c>
      <c r="I1168" s="32">
        <v>45.23</v>
      </c>
      <c r="J1168" s="32">
        <v>-122.756</v>
      </c>
      <c r="K1168" s="32">
        <v>48.4</v>
      </c>
      <c r="Q1168" s="44" t="s">
        <v>1726</v>
      </c>
      <c r="R1168" s="44" t="s">
        <v>1869</v>
      </c>
      <c r="S1168" s="44"/>
      <c r="T1168" s="44" t="s">
        <v>1981</v>
      </c>
      <c r="U1168" s="44" t="s">
        <v>1384</v>
      </c>
      <c r="V1168" s="44" t="s">
        <v>1723</v>
      </c>
      <c r="W1168" s="44" t="s">
        <v>1384</v>
      </c>
      <c r="X1168" s="44" t="s">
        <v>1384</v>
      </c>
      <c r="Z1168" s="323">
        <v>28</v>
      </c>
      <c r="AA1168" s="323">
        <v>54</v>
      </c>
      <c r="AB1168" s="32" t="s">
        <v>451</v>
      </c>
      <c r="AC1168" s="32">
        <v>5.4</v>
      </c>
      <c r="AD1168" s="32">
        <v>1.71</v>
      </c>
      <c r="AF1168" s="32" t="s">
        <v>1349</v>
      </c>
      <c r="AG1168" s="32" t="s">
        <v>792</v>
      </c>
      <c r="AH1168" s="138" t="s">
        <v>1585</v>
      </c>
      <c r="AI1168" s="32" t="s">
        <v>798</v>
      </c>
      <c r="AJ1168" s="140" t="s">
        <v>1630</v>
      </c>
      <c r="AK1168" s="32" t="s">
        <v>799</v>
      </c>
      <c r="AL1168" s="32" t="s">
        <v>799</v>
      </c>
      <c r="AM1168" s="32" t="s">
        <v>178</v>
      </c>
      <c r="AT1168" s="32" t="s">
        <v>120</v>
      </c>
      <c r="AU1168" s="32">
        <v>4</v>
      </c>
      <c r="AW1168" s="32" t="s">
        <v>142</v>
      </c>
      <c r="BM1168" s="397"/>
      <c r="BN1168" s="397"/>
      <c r="BR1168" s="397"/>
      <c r="BS1168" s="397"/>
      <c r="GH1168" s="32">
        <v>2.87</v>
      </c>
      <c r="GI1168" s="32">
        <v>2.79</v>
      </c>
      <c r="GL1168" s="32" t="s">
        <v>806</v>
      </c>
      <c r="IO1168" s="32" t="s">
        <v>804</v>
      </c>
    </row>
    <row r="1169" spans="1:249" s="32" customFormat="1" x14ac:dyDescent="0.25">
      <c r="A1169" s="32">
        <v>55</v>
      </c>
      <c r="B1169" s="32" t="s">
        <v>789</v>
      </c>
      <c r="C1169" s="32" t="s">
        <v>790</v>
      </c>
      <c r="D1169" s="32">
        <v>2001</v>
      </c>
      <c r="E1169" s="32">
        <v>1998</v>
      </c>
      <c r="F1169" s="32" t="s">
        <v>795</v>
      </c>
      <c r="G1169" s="32" t="s">
        <v>791</v>
      </c>
      <c r="H1169" s="32" t="s">
        <v>2831</v>
      </c>
      <c r="I1169" s="32">
        <v>45.23</v>
      </c>
      <c r="J1169" s="32">
        <v>-122.756</v>
      </c>
      <c r="K1169" s="32">
        <v>48.4</v>
      </c>
      <c r="Q1169" s="44" t="s">
        <v>1726</v>
      </c>
      <c r="R1169" s="44" t="s">
        <v>1869</v>
      </c>
      <c r="S1169" s="44"/>
      <c r="T1169" s="44" t="s">
        <v>1981</v>
      </c>
      <c r="U1169" s="44" t="s">
        <v>1384</v>
      </c>
      <c r="V1169" s="44" t="s">
        <v>1723</v>
      </c>
      <c r="W1169" s="44" t="s">
        <v>1384</v>
      </c>
      <c r="X1169" s="44" t="s">
        <v>1384</v>
      </c>
      <c r="Z1169" s="323">
        <v>28</v>
      </c>
      <c r="AA1169" s="323">
        <v>54</v>
      </c>
      <c r="AB1169" s="32" t="s">
        <v>451</v>
      </c>
      <c r="AC1169" s="32">
        <v>5.4</v>
      </c>
      <c r="AD1169" s="32">
        <v>1.71</v>
      </c>
      <c r="AF1169" s="32" t="s">
        <v>1349</v>
      </c>
      <c r="AG1169" s="32" t="s">
        <v>1582</v>
      </c>
      <c r="AH1169" s="138" t="s">
        <v>1586</v>
      </c>
      <c r="AI1169" s="32" t="s">
        <v>798</v>
      </c>
      <c r="AJ1169" s="140" t="s">
        <v>1630</v>
      </c>
      <c r="AK1169" s="32" t="s">
        <v>799</v>
      </c>
      <c r="AL1169" s="32" t="s">
        <v>799</v>
      </c>
      <c r="AM1169" s="32" t="s">
        <v>178</v>
      </c>
      <c r="AT1169" s="32" t="s">
        <v>120</v>
      </c>
      <c r="AU1169" s="32">
        <v>4</v>
      </c>
      <c r="AW1169" s="32" t="s">
        <v>142</v>
      </c>
      <c r="BM1169" s="397"/>
      <c r="BN1169" s="397"/>
      <c r="BR1169" s="397"/>
      <c r="BS1169" s="397"/>
      <c r="GH1169" s="32">
        <v>2.87</v>
      </c>
      <c r="GI1169" s="32">
        <v>2.83</v>
      </c>
      <c r="GL1169" s="32" t="s">
        <v>806</v>
      </c>
      <c r="IO1169" s="32" t="s">
        <v>804</v>
      </c>
    </row>
    <row r="1170" spans="1:249" s="40" customFormat="1" x14ac:dyDescent="0.25">
      <c r="A1170" s="40">
        <v>55</v>
      </c>
      <c r="B1170" s="40" t="s">
        <v>789</v>
      </c>
      <c r="C1170" s="40" t="s">
        <v>790</v>
      </c>
      <c r="D1170" s="40">
        <v>2001</v>
      </c>
      <c r="E1170" s="40">
        <v>1998</v>
      </c>
      <c r="F1170" s="40" t="s">
        <v>795</v>
      </c>
      <c r="G1170" s="40" t="s">
        <v>796</v>
      </c>
      <c r="H1170" s="32" t="s">
        <v>2831</v>
      </c>
      <c r="I1170" s="40">
        <v>44.56</v>
      </c>
      <c r="J1170" s="40">
        <v>-123.26</v>
      </c>
      <c r="K1170" s="40">
        <v>59.6</v>
      </c>
      <c r="Q1170" s="71" t="s">
        <v>1741</v>
      </c>
      <c r="R1170" s="71" t="s">
        <v>1741</v>
      </c>
      <c r="S1170" s="71"/>
      <c r="T1170" s="71" t="s">
        <v>1977</v>
      </c>
      <c r="U1170" s="71" t="s">
        <v>1384</v>
      </c>
      <c r="V1170" s="71" t="s">
        <v>1723</v>
      </c>
      <c r="W1170" s="71" t="s">
        <v>1384</v>
      </c>
      <c r="X1170" s="71" t="s">
        <v>1384</v>
      </c>
      <c r="Z1170" s="341">
        <v>22</v>
      </c>
      <c r="AA1170" s="341">
        <v>52</v>
      </c>
      <c r="AB1170" s="40" t="s">
        <v>451</v>
      </c>
      <c r="AC1170" s="40">
        <v>5.9</v>
      </c>
      <c r="AD1170" s="40">
        <v>1.65</v>
      </c>
      <c r="AF1170" s="40" t="s">
        <v>1349</v>
      </c>
      <c r="AG1170" s="40" t="s">
        <v>1582</v>
      </c>
      <c r="AH1170" s="138" t="s">
        <v>1586</v>
      </c>
      <c r="AI1170" s="40" t="s">
        <v>805</v>
      </c>
      <c r="AJ1170" s="140" t="s">
        <v>1630</v>
      </c>
      <c r="AK1170" s="40" t="s">
        <v>800</v>
      </c>
      <c r="AL1170" s="40" t="s">
        <v>800</v>
      </c>
      <c r="AM1170" s="40" t="s">
        <v>178</v>
      </c>
      <c r="AT1170" s="40" t="s">
        <v>120</v>
      </c>
      <c r="AU1170" s="40">
        <v>4</v>
      </c>
      <c r="AW1170" s="40" t="s">
        <v>142</v>
      </c>
      <c r="BM1170" s="416"/>
      <c r="BN1170" s="416"/>
      <c r="BR1170" s="416"/>
      <c r="BS1170" s="416"/>
      <c r="GH1170" s="40">
        <v>2.98</v>
      </c>
      <c r="GI1170" s="40">
        <v>3.05</v>
      </c>
      <c r="GL1170" s="40" t="s">
        <v>806</v>
      </c>
      <c r="IO1170" s="40" t="s">
        <v>804</v>
      </c>
    </row>
    <row r="1171" spans="1:249" s="32" customFormat="1" x14ac:dyDescent="0.25">
      <c r="A1171" s="32">
        <v>55</v>
      </c>
      <c r="B1171" s="32" t="s">
        <v>789</v>
      </c>
      <c r="C1171" s="32" t="s">
        <v>790</v>
      </c>
      <c r="D1171" s="32">
        <v>2001</v>
      </c>
      <c r="E1171" s="32">
        <v>1999</v>
      </c>
      <c r="F1171" s="32" t="s">
        <v>795</v>
      </c>
      <c r="G1171" s="32" t="s">
        <v>791</v>
      </c>
      <c r="H1171" s="32" t="s">
        <v>2831</v>
      </c>
      <c r="I1171" s="32">
        <v>45.23</v>
      </c>
      <c r="J1171" s="32">
        <v>-122.756</v>
      </c>
      <c r="K1171" s="32">
        <v>48.4</v>
      </c>
      <c r="Q1171" s="44" t="s">
        <v>1869</v>
      </c>
      <c r="R1171" s="44" t="s">
        <v>1869</v>
      </c>
      <c r="S1171" s="44"/>
      <c r="T1171" s="44" t="s">
        <v>1981</v>
      </c>
      <c r="U1171" s="44" t="s">
        <v>1384</v>
      </c>
      <c r="V1171" s="44" t="s">
        <v>1723</v>
      </c>
      <c r="W1171" s="44" t="s">
        <v>1384</v>
      </c>
      <c r="X1171" s="44" t="s">
        <v>1384</v>
      </c>
      <c r="Z1171" s="323">
        <v>28</v>
      </c>
      <c r="AA1171" s="323">
        <v>54</v>
      </c>
      <c r="AB1171" s="32" t="s">
        <v>451</v>
      </c>
      <c r="AC1171" s="32">
        <v>5.4</v>
      </c>
      <c r="AD1171" s="32">
        <v>1.71</v>
      </c>
      <c r="AF1171" s="32" t="s">
        <v>1349</v>
      </c>
      <c r="AG1171" s="32" t="s">
        <v>792</v>
      </c>
      <c r="AH1171" s="138" t="s">
        <v>1585</v>
      </c>
      <c r="AI1171" s="32" t="s">
        <v>805</v>
      </c>
      <c r="AJ1171" s="140" t="s">
        <v>1630</v>
      </c>
      <c r="AK1171" s="32" t="s">
        <v>799</v>
      </c>
      <c r="AL1171" s="32" t="s">
        <v>799</v>
      </c>
      <c r="AM1171" s="32" t="s">
        <v>178</v>
      </c>
      <c r="AT1171" s="32" t="s">
        <v>120</v>
      </c>
      <c r="AU1171" s="32">
        <v>4</v>
      </c>
      <c r="AW1171" s="32" t="s">
        <v>142</v>
      </c>
      <c r="BM1171" s="397"/>
      <c r="BN1171" s="397"/>
      <c r="BR1171" s="397"/>
      <c r="BS1171" s="397"/>
      <c r="GH1171" s="32">
        <v>2.44</v>
      </c>
      <c r="GI1171" s="32">
        <v>2.63</v>
      </c>
      <c r="GL1171" s="32" t="s">
        <v>806</v>
      </c>
      <c r="IO1171" s="32" t="s">
        <v>804</v>
      </c>
    </row>
    <row r="1172" spans="1:249" s="32" customFormat="1" x14ac:dyDescent="0.25">
      <c r="A1172" s="32">
        <v>55</v>
      </c>
      <c r="B1172" s="32" t="s">
        <v>789</v>
      </c>
      <c r="C1172" s="32" t="s">
        <v>790</v>
      </c>
      <c r="D1172" s="32">
        <v>2001</v>
      </c>
      <c r="E1172" s="32">
        <v>1999</v>
      </c>
      <c r="F1172" s="32" t="s">
        <v>795</v>
      </c>
      <c r="G1172" s="32" t="s">
        <v>791</v>
      </c>
      <c r="H1172" s="32" t="s">
        <v>2831</v>
      </c>
      <c r="I1172" s="32">
        <v>45.23</v>
      </c>
      <c r="J1172" s="32">
        <v>-122.756</v>
      </c>
      <c r="K1172" s="32">
        <v>48.4</v>
      </c>
      <c r="Q1172" s="44" t="s">
        <v>1869</v>
      </c>
      <c r="R1172" s="44" t="s">
        <v>1869</v>
      </c>
      <c r="S1172" s="44"/>
      <c r="T1172" s="44" t="s">
        <v>1981</v>
      </c>
      <c r="U1172" s="44" t="s">
        <v>1384</v>
      </c>
      <c r="V1172" s="44" t="s">
        <v>1723</v>
      </c>
      <c r="W1172" s="44" t="s">
        <v>1384</v>
      </c>
      <c r="X1172" s="44" t="s">
        <v>1384</v>
      </c>
      <c r="Z1172" s="323">
        <v>28</v>
      </c>
      <c r="AA1172" s="323">
        <v>54</v>
      </c>
      <c r="AB1172" s="32" t="s">
        <v>451</v>
      </c>
      <c r="AC1172" s="32">
        <v>5.4</v>
      </c>
      <c r="AD1172" s="32">
        <v>1.71</v>
      </c>
      <c r="AF1172" s="32" t="s">
        <v>1349</v>
      </c>
      <c r="AG1172" s="32" t="s">
        <v>1582</v>
      </c>
      <c r="AH1172" s="138" t="s">
        <v>1586</v>
      </c>
      <c r="AI1172" s="32" t="s">
        <v>805</v>
      </c>
      <c r="AJ1172" s="140" t="s">
        <v>1630</v>
      </c>
      <c r="AK1172" s="32" t="s">
        <v>799</v>
      </c>
      <c r="AL1172" s="32" t="s">
        <v>799</v>
      </c>
      <c r="AM1172" s="32" t="s">
        <v>178</v>
      </c>
      <c r="AT1172" s="32" t="s">
        <v>120</v>
      </c>
      <c r="AU1172" s="32">
        <v>4</v>
      </c>
      <c r="AW1172" s="32" t="s">
        <v>142</v>
      </c>
      <c r="BM1172" s="397"/>
      <c r="BN1172" s="397"/>
      <c r="BR1172" s="397"/>
      <c r="BS1172" s="397"/>
      <c r="GH1172" s="32">
        <v>2.44</v>
      </c>
      <c r="GI1172" s="32">
        <v>2.64</v>
      </c>
      <c r="GL1172" s="32" t="s">
        <v>806</v>
      </c>
      <c r="IO1172" s="32" t="s">
        <v>804</v>
      </c>
    </row>
    <row r="1173" spans="1:249" s="40" customFormat="1" x14ac:dyDescent="0.25">
      <c r="A1173" s="40">
        <v>55</v>
      </c>
      <c r="B1173" s="40" t="s">
        <v>789</v>
      </c>
      <c r="C1173" s="40" t="s">
        <v>790</v>
      </c>
      <c r="D1173" s="40">
        <v>2001</v>
      </c>
      <c r="E1173" s="40">
        <v>1999</v>
      </c>
      <c r="F1173" s="40" t="s">
        <v>795</v>
      </c>
      <c r="G1173" s="40" t="s">
        <v>796</v>
      </c>
      <c r="H1173" s="32" t="s">
        <v>2831</v>
      </c>
      <c r="I1173" s="40">
        <v>44.56</v>
      </c>
      <c r="J1173" s="40">
        <v>-123.26</v>
      </c>
      <c r="K1173" s="40">
        <v>59.6</v>
      </c>
      <c r="Q1173" s="71" t="s">
        <v>1741</v>
      </c>
      <c r="R1173" s="71" t="s">
        <v>1741</v>
      </c>
      <c r="S1173" s="71"/>
      <c r="T1173" s="71" t="s">
        <v>1977</v>
      </c>
      <c r="U1173" s="71" t="s">
        <v>1384</v>
      </c>
      <c r="V1173" s="71" t="s">
        <v>1723</v>
      </c>
      <c r="W1173" s="71" t="s">
        <v>1384</v>
      </c>
      <c r="X1173" s="71" t="s">
        <v>1384</v>
      </c>
      <c r="Z1173" s="341">
        <v>22</v>
      </c>
      <c r="AA1173" s="341">
        <v>52</v>
      </c>
      <c r="AB1173" s="40" t="s">
        <v>451</v>
      </c>
      <c r="AC1173" s="40">
        <v>5.9</v>
      </c>
      <c r="AD1173" s="40">
        <v>1.65</v>
      </c>
      <c r="AF1173" s="40" t="s">
        <v>1349</v>
      </c>
      <c r="AG1173" s="40" t="s">
        <v>1582</v>
      </c>
      <c r="AH1173" s="138" t="s">
        <v>1586</v>
      </c>
      <c r="AI1173" s="40" t="s">
        <v>805</v>
      </c>
      <c r="AJ1173" s="140" t="s">
        <v>1630</v>
      </c>
      <c r="AK1173" s="40" t="s">
        <v>800</v>
      </c>
      <c r="AL1173" s="40" t="s">
        <v>800</v>
      </c>
      <c r="AM1173" s="40" t="s">
        <v>178</v>
      </c>
      <c r="AT1173" s="40" t="s">
        <v>120</v>
      </c>
      <c r="AU1173" s="40">
        <v>4</v>
      </c>
      <c r="AW1173" s="40" t="s">
        <v>142</v>
      </c>
      <c r="BM1173" s="416"/>
      <c r="BN1173" s="416"/>
      <c r="BR1173" s="416"/>
      <c r="BS1173" s="416"/>
      <c r="GH1173" s="40">
        <v>2.84</v>
      </c>
      <c r="GI1173" s="40">
        <v>2.95</v>
      </c>
      <c r="GL1173" s="40" t="s">
        <v>806</v>
      </c>
      <c r="IO1173" s="40" t="s">
        <v>804</v>
      </c>
    </row>
    <row r="1174" spans="1:249" s="32" customFormat="1" x14ac:dyDescent="0.25">
      <c r="A1174" s="32">
        <v>55</v>
      </c>
      <c r="B1174" s="32" t="s">
        <v>789</v>
      </c>
      <c r="C1174" s="32" t="s">
        <v>790</v>
      </c>
      <c r="D1174" s="32">
        <v>2001</v>
      </c>
      <c r="E1174" s="32">
        <v>1998</v>
      </c>
      <c r="F1174" s="32" t="s">
        <v>795</v>
      </c>
      <c r="G1174" s="32" t="s">
        <v>791</v>
      </c>
      <c r="H1174" s="32" t="s">
        <v>2831</v>
      </c>
      <c r="I1174" s="32">
        <v>45.23</v>
      </c>
      <c r="J1174" s="32">
        <v>-122.756</v>
      </c>
      <c r="K1174" s="32">
        <v>48.4</v>
      </c>
      <c r="Q1174" s="44" t="s">
        <v>1726</v>
      </c>
      <c r="R1174" s="44" t="s">
        <v>1869</v>
      </c>
      <c r="S1174" s="44"/>
      <c r="T1174" s="44" t="s">
        <v>1982</v>
      </c>
      <c r="U1174" s="44" t="s">
        <v>1384</v>
      </c>
      <c r="V1174" s="44" t="s">
        <v>1723</v>
      </c>
      <c r="W1174" s="44" t="s">
        <v>1384</v>
      </c>
      <c r="X1174" s="44" t="s">
        <v>1384</v>
      </c>
      <c r="Z1174" s="323">
        <v>28</v>
      </c>
      <c r="AA1174" s="323">
        <v>54</v>
      </c>
      <c r="AB1174" s="32" t="s">
        <v>451</v>
      </c>
      <c r="AC1174" s="32">
        <v>5.4</v>
      </c>
      <c r="AD1174" s="32">
        <v>1.71</v>
      </c>
      <c r="AF1174" s="32" t="s">
        <v>1349</v>
      </c>
      <c r="AG1174" s="32" t="s">
        <v>792</v>
      </c>
      <c r="AH1174" s="138" t="s">
        <v>1585</v>
      </c>
      <c r="AI1174" s="32" t="s">
        <v>798</v>
      </c>
      <c r="AJ1174" s="140" t="s">
        <v>1630</v>
      </c>
      <c r="AK1174" s="32" t="s">
        <v>799</v>
      </c>
      <c r="AL1174" s="32" t="s">
        <v>799</v>
      </c>
      <c r="AM1174" s="32" t="s">
        <v>178</v>
      </c>
      <c r="AT1174" s="32" t="s">
        <v>120</v>
      </c>
      <c r="AU1174" s="32">
        <v>4</v>
      </c>
      <c r="AW1174" s="32" t="s">
        <v>142</v>
      </c>
      <c r="BM1174" s="397"/>
      <c r="BN1174" s="397"/>
      <c r="BR1174" s="397"/>
      <c r="BS1174" s="397"/>
      <c r="GH1174" s="32">
        <v>2.77</v>
      </c>
      <c r="GI1174" s="32">
        <v>2.61</v>
      </c>
      <c r="GL1174" s="32" t="s">
        <v>806</v>
      </c>
      <c r="IO1174" s="32" t="s">
        <v>804</v>
      </c>
    </row>
    <row r="1175" spans="1:249" s="32" customFormat="1" x14ac:dyDescent="0.25">
      <c r="A1175" s="32">
        <v>55</v>
      </c>
      <c r="B1175" s="32" t="s">
        <v>789</v>
      </c>
      <c r="C1175" s="32" t="s">
        <v>790</v>
      </c>
      <c r="D1175" s="32">
        <v>2001</v>
      </c>
      <c r="E1175" s="32">
        <v>1998</v>
      </c>
      <c r="F1175" s="32" t="s">
        <v>795</v>
      </c>
      <c r="G1175" s="32" t="s">
        <v>791</v>
      </c>
      <c r="H1175" s="32" t="s">
        <v>2831</v>
      </c>
      <c r="I1175" s="32">
        <v>45.23</v>
      </c>
      <c r="J1175" s="32">
        <v>-122.756</v>
      </c>
      <c r="K1175" s="32">
        <v>48.4</v>
      </c>
      <c r="Q1175" s="44" t="s">
        <v>1726</v>
      </c>
      <c r="R1175" s="44" t="s">
        <v>1869</v>
      </c>
      <c r="S1175" s="44"/>
      <c r="T1175" s="44" t="s">
        <v>1982</v>
      </c>
      <c r="U1175" s="44" t="s">
        <v>1384</v>
      </c>
      <c r="V1175" s="44" t="s">
        <v>1723</v>
      </c>
      <c r="W1175" s="44" t="s">
        <v>1384</v>
      </c>
      <c r="X1175" s="44" t="s">
        <v>1384</v>
      </c>
      <c r="Z1175" s="323">
        <v>28</v>
      </c>
      <c r="AA1175" s="323">
        <v>54</v>
      </c>
      <c r="AB1175" s="32" t="s">
        <v>451</v>
      </c>
      <c r="AC1175" s="32">
        <v>5.4</v>
      </c>
      <c r="AD1175" s="32">
        <v>1.71</v>
      </c>
      <c r="AF1175" s="32" t="s">
        <v>1349</v>
      </c>
      <c r="AG1175" s="32" t="s">
        <v>1582</v>
      </c>
      <c r="AH1175" s="138" t="s">
        <v>1586</v>
      </c>
      <c r="AI1175" s="32" t="s">
        <v>798</v>
      </c>
      <c r="AJ1175" s="140" t="s">
        <v>1630</v>
      </c>
      <c r="AK1175" s="32" t="s">
        <v>799</v>
      </c>
      <c r="AL1175" s="32" t="s">
        <v>799</v>
      </c>
      <c r="AM1175" s="32" t="s">
        <v>178</v>
      </c>
      <c r="AT1175" s="32" t="s">
        <v>120</v>
      </c>
      <c r="AU1175" s="32">
        <v>4</v>
      </c>
      <c r="AW1175" s="32" t="s">
        <v>142</v>
      </c>
      <c r="BM1175" s="397"/>
      <c r="BN1175" s="397"/>
      <c r="BR1175" s="397"/>
      <c r="BS1175" s="397"/>
      <c r="GH1175" s="32">
        <v>2.77</v>
      </c>
      <c r="GI1175" s="32">
        <v>2.7</v>
      </c>
      <c r="GL1175" s="32" t="s">
        <v>806</v>
      </c>
      <c r="IO1175" s="32" t="s">
        <v>804</v>
      </c>
    </row>
    <row r="1176" spans="1:249" s="40" customFormat="1" x14ac:dyDescent="0.25">
      <c r="A1176" s="40">
        <v>55</v>
      </c>
      <c r="B1176" s="40" t="s">
        <v>789</v>
      </c>
      <c r="C1176" s="40" t="s">
        <v>790</v>
      </c>
      <c r="D1176" s="40">
        <v>2001</v>
      </c>
      <c r="E1176" s="40">
        <v>1998</v>
      </c>
      <c r="F1176" s="40" t="s">
        <v>795</v>
      </c>
      <c r="G1176" s="40" t="s">
        <v>796</v>
      </c>
      <c r="H1176" s="32" t="s">
        <v>2831</v>
      </c>
      <c r="I1176" s="40">
        <v>44.56</v>
      </c>
      <c r="J1176" s="40">
        <v>-123.26</v>
      </c>
      <c r="K1176" s="40">
        <v>59.6</v>
      </c>
      <c r="Q1176" s="71" t="s">
        <v>1741</v>
      </c>
      <c r="R1176" s="71" t="s">
        <v>1741</v>
      </c>
      <c r="S1176" s="71"/>
      <c r="T1176" s="71" t="s">
        <v>1978</v>
      </c>
      <c r="U1176" s="71" t="s">
        <v>1384</v>
      </c>
      <c r="V1176" s="71" t="s">
        <v>1723</v>
      </c>
      <c r="W1176" s="71" t="s">
        <v>1384</v>
      </c>
      <c r="X1176" s="71" t="s">
        <v>1384</v>
      </c>
      <c r="Z1176" s="341">
        <v>22</v>
      </c>
      <c r="AA1176" s="341">
        <v>52</v>
      </c>
      <c r="AB1176" s="40" t="s">
        <v>451</v>
      </c>
      <c r="AC1176" s="40">
        <v>5.9</v>
      </c>
      <c r="AD1176" s="40">
        <v>1.65</v>
      </c>
      <c r="AF1176" s="40" t="s">
        <v>1349</v>
      </c>
      <c r="AG1176" s="40" t="s">
        <v>1582</v>
      </c>
      <c r="AH1176" s="138" t="s">
        <v>1586</v>
      </c>
      <c r="AI1176" s="40" t="s">
        <v>805</v>
      </c>
      <c r="AJ1176" s="140" t="s">
        <v>1630</v>
      </c>
      <c r="AK1176" s="40" t="s">
        <v>800</v>
      </c>
      <c r="AL1176" s="40" t="s">
        <v>800</v>
      </c>
      <c r="AM1176" s="40" t="s">
        <v>178</v>
      </c>
      <c r="AT1176" s="40" t="s">
        <v>120</v>
      </c>
      <c r="AU1176" s="40">
        <v>4</v>
      </c>
      <c r="AW1176" s="40" t="s">
        <v>142</v>
      </c>
      <c r="BM1176" s="416"/>
      <c r="BN1176" s="416"/>
      <c r="BR1176" s="416"/>
      <c r="BS1176" s="416"/>
      <c r="GH1176" s="40">
        <v>2.58</v>
      </c>
      <c r="GI1176" s="40">
        <v>2.82</v>
      </c>
      <c r="GL1176" s="40" t="s">
        <v>806</v>
      </c>
      <c r="IO1176" s="40" t="s">
        <v>804</v>
      </c>
    </row>
    <row r="1177" spans="1:249" s="32" customFormat="1" x14ac:dyDescent="0.25">
      <c r="A1177" s="32">
        <v>55</v>
      </c>
      <c r="B1177" s="32" t="s">
        <v>789</v>
      </c>
      <c r="C1177" s="32" t="s">
        <v>790</v>
      </c>
      <c r="D1177" s="32">
        <v>2001</v>
      </c>
      <c r="E1177" s="32">
        <v>1999</v>
      </c>
      <c r="F1177" s="32" t="s">
        <v>795</v>
      </c>
      <c r="G1177" s="32" t="s">
        <v>791</v>
      </c>
      <c r="H1177" s="32" t="s">
        <v>2831</v>
      </c>
      <c r="I1177" s="32">
        <v>45.23</v>
      </c>
      <c r="J1177" s="32">
        <v>-122.756</v>
      </c>
      <c r="K1177" s="32">
        <v>48.4</v>
      </c>
      <c r="Q1177" s="44" t="s">
        <v>1869</v>
      </c>
      <c r="R1177" s="44" t="s">
        <v>1869</v>
      </c>
      <c r="S1177" s="44"/>
      <c r="T1177" s="44" t="s">
        <v>1982</v>
      </c>
      <c r="U1177" s="44" t="s">
        <v>1384</v>
      </c>
      <c r="V1177" s="44" t="s">
        <v>1723</v>
      </c>
      <c r="W1177" s="44" t="s">
        <v>1384</v>
      </c>
      <c r="X1177" s="44" t="s">
        <v>1384</v>
      </c>
      <c r="Z1177" s="323">
        <v>28</v>
      </c>
      <c r="AA1177" s="323">
        <v>54</v>
      </c>
      <c r="AB1177" s="32" t="s">
        <v>451</v>
      </c>
      <c r="AC1177" s="32">
        <v>5.4</v>
      </c>
      <c r="AD1177" s="32">
        <v>1.71</v>
      </c>
      <c r="AF1177" s="32" t="s">
        <v>1349</v>
      </c>
      <c r="AG1177" s="32" t="s">
        <v>792</v>
      </c>
      <c r="AH1177" s="138" t="s">
        <v>1585</v>
      </c>
      <c r="AI1177" s="32" t="s">
        <v>805</v>
      </c>
      <c r="AJ1177" s="140" t="s">
        <v>1630</v>
      </c>
      <c r="AK1177" s="32" t="s">
        <v>799</v>
      </c>
      <c r="AL1177" s="32" t="s">
        <v>799</v>
      </c>
      <c r="AM1177" s="32" t="s">
        <v>178</v>
      </c>
      <c r="AT1177" s="32" t="s">
        <v>120</v>
      </c>
      <c r="AU1177" s="32">
        <v>4</v>
      </c>
      <c r="AW1177" s="32" t="s">
        <v>142</v>
      </c>
      <c r="BM1177" s="397"/>
      <c r="BN1177" s="397"/>
      <c r="BR1177" s="397"/>
      <c r="BS1177" s="397"/>
      <c r="GH1177" s="32">
        <v>2.9</v>
      </c>
      <c r="GI1177" s="32">
        <v>2.9</v>
      </c>
      <c r="GL1177" s="32" t="s">
        <v>806</v>
      </c>
      <c r="IO1177" s="32" t="s">
        <v>804</v>
      </c>
    </row>
    <row r="1178" spans="1:249" s="32" customFormat="1" x14ac:dyDescent="0.25">
      <c r="A1178" s="32">
        <v>55</v>
      </c>
      <c r="B1178" s="32" t="s">
        <v>789</v>
      </c>
      <c r="C1178" s="32" t="s">
        <v>790</v>
      </c>
      <c r="D1178" s="32">
        <v>2001</v>
      </c>
      <c r="E1178" s="32">
        <v>1999</v>
      </c>
      <c r="F1178" s="32" t="s">
        <v>795</v>
      </c>
      <c r="G1178" s="32" t="s">
        <v>791</v>
      </c>
      <c r="H1178" s="32" t="s">
        <v>2831</v>
      </c>
      <c r="I1178" s="32">
        <v>45.23</v>
      </c>
      <c r="J1178" s="32">
        <v>-122.756</v>
      </c>
      <c r="K1178" s="32">
        <v>48.4</v>
      </c>
      <c r="Q1178" s="44" t="s">
        <v>1869</v>
      </c>
      <c r="R1178" s="44" t="s">
        <v>1869</v>
      </c>
      <c r="S1178" s="44"/>
      <c r="T1178" s="44" t="s">
        <v>1982</v>
      </c>
      <c r="U1178" s="44" t="s">
        <v>1384</v>
      </c>
      <c r="V1178" s="44" t="s">
        <v>1723</v>
      </c>
      <c r="W1178" s="44" t="s">
        <v>1384</v>
      </c>
      <c r="X1178" s="44" t="s">
        <v>1384</v>
      </c>
      <c r="Z1178" s="323">
        <v>28</v>
      </c>
      <c r="AA1178" s="323">
        <v>54</v>
      </c>
      <c r="AB1178" s="32" t="s">
        <v>451</v>
      </c>
      <c r="AC1178" s="32">
        <v>5.4</v>
      </c>
      <c r="AD1178" s="32">
        <v>1.71</v>
      </c>
      <c r="AF1178" s="32" t="s">
        <v>1349</v>
      </c>
      <c r="AG1178" s="32" t="s">
        <v>1582</v>
      </c>
      <c r="AH1178" s="138" t="s">
        <v>1586</v>
      </c>
      <c r="AI1178" s="32" t="s">
        <v>805</v>
      </c>
      <c r="AJ1178" s="140" t="s">
        <v>1630</v>
      </c>
      <c r="AK1178" s="32" t="s">
        <v>799</v>
      </c>
      <c r="AL1178" s="32" t="s">
        <v>799</v>
      </c>
      <c r="AM1178" s="32" t="s">
        <v>178</v>
      </c>
      <c r="AT1178" s="32" t="s">
        <v>120</v>
      </c>
      <c r="AU1178" s="32">
        <v>4</v>
      </c>
      <c r="AW1178" s="32" t="s">
        <v>142</v>
      </c>
      <c r="BM1178" s="397"/>
      <c r="BN1178" s="397"/>
      <c r="BR1178" s="397"/>
      <c r="BS1178" s="397"/>
      <c r="GH1178" s="32">
        <v>2.9</v>
      </c>
      <c r="GI1178" s="32">
        <v>2.92</v>
      </c>
      <c r="GL1178" s="32" t="s">
        <v>806</v>
      </c>
      <c r="IO1178" s="32" t="s">
        <v>804</v>
      </c>
    </row>
    <row r="1179" spans="1:249" s="40" customFormat="1" x14ac:dyDescent="0.25">
      <c r="A1179" s="40">
        <v>55</v>
      </c>
      <c r="B1179" s="40" t="s">
        <v>789</v>
      </c>
      <c r="C1179" s="40" t="s">
        <v>790</v>
      </c>
      <c r="D1179" s="40">
        <v>2001</v>
      </c>
      <c r="E1179" s="40">
        <v>1999</v>
      </c>
      <c r="F1179" s="40" t="s">
        <v>795</v>
      </c>
      <c r="G1179" s="40" t="s">
        <v>796</v>
      </c>
      <c r="H1179" s="32" t="s">
        <v>2831</v>
      </c>
      <c r="I1179" s="40">
        <v>44.56</v>
      </c>
      <c r="J1179" s="40">
        <v>-123.26</v>
      </c>
      <c r="K1179" s="40">
        <v>59.6</v>
      </c>
      <c r="Q1179" s="71" t="s">
        <v>1741</v>
      </c>
      <c r="R1179" s="71" t="s">
        <v>1741</v>
      </c>
      <c r="S1179" s="71"/>
      <c r="T1179" s="71" t="s">
        <v>1978</v>
      </c>
      <c r="U1179" s="71" t="s">
        <v>1384</v>
      </c>
      <c r="V1179" s="71" t="s">
        <v>1723</v>
      </c>
      <c r="W1179" s="71" t="s">
        <v>1384</v>
      </c>
      <c r="X1179" s="71" t="s">
        <v>1384</v>
      </c>
      <c r="Z1179" s="341">
        <v>22</v>
      </c>
      <c r="AA1179" s="341">
        <v>52</v>
      </c>
      <c r="AB1179" s="40" t="s">
        <v>451</v>
      </c>
      <c r="AC1179" s="40">
        <v>5.9</v>
      </c>
      <c r="AD1179" s="40">
        <v>1.65</v>
      </c>
      <c r="AF1179" s="40" t="s">
        <v>1349</v>
      </c>
      <c r="AG1179" s="40" t="s">
        <v>1582</v>
      </c>
      <c r="AH1179" s="138" t="s">
        <v>1586</v>
      </c>
      <c r="AI1179" s="40" t="s">
        <v>805</v>
      </c>
      <c r="AJ1179" s="140" t="s">
        <v>1630</v>
      </c>
      <c r="AK1179" s="40" t="s">
        <v>800</v>
      </c>
      <c r="AL1179" s="40" t="s">
        <v>800</v>
      </c>
      <c r="AM1179" s="40" t="s">
        <v>178</v>
      </c>
      <c r="AT1179" s="40" t="s">
        <v>120</v>
      </c>
      <c r="AU1179" s="40">
        <v>4</v>
      </c>
      <c r="AW1179" s="40" t="s">
        <v>142</v>
      </c>
      <c r="BM1179" s="416"/>
      <c r="BN1179" s="416"/>
      <c r="BR1179" s="416"/>
      <c r="BS1179" s="416"/>
      <c r="GH1179" s="40">
        <v>2.97</v>
      </c>
      <c r="GI1179" s="40">
        <v>3</v>
      </c>
      <c r="GL1179" s="40" t="s">
        <v>806</v>
      </c>
      <c r="IO1179" s="40" t="s">
        <v>804</v>
      </c>
    </row>
    <row r="1180" spans="1:249" s="32" customFormat="1" x14ac:dyDescent="0.25">
      <c r="A1180" s="32">
        <v>55</v>
      </c>
      <c r="B1180" s="32" t="s">
        <v>789</v>
      </c>
      <c r="C1180" s="32" t="s">
        <v>790</v>
      </c>
      <c r="D1180" s="32">
        <v>2001</v>
      </c>
      <c r="E1180" s="32">
        <v>1998</v>
      </c>
      <c r="F1180" s="32" t="s">
        <v>795</v>
      </c>
      <c r="G1180" s="32" t="s">
        <v>791</v>
      </c>
      <c r="H1180" s="32" t="s">
        <v>2831</v>
      </c>
      <c r="I1180" s="32">
        <v>45.23</v>
      </c>
      <c r="J1180" s="32">
        <v>-122.756</v>
      </c>
      <c r="K1180" s="32">
        <v>48.4</v>
      </c>
      <c r="Q1180" s="44" t="s">
        <v>1726</v>
      </c>
      <c r="R1180" s="44" t="s">
        <v>1869</v>
      </c>
      <c r="S1180" s="44"/>
      <c r="T1180" s="44" t="s">
        <v>1983</v>
      </c>
      <c r="U1180" s="44" t="s">
        <v>1384</v>
      </c>
      <c r="V1180" s="44" t="s">
        <v>1723</v>
      </c>
      <c r="W1180" s="44" t="s">
        <v>1384</v>
      </c>
      <c r="X1180" s="44" t="s">
        <v>1384</v>
      </c>
      <c r="Z1180" s="323">
        <v>28</v>
      </c>
      <c r="AA1180" s="323">
        <v>54</v>
      </c>
      <c r="AB1180" s="32" t="s">
        <v>451</v>
      </c>
      <c r="AC1180" s="32">
        <v>5.4</v>
      </c>
      <c r="AD1180" s="32">
        <v>1.71</v>
      </c>
      <c r="AF1180" s="32" t="s">
        <v>1349</v>
      </c>
      <c r="AG1180" s="32" t="s">
        <v>792</v>
      </c>
      <c r="AH1180" s="138" t="s">
        <v>1585</v>
      </c>
      <c r="AI1180" s="32" t="s">
        <v>798</v>
      </c>
      <c r="AJ1180" s="140" t="s">
        <v>1630</v>
      </c>
      <c r="AK1180" s="32" t="s">
        <v>799</v>
      </c>
      <c r="AL1180" s="32" t="s">
        <v>799</v>
      </c>
      <c r="AM1180" s="32" t="s">
        <v>178</v>
      </c>
      <c r="AT1180" s="32" t="s">
        <v>120</v>
      </c>
      <c r="AU1180" s="32">
        <v>4</v>
      </c>
      <c r="AW1180" s="32" t="s">
        <v>142</v>
      </c>
      <c r="BM1180" s="397"/>
      <c r="BN1180" s="397"/>
      <c r="BR1180" s="397"/>
      <c r="BS1180" s="397"/>
      <c r="GH1180" s="32">
        <v>2.95</v>
      </c>
      <c r="GI1180" s="32">
        <v>2.83</v>
      </c>
      <c r="GL1180" s="32" t="s">
        <v>806</v>
      </c>
      <c r="IO1180" s="32" t="s">
        <v>804</v>
      </c>
    </row>
    <row r="1181" spans="1:249" s="32" customFormat="1" x14ac:dyDescent="0.25">
      <c r="A1181" s="32">
        <v>55</v>
      </c>
      <c r="B1181" s="32" t="s">
        <v>789</v>
      </c>
      <c r="C1181" s="32" t="s">
        <v>790</v>
      </c>
      <c r="D1181" s="32">
        <v>2001</v>
      </c>
      <c r="E1181" s="32">
        <v>1998</v>
      </c>
      <c r="F1181" s="32" t="s">
        <v>795</v>
      </c>
      <c r="G1181" s="32" t="s">
        <v>791</v>
      </c>
      <c r="H1181" s="32" t="s">
        <v>2831</v>
      </c>
      <c r="I1181" s="32">
        <v>45.23</v>
      </c>
      <c r="J1181" s="32">
        <v>-122.756</v>
      </c>
      <c r="K1181" s="32">
        <v>48.4</v>
      </c>
      <c r="Q1181" s="44" t="s">
        <v>1726</v>
      </c>
      <c r="R1181" s="44" t="s">
        <v>1869</v>
      </c>
      <c r="S1181" s="44"/>
      <c r="T1181" s="44" t="s">
        <v>1983</v>
      </c>
      <c r="U1181" s="44" t="s">
        <v>1384</v>
      </c>
      <c r="V1181" s="44" t="s">
        <v>1723</v>
      </c>
      <c r="W1181" s="44" t="s">
        <v>1384</v>
      </c>
      <c r="X1181" s="44" t="s">
        <v>1384</v>
      </c>
      <c r="Z1181" s="323">
        <v>28</v>
      </c>
      <c r="AA1181" s="323">
        <v>54</v>
      </c>
      <c r="AB1181" s="32" t="s">
        <v>451</v>
      </c>
      <c r="AC1181" s="32">
        <v>5.4</v>
      </c>
      <c r="AD1181" s="32">
        <v>1.71</v>
      </c>
      <c r="AF1181" s="32" t="s">
        <v>1349</v>
      </c>
      <c r="AG1181" s="32" t="s">
        <v>1582</v>
      </c>
      <c r="AH1181" s="138" t="s">
        <v>1586</v>
      </c>
      <c r="AI1181" s="32" t="s">
        <v>798</v>
      </c>
      <c r="AJ1181" s="140" t="s">
        <v>1630</v>
      </c>
      <c r="AK1181" s="32" t="s">
        <v>799</v>
      </c>
      <c r="AL1181" s="32" t="s">
        <v>799</v>
      </c>
      <c r="AM1181" s="32" t="s">
        <v>178</v>
      </c>
      <c r="AT1181" s="32" t="s">
        <v>120</v>
      </c>
      <c r="AU1181" s="32">
        <v>4</v>
      </c>
      <c r="AW1181" s="32" t="s">
        <v>142</v>
      </c>
      <c r="BM1181" s="397"/>
      <c r="BN1181" s="397"/>
      <c r="BR1181" s="397"/>
      <c r="BS1181" s="397"/>
      <c r="GH1181" s="32">
        <v>2.95</v>
      </c>
      <c r="GI1181" s="32">
        <v>2.89</v>
      </c>
      <c r="GL1181" s="32" t="s">
        <v>806</v>
      </c>
      <c r="IO1181" s="32" t="s">
        <v>804</v>
      </c>
    </row>
    <row r="1182" spans="1:249" s="40" customFormat="1" x14ac:dyDescent="0.25">
      <c r="A1182" s="40">
        <v>55</v>
      </c>
      <c r="B1182" s="40" t="s">
        <v>789</v>
      </c>
      <c r="C1182" s="40" t="s">
        <v>790</v>
      </c>
      <c r="D1182" s="40">
        <v>2001</v>
      </c>
      <c r="E1182" s="40">
        <v>1998</v>
      </c>
      <c r="F1182" s="40" t="s">
        <v>795</v>
      </c>
      <c r="G1182" s="40" t="s">
        <v>796</v>
      </c>
      <c r="H1182" s="32" t="s">
        <v>2831</v>
      </c>
      <c r="I1182" s="40">
        <v>44.56</v>
      </c>
      <c r="J1182" s="40">
        <v>-123.26</v>
      </c>
      <c r="K1182" s="40">
        <v>59.6</v>
      </c>
      <c r="Q1182" s="71" t="s">
        <v>1741</v>
      </c>
      <c r="R1182" s="71" t="s">
        <v>1741</v>
      </c>
      <c r="S1182" s="71"/>
      <c r="T1182" s="71" t="s">
        <v>1979</v>
      </c>
      <c r="U1182" s="71" t="s">
        <v>1384</v>
      </c>
      <c r="V1182" s="71" t="s">
        <v>1723</v>
      </c>
      <c r="W1182" s="71" t="s">
        <v>1384</v>
      </c>
      <c r="X1182" s="71" t="s">
        <v>1384</v>
      </c>
      <c r="Z1182" s="341">
        <v>22</v>
      </c>
      <c r="AA1182" s="341">
        <v>52</v>
      </c>
      <c r="AB1182" s="40" t="s">
        <v>451</v>
      </c>
      <c r="AC1182" s="40">
        <v>5.9</v>
      </c>
      <c r="AD1182" s="40">
        <v>1.65</v>
      </c>
      <c r="AF1182" s="40" t="s">
        <v>1349</v>
      </c>
      <c r="AG1182" s="40" t="s">
        <v>1582</v>
      </c>
      <c r="AH1182" s="138" t="s">
        <v>1586</v>
      </c>
      <c r="AI1182" s="40" t="s">
        <v>805</v>
      </c>
      <c r="AJ1182" s="140" t="s">
        <v>1630</v>
      </c>
      <c r="AK1182" s="40" t="s">
        <v>800</v>
      </c>
      <c r="AL1182" s="40" t="s">
        <v>800</v>
      </c>
      <c r="AM1182" s="40" t="s">
        <v>178</v>
      </c>
      <c r="AT1182" s="40" t="s">
        <v>120</v>
      </c>
      <c r="AU1182" s="40">
        <v>4</v>
      </c>
      <c r="AW1182" s="40" t="s">
        <v>142</v>
      </c>
      <c r="BM1182" s="416"/>
      <c r="BN1182" s="416"/>
      <c r="BR1182" s="416"/>
      <c r="BS1182" s="416"/>
      <c r="GH1182" s="40">
        <v>2.7</v>
      </c>
      <c r="GI1182" s="40">
        <v>2.84</v>
      </c>
      <c r="GL1182" s="40" t="s">
        <v>806</v>
      </c>
      <c r="IO1182" s="40" t="s">
        <v>804</v>
      </c>
    </row>
    <row r="1183" spans="1:249" s="32" customFormat="1" x14ac:dyDescent="0.25">
      <c r="A1183" s="32">
        <v>55</v>
      </c>
      <c r="B1183" s="32" t="s">
        <v>789</v>
      </c>
      <c r="C1183" s="32" t="s">
        <v>790</v>
      </c>
      <c r="D1183" s="32">
        <v>2001</v>
      </c>
      <c r="E1183" s="32">
        <v>1999</v>
      </c>
      <c r="F1183" s="32" t="s">
        <v>795</v>
      </c>
      <c r="G1183" s="32" t="s">
        <v>791</v>
      </c>
      <c r="H1183" s="32" t="s">
        <v>2831</v>
      </c>
      <c r="I1183" s="32">
        <v>45.23</v>
      </c>
      <c r="J1183" s="32">
        <v>-122.756</v>
      </c>
      <c r="K1183" s="32">
        <v>48.4</v>
      </c>
      <c r="Q1183" s="44" t="s">
        <v>1869</v>
      </c>
      <c r="R1183" s="44" t="s">
        <v>1869</v>
      </c>
      <c r="S1183" s="44"/>
      <c r="T1183" s="44" t="s">
        <v>1983</v>
      </c>
      <c r="U1183" s="44" t="s">
        <v>1384</v>
      </c>
      <c r="V1183" s="44" t="s">
        <v>1723</v>
      </c>
      <c r="W1183" s="44" t="s">
        <v>1384</v>
      </c>
      <c r="X1183" s="44" t="s">
        <v>1384</v>
      </c>
      <c r="Z1183" s="323">
        <v>28</v>
      </c>
      <c r="AA1183" s="323">
        <v>54</v>
      </c>
      <c r="AB1183" s="32" t="s">
        <v>451</v>
      </c>
      <c r="AC1183" s="32">
        <v>5.4</v>
      </c>
      <c r="AD1183" s="32">
        <v>1.71</v>
      </c>
      <c r="AF1183" s="32" t="s">
        <v>1349</v>
      </c>
      <c r="AG1183" s="32" t="s">
        <v>792</v>
      </c>
      <c r="AH1183" s="138" t="s">
        <v>1585</v>
      </c>
      <c r="AI1183" s="32" t="s">
        <v>805</v>
      </c>
      <c r="AJ1183" s="140" t="s">
        <v>1630</v>
      </c>
      <c r="AK1183" s="32" t="s">
        <v>799</v>
      </c>
      <c r="AL1183" s="32" t="s">
        <v>799</v>
      </c>
      <c r="AM1183" s="32" t="s">
        <v>178</v>
      </c>
      <c r="AT1183" s="32" t="s">
        <v>120</v>
      </c>
      <c r="AU1183" s="32">
        <v>4</v>
      </c>
      <c r="AW1183" s="32" t="s">
        <v>142</v>
      </c>
      <c r="BM1183" s="397"/>
      <c r="BN1183" s="397"/>
      <c r="BR1183" s="397"/>
      <c r="BS1183" s="397"/>
      <c r="GH1183" s="32">
        <v>2.78</v>
      </c>
      <c r="GI1183" s="32">
        <v>2.75</v>
      </c>
      <c r="GL1183" s="32" t="s">
        <v>806</v>
      </c>
      <c r="IO1183" s="32" t="s">
        <v>804</v>
      </c>
    </row>
    <row r="1184" spans="1:249" s="32" customFormat="1" x14ac:dyDescent="0.25">
      <c r="A1184" s="32">
        <v>55</v>
      </c>
      <c r="B1184" s="32" t="s">
        <v>789</v>
      </c>
      <c r="C1184" s="32" t="s">
        <v>790</v>
      </c>
      <c r="D1184" s="32">
        <v>2001</v>
      </c>
      <c r="E1184" s="32">
        <v>1999</v>
      </c>
      <c r="F1184" s="32" t="s">
        <v>795</v>
      </c>
      <c r="G1184" s="32" t="s">
        <v>791</v>
      </c>
      <c r="H1184" s="32" t="s">
        <v>2831</v>
      </c>
      <c r="I1184" s="32">
        <v>45.23</v>
      </c>
      <c r="J1184" s="32">
        <v>-122.756</v>
      </c>
      <c r="K1184" s="32">
        <v>48.4</v>
      </c>
      <c r="Q1184" s="44" t="s">
        <v>1869</v>
      </c>
      <c r="R1184" s="44" t="s">
        <v>1869</v>
      </c>
      <c r="S1184" s="44"/>
      <c r="T1184" s="44" t="s">
        <v>1983</v>
      </c>
      <c r="U1184" s="44" t="s">
        <v>1384</v>
      </c>
      <c r="V1184" s="44" t="s">
        <v>1723</v>
      </c>
      <c r="W1184" s="44" t="s">
        <v>1384</v>
      </c>
      <c r="X1184" s="44" t="s">
        <v>1384</v>
      </c>
      <c r="Z1184" s="323">
        <v>28</v>
      </c>
      <c r="AA1184" s="323">
        <v>54</v>
      </c>
      <c r="AB1184" s="32" t="s">
        <v>451</v>
      </c>
      <c r="AC1184" s="32">
        <v>5.4</v>
      </c>
      <c r="AD1184" s="32">
        <v>1.71</v>
      </c>
      <c r="AF1184" s="32" t="s">
        <v>1349</v>
      </c>
      <c r="AG1184" s="32" t="s">
        <v>1582</v>
      </c>
      <c r="AH1184" s="138" t="s">
        <v>1586</v>
      </c>
      <c r="AI1184" s="32" t="s">
        <v>805</v>
      </c>
      <c r="AJ1184" s="140" t="s">
        <v>1630</v>
      </c>
      <c r="AK1184" s="32" t="s">
        <v>799</v>
      </c>
      <c r="AL1184" s="32" t="s">
        <v>799</v>
      </c>
      <c r="AM1184" s="32" t="s">
        <v>178</v>
      </c>
      <c r="AT1184" s="32" t="s">
        <v>120</v>
      </c>
      <c r="AU1184" s="32">
        <v>4</v>
      </c>
      <c r="AW1184" s="32" t="s">
        <v>142</v>
      </c>
      <c r="BM1184" s="397"/>
      <c r="BN1184" s="397"/>
      <c r="BR1184" s="397"/>
      <c r="BS1184" s="397"/>
      <c r="GH1184" s="32">
        <v>2.78</v>
      </c>
      <c r="GI1184" s="32">
        <v>2.76</v>
      </c>
      <c r="GL1184" s="32" t="s">
        <v>806</v>
      </c>
      <c r="IO1184" s="32" t="s">
        <v>804</v>
      </c>
    </row>
    <row r="1185" spans="1:249" s="40" customFormat="1" x14ac:dyDescent="0.25">
      <c r="A1185" s="40">
        <v>55</v>
      </c>
      <c r="B1185" s="40" t="s">
        <v>789</v>
      </c>
      <c r="C1185" s="40" t="s">
        <v>790</v>
      </c>
      <c r="D1185" s="40">
        <v>2001</v>
      </c>
      <c r="E1185" s="40">
        <v>1999</v>
      </c>
      <c r="F1185" s="40" t="s">
        <v>795</v>
      </c>
      <c r="G1185" s="40" t="s">
        <v>796</v>
      </c>
      <c r="H1185" s="32" t="s">
        <v>2831</v>
      </c>
      <c r="I1185" s="40">
        <v>44.56</v>
      </c>
      <c r="J1185" s="40">
        <v>-123.26</v>
      </c>
      <c r="K1185" s="40">
        <v>59.6</v>
      </c>
      <c r="Q1185" s="71" t="s">
        <v>1741</v>
      </c>
      <c r="R1185" s="71" t="s">
        <v>1741</v>
      </c>
      <c r="S1185" s="71"/>
      <c r="T1185" s="71" t="s">
        <v>1979</v>
      </c>
      <c r="U1185" s="71" t="s">
        <v>1384</v>
      </c>
      <c r="V1185" s="71" t="s">
        <v>1723</v>
      </c>
      <c r="W1185" s="71" t="s">
        <v>1384</v>
      </c>
      <c r="X1185" s="71" t="s">
        <v>1384</v>
      </c>
      <c r="Z1185" s="341">
        <v>22</v>
      </c>
      <c r="AA1185" s="341">
        <v>52</v>
      </c>
      <c r="AB1185" s="40" t="s">
        <v>451</v>
      </c>
      <c r="AC1185" s="40">
        <v>5.9</v>
      </c>
      <c r="AD1185" s="40">
        <v>1.65</v>
      </c>
      <c r="AF1185" s="40" t="s">
        <v>1349</v>
      </c>
      <c r="AG1185" s="40" t="s">
        <v>1582</v>
      </c>
      <c r="AH1185" s="138" t="s">
        <v>1586</v>
      </c>
      <c r="AI1185" s="40" t="s">
        <v>805</v>
      </c>
      <c r="AJ1185" s="140" t="s">
        <v>1630</v>
      </c>
      <c r="AK1185" s="40" t="s">
        <v>800</v>
      </c>
      <c r="AL1185" s="40" t="s">
        <v>800</v>
      </c>
      <c r="AM1185" s="40" t="s">
        <v>178</v>
      </c>
      <c r="AT1185" s="40" t="s">
        <v>120</v>
      </c>
      <c r="AU1185" s="40">
        <v>4</v>
      </c>
      <c r="AW1185" s="40" t="s">
        <v>142</v>
      </c>
      <c r="BM1185" s="416"/>
      <c r="BN1185" s="416"/>
      <c r="BR1185" s="416"/>
      <c r="BS1185" s="416"/>
      <c r="GH1185" s="40">
        <v>2.72</v>
      </c>
      <c r="GI1185" s="40">
        <v>2.84</v>
      </c>
      <c r="GL1185" s="40" t="s">
        <v>806</v>
      </c>
      <c r="IO1185" s="24" t="s">
        <v>804</v>
      </c>
    </row>
    <row r="1186" spans="1:249" s="21" customFormat="1" x14ac:dyDescent="0.25">
      <c r="A1186" s="21">
        <v>56</v>
      </c>
      <c r="B1186" s="21" t="s">
        <v>789</v>
      </c>
      <c r="C1186" s="21" t="s">
        <v>790</v>
      </c>
      <c r="D1186" s="21">
        <v>2002</v>
      </c>
      <c r="E1186" s="21">
        <v>1998</v>
      </c>
      <c r="F1186" s="21" t="s">
        <v>419</v>
      </c>
      <c r="G1186" s="21" t="s">
        <v>796</v>
      </c>
      <c r="H1186" s="32" t="s">
        <v>2831</v>
      </c>
      <c r="I1186" s="21">
        <v>44.56</v>
      </c>
      <c r="J1186" s="21">
        <v>-123.26</v>
      </c>
      <c r="K1186" s="21">
        <v>59.6</v>
      </c>
      <c r="Q1186" s="43" t="s">
        <v>1852</v>
      </c>
      <c r="R1186" s="43" t="s">
        <v>1741</v>
      </c>
      <c r="S1186" s="43"/>
      <c r="T1186" s="43" t="s">
        <v>1987</v>
      </c>
      <c r="U1186" s="43" t="s">
        <v>1384</v>
      </c>
      <c r="V1186" s="43" t="s">
        <v>1723</v>
      </c>
      <c r="W1186" s="43" t="s">
        <v>1384</v>
      </c>
      <c r="X1186" s="43" t="s">
        <v>1384</v>
      </c>
      <c r="Z1186" s="322">
        <v>22</v>
      </c>
      <c r="AA1186" s="322">
        <v>52</v>
      </c>
      <c r="AB1186" s="21" t="s">
        <v>451</v>
      </c>
      <c r="AC1186" s="21">
        <v>5.9</v>
      </c>
      <c r="AD1186" s="21">
        <v>1.65</v>
      </c>
      <c r="AF1186" s="21" t="s">
        <v>1349</v>
      </c>
      <c r="AG1186" s="21" t="s">
        <v>1582</v>
      </c>
      <c r="AH1186" s="138" t="s">
        <v>1586</v>
      </c>
      <c r="AI1186" s="21" t="s">
        <v>805</v>
      </c>
      <c r="AJ1186" s="141" t="s">
        <v>1617</v>
      </c>
      <c r="AK1186" s="21" t="s">
        <v>800</v>
      </c>
      <c r="AL1186" s="21" t="s">
        <v>800</v>
      </c>
      <c r="AM1186" s="21" t="s">
        <v>178</v>
      </c>
      <c r="AT1186" s="21" t="s">
        <v>120</v>
      </c>
      <c r="AU1186" s="21">
        <v>4</v>
      </c>
      <c r="AW1186" s="21" t="s">
        <v>142</v>
      </c>
      <c r="BM1186" s="396"/>
      <c r="BN1186" s="396"/>
      <c r="BR1186" s="396"/>
      <c r="BS1186" s="396"/>
      <c r="GW1186" s="21">
        <f>29.8/7</f>
        <v>4.2571428571428571</v>
      </c>
      <c r="GX1186" s="21">
        <f>31.6/7</f>
        <v>4.5142857142857142</v>
      </c>
      <c r="HL1186" s="21">
        <f>5.72</f>
        <v>5.72</v>
      </c>
      <c r="HM1186" s="21">
        <v>7.31</v>
      </c>
      <c r="HP1186" s="21" t="s">
        <v>808</v>
      </c>
      <c r="IA1186" s="21">
        <v>231</v>
      </c>
      <c r="IB1186" s="21">
        <v>253</v>
      </c>
      <c r="IE1186" s="21" t="s">
        <v>807</v>
      </c>
    </row>
    <row r="1187" spans="1:249" s="21" customFormat="1" x14ac:dyDescent="0.25">
      <c r="A1187" s="21">
        <v>56</v>
      </c>
      <c r="B1187" s="21" t="s">
        <v>789</v>
      </c>
      <c r="C1187" s="21" t="s">
        <v>790</v>
      </c>
      <c r="D1187" s="21">
        <v>2002</v>
      </c>
      <c r="E1187" s="21">
        <v>1998</v>
      </c>
      <c r="F1187" s="21" t="s">
        <v>419</v>
      </c>
      <c r="G1187" s="21" t="s">
        <v>796</v>
      </c>
      <c r="H1187" s="32" t="s">
        <v>2831</v>
      </c>
      <c r="I1187" s="21">
        <v>44.56</v>
      </c>
      <c r="J1187" s="21">
        <v>-123.26</v>
      </c>
      <c r="K1187" s="21">
        <v>59.6</v>
      </c>
      <c r="Q1187" s="43" t="s">
        <v>1852</v>
      </c>
      <c r="R1187" s="43" t="s">
        <v>1741</v>
      </c>
      <c r="S1187" s="43"/>
      <c r="T1187" s="43" t="s">
        <v>1988</v>
      </c>
      <c r="U1187" s="43" t="s">
        <v>1384</v>
      </c>
      <c r="V1187" s="43" t="s">
        <v>1723</v>
      </c>
      <c r="W1187" s="43" t="s">
        <v>1384</v>
      </c>
      <c r="X1187" s="43" t="s">
        <v>1384</v>
      </c>
      <c r="Z1187" s="322">
        <v>22</v>
      </c>
      <c r="AA1187" s="322">
        <v>52</v>
      </c>
      <c r="AB1187" s="21" t="s">
        <v>451</v>
      </c>
      <c r="AC1187" s="21">
        <v>5.9</v>
      </c>
      <c r="AD1187" s="21">
        <v>1.65</v>
      </c>
      <c r="AF1187" s="21" t="s">
        <v>1349</v>
      </c>
      <c r="AG1187" s="21" t="s">
        <v>1582</v>
      </c>
      <c r="AH1187" s="138" t="s">
        <v>1586</v>
      </c>
      <c r="AI1187" s="21" t="s">
        <v>805</v>
      </c>
      <c r="AJ1187" s="141" t="s">
        <v>1617</v>
      </c>
      <c r="AK1187" s="21" t="s">
        <v>800</v>
      </c>
      <c r="AL1187" s="21" t="s">
        <v>800</v>
      </c>
      <c r="AM1187" s="21" t="s">
        <v>178</v>
      </c>
      <c r="AT1187" s="21" t="s">
        <v>120</v>
      </c>
      <c r="AU1187" s="21">
        <v>4</v>
      </c>
      <c r="AW1187" s="21" t="s">
        <v>142</v>
      </c>
      <c r="BM1187" s="396"/>
      <c r="BN1187" s="396"/>
      <c r="BR1187" s="396"/>
      <c r="BS1187" s="396"/>
      <c r="GW1187" s="21">
        <f>15.2/7</f>
        <v>2.1714285714285713</v>
      </c>
      <c r="GX1187" s="21">
        <f>31.4/7</f>
        <v>4.4857142857142858</v>
      </c>
      <c r="HL1187" s="21">
        <v>3.37</v>
      </c>
      <c r="HM1187" s="21">
        <v>5.31</v>
      </c>
      <c r="HP1187" s="21" t="s">
        <v>808</v>
      </c>
      <c r="IA1187" s="21">
        <v>133</v>
      </c>
      <c r="IB1187" s="21">
        <v>222</v>
      </c>
      <c r="IE1187" s="21" t="s">
        <v>807</v>
      </c>
    </row>
    <row r="1188" spans="1:249" s="21" customFormat="1" x14ac:dyDescent="0.25">
      <c r="A1188" s="21">
        <v>56</v>
      </c>
      <c r="B1188" s="21" t="s">
        <v>789</v>
      </c>
      <c r="C1188" s="21" t="s">
        <v>790</v>
      </c>
      <c r="D1188" s="21">
        <v>2002</v>
      </c>
      <c r="E1188" s="21">
        <v>1998</v>
      </c>
      <c r="F1188" s="21" t="s">
        <v>419</v>
      </c>
      <c r="G1188" s="21" t="s">
        <v>796</v>
      </c>
      <c r="H1188" s="32" t="s">
        <v>2831</v>
      </c>
      <c r="I1188" s="21">
        <v>44.56</v>
      </c>
      <c r="J1188" s="21">
        <v>-123.26</v>
      </c>
      <c r="K1188" s="21">
        <v>59.6</v>
      </c>
      <c r="Q1188" s="43" t="s">
        <v>1852</v>
      </c>
      <c r="R1188" s="43" t="s">
        <v>1741</v>
      </c>
      <c r="S1188" s="43"/>
      <c r="T1188" s="43" t="s">
        <v>1989</v>
      </c>
      <c r="U1188" s="43" t="s">
        <v>1384</v>
      </c>
      <c r="V1188" s="43" t="s">
        <v>1723</v>
      </c>
      <c r="W1188" s="43" t="s">
        <v>1384</v>
      </c>
      <c r="X1188" s="43" t="s">
        <v>1384</v>
      </c>
      <c r="Z1188" s="322">
        <v>22</v>
      </c>
      <c r="AA1188" s="322">
        <v>52</v>
      </c>
      <c r="AB1188" s="21" t="s">
        <v>451</v>
      </c>
      <c r="AC1188" s="21">
        <v>5.9</v>
      </c>
      <c r="AD1188" s="21">
        <v>1.65</v>
      </c>
      <c r="AF1188" s="21" t="s">
        <v>1349</v>
      </c>
      <c r="AG1188" s="21" t="s">
        <v>1582</v>
      </c>
      <c r="AH1188" s="138" t="s">
        <v>1586</v>
      </c>
      <c r="AI1188" s="21" t="s">
        <v>805</v>
      </c>
      <c r="AJ1188" s="141" t="s">
        <v>1617</v>
      </c>
      <c r="AK1188" s="21" t="s">
        <v>800</v>
      </c>
      <c r="AL1188" s="21" t="s">
        <v>800</v>
      </c>
      <c r="AM1188" s="21" t="s">
        <v>178</v>
      </c>
      <c r="AT1188" s="21" t="s">
        <v>120</v>
      </c>
      <c r="AU1188" s="21">
        <v>4</v>
      </c>
      <c r="AW1188" s="21" t="s">
        <v>142</v>
      </c>
      <c r="BM1188" s="396"/>
      <c r="BN1188" s="396"/>
      <c r="BR1188" s="396"/>
      <c r="BS1188" s="396"/>
      <c r="GW1188" s="21">
        <f>12.6/7</f>
        <v>1.8</v>
      </c>
      <c r="GX1188" s="21">
        <f>20.9/7</f>
        <v>2.9857142857142853</v>
      </c>
      <c r="HL1188" s="21">
        <v>3.41</v>
      </c>
      <c r="HM1188" s="21">
        <v>5.16</v>
      </c>
      <c r="HP1188" s="21" t="s">
        <v>808</v>
      </c>
      <c r="IA1188" s="21">
        <v>188</v>
      </c>
      <c r="IB1188" s="21">
        <v>315</v>
      </c>
      <c r="IE1188" s="21" t="s">
        <v>807</v>
      </c>
    </row>
    <row r="1189" spans="1:249" s="21" customFormat="1" x14ac:dyDescent="0.25">
      <c r="A1189" s="21">
        <v>56</v>
      </c>
      <c r="B1189" s="21" t="s">
        <v>789</v>
      </c>
      <c r="C1189" s="21" t="s">
        <v>790</v>
      </c>
      <c r="D1189" s="21">
        <v>2002</v>
      </c>
      <c r="E1189" s="21">
        <v>1999</v>
      </c>
      <c r="F1189" s="21" t="s">
        <v>419</v>
      </c>
      <c r="G1189" s="21" t="s">
        <v>796</v>
      </c>
      <c r="H1189" s="32" t="s">
        <v>2831</v>
      </c>
      <c r="I1189" s="21">
        <v>44.56</v>
      </c>
      <c r="J1189" s="21">
        <v>-123.26</v>
      </c>
      <c r="K1189" s="21">
        <v>59.6</v>
      </c>
      <c r="Q1189" s="43" t="s">
        <v>1741</v>
      </c>
      <c r="R1189" s="43" t="s">
        <v>1741</v>
      </c>
      <c r="S1189" s="43"/>
      <c r="T1189" s="43" t="s">
        <v>1987</v>
      </c>
      <c r="U1189" s="43" t="s">
        <v>1384</v>
      </c>
      <c r="V1189" s="43" t="s">
        <v>1723</v>
      </c>
      <c r="W1189" s="43" t="s">
        <v>1384</v>
      </c>
      <c r="X1189" s="43" t="s">
        <v>1384</v>
      </c>
      <c r="Z1189" s="322">
        <v>22</v>
      </c>
      <c r="AA1189" s="322">
        <v>52</v>
      </c>
      <c r="AB1189" s="21" t="s">
        <v>451</v>
      </c>
      <c r="AC1189" s="21">
        <v>5.9</v>
      </c>
      <c r="AD1189" s="21">
        <v>1.65</v>
      </c>
      <c r="AF1189" s="21" t="s">
        <v>1349</v>
      </c>
      <c r="AG1189" s="21" t="s">
        <v>1582</v>
      </c>
      <c r="AH1189" s="138" t="s">
        <v>1586</v>
      </c>
      <c r="AI1189" s="21" t="s">
        <v>805</v>
      </c>
      <c r="AJ1189" s="141" t="s">
        <v>1617</v>
      </c>
      <c r="AK1189" s="21" t="s">
        <v>800</v>
      </c>
      <c r="AL1189" s="21" t="s">
        <v>800</v>
      </c>
      <c r="AM1189" s="21" t="s">
        <v>178</v>
      </c>
      <c r="AT1189" s="21" t="s">
        <v>120</v>
      </c>
      <c r="AU1189" s="21">
        <v>4</v>
      </c>
      <c r="AW1189" s="21" t="s">
        <v>142</v>
      </c>
      <c r="BM1189" s="396"/>
      <c r="BN1189" s="396"/>
      <c r="BR1189" s="396"/>
      <c r="BS1189" s="396"/>
      <c r="GW1189" s="21">
        <f>21.7/7</f>
        <v>3.1</v>
      </c>
      <c r="GX1189" s="21">
        <f>34.5/7</f>
        <v>4.9285714285714288</v>
      </c>
      <c r="HL1189" s="21">
        <v>1.55</v>
      </c>
      <c r="HM1189" s="21">
        <v>2.97</v>
      </c>
      <c r="HP1189" s="21" t="s">
        <v>808</v>
      </c>
      <c r="IA1189" s="21">
        <v>153</v>
      </c>
      <c r="IB1189" s="21">
        <v>184</v>
      </c>
      <c r="IE1189" s="21" t="s">
        <v>807</v>
      </c>
    </row>
    <row r="1190" spans="1:249" s="40" customFormat="1" x14ac:dyDescent="0.25">
      <c r="A1190" s="40">
        <v>57</v>
      </c>
      <c r="B1190" s="40" t="s">
        <v>836</v>
      </c>
      <c r="C1190" s="40" t="s">
        <v>837</v>
      </c>
      <c r="D1190" s="40">
        <v>1990</v>
      </c>
      <c r="E1190" s="40">
        <v>1973</v>
      </c>
      <c r="F1190" s="40" t="s">
        <v>841</v>
      </c>
      <c r="G1190" s="40" t="s">
        <v>838</v>
      </c>
      <c r="H1190" s="32" t="s">
        <v>2831</v>
      </c>
      <c r="I1190" s="40">
        <v>34.200000000000003</v>
      </c>
      <c r="J1190" s="40">
        <v>-90.58</v>
      </c>
      <c r="K1190" s="40">
        <v>55.3</v>
      </c>
      <c r="Q1190" s="71" t="s">
        <v>1856</v>
      </c>
      <c r="R1190" s="71" t="s">
        <v>1936</v>
      </c>
      <c r="S1190" s="40" t="s">
        <v>869</v>
      </c>
      <c r="T1190" s="71" t="s">
        <v>1990</v>
      </c>
      <c r="U1190" s="71" t="s">
        <v>1386</v>
      </c>
      <c r="V1190" s="71" t="s">
        <v>1724</v>
      </c>
      <c r="W1190" s="71" t="s">
        <v>1386</v>
      </c>
      <c r="X1190" s="71" t="s">
        <v>1386</v>
      </c>
      <c r="Y1190" s="40">
        <v>1.325</v>
      </c>
      <c r="Z1190" s="341"/>
      <c r="AA1190" s="341"/>
      <c r="AB1190" s="40" t="s">
        <v>451</v>
      </c>
      <c r="AF1190" s="40" t="s">
        <v>1350</v>
      </c>
      <c r="AG1190" s="40" t="s">
        <v>132</v>
      </c>
      <c r="AH1190" s="138" t="s">
        <v>132</v>
      </c>
      <c r="AI1190" s="40" t="s">
        <v>585</v>
      </c>
      <c r="AJ1190" s="140" t="s">
        <v>1621</v>
      </c>
      <c r="AQ1190" s="40" t="s">
        <v>842</v>
      </c>
      <c r="AR1190" s="40" t="s">
        <v>842</v>
      </c>
      <c r="AS1190" s="40" t="s">
        <v>178</v>
      </c>
      <c r="AT1190" s="40" t="s">
        <v>161</v>
      </c>
      <c r="AU1190" s="40">
        <v>4</v>
      </c>
      <c r="AW1190" s="40" t="s">
        <v>142</v>
      </c>
      <c r="BB1190" s="40" t="s">
        <v>839</v>
      </c>
      <c r="BH1190" s="40">
        <v>2350</v>
      </c>
      <c r="BI1190" s="40">
        <v>2434</v>
      </c>
      <c r="BM1190" s="416"/>
      <c r="BN1190" s="416"/>
      <c r="BR1190" s="416"/>
      <c r="BS1190" s="416"/>
      <c r="IO1190" s="40" t="s">
        <v>851</v>
      </c>
    </row>
    <row r="1191" spans="1:249" s="40" customFormat="1" x14ac:dyDescent="0.25">
      <c r="A1191" s="40">
        <v>57</v>
      </c>
      <c r="B1191" s="40" t="s">
        <v>836</v>
      </c>
      <c r="C1191" s="40" t="s">
        <v>837</v>
      </c>
      <c r="D1191" s="40">
        <v>1990</v>
      </c>
      <c r="E1191" s="40">
        <v>1973</v>
      </c>
      <c r="F1191" s="40" t="s">
        <v>841</v>
      </c>
      <c r="G1191" s="40" t="s">
        <v>838</v>
      </c>
      <c r="H1191" s="32" t="s">
        <v>2831</v>
      </c>
      <c r="I1191" s="40">
        <v>34.200000000000003</v>
      </c>
      <c r="J1191" s="40">
        <v>-90.58</v>
      </c>
      <c r="K1191" s="40">
        <v>55.3</v>
      </c>
      <c r="Q1191" s="71" t="s">
        <v>1856</v>
      </c>
      <c r="R1191" s="71" t="s">
        <v>1936</v>
      </c>
      <c r="S1191" s="40" t="s">
        <v>869</v>
      </c>
      <c r="T1191" s="71" t="s">
        <v>1990</v>
      </c>
      <c r="U1191" s="71" t="s">
        <v>1386</v>
      </c>
      <c r="V1191" s="71" t="s">
        <v>1724</v>
      </c>
      <c r="W1191" s="71" t="s">
        <v>1386</v>
      </c>
      <c r="X1191" s="71" t="s">
        <v>1386</v>
      </c>
      <c r="Y1191" s="40">
        <v>1.325</v>
      </c>
      <c r="Z1191" s="341"/>
      <c r="AA1191" s="341"/>
      <c r="AB1191" s="40" t="s">
        <v>451</v>
      </c>
      <c r="AF1191" s="40" t="s">
        <v>1350</v>
      </c>
      <c r="AG1191" s="40" t="s">
        <v>244</v>
      </c>
      <c r="AH1191" s="138" t="s">
        <v>578</v>
      </c>
      <c r="AI1191" s="40" t="s">
        <v>585</v>
      </c>
      <c r="AJ1191" s="140" t="s">
        <v>1621</v>
      </c>
      <c r="AQ1191" s="40" t="s">
        <v>842</v>
      </c>
      <c r="AR1191" s="40" t="s">
        <v>842</v>
      </c>
      <c r="AS1191" s="40" t="s">
        <v>178</v>
      </c>
      <c r="AT1191" s="40" t="s">
        <v>161</v>
      </c>
      <c r="AU1191" s="40">
        <v>4</v>
      </c>
      <c r="AW1191" s="40" t="s">
        <v>142</v>
      </c>
      <c r="BB1191" s="40" t="s">
        <v>839</v>
      </c>
      <c r="BH1191" s="40">
        <v>2350</v>
      </c>
      <c r="BI1191" s="40">
        <v>2492</v>
      </c>
      <c r="BM1191" s="416"/>
      <c r="BN1191" s="416"/>
      <c r="BR1191" s="416"/>
      <c r="BS1191" s="416"/>
      <c r="IO1191" s="40" t="s">
        <v>851</v>
      </c>
    </row>
    <row r="1192" spans="1:249" s="40" customFormat="1" x14ac:dyDescent="0.25">
      <c r="A1192" s="40">
        <v>57</v>
      </c>
      <c r="B1192" s="40" t="s">
        <v>836</v>
      </c>
      <c r="C1192" s="40" t="s">
        <v>837</v>
      </c>
      <c r="D1192" s="40">
        <v>1990</v>
      </c>
      <c r="E1192" s="40">
        <v>1973</v>
      </c>
      <c r="F1192" s="40" t="s">
        <v>841</v>
      </c>
      <c r="G1192" s="40" t="s">
        <v>838</v>
      </c>
      <c r="H1192" s="32" t="s">
        <v>2831</v>
      </c>
      <c r="I1192" s="40">
        <v>34.200000000000003</v>
      </c>
      <c r="J1192" s="40">
        <v>-90.58</v>
      </c>
      <c r="K1192" s="40">
        <v>55.3</v>
      </c>
      <c r="Q1192" s="71" t="s">
        <v>1856</v>
      </c>
      <c r="R1192" s="71" t="s">
        <v>1936</v>
      </c>
      <c r="S1192" s="40" t="s">
        <v>869</v>
      </c>
      <c r="T1192" s="71" t="s">
        <v>1990</v>
      </c>
      <c r="U1192" s="71" t="s">
        <v>1386</v>
      </c>
      <c r="V1192" s="71" t="s">
        <v>1724</v>
      </c>
      <c r="W1192" s="71" t="s">
        <v>1386</v>
      </c>
      <c r="X1192" s="71" t="s">
        <v>1386</v>
      </c>
      <c r="Y1192" s="40">
        <v>1.325</v>
      </c>
      <c r="Z1192" s="341"/>
      <c r="AA1192" s="341"/>
      <c r="AB1192" s="40" t="s">
        <v>451</v>
      </c>
      <c r="AF1192" s="40" t="s">
        <v>1350</v>
      </c>
      <c r="AG1192" s="40" t="s">
        <v>840</v>
      </c>
      <c r="AH1192" s="138" t="s">
        <v>578</v>
      </c>
      <c r="AI1192" s="40" t="s">
        <v>585</v>
      </c>
      <c r="AJ1192" s="140" t="s">
        <v>1621</v>
      </c>
      <c r="AQ1192" s="40" t="s">
        <v>842</v>
      </c>
      <c r="AR1192" s="40" t="s">
        <v>842</v>
      </c>
      <c r="AS1192" s="40" t="s">
        <v>178</v>
      </c>
      <c r="AT1192" s="40" t="s">
        <v>161</v>
      </c>
      <c r="AU1192" s="40">
        <v>4</v>
      </c>
      <c r="AW1192" s="40" t="s">
        <v>142</v>
      </c>
      <c r="BB1192" s="40" t="s">
        <v>839</v>
      </c>
      <c r="BH1192" s="40">
        <v>2350</v>
      </c>
      <c r="BI1192" s="40">
        <v>2156</v>
      </c>
      <c r="BM1192" s="416"/>
      <c r="BN1192" s="416"/>
      <c r="BR1192" s="416"/>
      <c r="BS1192" s="416"/>
      <c r="IO1192" s="40" t="s">
        <v>851</v>
      </c>
    </row>
    <row r="1193" spans="1:249" s="32" customFormat="1" x14ac:dyDescent="0.25">
      <c r="A1193" s="32">
        <v>57</v>
      </c>
      <c r="B1193" s="32" t="s">
        <v>836</v>
      </c>
      <c r="C1193" s="32" t="s">
        <v>837</v>
      </c>
      <c r="D1193" s="32">
        <v>1990</v>
      </c>
      <c r="E1193" s="32">
        <v>1974</v>
      </c>
      <c r="F1193" s="32" t="s">
        <v>841</v>
      </c>
      <c r="G1193" s="32" t="s">
        <v>838</v>
      </c>
      <c r="H1193" s="32" t="s">
        <v>2831</v>
      </c>
      <c r="I1193" s="32">
        <v>34.200000000000003</v>
      </c>
      <c r="J1193" s="32">
        <v>-90.58</v>
      </c>
      <c r="K1193" s="32">
        <v>55.3</v>
      </c>
      <c r="Q1193" s="44" t="s">
        <v>1735</v>
      </c>
      <c r="R1193" s="44" t="s">
        <v>1936</v>
      </c>
      <c r="S1193" s="44" t="s">
        <v>871</v>
      </c>
      <c r="T1193" s="44" t="s">
        <v>1990</v>
      </c>
      <c r="U1193" s="44" t="s">
        <v>1386</v>
      </c>
      <c r="V1193" s="44" t="s">
        <v>1724</v>
      </c>
      <c r="W1193" s="44" t="s">
        <v>1386</v>
      </c>
      <c r="X1193" s="44" t="s">
        <v>1386</v>
      </c>
      <c r="Y1193" s="32">
        <v>1.325</v>
      </c>
      <c r="Z1193" s="323"/>
      <c r="AA1193" s="323"/>
      <c r="AB1193" s="32" t="s">
        <v>451</v>
      </c>
      <c r="AF1193" s="32" t="s">
        <v>1350</v>
      </c>
      <c r="AG1193" s="32" t="s">
        <v>132</v>
      </c>
      <c r="AH1193" s="138" t="s">
        <v>132</v>
      </c>
      <c r="AI1193" s="32" t="s">
        <v>585</v>
      </c>
      <c r="AJ1193" s="140" t="s">
        <v>1621</v>
      </c>
      <c r="AQ1193" s="32" t="s">
        <v>843</v>
      </c>
      <c r="AR1193" s="32" t="s">
        <v>843</v>
      </c>
      <c r="AS1193" s="32" t="s">
        <v>178</v>
      </c>
      <c r="AT1193" s="32" t="s">
        <v>161</v>
      </c>
      <c r="AU1193" s="32">
        <v>4</v>
      </c>
      <c r="AW1193" s="32" t="s">
        <v>142</v>
      </c>
      <c r="BB1193" s="32" t="s">
        <v>839</v>
      </c>
      <c r="BH1193" s="32">
        <v>1636</v>
      </c>
      <c r="BI1193" s="32">
        <v>1839</v>
      </c>
      <c r="BM1193" s="397"/>
      <c r="BN1193" s="397"/>
      <c r="BR1193" s="397"/>
      <c r="BS1193" s="397"/>
      <c r="IO1193" s="32" t="s">
        <v>851</v>
      </c>
    </row>
    <row r="1194" spans="1:249" s="32" customFormat="1" x14ac:dyDescent="0.25">
      <c r="A1194" s="32">
        <v>57</v>
      </c>
      <c r="B1194" s="32" t="s">
        <v>836</v>
      </c>
      <c r="C1194" s="32" t="s">
        <v>837</v>
      </c>
      <c r="D1194" s="32">
        <v>1990</v>
      </c>
      <c r="E1194" s="32">
        <v>1974</v>
      </c>
      <c r="F1194" s="32" t="s">
        <v>841</v>
      </c>
      <c r="G1194" s="32" t="s">
        <v>838</v>
      </c>
      <c r="H1194" s="32" t="s">
        <v>2831</v>
      </c>
      <c r="I1194" s="32">
        <v>34.200000000000003</v>
      </c>
      <c r="J1194" s="32">
        <v>-90.58</v>
      </c>
      <c r="K1194" s="32">
        <v>55.3</v>
      </c>
      <c r="Q1194" s="44" t="s">
        <v>1735</v>
      </c>
      <c r="R1194" s="44" t="s">
        <v>1936</v>
      </c>
      <c r="S1194" s="44" t="s">
        <v>871</v>
      </c>
      <c r="T1194" s="44" t="s">
        <v>1990</v>
      </c>
      <c r="U1194" s="44" t="s">
        <v>1386</v>
      </c>
      <c r="V1194" s="44" t="s">
        <v>1724</v>
      </c>
      <c r="W1194" s="44" t="s">
        <v>1386</v>
      </c>
      <c r="X1194" s="44" t="s">
        <v>1386</v>
      </c>
      <c r="Y1194" s="32">
        <v>1.325</v>
      </c>
      <c r="Z1194" s="323"/>
      <c r="AA1194" s="323"/>
      <c r="AB1194" s="32" t="s">
        <v>451</v>
      </c>
      <c r="AF1194" s="32" t="s">
        <v>1350</v>
      </c>
      <c r="AG1194" s="32" t="s">
        <v>244</v>
      </c>
      <c r="AH1194" s="138" t="s">
        <v>578</v>
      </c>
      <c r="AI1194" s="32" t="s">
        <v>585</v>
      </c>
      <c r="AJ1194" s="140" t="s">
        <v>1621</v>
      </c>
      <c r="AQ1194" s="32" t="s">
        <v>843</v>
      </c>
      <c r="AR1194" s="32" t="s">
        <v>843</v>
      </c>
      <c r="AS1194" s="32" t="s">
        <v>178</v>
      </c>
      <c r="AT1194" s="32" t="s">
        <v>161</v>
      </c>
      <c r="AU1194" s="32">
        <v>4</v>
      </c>
      <c r="AW1194" s="32" t="s">
        <v>142</v>
      </c>
      <c r="BB1194" s="32" t="s">
        <v>839</v>
      </c>
      <c r="BH1194" s="32">
        <v>1636</v>
      </c>
      <c r="BI1194" s="32">
        <v>1897</v>
      </c>
      <c r="BM1194" s="397"/>
      <c r="BN1194" s="397"/>
      <c r="BR1194" s="397"/>
      <c r="BS1194" s="397"/>
      <c r="IO1194" s="32" t="s">
        <v>851</v>
      </c>
    </row>
    <row r="1195" spans="1:249" s="32" customFormat="1" x14ac:dyDescent="0.25">
      <c r="A1195" s="32">
        <v>57</v>
      </c>
      <c r="B1195" s="32" t="s">
        <v>836</v>
      </c>
      <c r="C1195" s="32" t="s">
        <v>837</v>
      </c>
      <c r="D1195" s="32">
        <v>1990</v>
      </c>
      <c r="E1195" s="32">
        <v>1974</v>
      </c>
      <c r="F1195" s="32" t="s">
        <v>841</v>
      </c>
      <c r="G1195" s="32" t="s">
        <v>838</v>
      </c>
      <c r="H1195" s="32" t="s">
        <v>2831</v>
      </c>
      <c r="I1195" s="32">
        <v>34.200000000000003</v>
      </c>
      <c r="J1195" s="32">
        <v>-90.58</v>
      </c>
      <c r="K1195" s="32">
        <v>55.3</v>
      </c>
      <c r="Q1195" s="44" t="s">
        <v>1735</v>
      </c>
      <c r="R1195" s="44" t="s">
        <v>1936</v>
      </c>
      <c r="S1195" s="44" t="s">
        <v>871</v>
      </c>
      <c r="T1195" s="44" t="s">
        <v>1990</v>
      </c>
      <c r="U1195" s="44" t="s">
        <v>1386</v>
      </c>
      <c r="V1195" s="44" t="s">
        <v>1724</v>
      </c>
      <c r="W1195" s="44" t="s">
        <v>1386</v>
      </c>
      <c r="X1195" s="44" t="s">
        <v>1386</v>
      </c>
      <c r="Y1195" s="32">
        <v>1.325</v>
      </c>
      <c r="Z1195" s="323"/>
      <c r="AA1195" s="323"/>
      <c r="AB1195" s="32" t="s">
        <v>451</v>
      </c>
      <c r="AF1195" s="32" t="s">
        <v>1350</v>
      </c>
      <c r="AG1195" s="32" t="s">
        <v>840</v>
      </c>
      <c r="AH1195" s="138" t="s">
        <v>578</v>
      </c>
      <c r="AI1195" s="32" t="s">
        <v>585</v>
      </c>
      <c r="AJ1195" s="140" t="s">
        <v>1621</v>
      </c>
      <c r="AQ1195" s="32" t="s">
        <v>843</v>
      </c>
      <c r="AR1195" s="32" t="s">
        <v>843</v>
      </c>
      <c r="AS1195" s="32" t="s">
        <v>178</v>
      </c>
      <c r="AT1195" s="32" t="s">
        <v>161</v>
      </c>
      <c r="AU1195" s="32">
        <v>4</v>
      </c>
      <c r="AW1195" s="32" t="s">
        <v>142</v>
      </c>
      <c r="BB1195" s="32" t="s">
        <v>839</v>
      </c>
      <c r="BH1195" s="32">
        <v>1636</v>
      </c>
      <c r="BI1195" s="32">
        <v>1515</v>
      </c>
      <c r="BM1195" s="397"/>
      <c r="BN1195" s="397"/>
      <c r="BR1195" s="397"/>
      <c r="BS1195" s="397"/>
      <c r="IO1195" s="32" t="s">
        <v>851</v>
      </c>
    </row>
    <row r="1196" spans="1:249" s="40" customFormat="1" x14ac:dyDescent="0.25">
      <c r="A1196" s="40">
        <v>57</v>
      </c>
      <c r="B1196" s="40" t="s">
        <v>836</v>
      </c>
      <c r="C1196" s="40" t="s">
        <v>837</v>
      </c>
      <c r="D1196" s="40">
        <v>1990</v>
      </c>
      <c r="E1196" s="40">
        <v>1975</v>
      </c>
      <c r="F1196" s="40" t="s">
        <v>841</v>
      </c>
      <c r="G1196" s="40" t="s">
        <v>838</v>
      </c>
      <c r="H1196" s="32" t="s">
        <v>2831</v>
      </c>
      <c r="I1196" s="40">
        <v>34.200000000000003</v>
      </c>
      <c r="J1196" s="40">
        <v>-90.58</v>
      </c>
      <c r="K1196" s="40">
        <v>55.3</v>
      </c>
      <c r="Q1196" s="71" t="s">
        <v>1867</v>
      </c>
      <c r="R1196" s="71" t="s">
        <v>1936</v>
      </c>
      <c r="S1196" s="40" t="s">
        <v>873</v>
      </c>
      <c r="T1196" s="71" t="s">
        <v>1990</v>
      </c>
      <c r="U1196" s="71" t="s">
        <v>1386</v>
      </c>
      <c r="V1196" s="71" t="s">
        <v>1724</v>
      </c>
      <c r="W1196" s="71" t="s">
        <v>1386</v>
      </c>
      <c r="X1196" s="71" t="s">
        <v>1386</v>
      </c>
      <c r="Y1196" s="40">
        <v>1.325</v>
      </c>
      <c r="Z1196" s="341"/>
      <c r="AA1196" s="341"/>
      <c r="AB1196" s="40" t="s">
        <v>451</v>
      </c>
      <c r="AF1196" s="40" t="s">
        <v>1350</v>
      </c>
      <c r="AG1196" s="40" t="s">
        <v>132</v>
      </c>
      <c r="AH1196" s="138" t="s">
        <v>132</v>
      </c>
      <c r="AI1196" s="40" t="s">
        <v>585</v>
      </c>
      <c r="AJ1196" s="140" t="s">
        <v>1621</v>
      </c>
      <c r="AQ1196" s="40" t="s">
        <v>844</v>
      </c>
      <c r="AR1196" s="40" t="s">
        <v>844</v>
      </c>
      <c r="AS1196" s="40" t="s">
        <v>178</v>
      </c>
      <c r="AT1196" s="40" t="s">
        <v>161</v>
      </c>
      <c r="AU1196" s="40">
        <v>4</v>
      </c>
      <c r="AW1196" s="40" t="s">
        <v>142</v>
      </c>
      <c r="BB1196" s="40" t="s">
        <v>839</v>
      </c>
      <c r="BH1196" s="40">
        <v>2328</v>
      </c>
      <c r="BI1196" s="40">
        <v>2415</v>
      </c>
      <c r="BM1196" s="416"/>
      <c r="BN1196" s="416"/>
      <c r="BR1196" s="416"/>
      <c r="BS1196" s="416"/>
      <c r="IO1196" s="40" t="s">
        <v>851</v>
      </c>
    </row>
    <row r="1197" spans="1:249" s="40" customFormat="1" x14ac:dyDescent="0.25">
      <c r="A1197" s="40">
        <v>57</v>
      </c>
      <c r="B1197" s="40" t="s">
        <v>836</v>
      </c>
      <c r="C1197" s="40" t="s">
        <v>837</v>
      </c>
      <c r="D1197" s="40">
        <v>1990</v>
      </c>
      <c r="E1197" s="40">
        <v>1975</v>
      </c>
      <c r="F1197" s="40" t="s">
        <v>841</v>
      </c>
      <c r="G1197" s="40" t="s">
        <v>838</v>
      </c>
      <c r="H1197" s="32" t="s">
        <v>2831</v>
      </c>
      <c r="I1197" s="40">
        <v>34.200000000000003</v>
      </c>
      <c r="J1197" s="40">
        <v>-90.58</v>
      </c>
      <c r="K1197" s="40">
        <v>55.3</v>
      </c>
      <c r="Q1197" s="71" t="s">
        <v>1867</v>
      </c>
      <c r="R1197" s="71" t="s">
        <v>1936</v>
      </c>
      <c r="S1197" s="40" t="s">
        <v>873</v>
      </c>
      <c r="T1197" s="71" t="s">
        <v>1990</v>
      </c>
      <c r="U1197" s="71" t="s">
        <v>1386</v>
      </c>
      <c r="V1197" s="71" t="s">
        <v>1724</v>
      </c>
      <c r="W1197" s="71" t="s">
        <v>1386</v>
      </c>
      <c r="X1197" s="71" t="s">
        <v>1386</v>
      </c>
      <c r="Y1197" s="40">
        <v>1.325</v>
      </c>
      <c r="Z1197" s="341"/>
      <c r="AA1197" s="341"/>
      <c r="AB1197" s="40" t="s">
        <v>451</v>
      </c>
      <c r="AF1197" s="40" t="s">
        <v>1350</v>
      </c>
      <c r="AG1197" s="40" t="s">
        <v>244</v>
      </c>
      <c r="AH1197" s="138" t="s">
        <v>578</v>
      </c>
      <c r="AI1197" s="40" t="s">
        <v>585</v>
      </c>
      <c r="AJ1197" s="140" t="s">
        <v>1621</v>
      </c>
      <c r="AQ1197" s="40" t="s">
        <v>844</v>
      </c>
      <c r="AR1197" s="40" t="s">
        <v>844</v>
      </c>
      <c r="AS1197" s="40" t="s">
        <v>178</v>
      </c>
      <c r="AT1197" s="40" t="s">
        <v>161</v>
      </c>
      <c r="AU1197" s="40">
        <v>4</v>
      </c>
      <c r="AW1197" s="40" t="s">
        <v>142</v>
      </c>
      <c r="BB1197" s="40" t="s">
        <v>839</v>
      </c>
      <c r="BH1197" s="40">
        <v>2328</v>
      </c>
      <c r="BI1197" s="40">
        <v>2646</v>
      </c>
      <c r="BM1197" s="416"/>
      <c r="BN1197" s="416"/>
      <c r="BR1197" s="416"/>
      <c r="BS1197" s="416"/>
      <c r="IO1197" s="40" t="s">
        <v>851</v>
      </c>
    </row>
    <row r="1198" spans="1:249" s="40" customFormat="1" x14ac:dyDescent="0.25">
      <c r="A1198" s="40">
        <v>57</v>
      </c>
      <c r="B1198" s="40" t="s">
        <v>836</v>
      </c>
      <c r="C1198" s="40" t="s">
        <v>837</v>
      </c>
      <c r="D1198" s="40">
        <v>1990</v>
      </c>
      <c r="E1198" s="40">
        <v>1975</v>
      </c>
      <c r="F1198" s="40" t="s">
        <v>841</v>
      </c>
      <c r="G1198" s="40" t="s">
        <v>838</v>
      </c>
      <c r="H1198" s="32" t="s">
        <v>2831</v>
      </c>
      <c r="I1198" s="40">
        <v>34.200000000000003</v>
      </c>
      <c r="J1198" s="40">
        <v>-90.58</v>
      </c>
      <c r="K1198" s="40">
        <v>55.3</v>
      </c>
      <c r="Q1198" s="71" t="s">
        <v>1867</v>
      </c>
      <c r="R1198" s="71" t="s">
        <v>1936</v>
      </c>
      <c r="S1198" s="40" t="s">
        <v>873</v>
      </c>
      <c r="T1198" s="71" t="s">
        <v>1990</v>
      </c>
      <c r="U1198" s="71" t="s">
        <v>1386</v>
      </c>
      <c r="V1198" s="71" t="s">
        <v>1724</v>
      </c>
      <c r="W1198" s="71" t="s">
        <v>1386</v>
      </c>
      <c r="X1198" s="71" t="s">
        <v>1386</v>
      </c>
      <c r="Y1198" s="40">
        <v>1.325</v>
      </c>
      <c r="Z1198" s="341"/>
      <c r="AA1198" s="341"/>
      <c r="AB1198" s="40" t="s">
        <v>451</v>
      </c>
      <c r="AF1198" s="40" t="s">
        <v>1350</v>
      </c>
      <c r="AG1198" s="40" t="s">
        <v>840</v>
      </c>
      <c r="AH1198" s="138" t="s">
        <v>578</v>
      </c>
      <c r="AI1198" s="40" t="s">
        <v>585</v>
      </c>
      <c r="AJ1198" s="140" t="s">
        <v>1621</v>
      </c>
      <c r="AQ1198" s="40" t="s">
        <v>844</v>
      </c>
      <c r="AR1198" s="40" t="s">
        <v>844</v>
      </c>
      <c r="AS1198" s="40" t="s">
        <v>178</v>
      </c>
      <c r="AT1198" s="40" t="s">
        <v>161</v>
      </c>
      <c r="AU1198" s="40">
        <v>4</v>
      </c>
      <c r="AW1198" s="40" t="s">
        <v>142</v>
      </c>
      <c r="BB1198" s="40" t="s">
        <v>839</v>
      </c>
      <c r="BH1198" s="40">
        <v>2328</v>
      </c>
      <c r="BI1198" s="40">
        <v>2599</v>
      </c>
      <c r="BM1198" s="416"/>
      <c r="BN1198" s="416"/>
      <c r="BR1198" s="416"/>
      <c r="BS1198" s="416"/>
      <c r="IO1198" s="40" t="s">
        <v>851</v>
      </c>
    </row>
    <row r="1199" spans="1:249" s="79" customFormat="1" x14ac:dyDescent="0.25">
      <c r="A1199" s="79">
        <v>57</v>
      </c>
      <c r="B1199" s="79" t="s">
        <v>836</v>
      </c>
      <c r="C1199" s="79" t="s">
        <v>837</v>
      </c>
      <c r="D1199" s="79">
        <v>1990</v>
      </c>
      <c r="E1199" s="79">
        <v>1977</v>
      </c>
      <c r="F1199" s="79" t="s">
        <v>841</v>
      </c>
      <c r="G1199" s="79" t="s">
        <v>838</v>
      </c>
      <c r="H1199" s="32" t="s">
        <v>2831</v>
      </c>
      <c r="I1199" s="79">
        <v>34.200000000000003</v>
      </c>
      <c r="J1199" s="79">
        <v>-90.58</v>
      </c>
      <c r="K1199" s="79">
        <v>55.3</v>
      </c>
      <c r="Q1199" s="80" t="s">
        <v>1852</v>
      </c>
      <c r="R1199" s="80" t="s">
        <v>1936</v>
      </c>
      <c r="S1199" s="80" t="s">
        <v>874</v>
      </c>
      <c r="T1199" s="80" t="s">
        <v>1990</v>
      </c>
      <c r="U1199" s="80" t="s">
        <v>1386</v>
      </c>
      <c r="V1199" s="80" t="s">
        <v>1724</v>
      </c>
      <c r="W1199" s="80" t="s">
        <v>1386</v>
      </c>
      <c r="X1199" s="80" t="s">
        <v>1386</v>
      </c>
      <c r="Y1199" s="79">
        <v>1.325</v>
      </c>
      <c r="Z1199" s="342"/>
      <c r="AA1199" s="342"/>
      <c r="AB1199" s="79" t="s">
        <v>451</v>
      </c>
      <c r="AF1199" s="40" t="s">
        <v>1350</v>
      </c>
      <c r="AG1199" s="79" t="s">
        <v>132</v>
      </c>
      <c r="AH1199" s="138" t="s">
        <v>132</v>
      </c>
      <c r="AI1199" s="79" t="s">
        <v>585</v>
      </c>
      <c r="AJ1199" s="140" t="s">
        <v>1621</v>
      </c>
      <c r="AQ1199" s="79" t="s">
        <v>844</v>
      </c>
      <c r="AR1199" s="79" t="s">
        <v>844</v>
      </c>
      <c r="AS1199" s="79" t="s">
        <v>178</v>
      </c>
      <c r="AT1199" s="79" t="s">
        <v>161</v>
      </c>
      <c r="AU1199" s="79">
        <v>4</v>
      </c>
      <c r="AW1199" s="79" t="s">
        <v>142</v>
      </c>
      <c r="AY1199" s="79">
        <v>3863</v>
      </c>
      <c r="BB1199" s="79" t="s">
        <v>839</v>
      </c>
      <c r="BH1199" s="79">
        <v>2175</v>
      </c>
      <c r="BI1199" s="79">
        <v>2040</v>
      </c>
      <c r="BM1199" s="417"/>
      <c r="BN1199" s="417"/>
      <c r="BR1199" s="417"/>
      <c r="BS1199" s="417"/>
      <c r="IO1199" s="79" t="s">
        <v>851</v>
      </c>
    </row>
    <row r="1200" spans="1:249" s="79" customFormat="1" x14ac:dyDescent="0.25">
      <c r="A1200" s="79">
        <v>57</v>
      </c>
      <c r="B1200" s="79" t="s">
        <v>836</v>
      </c>
      <c r="C1200" s="79" t="s">
        <v>837</v>
      </c>
      <c r="D1200" s="79">
        <v>1990</v>
      </c>
      <c r="E1200" s="79">
        <v>1977</v>
      </c>
      <c r="F1200" s="79" t="s">
        <v>841</v>
      </c>
      <c r="G1200" s="79" t="s">
        <v>838</v>
      </c>
      <c r="H1200" s="32" t="s">
        <v>2831</v>
      </c>
      <c r="I1200" s="79">
        <v>34.200000000000003</v>
      </c>
      <c r="J1200" s="79">
        <v>-90.58</v>
      </c>
      <c r="K1200" s="79">
        <v>55.3</v>
      </c>
      <c r="Q1200" s="80" t="s">
        <v>1852</v>
      </c>
      <c r="R1200" s="80" t="s">
        <v>1936</v>
      </c>
      <c r="S1200" s="80" t="s">
        <v>874</v>
      </c>
      <c r="T1200" s="80" t="s">
        <v>1990</v>
      </c>
      <c r="U1200" s="80" t="s">
        <v>1386</v>
      </c>
      <c r="V1200" s="80" t="s">
        <v>1724</v>
      </c>
      <c r="W1200" s="80" t="s">
        <v>1386</v>
      </c>
      <c r="X1200" s="80" t="s">
        <v>1386</v>
      </c>
      <c r="Y1200" s="79">
        <v>1.325</v>
      </c>
      <c r="Z1200" s="342"/>
      <c r="AA1200" s="342"/>
      <c r="AB1200" s="79" t="s">
        <v>451</v>
      </c>
      <c r="AF1200" s="40" t="s">
        <v>1350</v>
      </c>
      <c r="AG1200" s="79" t="s">
        <v>244</v>
      </c>
      <c r="AH1200" s="138" t="s">
        <v>578</v>
      </c>
      <c r="AI1200" s="79" t="s">
        <v>585</v>
      </c>
      <c r="AJ1200" s="140" t="s">
        <v>1621</v>
      </c>
      <c r="AQ1200" s="79" t="s">
        <v>844</v>
      </c>
      <c r="AR1200" s="79" t="s">
        <v>844</v>
      </c>
      <c r="AS1200" s="79" t="s">
        <v>178</v>
      </c>
      <c r="AT1200" s="79" t="s">
        <v>161</v>
      </c>
      <c r="AU1200" s="79">
        <v>4</v>
      </c>
      <c r="AW1200" s="79" t="s">
        <v>142</v>
      </c>
      <c r="AY1200" s="79">
        <v>2507</v>
      </c>
      <c r="BB1200" s="79" t="s">
        <v>839</v>
      </c>
      <c r="BH1200" s="79">
        <v>2175</v>
      </c>
      <c r="BI1200" s="79">
        <v>2185</v>
      </c>
      <c r="BM1200" s="417"/>
      <c r="BN1200" s="417"/>
      <c r="BR1200" s="417"/>
      <c r="BS1200" s="417"/>
      <c r="IO1200" s="79" t="s">
        <v>851</v>
      </c>
    </row>
    <row r="1201" spans="1:249" s="79" customFormat="1" x14ac:dyDescent="0.25">
      <c r="A1201" s="79">
        <v>57</v>
      </c>
      <c r="B1201" s="79" t="s">
        <v>836</v>
      </c>
      <c r="C1201" s="79" t="s">
        <v>837</v>
      </c>
      <c r="D1201" s="79">
        <v>1990</v>
      </c>
      <c r="E1201" s="79">
        <v>1977</v>
      </c>
      <c r="F1201" s="79" t="s">
        <v>841</v>
      </c>
      <c r="G1201" s="79" t="s">
        <v>838</v>
      </c>
      <c r="H1201" s="32" t="s">
        <v>2831</v>
      </c>
      <c r="I1201" s="79">
        <v>34.200000000000003</v>
      </c>
      <c r="J1201" s="79">
        <v>-90.58</v>
      </c>
      <c r="K1201" s="79">
        <v>55.3</v>
      </c>
      <c r="Q1201" s="80" t="s">
        <v>1852</v>
      </c>
      <c r="R1201" s="80" t="s">
        <v>1936</v>
      </c>
      <c r="S1201" s="80" t="s">
        <v>874</v>
      </c>
      <c r="T1201" s="80" t="s">
        <v>1990</v>
      </c>
      <c r="U1201" s="80" t="s">
        <v>1386</v>
      </c>
      <c r="V1201" s="80" t="s">
        <v>1724</v>
      </c>
      <c r="W1201" s="80" t="s">
        <v>1386</v>
      </c>
      <c r="X1201" s="80" t="s">
        <v>1386</v>
      </c>
      <c r="Y1201" s="79">
        <v>1.325</v>
      </c>
      <c r="Z1201" s="342"/>
      <c r="AA1201" s="342"/>
      <c r="AB1201" s="79" t="s">
        <v>451</v>
      </c>
      <c r="AF1201" s="40" t="s">
        <v>1350</v>
      </c>
      <c r="AG1201" s="79" t="s">
        <v>1522</v>
      </c>
      <c r="AH1201" s="138" t="s">
        <v>1586</v>
      </c>
      <c r="AI1201" s="79" t="s">
        <v>585</v>
      </c>
      <c r="AJ1201" s="140" t="s">
        <v>1621</v>
      </c>
      <c r="AQ1201" s="79" t="s">
        <v>844</v>
      </c>
      <c r="AR1201" s="79" t="s">
        <v>844</v>
      </c>
      <c r="AS1201" s="79" t="s">
        <v>178</v>
      </c>
      <c r="AT1201" s="79" t="s">
        <v>161</v>
      </c>
      <c r="AU1201" s="79">
        <v>4</v>
      </c>
      <c r="AW1201" s="79" t="s">
        <v>142</v>
      </c>
      <c r="AY1201" s="79">
        <v>3863</v>
      </c>
      <c r="BB1201" s="79" t="s">
        <v>839</v>
      </c>
      <c r="BH1201" s="79">
        <v>2175</v>
      </c>
      <c r="BI1201" s="79">
        <v>2409</v>
      </c>
      <c r="BM1201" s="417"/>
      <c r="BN1201" s="417"/>
      <c r="BR1201" s="417"/>
      <c r="BS1201" s="417"/>
      <c r="IO1201" s="79" t="s">
        <v>851</v>
      </c>
    </row>
    <row r="1202" spans="1:249" s="32" customFormat="1" x14ac:dyDescent="0.25">
      <c r="A1202" s="32">
        <v>57</v>
      </c>
      <c r="B1202" s="32" t="s">
        <v>836</v>
      </c>
      <c r="C1202" s="32" t="s">
        <v>837</v>
      </c>
      <c r="D1202" s="32">
        <v>1990</v>
      </c>
      <c r="E1202" s="32">
        <v>1978</v>
      </c>
      <c r="F1202" s="32" t="s">
        <v>841</v>
      </c>
      <c r="G1202" s="32" t="s">
        <v>838</v>
      </c>
      <c r="H1202" s="32" t="s">
        <v>2831</v>
      </c>
      <c r="I1202" s="32">
        <v>34.200000000000003</v>
      </c>
      <c r="J1202" s="32">
        <v>-90.58</v>
      </c>
      <c r="K1202" s="32">
        <v>55.3</v>
      </c>
      <c r="Q1202" s="44" t="s">
        <v>1741</v>
      </c>
      <c r="R1202" s="44" t="s">
        <v>1936</v>
      </c>
      <c r="S1202" s="44" t="s">
        <v>875</v>
      </c>
      <c r="T1202" s="44" t="s">
        <v>1990</v>
      </c>
      <c r="U1202" s="44" t="s">
        <v>1386</v>
      </c>
      <c r="V1202" s="44" t="s">
        <v>1724</v>
      </c>
      <c r="W1202" s="44" t="s">
        <v>1386</v>
      </c>
      <c r="X1202" s="44" t="s">
        <v>1386</v>
      </c>
      <c r="Y1202" s="32">
        <v>1.325</v>
      </c>
      <c r="Z1202" s="323"/>
      <c r="AA1202" s="323"/>
      <c r="AB1202" s="32" t="s">
        <v>451</v>
      </c>
      <c r="AF1202" s="32" t="s">
        <v>1350</v>
      </c>
      <c r="AG1202" s="32" t="s">
        <v>132</v>
      </c>
      <c r="AH1202" s="138" t="s">
        <v>132</v>
      </c>
      <c r="AI1202" s="32" t="s">
        <v>585</v>
      </c>
      <c r="AJ1202" s="140" t="s">
        <v>1621</v>
      </c>
      <c r="AQ1202" s="32" t="s">
        <v>845</v>
      </c>
      <c r="AR1202" s="32" t="s">
        <v>845</v>
      </c>
      <c r="AS1202" s="32" t="s">
        <v>178</v>
      </c>
      <c r="AT1202" s="32" t="s">
        <v>161</v>
      </c>
      <c r="AU1202" s="32">
        <v>4</v>
      </c>
      <c r="AW1202" s="32" t="s">
        <v>142</v>
      </c>
      <c r="AY1202" s="32">
        <v>4242</v>
      </c>
      <c r="BB1202" s="32" t="s">
        <v>839</v>
      </c>
      <c r="BH1202" s="32">
        <v>1719</v>
      </c>
      <c r="BI1202" s="32">
        <v>1771</v>
      </c>
      <c r="BM1202" s="397"/>
      <c r="BN1202" s="397"/>
      <c r="BR1202" s="397"/>
      <c r="BS1202" s="397"/>
      <c r="IO1202" s="32" t="s">
        <v>851</v>
      </c>
    </row>
    <row r="1203" spans="1:249" s="32" customFormat="1" x14ac:dyDescent="0.25">
      <c r="A1203" s="32">
        <v>57</v>
      </c>
      <c r="B1203" s="32" t="s">
        <v>836</v>
      </c>
      <c r="C1203" s="32" t="s">
        <v>837</v>
      </c>
      <c r="D1203" s="32">
        <v>1990</v>
      </c>
      <c r="E1203" s="32">
        <v>1978</v>
      </c>
      <c r="F1203" s="32" t="s">
        <v>841</v>
      </c>
      <c r="G1203" s="32" t="s">
        <v>838</v>
      </c>
      <c r="H1203" s="32" t="s">
        <v>2831</v>
      </c>
      <c r="I1203" s="32">
        <v>34.200000000000003</v>
      </c>
      <c r="J1203" s="32">
        <v>-90.58</v>
      </c>
      <c r="K1203" s="32">
        <v>55.3</v>
      </c>
      <c r="Q1203" s="44" t="s">
        <v>1741</v>
      </c>
      <c r="R1203" s="44" t="s">
        <v>1936</v>
      </c>
      <c r="S1203" s="44" t="s">
        <v>875</v>
      </c>
      <c r="T1203" s="44" t="s">
        <v>1990</v>
      </c>
      <c r="U1203" s="44" t="s">
        <v>1386</v>
      </c>
      <c r="V1203" s="44" t="s">
        <v>1724</v>
      </c>
      <c r="W1203" s="44" t="s">
        <v>1386</v>
      </c>
      <c r="X1203" s="44" t="s">
        <v>1386</v>
      </c>
      <c r="Y1203" s="32">
        <v>1.325</v>
      </c>
      <c r="Z1203" s="323"/>
      <c r="AA1203" s="323"/>
      <c r="AB1203" s="32" t="s">
        <v>451</v>
      </c>
      <c r="AF1203" s="32" t="s">
        <v>1350</v>
      </c>
      <c r="AG1203" s="32" t="s">
        <v>244</v>
      </c>
      <c r="AH1203" s="138" t="s">
        <v>578</v>
      </c>
      <c r="AI1203" s="32" t="s">
        <v>585</v>
      </c>
      <c r="AJ1203" s="140" t="s">
        <v>1621</v>
      </c>
      <c r="AQ1203" s="32" t="s">
        <v>845</v>
      </c>
      <c r="AR1203" s="32" t="s">
        <v>845</v>
      </c>
      <c r="AS1203" s="32" t="s">
        <v>178</v>
      </c>
      <c r="AT1203" s="32" t="s">
        <v>161</v>
      </c>
      <c r="AU1203" s="32">
        <v>4</v>
      </c>
      <c r="AW1203" s="32" t="s">
        <v>142</v>
      </c>
      <c r="AY1203" s="32">
        <v>1992</v>
      </c>
      <c r="BB1203" s="32" t="s">
        <v>839</v>
      </c>
      <c r="BH1203" s="32">
        <v>1719</v>
      </c>
      <c r="BI1203" s="32">
        <v>2120</v>
      </c>
      <c r="BM1203" s="397"/>
      <c r="BN1203" s="397"/>
      <c r="BR1203" s="397"/>
      <c r="BS1203" s="397"/>
      <c r="IO1203" s="32" t="s">
        <v>851</v>
      </c>
    </row>
    <row r="1204" spans="1:249" s="32" customFormat="1" x14ac:dyDescent="0.25">
      <c r="A1204" s="32">
        <v>57</v>
      </c>
      <c r="B1204" s="32" t="s">
        <v>836</v>
      </c>
      <c r="C1204" s="32" t="s">
        <v>837</v>
      </c>
      <c r="D1204" s="32">
        <v>1990</v>
      </c>
      <c r="E1204" s="32">
        <v>1978</v>
      </c>
      <c r="F1204" s="32" t="s">
        <v>841</v>
      </c>
      <c r="G1204" s="32" t="s">
        <v>838</v>
      </c>
      <c r="H1204" s="32" t="s">
        <v>2831</v>
      </c>
      <c r="I1204" s="32">
        <v>34.200000000000003</v>
      </c>
      <c r="J1204" s="32">
        <v>-90.58</v>
      </c>
      <c r="K1204" s="32">
        <v>55.3</v>
      </c>
      <c r="Q1204" s="44" t="s">
        <v>1741</v>
      </c>
      <c r="R1204" s="44" t="s">
        <v>1936</v>
      </c>
      <c r="S1204" s="44" t="s">
        <v>875</v>
      </c>
      <c r="T1204" s="44" t="s">
        <v>1990</v>
      </c>
      <c r="U1204" s="44" t="s">
        <v>1386</v>
      </c>
      <c r="V1204" s="44" t="s">
        <v>1724</v>
      </c>
      <c r="W1204" s="44" t="s">
        <v>1386</v>
      </c>
      <c r="X1204" s="44" t="s">
        <v>1386</v>
      </c>
      <c r="Y1204" s="32">
        <v>1.325</v>
      </c>
      <c r="Z1204" s="323"/>
      <c r="AA1204" s="323"/>
      <c r="AB1204" s="32" t="s">
        <v>451</v>
      </c>
      <c r="AF1204" s="32" t="s">
        <v>1350</v>
      </c>
      <c r="AG1204" s="32" t="s">
        <v>1522</v>
      </c>
      <c r="AH1204" s="138" t="s">
        <v>1586</v>
      </c>
      <c r="AI1204" s="32" t="s">
        <v>585</v>
      </c>
      <c r="AJ1204" s="140" t="s">
        <v>1621</v>
      </c>
      <c r="AQ1204" s="32" t="s">
        <v>845</v>
      </c>
      <c r="AR1204" s="32" t="s">
        <v>845</v>
      </c>
      <c r="AS1204" s="32" t="s">
        <v>178</v>
      </c>
      <c r="AT1204" s="32" t="s">
        <v>161</v>
      </c>
      <c r="AU1204" s="32">
        <v>4</v>
      </c>
      <c r="AW1204" s="32" t="s">
        <v>142</v>
      </c>
      <c r="AY1204" s="32">
        <v>4201</v>
      </c>
      <c r="BB1204" s="32" t="s">
        <v>839</v>
      </c>
      <c r="BH1204" s="32">
        <v>1719</v>
      </c>
      <c r="BI1204" s="32">
        <v>2147</v>
      </c>
      <c r="BM1204" s="397"/>
      <c r="BN1204" s="397"/>
      <c r="BR1204" s="397"/>
      <c r="BS1204" s="397"/>
      <c r="IO1204" s="32" t="s">
        <v>851</v>
      </c>
    </row>
    <row r="1205" spans="1:249" s="40" customFormat="1" x14ac:dyDescent="0.25">
      <c r="A1205" s="40">
        <v>57</v>
      </c>
      <c r="B1205" s="40" t="s">
        <v>836</v>
      </c>
      <c r="C1205" s="40" t="s">
        <v>837</v>
      </c>
      <c r="D1205" s="40">
        <v>1990</v>
      </c>
      <c r="E1205" s="40">
        <v>1979</v>
      </c>
      <c r="F1205" s="40" t="s">
        <v>841</v>
      </c>
      <c r="G1205" s="40" t="s">
        <v>838</v>
      </c>
      <c r="H1205" s="32" t="s">
        <v>2831</v>
      </c>
      <c r="I1205" s="40">
        <v>34.200000000000003</v>
      </c>
      <c r="J1205" s="40">
        <v>-90.58</v>
      </c>
      <c r="K1205" s="40">
        <v>55.3</v>
      </c>
      <c r="Q1205" s="71" t="s">
        <v>1991</v>
      </c>
      <c r="R1205" s="71" t="s">
        <v>1936</v>
      </c>
      <c r="S1205" s="71" t="s">
        <v>876</v>
      </c>
      <c r="T1205" s="71" t="s">
        <v>1990</v>
      </c>
      <c r="U1205" s="71" t="s">
        <v>1386</v>
      </c>
      <c r="V1205" s="71" t="s">
        <v>1724</v>
      </c>
      <c r="W1205" s="71" t="s">
        <v>1386</v>
      </c>
      <c r="X1205" s="71" t="s">
        <v>1386</v>
      </c>
      <c r="Y1205" s="40">
        <v>1.325</v>
      </c>
      <c r="Z1205" s="341"/>
      <c r="AA1205" s="341"/>
      <c r="AB1205" s="40" t="s">
        <v>451</v>
      </c>
      <c r="AF1205" s="40" t="s">
        <v>1350</v>
      </c>
      <c r="AG1205" s="40" t="s">
        <v>244</v>
      </c>
      <c r="AH1205" s="138" t="s">
        <v>578</v>
      </c>
      <c r="AI1205" s="40" t="s">
        <v>585</v>
      </c>
      <c r="AJ1205" s="140" t="s">
        <v>1621</v>
      </c>
      <c r="AQ1205" s="40" t="s">
        <v>845</v>
      </c>
      <c r="AR1205" s="40" t="s">
        <v>845</v>
      </c>
      <c r="AS1205" s="40" t="s">
        <v>178</v>
      </c>
      <c r="AT1205" s="40" t="s">
        <v>161</v>
      </c>
      <c r="AU1205" s="40">
        <v>4</v>
      </c>
      <c r="AW1205" s="40" t="s">
        <v>142</v>
      </c>
      <c r="BB1205" s="40" t="s">
        <v>839</v>
      </c>
      <c r="BH1205" s="40">
        <v>2135</v>
      </c>
      <c r="BI1205" s="40">
        <v>2158</v>
      </c>
      <c r="BM1205" s="416"/>
      <c r="BN1205" s="416"/>
      <c r="BR1205" s="416"/>
      <c r="BS1205" s="416"/>
      <c r="IO1205" s="40" t="s">
        <v>851</v>
      </c>
    </row>
    <row r="1206" spans="1:249" s="83" customFormat="1" x14ac:dyDescent="0.25">
      <c r="A1206" s="83">
        <v>57</v>
      </c>
      <c r="B1206" s="83" t="s">
        <v>836</v>
      </c>
      <c r="C1206" s="83" t="s">
        <v>837</v>
      </c>
      <c r="D1206" s="83">
        <v>1990</v>
      </c>
      <c r="E1206" s="83">
        <v>1979</v>
      </c>
      <c r="F1206" s="83" t="s">
        <v>841</v>
      </c>
      <c r="G1206" s="83" t="s">
        <v>838</v>
      </c>
      <c r="H1206" s="32" t="s">
        <v>2831</v>
      </c>
      <c r="I1206" s="83">
        <v>34.200000000000003</v>
      </c>
      <c r="J1206" s="83">
        <v>-90.58</v>
      </c>
      <c r="K1206" s="83">
        <v>55.3</v>
      </c>
      <c r="Q1206" s="84" t="s">
        <v>1991</v>
      </c>
      <c r="R1206" s="84" t="s">
        <v>1936</v>
      </c>
      <c r="S1206" s="84" t="s">
        <v>876</v>
      </c>
      <c r="T1206" s="84" t="s">
        <v>1990</v>
      </c>
      <c r="U1206" s="84" t="s">
        <v>1398</v>
      </c>
      <c r="V1206" s="84" t="s">
        <v>1729</v>
      </c>
      <c r="W1206" s="84" t="s">
        <v>1386</v>
      </c>
      <c r="X1206" s="84" t="s">
        <v>1386</v>
      </c>
      <c r="Y1206" s="83">
        <v>1.325</v>
      </c>
      <c r="Z1206" s="343"/>
      <c r="AA1206" s="343"/>
      <c r="AB1206" s="83" t="s">
        <v>451</v>
      </c>
      <c r="AF1206" s="83" t="s">
        <v>1350</v>
      </c>
      <c r="AG1206" s="83" t="s">
        <v>1522</v>
      </c>
      <c r="AH1206" s="138" t="s">
        <v>1586</v>
      </c>
      <c r="AI1206" s="83" t="s">
        <v>585</v>
      </c>
      <c r="AJ1206" s="140" t="s">
        <v>1621</v>
      </c>
      <c r="AQ1206" s="83" t="s">
        <v>845</v>
      </c>
      <c r="AR1206" s="83" t="s">
        <v>845</v>
      </c>
      <c r="AS1206" s="83" t="s">
        <v>178</v>
      </c>
      <c r="AT1206" s="83" t="s">
        <v>161</v>
      </c>
      <c r="AU1206" s="83">
        <v>4</v>
      </c>
      <c r="AW1206" s="83" t="s">
        <v>142</v>
      </c>
      <c r="BB1206" s="83" t="s">
        <v>839</v>
      </c>
      <c r="BH1206" s="83">
        <v>2135</v>
      </c>
      <c r="BI1206" s="83">
        <v>2430</v>
      </c>
      <c r="BM1206" s="418">
        <v>1.28</v>
      </c>
      <c r="BN1206" s="418">
        <v>1.26</v>
      </c>
      <c r="BR1206" s="418">
        <v>1.4</v>
      </c>
      <c r="BS1206" s="418">
        <v>1.9</v>
      </c>
      <c r="BV1206" s="83" t="s">
        <v>1679</v>
      </c>
      <c r="DZ1206" s="83">
        <v>2.08</v>
      </c>
      <c r="EA1206" s="83">
        <v>3.46</v>
      </c>
      <c r="FD1206" s="83">
        <f>0.295-0.07</f>
        <v>0.22499999999999998</v>
      </c>
      <c r="FE1206" s="83">
        <f>0.332-0.061</f>
        <v>0.27100000000000002</v>
      </c>
      <c r="FH1206" s="83" t="s">
        <v>853</v>
      </c>
      <c r="IO1206" s="83" t="s">
        <v>851</v>
      </c>
    </row>
    <row r="1207" spans="1:249" s="40" customFormat="1" x14ac:dyDescent="0.25">
      <c r="A1207" s="40">
        <v>57</v>
      </c>
      <c r="B1207" s="40" t="s">
        <v>836</v>
      </c>
      <c r="C1207" s="40" t="s">
        <v>837</v>
      </c>
      <c r="D1207" s="40">
        <v>1990</v>
      </c>
      <c r="E1207" s="40">
        <v>1979</v>
      </c>
      <c r="F1207" s="40" t="s">
        <v>841</v>
      </c>
      <c r="G1207" s="40" t="s">
        <v>838</v>
      </c>
      <c r="H1207" s="32" t="s">
        <v>2831</v>
      </c>
      <c r="I1207" s="40">
        <v>34.200000000000003</v>
      </c>
      <c r="J1207" s="40">
        <v>-90.58</v>
      </c>
      <c r="K1207" s="40">
        <v>55.3</v>
      </c>
      <c r="Q1207" s="71" t="s">
        <v>1991</v>
      </c>
      <c r="R1207" s="71" t="s">
        <v>1936</v>
      </c>
      <c r="S1207" s="71" t="s">
        <v>876</v>
      </c>
      <c r="T1207" s="71" t="s">
        <v>1990</v>
      </c>
      <c r="U1207" s="71" t="s">
        <v>1386</v>
      </c>
      <c r="V1207" s="71" t="s">
        <v>1724</v>
      </c>
      <c r="W1207" s="71" t="s">
        <v>1386</v>
      </c>
      <c r="X1207" s="71" t="s">
        <v>1386</v>
      </c>
      <c r="Y1207" s="40">
        <v>1.325</v>
      </c>
      <c r="Z1207" s="341"/>
      <c r="AA1207" s="341"/>
      <c r="AB1207" s="40" t="s">
        <v>451</v>
      </c>
      <c r="AF1207" s="40" t="s">
        <v>1350</v>
      </c>
      <c r="AG1207" s="40" t="s">
        <v>1523</v>
      </c>
      <c r="AH1207" s="138" t="s">
        <v>1586</v>
      </c>
      <c r="AI1207" s="40" t="s">
        <v>585</v>
      </c>
      <c r="AJ1207" s="140" t="s">
        <v>1621</v>
      </c>
      <c r="AQ1207" s="40" t="s">
        <v>845</v>
      </c>
      <c r="AR1207" s="40" t="s">
        <v>845</v>
      </c>
      <c r="AS1207" s="40" t="s">
        <v>178</v>
      </c>
      <c r="AT1207" s="40" t="s">
        <v>161</v>
      </c>
      <c r="AU1207" s="40">
        <v>4</v>
      </c>
      <c r="AW1207" s="40" t="s">
        <v>142</v>
      </c>
      <c r="BB1207" s="40" t="s">
        <v>839</v>
      </c>
      <c r="BH1207" s="40">
        <v>2135</v>
      </c>
      <c r="BI1207" s="40">
        <v>2043</v>
      </c>
      <c r="BM1207" s="416"/>
      <c r="BN1207" s="416"/>
      <c r="BR1207" s="416"/>
      <c r="BS1207" s="416"/>
      <c r="IO1207" s="40" t="s">
        <v>851</v>
      </c>
    </row>
    <row r="1208" spans="1:249" s="32" customFormat="1" x14ac:dyDescent="0.25">
      <c r="A1208" s="32">
        <v>57</v>
      </c>
      <c r="B1208" s="32" t="s">
        <v>836</v>
      </c>
      <c r="C1208" s="32" t="s">
        <v>837</v>
      </c>
      <c r="D1208" s="32">
        <v>1990</v>
      </c>
      <c r="E1208" s="32">
        <v>1980</v>
      </c>
      <c r="F1208" s="32" t="s">
        <v>841</v>
      </c>
      <c r="G1208" s="32" t="s">
        <v>838</v>
      </c>
      <c r="H1208" s="32" t="s">
        <v>2831</v>
      </c>
      <c r="I1208" s="32">
        <v>34.200000000000003</v>
      </c>
      <c r="J1208" s="32">
        <v>-90.58</v>
      </c>
      <c r="K1208" s="32">
        <v>55.3</v>
      </c>
      <c r="Q1208" s="44" t="s">
        <v>1984</v>
      </c>
      <c r="R1208" s="44" t="s">
        <v>1936</v>
      </c>
      <c r="S1208" s="44" t="s">
        <v>877</v>
      </c>
      <c r="T1208" s="44" t="s">
        <v>1990</v>
      </c>
      <c r="U1208" s="44" t="s">
        <v>1386</v>
      </c>
      <c r="V1208" s="44" t="s">
        <v>1724</v>
      </c>
      <c r="W1208" s="44" t="s">
        <v>1386</v>
      </c>
      <c r="X1208" s="44" t="s">
        <v>1386</v>
      </c>
      <c r="Y1208" s="32">
        <v>1.325</v>
      </c>
      <c r="Z1208" s="323"/>
      <c r="AA1208" s="323"/>
      <c r="AB1208" s="32" t="s">
        <v>451</v>
      </c>
      <c r="AF1208" s="32" t="s">
        <v>1350</v>
      </c>
      <c r="AG1208" s="32" t="s">
        <v>244</v>
      </c>
      <c r="AH1208" s="138" t="s">
        <v>578</v>
      </c>
      <c r="AI1208" s="32" t="s">
        <v>585</v>
      </c>
      <c r="AJ1208" s="140" t="s">
        <v>1621</v>
      </c>
      <c r="AQ1208" s="32" t="s">
        <v>846</v>
      </c>
      <c r="AR1208" s="32" t="s">
        <v>846</v>
      </c>
      <c r="AS1208" s="32" t="s">
        <v>178</v>
      </c>
      <c r="AT1208" s="32" t="s">
        <v>161</v>
      </c>
      <c r="AU1208" s="32">
        <v>4</v>
      </c>
      <c r="AW1208" s="32" t="s">
        <v>142</v>
      </c>
      <c r="BB1208" s="32" t="s">
        <v>839</v>
      </c>
      <c r="BH1208" s="32">
        <v>1796</v>
      </c>
      <c r="BI1208" s="32">
        <v>1921</v>
      </c>
      <c r="BM1208" s="397"/>
      <c r="BN1208" s="397"/>
      <c r="BR1208" s="397"/>
      <c r="BS1208" s="397"/>
      <c r="IO1208" s="32" t="s">
        <v>851</v>
      </c>
    </row>
    <row r="1209" spans="1:249" s="83" customFormat="1" x14ac:dyDescent="0.25">
      <c r="A1209" s="83">
        <v>57</v>
      </c>
      <c r="B1209" s="83" t="s">
        <v>836</v>
      </c>
      <c r="C1209" s="83" t="s">
        <v>837</v>
      </c>
      <c r="D1209" s="83">
        <v>1990</v>
      </c>
      <c r="E1209" s="83">
        <v>1980</v>
      </c>
      <c r="F1209" s="83" t="s">
        <v>841</v>
      </c>
      <c r="G1209" s="83" t="s">
        <v>838</v>
      </c>
      <c r="H1209" s="32" t="s">
        <v>2831</v>
      </c>
      <c r="I1209" s="83">
        <v>34.200000000000003</v>
      </c>
      <c r="J1209" s="83">
        <v>-90.58</v>
      </c>
      <c r="K1209" s="83">
        <v>55.3</v>
      </c>
      <c r="Q1209" s="84" t="s">
        <v>1984</v>
      </c>
      <c r="R1209" s="84" t="s">
        <v>1936</v>
      </c>
      <c r="S1209" s="84" t="s">
        <v>877</v>
      </c>
      <c r="T1209" s="84" t="s">
        <v>1990</v>
      </c>
      <c r="U1209" s="84" t="s">
        <v>1405</v>
      </c>
      <c r="V1209" s="84" t="s">
        <v>1729</v>
      </c>
      <c r="W1209" s="84" t="s">
        <v>1386</v>
      </c>
      <c r="X1209" s="84" t="s">
        <v>1386</v>
      </c>
      <c r="Y1209" s="83">
        <v>1.325</v>
      </c>
      <c r="Z1209" s="343"/>
      <c r="AA1209" s="343"/>
      <c r="AB1209" s="83" t="s">
        <v>451</v>
      </c>
      <c r="AF1209" s="83" t="s">
        <v>1350</v>
      </c>
      <c r="AG1209" s="83" t="s">
        <v>1522</v>
      </c>
      <c r="AH1209" s="138" t="s">
        <v>1586</v>
      </c>
      <c r="AI1209" s="83" t="s">
        <v>585</v>
      </c>
      <c r="AJ1209" s="140" t="s">
        <v>1621</v>
      </c>
      <c r="AQ1209" s="83" t="s">
        <v>846</v>
      </c>
      <c r="AR1209" s="83" t="s">
        <v>846</v>
      </c>
      <c r="AS1209" s="83" t="s">
        <v>178</v>
      </c>
      <c r="AT1209" s="83" t="s">
        <v>161</v>
      </c>
      <c r="AU1209" s="83">
        <v>4</v>
      </c>
      <c r="AW1209" s="83" t="s">
        <v>142</v>
      </c>
      <c r="BB1209" s="83" t="s">
        <v>839</v>
      </c>
      <c r="BH1209" s="83">
        <v>1796</v>
      </c>
      <c r="BI1209" s="83">
        <v>2110</v>
      </c>
      <c r="BM1209" s="418">
        <v>1.39</v>
      </c>
      <c r="BN1209" s="418">
        <v>1.29</v>
      </c>
      <c r="BR1209" s="418">
        <v>1.1000000000000001</v>
      </c>
      <c r="BS1209" s="418">
        <v>1.3</v>
      </c>
      <c r="BV1209" s="83" t="s">
        <v>1679</v>
      </c>
      <c r="DZ1209" s="83">
        <v>2.31</v>
      </c>
      <c r="EA1209" s="83">
        <v>4.49</v>
      </c>
      <c r="FD1209" s="83">
        <f>0.351-0.081</f>
        <v>0.26999999999999996</v>
      </c>
      <c r="FE1209" s="83">
        <f>0.312-0.071</f>
        <v>0.24099999999999999</v>
      </c>
      <c r="FH1209" s="83" t="s">
        <v>853</v>
      </c>
      <c r="IO1209" s="83" t="s">
        <v>851</v>
      </c>
    </row>
    <row r="1210" spans="1:249" s="32" customFormat="1" x14ac:dyDescent="0.25">
      <c r="A1210" s="32">
        <v>57</v>
      </c>
      <c r="B1210" s="32" t="s">
        <v>836</v>
      </c>
      <c r="C1210" s="32" t="s">
        <v>837</v>
      </c>
      <c r="D1210" s="32">
        <v>1990</v>
      </c>
      <c r="E1210" s="32">
        <v>1980</v>
      </c>
      <c r="F1210" s="32" t="s">
        <v>841</v>
      </c>
      <c r="G1210" s="32" t="s">
        <v>838</v>
      </c>
      <c r="H1210" s="32" t="s">
        <v>2831</v>
      </c>
      <c r="I1210" s="32">
        <v>34.200000000000003</v>
      </c>
      <c r="J1210" s="32">
        <v>-90.58</v>
      </c>
      <c r="K1210" s="32">
        <v>55.3</v>
      </c>
      <c r="Q1210" s="44" t="s">
        <v>1984</v>
      </c>
      <c r="R1210" s="44" t="s">
        <v>1936</v>
      </c>
      <c r="S1210" s="44" t="s">
        <v>877</v>
      </c>
      <c r="T1210" s="44" t="s">
        <v>1990</v>
      </c>
      <c r="U1210" s="44" t="s">
        <v>1386</v>
      </c>
      <c r="V1210" s="44" t="s">
        <v>1724</v>
      </c>
      <c r="W1210" s="44" t="s">
        <v>1386</v>
      </c>
      <c r="X1210" s="44" t="s">
        <v>1386</v>
      </c>
      <c r="Y1210" s="32">
        <v>1.325</v>
      </c>
      <c r="Z1210" s="323"/>
      <c r="AA1210" s="323"/>
      <c r="AB1210" s="32" t="s">
        <v>451</v>
      </c>
      <c r="AF1210" s="32" t="s">
        <v>1350</v>
      </c>
      <c r="AG1210" s="32" t="s">
        <v>1523</v>
      </c>
      <c r="AH1210" s="138" t="s">
        <v>1586</v>
      </c>
      <c r="AI1210" s="32" t="s">
        <v>585</v>
      </c>
      <c r="AJ1210" s="140" t="s">
        <v>1621</v>
      </c>
      <c r="AQ1210" s="32" t="s">
        <v>846</v>
      </c>
      <c r="AR1210" s="32" t="s">
        <v>846</v>
      </c>
      <c r="AS1210" s="32" t="s">
        <v>178</v>
      </c>
      <c r="AT1210" s="32" t="s">
        <v>161</v>
      </c>
      <c r="AU1210" s="32">
        <v>4</v>
      </c>
      <c r="AW1210" s="32" t="s">
        <v>142</v>
      </c>
      <c r="BB1210" s="32" t="s">
        <v>839</v>
      </c>
      <c r="BH1210" s="32">
        <v>1796</v>
      </c>
      <c r="BI1210" s="32">
        <v>1932</v>
      </c>
      <c r="BM1210" s="397"/>
      <c r="BN1210" s="397"/>
      <c r="BR1210" s="397"/>
      <c r="BS1210" s="397"/>
      <c r="IO1210" s="32" t="s">
        <v>851</v>
      </c>
    </row>
    <row r="1211" spans="1:249" s="40" customFormat="1" x14ac:dyDescent="0.25">
      <c r="A1211" s="40">
        <v>57</v>
      </c>
      <c r="B1211" s="40" t="s">
        <v>836</v>
      </c>
      <c r="C1211" s="40" t="s">
        <v>837</v>
      </c>
      <c r="D1211" s="40">
        <v>1990</v>
      </c>
      <c r="E1211" s="40">
        <v>1981</v>
      </c>
      <c r="F1211" s="40" t="s">
        <v>841</v>
      </c>
      <c r="G1211" s="40" t="s">
        <v>838</v>
      </c>
      <c r="H1211" s="32" t="s">
        <v>2831</v>
      </c>
      <c r="I1211" s="40">
        <v>34.200000000000003</v>
      </c>
      <c r="J1211" s="40">
        <v>-90.58</v>
      </c>
      <c r="K1211" s="40">
        <v>55.3</v>
      </c>
      <c r="Q1211" s="71" t="s">
        <v>1726</v>
      </c>
      <c r="R1211" s="71" t="s">
        <v>1936</v>
      </c>
      <c r="S1211" s="71" t="s">
        <v>878</v>
      </c>
      <c r="T1211" s="71" t="s">
        <v>1990</v>
      </c>
      <c r="U1211" s="71" t="s">
        <v>1386</v>
      </c>
      <c r="V1211" s="71" t="s">
        <v>1724</v>
      </c>
      <c r="W1211" s="71" t="s">
        <v>1386</v>
      </c>
      <c r="X1211" s="71" t="s">
        <v>1386</v>
      </c>
      <c r="Y1211" s="40">
        <v>1.325</v>
      </c>
      <c r="Z1211" s="341"/>
      <c r="AA1211" s="341"/>
      <c r="AB1211" s="40" t="s">
        <v>451</v>
      </c>
      <c r="AF1211" s="40" t="s">
        <v>1350</v>
      </c>
      <c r="AG1211" s="40" t="s">
        <v>244</v>
      </c>
      <c r="AH1211" s="138" t="s">
        <v>578</v>
      </c>
      <c r="AI1211" s="40" t="s">
        <v>585</v>
      </c>
      <c r="AJ1211" s="140" t="s">
        <v>1621</v>
      </c>
      <c r="AQ1211" s="40" t="s">
        <v>847</v>
      </c>
      <c r="AR1211" s="40" t="s">
        <v>847</v>
      </c>
      <c r="AS1211" s="40" t="s">
        <v>178</v>
      </c>
      <c r="AT1211" s="40" t="s">
        <v>161</v>
      </c>
      <c r="AU1211" s="40">
        <v>4</v>
      </c>
      <c r="AW1211" s="40" t="s">
        <v>142</v>
      </c>
      <c r="BB1211" s="40" t="s">
        <v>839</v>
      </c>
      <c r="BH1211" s="40">
        <v>1944</v>
      </c>
      <c r="BI1211" s="40">
        <v>2782</v>
      </c>
      <c r="BM1211" s="416"/>
      <c r="BN1211" s="416"/>
      <c r="BR1211" s="416"/>
      <c r="BS1211" s="416"/>
      <c r="IO1211" s="40" t="s">
        <v>851</v>
      </c>
    </row>
    <row r="1212" spans="1:249" s="83" customFormat="1" x14ac:dyDescent="0.25">
      <c r="A1212" s="83">
        <v>57</v>
      </c>
      <c r="B1212" s="83" t="s">
        <v>836</v>
      </c>
      <c r="C1212" s="83" t="s">
        <v>837</v>
      </c>
      <c r="D1212" s="83">
        <v>1990</v>
      </c>
      <c r="E1212" s="83">
        <v>1981</v>
      </c>
      <c r="F1212" s="83" t="s">
        <v>841</v>
      </c>
      <c r="G1212" s="83" t="s">
        <v>838</v>
      </c>
      <c r="H1212" s="32" t="s">
        <v>2831</v>
      </c>
      <c r="I1212" s="83">
        <v>34.200000000000003</v>
      </c>
      <c r="J1212" s="83">
        <v>-90.58</v>
      </c>
      <c r="K1212" s="83">
        <v>55.3</v>
      </c>
      <c r="Q1212" s="84" t="s">
        <v>1726</v>
      </c>
      <c r="R1212" s="84" t="s">
        <v>1936</v>
      </c>
      <c r="S1212" s="84" t="s">
        <v>878</v>
      </c>
      <c r="T1212" s="84" t="s">
        <v>1990</v>
      </c>
      <c r="U1212" s="84" t="s">
        <v>1413</v>
      </c>
      <c r="V1212" s="84" t="s">
        <v>1729</v>
      </c>
      <c r="W1212" s="84" t="s">
        <v>1386</v>
      </c>
      <c r="X1212" s="84" t="s">
        <v>1386</v>
      </c>
      <c r="Y1212" s="83">
        <v>1.325</v>
      </c>
      <c r="Z1212" s="343"/>
      <c r="AA1212" s="343"/>
      <c r="AB1212" s="83" t="s">
        <v>451</v>
      </c>
      <c r="AF1212" s="83" t="s">
        <v>1350</v>
      </c>
      <c r="AG1212" s="83" t="s">
        <v>1522</v>
      </c>
      <c r="AH1212" s="138" t="s">
        <v>1586</v>
      </c>
      <c r="AI1212" s="83" t="s">
        <v>585</v>
      </c>
      <c r="AJ1212" s="140" t="s">
        <v>1621</v>
      </c>
      <c r="AQ1212" s="83" t="s">
        <v>847</v>
      </c>
      <c r="AR1212" s="83" t="s">
        <v>847</v>
      </c>
      <c r="AS1212" s="83" t="s">
        <v>178</v>
      </c>
      <c r="AT1212" s="83" t="s">
        <v>161</v>
      </c>
      <c r="AU1212" s="83">
        <v>4</v>
      </c>
      <c r="AW1212" s="83" t="s">
        <v>142</v>
      </c>
      <c r="BB1212" s="83" t="s">
        <v>839</v>
      </c>
      <c r="BH1212" s="83">
        <v>1944</v>
      </c>
      <c r="BI1212" s="83">
        <v>2947</v>
      </c>
      <c r="BM1212" s="418">
        <v>1.39</v>
      </c>
      <c r="BN1212" s="418">
        <v>1.34</v>
      </c>
      <c r="BR1212" s="418">
        <v>1.1000000000000001</v>
      </c>
      <c r="BS1212" s="418">
        <v>0.9</v>
      </c>
      <c r="BV1212" s="83" t="s">
        <v>1679</v>
      </c>
      <c r="DZ1212" s="83">
        <v>1.43</v>
      </c>
      <c r="EA1212" s="83">
        <v>5.13</v>
      </c>
      <c r="FD1212" s="83">
        <f>0.299-0.087</f>
        <v>0.21199999999999999</v>
      </c>
      <c r="FE1212" s="83">
        <f>0.308-0.087</f>
        <v>0.221</v>
      </c>
      <c r="FH1212" s="83" t="s">
        <v>853</v>
      </c>
      <c r="IO1212" s="83" t="s">
        <v>851</v>
      </c>
    </row>
    <row r="1213" spans="1:249" s="40" customFormat="1" x14ac:dyDescent="0.25">
      <c r="A1213" s="40">
        <v>57</v>
      </c>
      <c r="B1213" s="40" t="s">
        <v>836</v>
      </c>
      <c r="C1213" s="40" t="s">
        <v>837</v>
      </c>
      <c r="D1213" s="40">
        <v>1990</v>
      </c>
      <c r="E1213" s="40">
        <v>1981</v>
      </c>
      <c r="F1213" s="40" t="s">
        <v>841</v>
      </c>
      <c r="G1213" s="40" t="s">
        <v>838</v>
      </c>
      <c r="H1213" s="32" t="s">
        <v>2831</v>
      </c>
      <c r="I1213" s="40">
        <v>34.200000000000003</v>
      </c>
      <c r="J1213" s="40">
        <v>-90.58</v>
      </c>
      <c r="K1213" s="40">
        <v>55.3</v>
      </c>
      <c r="Q1213" s="71" t="s">
        <v>1726</v>
      </c>
      <c r="R1213" s="71" t="s">
        <v>1936</v>
      </c>
      <c r="S1213" s="71" t="s">
        <v>878</v>
      </c>
      <c r="T1213" s="71" t="s">
        <v>1990</v>
      </c>
      <c r="U1213" s="71" t="s">
        <v>1386</v>
      </c>
      <c r="V1213" s="71" t="s">
        <v>1724</v>
      </c>
      <c r="W1213" s="71" t="s">
        <v>1386</v>
      </c>
      <c r="X1213" s="71" t="s">
        <v>1386</v>
      </c>
      <c r="Y1213" s="40">
        <v>1.325</v>
      </c>
      <c r="Z1213" s="341"/>
      <c r="AA1213" s="341"/>
      <c r="AB1213" s="40" t="s">
        <v>451</v>
      </c>
      <c r="AF1213" s="40" t="s">
        <v>1350</v>
      </c>
      <c r="AG1213" s="40" t="s">
        <v>1523</v>
      </c>
      <c r="AH1213" s="138" t="s">
        <v>1586</v>
      </c>
      <c r="AI1213" s="40" t="s">
        <v>585</v>
      </c>
      <c r="AJ1213" s="140" t="s">
        <v>1621</v>
      </c>
      <c r="AQ1213" s="40" t="s">
        <v>847</v>
      </c>
      <c r="AR1213" s="40" t="s">
        <v>847</v>
      </c>
      <c r="AS1213" s="40" t="s">
        <v>178</v>
      </c>
      <c r="AT1213" s="40" t="s">
        <v>161</v>
      </c>
      <c r="AU1213" s="40">
        <v>4</v>
      </c>
      <c r="AW1213" s="40" t="s">
        <v>142</v>
      </c>
      <c r="BB1213" s="40" t="s">
        <v>839</v>
      </c>
      <c r="BH1213" s="40">
        <v>1944</v>
      </c>
      <c r="BI1213" s="40">
        <v>2395</v>
      </c>
      <c r="BM1213" s="416"/>
      <c r="BN1213" s="416"/>
      <c r="BR1213" s="416"/>
      <c r="BS1213" s="416"/>
      <c r="IO1213" s="40" t="s">
        <v>851</v>
      </c>
    </row>
    <row r="1214" spans="1:249" s="79" customFormat="1" x14ac:dyDescent="0.25">
      <c r="A1214" s="79">
        <v>57</v>
      </c>
      <c r="B1214" s="79" t="s">
        <v>836</v>
      </c>
      <c r="C1214" s="79" t="s">
        <v>837</v>
      </c>
      <c r="D1214" s="79">
        <v>1990</v>
      </c>
      <c r="E1214" s="79">
        <v>1983</v>
      </c>
      <c r="F1214" s="79" t="s">
        <v>841</v>
      </c>
      <c r="G1214" s="79" t="s">
        <v>838</v>
      </c>
      <c r="H1214" s="32" t="s">
        <v>2831</v>
      </c>
      <c r="I1214" s="79">
        <v>34.200000000000003</v>
      </c>
      <c r="J1214" s="79">
        <v>-90.58</v>
      </c>
      <c r="K1214" s="79">
        <v>55.3</v>
      </c>
      <c r="Q1214" s="80" t="s">
        <v>1940</v>
      </c>
      <c r="R1214" s="80" t="s">
        <v>1936</v>
      </c>
      <c r="S1214" s="80" t="s">
        <v>879</v>
      </c>
      <c r="T1214" s="80" t="s">
        <v>1990</v>
      </c>
      <c r="U1214" s="71" t="s">
        <v>1386</v>
      </c>
      <c r="V1214" s="71" t="s">
        <v>1724</v>
      </c>
      <c r="W1214" s="71" t="s">
        <v>1386</v>
      </c>
      <c r="X1214" s="71" t="s">
        <v>1386</v>
      </c>
      <c r="Y1214" s="79">
        <v>1.325</v>
      </c>
      <c r="Z1214" s="342"/>
      <c r="AA1214" s="342"/>
      <c r="AB1214" s="79" t="s">
        <v>451</v>
      </c>
      <c r="AF1214" s="79" t="s">
        <v>1350</v>
      </c>
      <c r="AG1214" s="79" t="s">
        <v>244</v>
      </c>
      <c r="AH1214" s="138" t="s">
        <v>578</v>
      </c>
      <c r="AI1214" s="79" t="s">
        <v>585</v>
      </c>
      <c r="AJ1214" s="140" t="s">
        <v>1621</v>
      </c>
      <c r="AQ1214" s="79" t="s">
        <v>848</v>
      </c>
      <c r="AR1214" s="79" t="s">
        <v>848</v>
      </c>
      <c r="AS1214" s="79" t="s">
        <v>178</v>
      </c>
      <c r="AT1214" s="79" t="s">
        <v>161</v>
      </c>
      <c r="AU1214" s="79">
        <v>4</v>
      </c>
      <c r="AW1214" s="79" t="s">
        <v>142</v>
      </c>
      <c r="AY1214" s="79">
        <v>3117</v>
      </c>
      <c r="BB1214" s="79" t="s">
        <v>839</v>
      </c>
      <c r="BH1214" s="79">
        <v>2930</v>
      </c>
      <c r="BI1214" s="79">
        <v>3145</v>
      </c>
      <c r="BM1214" s="417"/>
      <c r="BN1214" s="417"/>
      <c r="BR1214" s="417"/>
      <c r="BS1214" s="417"/>
      <c r="IO1214" s="79" t="s">
        <v>851</v>
      </c>
    </row>
    <row r="1215" spans="1:249" s="79" customFormat="1" x14ac:dyDescent="0.25">
      <c r="A1215" s="79">
        <v>57</v>
      </c>
      <c r="B1215" s="79" t="s">
        <v>836</v>
      </c>
      <c r="C1215" s="79" t="s">
        <v>837</v>
      </c>
      <c r="D1215" s="79">
        <v>1990</v>
      </c>
      <c r="E1215" s="79">
        <v>1983</v>
      </c>
      <c r="F1215" s="79" t="s">
        <v>841</v>
      </c>
      <c r="G1215" s="79" t="s">
        <v>838</v>
      </c>
      <c r="H1215" s="32" t="s">
        <v>2831</v>
      </c>
      <c r="I1215" s="79">
        <v>34.200000000000003</v>
      </c>
      <c r="J1215" s="79">
        <v>-90.58</v>
      </c>
      <c r="K1215" s="79">
        <v>55.3</v>
      </c>
      <c r="Q1215" s="80" t="s">
        <v>1940</v>
      </c>
      <c r="R1215" s="80" t="s">
        <v>1936</v>
      </c>
      <c r="S1215" s="80" t="s">
        <v>879</v>
      </c>
      <c r="T1215" s="80" t="s">
        <v>1990</v>
      </c>
      <c r="U1215" s="71" t="s">
        <v>1386</v>
      </c>
      <c r="V1215" s="71" t="s">
        <v>1724</v>
      </c>
      <c r="W1215" s="71" t="s">
        <v>1386</v>
      </c>
      <c r="X1215" s="71" t="s">
        <v>1386</v>
      </c>
      <c r="Y1215" s="79">
        <v>1.325</v>
      </c>
      <c r="Z1215" s="342"/>
      <c r="AA1215" s="342"/>
      <c r="AB1215" s="79" t="s">
        <v>451</v>
      </c>
      <c r="AF1215" s="79" t="s">
        <v>1350</v>
      </c>
      <c r="AG1215" s="79" t="s">
        <v>1522</v>
      </c>
      <c r="AH1215" s="138" t="s">
        <v>1586</v>
      </c>
      <c r="AI1215" s="79" t="s">
        <v>585</v>
      </c>
      <c r="AJ1215" s="140" t="s">
        <v>1621</v>
      </c>
      <c r="AQ1215" s="79" t="s">
        <v>848</v>
      </c>
      <c r="AR1215" s="79" t="s">
        <v>848</v>
      </c>
      <c r="AS1215" s="79" t="s">
        <v>178</v>
      </c>
      <c r="AT1215" s="79" t="s">
        <v>161</v>
      </c>
      <c r="AU1215" s="79">
        <v>4</v>
      </c>
      <c r="AW1215" s="79" t="s">
        <v>142</v>
      </c>
      <c r="AY1215" s="79">
        <v>2615</v>
      </c>
      <c r="BB1215" s="79" t="s">
        <v>839</v>
      </c>
      <c r="BH1215" s="79">
        <v>2930</v>
      </c>
      <c r="BI1215" s="79">
        <v>3156</v>
      </c>
      <c r="BM1215" s="417"/>
      <c r="BN1215" s="417"/>
      <c r="BR1215" s="417"/>
      <c r="BS1215" s="417"/>
      <c r="IO1215" s="79" t="s">
        <v>851</v>
      </c>
    </row>
    <row r="1216" spans="1:249" s="79" customFormat="1" x14ac:dyDescent="0.25">
      <c r="A1216" s="79">
        <v>57</v>
      </c>
      <c r="B1216" s="79" t="s">
        <v>836</v>
      </c>
      <c r="C1216" s="79" t="s">
        <v>837</v>
      </c>
      <c r="D1216" s="79">
        <v>1990</v>
      </c>
      <c r="E1216" s="79">
        <v>1983</v>
      </c>
      <c r="F1216" s="79" t="s">
        <v>841</v>
      </c>
      <c r="G1216" s="79" t="s">
        <v>838</v>
      </c>
      <c r="H1216" s="32" t="s">
        <v>2831</v>
      </c>
      <c r="I1216" s="79">
        <v>34.200000000000003</v>
      </c>
      <c r="J1216" s="79">
        <v>-90.58</v>
      </c>
      <c r="K1216" s="79">
        <v>55.3</v>
      </c>
      <c r="Q1216" s="80" t="s">
        <v>1940</v>
      </c>
      <c r="R1216" s="80" t="s">
        <v>1936</v>
      </c>
      <c r="S1216" s="80" t="s">
        <v>879</v>
      </c>
      <c r="T1216" s="80" t="s">
        <v>1990</v>
      </c>
      <c r="U1216" s="80" t="s">
        <v>1386</v>
      </c>
      <c r="V1216" s="71" t="s">
        <v>1724</v>
      </c>
      <c r="W1216" s="80" t="s">
        <v>1386</v>
      </c>
      <c r="X1216" s="80" t="s">
        <v>1386</v>
      </c>
      <c r="Y1216" s="79">
        <v>1.325</v>
      </c>
      <c r="Z1216" s="342"/>
      <c r="AA1216" s="342"/>
      <c r="AB1216" s="79" t="s">
        <v>451</v>
      </c>
      <c r="AF1216" s="79" t="s">
        <v>1350</v>
      </c>
      <c r="AG1216" s="79" t="s">
        <v>1523</v>
      </c>
      <c r="AH1216" s="138" t="s">
        <v>1586</v>
      </c>
      <c r="AI1216" s="79" t="s">
        <v>585</v>
      </c>
      <c r="AJ1216" s="140" t="s">
        <v>1621</v>
      </c>
      <c r="AQ1216" s="79" t="s">
        <v>848</v>
      </c>
      <c r="AR1216" s="79" t="s">
        <v>848</v>
      </c>
      <c r="AS1216" s="79" t="s">
        <v>178</v>
      </c>
      <c r="AT1216" s="79" t="s">
        <v>161</v>
      </c>
      <c r="AU1216" s="79">
        <v>4</v>
      </c>
      <c r="AW1216" s="79" t="s">
        <v>142</v>
      </c>
      <c r="AY1216" s="79">
        <v>4054</v>
      </c>
      <c r="BB1216" s="79" t="s">
        <v>839</v>
      </c>
      <c r="BH1216" s="79">
        <v>2930</v>
      </c>
      <c r="BI1216" s="79">
        <v>3053</v>
      </c>
      <c r="BM1216" s="417"/>
      <c r="BN1216" s="417"/>
      <c r="BR1216" s="417"/>
      <c r="BS1216" s="417"/>
      <c r="IO1216" s="79" t="s">
        <v>851</v>
      </c>
    </row>
    <row r="1217" spans="1:251" s="32" customFormat="1" x14ac:dyDescent="0.25">
      <c r="A1217" s="32">
        <v>57</v>
      </c>
      <c r="B1217" s="32" t="s">
        <v>836</v>
      </c>
      <c r="C1217" s="32" t="s">
        <v>837</v>
      </c>
      <c r="D1217" s="32">
        <v>1990</v>
      </c>
      <c r="E1217" s="32">
        <v>1984</v>
      </c>
      <c r="F1217" s="32" t="s">
        <v>841</v>
      </c>
      <c r="G1217" s="32" t="s">
        <v>838</v>
      </c>
      <c r="H1217" s="32" t="s">
        <v>2831</v>
      </c>
      <c r="I1217" s="32">
        <v>34.200000000000003</v>
      </c>
      <c r="J1217" s="32">
        <v>-90.58</v>
      </c>
      <c r="K1217" s="32">
        <v>55.3</v>
      </c>
      <c r="Q1217" s="44" t="s">
        <v>1926</v>
      </c>
      <c r="R1217" s="44" t="s">
        <v>1936</v>
      </c>
      <c r="S1217" s="44" t="s">
        <v>880</v>
      </c>
      <c r="T1217" s="44" t="s">
        <v>1990</v>
      </c>
      <c r="U1217" s="44" t="s">
        <v>1386</v>
      </c>
      <c r="V1217" s="44" t="s">
        <v>1724</v>
      </c>
      <c r="W1217" s="44" t="s">
        <v>1386</v>
      </c>
      <c r="X1217" s="44" t="s">
        <v>1386</v>
      </c>
      <c r="Y1217" s="32">
        <v>1.325</v>
      </c>
      <c r="Z1217" s="323"/>
      <c r="AA1217" s="323"/>
      <c r="AB1217" s="32" t="s">
        <v>451</v>
      </c>
      <c r="AF1217" s="32" t="s">
        <v>1350</v>
      </c>
      <c r="AG1217" s="32" t="s">
        <v>244</v>
      </c>
      <c r="AH1217" s="138" t="s">
        <v>578</v>
      </c>
      <c r="AI1217" s="32" t="s">
        <v>585</v>
      </c>
      <c r="AJ1217" s="140" t="s">
        <v>1621</v>
      </c>
      <c r="AQ1217" s="32" t="s">
        <v>849</v>
      </c>
      <c r="AR1217" s="32" t="s">
        <v>849</v>
      </c>
      <c r="AS1217" s="32" t="s">
        <v>178</v>
      </c>
      <c r="AT1217" s="32" t="s">
        <v>161</v>
      </c>
      <c r="AU1217" s="32">
        <v>4</v>
      </c>
      <c r="AW1217" s="32" t="s">
        <v>142</v>
      </c>
      <c r="BB1217" s="32" t="s">
        <v>839</v>
      </c>
      <c r="BH1217" s="32">
        <v>2012</v>
      </c>
      <c r="BI1217" s="32">
        <v>2461</v>
      </c>
      <c r="BM1217" s="397"/>
      <c r="BN1217" s="397"/>
      <c r="BR1217" s="397"/>
      <c r="BS1217" s="397"/>
      <c r="IO1217" s="32" t="s">
        <v>851</v>
      </c>
    </row>
    <row r="1218" spans="1:251" s="32" customFormat="1" x14ac:dyDescent="0.25">
      <c r="A1218" s="32">
        <v>57</v>
      </c>
      <c r="B1218" s="32" t="s">
        <v>836</v>
      </c>
      <c r="C1218" s="32" t="s">
        <v>837</v>
      </c>
      <c r="D1218" s="32">
        <v>1990</v>
      </c>
      <c r="E1218" s="32">
        <v>1984</v>
      </c>
      <c r="F1218" s="32" t="s">
        <v>841</v>
      </c>
      <c r="G1218" s="32" t="s">
        <v>838</v>
      </c>
      <c r="H1218" s="32" t="s">
        <v>2831</v>
      </c>
      <c r="I1218" s="32">
        <v>34.200000000000003</v>
      </c>
      <c r="J1218" s="32">
        <v>-90.58</v>
      </c>
      <c r="K1218" s="32">
        <v>55.3</v>
      </c>
      <c r="Q1218" s="44" t="s">
        <v>1926</v>
      </c>
      <c r="R1218" s="44" t="s">
        <v>1936</v>
      </c>
      <c r="S1218" s="44" t="s">
        <v>880</v>
      </c>
      <c r="T1218" s="44" t="s">
        <v>1990</v>
      </c>
      <c r="U1218" s="44" t="s">
        <v>1386</v>
      </c>
      <c r="V1218" s="44" t="s">
        <v>1724</v>
      </c>
      <c r="W1218" s="44" t="s">
        <v>1386</v>
      </c>
      <c r="X1218" s="44" t="s">
        <v>1386</v>
      </c>
      <c r="Y1218" s="32">
        <v>1.325</v>
      </c>
      <c r="Z1218" s="323"/>
      <c r="AA1218" s="323"/>
      <c r="AB1218" s="32" t="s">
        <v>451</v>
      </c>
      <c r="AF1218" s="32" t="s">
        <v>1350</v>
      </c>
      <c r="AG1218" s="32" t="s">
        <v>1522</v>
      </c>
      <c r="AH1218" s="138" t="s">
        <v>1586</v>
      </c>
      <c r="AI1218" s="32" t="s">
        <v>585</v>
      </c>
      <c r="AJ1218" s="140" t="s">
        <v>1621</v>
      </c>
      <c r="AQ1218" s="32" t="s">
        <v>849</v>
      </c>
      <c r="AR1218" s="32" t="s">
        <v>849</v>
      </c>
      <c r="AS1218" s="32" t="s">
        <v>178</v>
      </c>
      <c r="AT1218" s="32" t="s">
        <v>161</v>
      </c>
      <c r="AU1218" s="32">
        <v>4</v>
      </c>
      <c r="AW1218" s="32" t="s">
        <v>142</v>
      </c>
      <c r="BB1218" s="32" t="s">
        <v>839</v>
      </c>
      <c r="BH1218" s="32">
        <v>2012</v>
      </c>
      <c r="BI1218" s="32">
        <v>2581</v>
      </c>
      <c r="BM1218" s="397"/>
      <c r="BN1218" s="397"/>
      <c r="BR1218" s="397"/>
      <c r="BS1218" s="397"/>
      <c r="IO1218" s="32" t="s">
        <v>851</v>
      </c>
    </row>
    <row r="1219" spans="1:251" s="32" customFormat="1" x14ac:dyDescent="0.25">
      <c r="A1219" s="32">
        <v>57</v>
      </c>
      <c r="B1219" s="32" t="s">
        <v>836</v>
      </c>
      <c r="C1219" s="32" t="s">
        <v>837</v>
      </c>
      <c r="D1219" s="32">
        <v>1990</v>
      </c>
      <c r="E1219" s="32">
        <v>1984</v>
      </c>
      <c r="F1219" s="32" t="s">
        <v>841</v>
      </c>
      <c r="G1219" s="32" t="s">
        <v>838</v>
      </c>
      <c r="H1219" s="32" t="s">
        <v>2831</v>
      </c>
      <c r="I1219" s="32">
        <v>34.200000000000003</v>
      </c>
      <c r="J1219" s="32">
        <v>-90.58</v>
      </c>
      <c r="K1219" s="32">
        <v>55.3</v>
      </c>
      <c r="Q1219" s="44" t="s">
        <v>1926</v>
      </c>
      <c r="R1219" s="44" t="s">
        <v>1936</v>
      </c>
      <c r="S1219" s="44" t="s">
        <v>880</v>
      </c>
      <c r="T1219" s="44" t="s">
        <v>1990</v>
      </c>
      <c r="U1219" s="44" t="s">
        <v>1386</v>
      </c>
      <c r="V1219" s="44" t="s">
        <v>1724</v>
      </c>
      <c r="W1219" s="44" t="s">
        <v>1386</v>
      </c>
      <c r="X1219" s="44" t="s">
        <v>1386</v>
      </c>
      <c r="Y1219" s="32">
        <v>1.325</v>
      </c>
      <c r="Z1219" s="323"/>
      <c r="AA1219" s="323"/>
      <c r="AB1219" s="32" t="s">
        <v>451</v>
      </c>
      <c r="AF1219" s="32" t="s">
        <v>1350</v>
      </c>
      <c r="AG1219" s="32" t="s">
        <v>1523</v>
      </c>
      <c r="AH1219" s="138" t="s">
        <v>1586</v>
      </c>
      <c r="AI1219" s="32" t="s">
        <v>585</v>
      </c>
      <c r="AJ1219" s="140" t="s">
        <v>1621</v>
      </c>
      <c r="AQ1219" s="32" t="s">
        <v>849</v>
      </c>
      <c r="AR1219" s="32" t="s">
        <v>849</v>
      </c>
      <c r="AS1219" s="32" t="s">
        <v>178</v>
      </c>
      <c r="AT1219" s="32" t="s">
        <v>161</v>
      </c>
      <c r="AU1219" s="32">
        <v>4</v>
      </c>
      <c r="AW1219" s="32" t="s">
        <v>142</v>
      </c>
      <c r="BB1219" s="32" t="s">
        <v>839</v>
      </c>
      <c r="BH1219" s="32">
        <v>2012</v>
      </c>
      <c r="BI1219" s="32">
        <v>2389</v>
      </c>
      <c r="BM1219" s="397"/>
      <c r="BN1219" s="397"/>
      <c r="BR1219" s="397"/>
      <c r="BS1219" s="397"/>
      <c r="IO1219" s="32" t="s">
        <v>851</v>
      </c>
    </row>
    <row r="1220" spans="1:251" s="79" customFormat="1" x14ac:dyDescent="0.25">
      <c r="A1220" s="79">
        <v>57</v>
      </c>
      <c r="B1220" s="79" t="s">
        <v>836</v>
      </c>
      <c r="C1220" s="79" t="s">
        <v>837</v>
      </c>
      <c r="D1220" s="79">
        <v>1990</v>
      </c>
      <c r="E1220" s="79">
        <v>1985</v>
      </c>
      <c r="F1220" s="79" t="s">
        <v>841</v>
      </c>
      <c r="G1220" s="79" t="s">
        <v>838</v>
      </c>
      <c r="H1220" s="32" t="s">
        <v>2831</v>
      </c>
      <c r="I1220" s="79">
        <v>34.200000000000003</v>
      </c>
      <c r="J1220" s="79">
        <v>-90.58</v>
      </c>
      <c r="K1220" s="79">
        <v>55.3</v>
      </c>
      <c r="Q1220" s="80" t="s">
        <v>1963</v>
      </c>
      <c r="R1220" s="80" t="s">
        <v>1936</v>
      </c>
      <c r="S1220" s="80" t="s">
        <v>881</v>
      </c>
      <c r="T1220" s="80" t="s">
        <v>1990</v>
      </c>
      <c r="U1220" s="80" t="s">
        <v>1386</v>
      </c>
      <c r="V1220" s="80" t="s">
        <v>1724</v>
      </c>
      <c r="W1220" s="80" t="s">
        <v>1386</v>
      </c>
      <c r="X1220" s="80" t="s">
        <v>1386</v>
      </c>
      <c r="Y1220" s="79">
        <v>1.325</v>
      </c>
      <c r="Z1220" s="342"/>
      <c r="AA1220" s="342"/>
      <c r="AB1220" s="79" t="s">
        <v>451</v>
      </c>
      <c r="AF1220" s="79" t="s">
        <v>1350</v>
      </c>
      <c r="AG1220" s="79" t="s">
        <v>244</v>
      </c>
      <c r="AH1220" s="138" t="s">
        <v>578</v>
      </c>
      <c r="AI1220" s="79" t="s">
        <v>585</v>
      </c>
      <c r="AJ1220" s="140" t="s">
        <v>1621</v>
      </c>
      <c r="AQ1220" s="79" t="s">
        <v>849</v>
      </c>
      <c r="AR1220" s="79" t="s">
        <v>849</v>
      </c>
      <c r="AS1220" s="79" t="s">
        <v>178</v>
      </c>
      <c r="AT1220" s="79" t="s">
        <v>161</v>
      </c>
      <c r="AU1220" s="79">
        <v>4</v>
      </c>
      <c r="AW1220" s="79" t="s">
        <v>142</v>
      </c>
      <c r="AY1220" s="79">
        <v>2100</v>
      </c>
      <c r="BB1220" s="79" t="s">
        <v>839</v>
      </c>
      <c r="BH1220" s="79">
        <v>3471</v>
      </c>
      <c r="BI1220" s="79">
        <v>3693</v>
      </c>
      <c r="BM1220" s="417"/>
      <c r="BN1220" s="417"/>
      <c r="BR1220" s="417"/>
      <c r="BS1220" s="417"/>
      <c r="IO1220" s="79" t="s">
        <v>851</v>
      </c>
    </row>
    <row r="1221" spans="1:251" s="79" customFormat="1" x14ac:dyDescent="0.25">
      <c r="A1221" s="79">
        <v>57</v>
      </c>
      <c r="B1221" s="79" t="s">
        <v>836</v>
      </c>
      <c r="C1221" s="79" t="s">
        <v>837</v>
      </c>
      <c r="D1221" s="79">
        <v>1990</v>
      </c>
      <c r="E1221" s="79">
        <v>1985</v>
      </c>
      <c r="F1221" s="79" t="s">
        <v>841</v>
      </c>
      <c r="G1221" s="79" t="s">
        <v>838</v>
      </c>
      <c r="H1221" s="32" t="s">
        <v>2831</v>
      </c>
      <c r="I1221" s="79">
        <v>34.200000000000003</v>
      </c>
      <c r="J1221" s="79">
        <v>-90.58</v>
      </c>
      <c r="K1221" s="79">
        <v>55.3</v>
      </c>
      <c r="Q1221" s="80" t="s">
        <v>1963</v>
      </c>
      <c r="R1221" s="80" t="s">
        <v>1936</v>
      </c>
      <c r="S1221" s="80" t="s">
        <v>881</v>
      </c>
      <c r="T1221" s="80" t="s">
        <v>1990</v>
      </c>
      <c r="U1221" s="80" t="s">
        <v>1386</v>
      </c>
      <c r="V1221" s="80" t="s">
        <v>1724</v>
      </c>
      <c r="W1221" s="80" t="s">
        <v>1386</v>
      </c>
      <c r="X1221" s="80" t="s">
        <v>1386</v>
      </c>
      <c r="Y1221" s="79">
        <v>1.325</v>
      </c>
      <c r="Z1221" s="342"/>
      <c r="AA1221" s="342"/>
      <c r="AB1221" s="79" t="s">
        <v>451</v>
      </c>
      <c r="AF1221" s="79" t="s">
        <v>1350</v>
      </c>
      <c r="AG1221" s="79" t="s">
        <v>1522</v>
      </c>
      <c r="AH1221" s="138" t="s">
        <v>1586</v>
      </c>
      <c r="AI1221" s="79" t="s">
        <v>585</v>
      </c>
      <c r="AJ1221" s="140" t="s">
        <v>1621</v>
      </c>
      <c r="AQ1221" s="79" t="s">
        <v>849</v>
      </c>
      <c r="AR1221" s="79" t="s">
        <v>849</v>
      </c>
      <c r="AS1221" s="79" t="s">
        <v>178</v>
      </c>
      <c r="AT1221" s="79" t="s">
        <v>161</v>
      </c>
      <c r="AU1221" s="79">
        <v>4</v>
      </c>
      <c r="AW1221" s="79" t="s">
        <v>142</v>
      </c>
      <c r="AY1221" s="79">
        <v>1999</v>
      </c>
      <c r="BB1221" s="79" t="s">
        <v>839</v>
      </c>
      <c r="BH1221" s="79">
        <v>3471</v>
      </c>
      <c r="BI1221" s="79">
        <v>3845</v>
      </c>
      <c r="BM1221" s="417"/>
      <c r="BN1221" s="417"/>
      <c r="BR1221" s="417"/>
      <c r="BS1221" s="417"/>
      <c r="IO1221" s="79" t="s">
        <v>851</v>
      </c>
    </row>
    <row r="1222" spans="1:251" s="79" customFormat="1" x14ac:dyDescent="0.25">
      <c r="A1222" s="79">
        <v>57</v>
      </c>
      <c r="B1222" s="79" t="s">
        <v>836</v>
      </c>
      <c r="C1222" s="79" t="s">
        <v>837</v>
      </c>
      <c r="D1222" s="79">
        <v>1990</v>
      </c>
      <c r="E1222" s="79">
        <v>1985</v>
      </c>
      <c r="F1222" s="79" t="s">
        <v>841</v>
      </c>
      <c r="G1222" s="79" t="s">
        <v>838</v>
      </c>
      <c r="H1222" s="32" t="s">
        <v>2831</v>
      </c>
      <c r="I1222" s="79">
        <v>34.200000000000003</v>
      </c>
      <c r="J1222" s="79">
        <v>-90.58</v>
      </c>
      <c r="K1222" s="79">
        <v>55.3</v>
      </c>
      <c r="Q1222" s="80" t="s">
        <v>1963</v>
      </c>
      <c r="R1222" s="80" t="s">
        <v>1936</v>
      </c>
      <c r="S1222" s="80" t="s">
        <v>881</v>
      </c>
      <c r="T1222" s="80" t="s">
        <v>1990</v>
      </c>
      <c r="U1222" s="80" t="s">
        <v>1386</v>
      </c>
      <c r="V1222" s="80" t="s">
        <v>1724</v>
      </c>
      <c r="W1222" s="80" t="s">
        <v>1386</v>
      </c>
      <c r="X1222" s="80" t="s">
        <v>1386</v>
      </c>
      <c r="Y1222" s="79">
        <v>1.325</v>
      </c>
      <c r="Z1222" s="342"/>
      <c r="AA1222" s="342"/>
      <c r="AB1222" s="79" t="s">
        <v>451</v>
      </c>
      <c r="AF1222" s="79" t="s">
        <v>1350</v>
      </c>
      <c r="AG1222" s="79" t="s">
        <v>1523</v>
      </c>
      <c r="AH1222" s="138" t="s">
        <v>1586</v>
      </c>
      <c r="AI1222" s="79" t="s">
        <v>585</v>
      </c>
      <c r="AJ1222" s="140" t="s">
        <v>1621</v>
      </c>
      <c r="AQ1222" s="79" t="s">
        <v>849</v>
      </c>
      <c r="AR1222" s="79" t="s">
        <v>849</v>
      </c>
      <c r="AS1222" s="79" t="s">
        <v>178</v>
      </c>
      <c r="AT1222" s="79" t="s">
        <v>161</v>
      </c>
      <c r="AU1222" s="79">
        <v>4</v>
      </c>
      <c r="AW1222" s="79" t="s">
        <v>142</v>
      </c>
      <c r="AY1222" s="79">
        <v>3151</v>
      </c>
      <c r="BB1222" s="79" t="s">
        <v>839</v>
      </c>
      <c r="BH1222" s="79">
        <v>3471</v>
      </c>
      <c r="BI1222" s="79">
        <v>3666</v>
      </c>
      <c r="BM1222" s="417"/>
      <c r="BN1222" s="417"/>
      <c r="BR1222" s="417"/>
      <c r="BS1222" s="417"/>
      <c r="IO1222" s="79" t="s">
        <v>851</v>
      </c>
    </row>
    <row r="1223" spans="1:251" s="32" customFormat="1" x14ac:dyDescent="0.25">
      <c r="A1223" s="32">
        <v>57</v>
      </c>
      <c r="B1223" s="32" t="s">
        <v>836</v>
      </c>
      <c r="C1223" s="32" t="s">
        <v>837</v>
      </c>
      <c r="D1223" s="32">
        <v>1990</v>
      </c>
      <c r="E1223" s="32">
        <v>1986</v>
      </c>
      <c r="F1223" s="32" t="s">
        <v>841</v>
      </c>
      <c r="G1223" s="32" t="s">
        <v>838</v>
      </c>
      <c r="H1223" s="32" t="s">
        <v>2831</v>
      </c>
      <c r="I1223" s="32">
        <v>34.200000000000003</v>
      </c>
      <c r="J1223" s="32">
        <v>-90.58</v>
      </c>
      <c r="K1223" s="32">
        <v>55.3</v>
      </c>
      <c r="Q1223" s="44" t="s">
        <v>1724</v>
      </c>
      <c r="R1223" s="44" t="s">
        <v>1936</v>
      </c>
      <c r="S1223" s="44" t="s">
        <v>869</v>
      </c>
      <c r="T1223" s="44" t="s">
        <v>1990</v>
      </c>
      <c r="U1223" s="44" t="s">
        <v>1386</v>
      </c>
      <c r="V1223" s="44" t="s">
        <v>1724</v>
      </c>
      <c r="W1223" s="44" t="s">
        <v>1386</v>
      </c>
      <c r="X1223" s="44" t="s">
        <v>1386</v>
      </c>
      <c r="Y1223" s="32">
        <v>1.325</v>
      </c>
      <c r="Z1223" s="323"/>
      <c r="AA1223" s="323"/>
      <c r="AB1223" s="32" t="s">
        <v>451</v>
      </c>
      <c r="AF1223" s="32" t="s">
        <v>1350</v>
      </c>
      <c r="AG1223" s="32" t="s">
        <v>244</v>
      </c>
      <c r="AH1223" s="138" t="s">
        <v>578</v>
      </c>
      <c r="AI1223" s="32" t="s">
        <v>585</v>
      </c>
      <c r="AJ1223" s="140" t="s">
        <v>1621</v>
      </c>
      <c r="AQ1223" s="32" t="s">
        <v>844</v>
      </c>
      <c r="AR1223" s="32" t="s">
        <v>844</v>
      </c>
      <c r="AS1223" s="32" t="s">
        <v>178</v>
      </c>
      <c r="AT1223" s="32" t="s">
        <v>161</v>
      </c>
      <c r="AU1223" s="32">
        <v>4</v>
      </c>
      <c r="AW1223" s="32" t="s">
        <v>142</v>
      </c>
      <c r="BB1223" s="32" t="s">
        <v>839</v>
      </c>
      <c r="BH1223" s="32">
        <v>2664</v>
      </c>
      <c r="BI1223" s="32">
        <v>2351</v>
      </c>
      <c r="BM1223" s="397"/>
      <c r="BN1223" s="397"/>
      <c r="BR1223" s="397"/>
      <c r="BS1223" s="397"/>
      <c r="IO1223" s="32" t="s">
        <v>851</v>
      </c>
    </row>
    <row r="1224" spans="1:251" s="32" customFormat="1" x14ac:dyDescent="0.25">
      <c r="A1224" s="32">
        <v>57</v>
      </c>
      <c r="B1224" s="32" t="s">
        <v>836</v>
      </c>
      <c r="C1224" s="32" t="s">
        <v>837</v>
      </c>
      <c r="D1224" s="32">
        <v>1990</v>
      </c>
      <c r="E1224" s="32">
        <v>1986</v>
      </c>
      <c r="F1224" s="32" t="s">
        <v>841</v>
      </c>
      <c r="G1224" s="32" t="s">
        <v>838</v>
      </c>
      <c r="H1224" s="32" t="s">
        <v>2831</v>
      </c>
      <c r="I1224" s="32">
        <v>34.200000000000003</v>
      </c>
      <c r="J1224" s="32">
        <v>-90.58</v>
      </c>
      <c r="K1224" s="32">
        <v>55.3</v>
      </c>
      <c r="Q1224" s="44" t="s">
        <v>1724</v>
      </c>
      <c r="R1224" s="44" t="s">
        <v>1936</v>
      </c>
      <c r="S1224" s="44" t="s">
        <v>869</v>
      </c>
      <c r="T1224" s="44" t="s">
        <v>1990</v>
      </c>
      <c r="U1224" s="44" t="s">
        <v>1386</v>
      </c>
      <c r="V1224" s="44" t="s">
        <v>1724</v>
      </c>
      <c r="W1224" s="44" t="s">
        <v>1386</v>
      </c>
      <c r="X1224" s="44" t="s">
        <v>1386</v>
      </c>
      <c r="Y1224" s="32">
        <v>1.325</v>
      </c>
      <c r="Z1224" s="323"/>
      <c r="AA1224" s="323"/>
      <c r="AB1224" s="32" t="s">
        <v>451</v>
      </c>
      <c r="AF1224" s="32" t="s">
        <v>1350</v>
      </c>
      <c r="AG1224" s="32" t="s">
        <v>1522</v>
      </c>
      <c r="AH1224" s="138" t="s">
        <v>1586</v>
      </c>
      <c r="AI1224" s="32" t="s">
        <v>585</v>
      </c>
      <c r="AJ1224" s="140" t="s">
        <v>1621</v>
      </c>
      <c r="AQ1224" s="32" t="s">
        <v>844</v>
      </c>
      <c r="AR1224" s="32" t="s">
        <v>844</v>
      </c>
      <c r="AS1224" s="32" t="s">
        <v>178</v>
      </c>
      <c r="AT1224" s="32" t="s">
        <v>161</v>
      </c>
      <c r="AU1224" s="32">
        <v>4</v>
      </c>
      <c r="AW1224" s="32" t="s">
        <v>142</v>
      </c>
      <c r="BB1224" s="32" t="s">
        <v>839</v>
      </c>
      <c r="BH1224" s="32">
        <v>2664</v>
      </c>
      <c r="BI1224" s="32">
        <v>2610</v>
      </c>
      <c r="BM1224" s="397"/>
      <c r="BN1224" s="397"/>
      <c r="BR1224" s="397"/>
      <c r="BS1224" s="397"/>
      <c r="IO1224" s="32" t="s">
        <v>851</v>
      </c>
    </row>
    <row r="1225" spans="1:251" s="32" customFormat="1" x14ac:dyDescent="0.25">
      <c r="A1225" s="32">
        <v>57</v>
      </c>
      <c r="B1225" s="32" t="s">
        <v>836</v>
      </c>
      <c r="C1225" s="32" t="s">
        <v>837</v>
      </c>
      <c r="D1225" s="32">
        <v>1990</v>
      </c>
      <c r="E1225" s="32">
        <v>1986</v>
      </c>
      <c r="F1225" s="32" t="s">
        <v>841</v>
      </c>
      <c r="G1225" s="32" t="s">
        <v>838</v>
      </c>
      <c r="H1225" s="32" t="s">
        <v>2831</v>
      </c>
      <c r="I1225" s="32">
        <v>34.200000000000003</v>
      </c>
      <c r="J1225" s="32">
        <v>-90.58</v>
      </c>
      <c r="K1225" s="32">
        <v>55.3</v>
      </c>
      <c r="Q1225" s="44" t="s">
        <v>1724</v>
      </c>
      <c r="R1225" s="44" t="s">
        <v>1936</v>
      </c>
      <c r="S1225" s="44" t="s">
        <v>869</v>
      </c>
      <c r="T1225" s="44" t="s">
        <v>1990</v>
      </c>
      <c r="U1225" s="44" t="s">
        <v>1386</v>
      </c>
      <c r="V1225" s="44" t="s">
        <v>1724</v>
      </c>
      <c r="W1225" s="44" t="s">
        <v>1386</v>
      </c>
      <c r="X1225" s="44" t="s">
        <v>1386</v>
      </c>
      <c r="Y1225" s="32">
        <v>1.325</v>
      </c>
      <c r="Z1225" s="323"/>
      <c r="AA1225" s="323"/>
      <c r="AB1225" s="32" t="s">
        <v>451</v>
      </c>
      <c r="AF1225" s="32" t="s">
        <v>1350</v>
      </c>
      <c r="AG1225" s="32" t="s">
        <v>1523</v>
      </c>
      <c r="AH1225" s="138" t="s">
        <v>1586</v>
      </c>
      <c r="AI1225" s="32" t="s">
        <v>585</v>
      </c>
      <c r="AJ1225" s="140" t="s">
        <v>1621</v>
      </c>
      <c r="AQ1225" s="32" t="s">
        <v>844</v>
      </c>
      <c r="AR1225" s="32" t="s">
        <v>844</v>
      </c>
      <c r="AS1225" s="32" t="s">
        <v>178</v>
      </c>
      <c r="AT1225" s="32" t="s">
        <v>161</v>
      </c>
      <c r="AU1225" s="32">
        <v>4</v>
      </c>
      <c r="AW1225" s="32" t="s">
        <v>142</v>
      </c>
      <c r="BB1225" s="32" t="s">
        <v>839</v>
      </c>
      <c r="BH1225" s="32">
        <v>2664</v>
      </c>
      <c r="BI1225" s="32">
        <v>2260</v>
      </c>
      <c r="BM1225" s="397"/>
      <c r="BN1225" s="397"/>
      <c r="BR1225" s="397"/>
      <c r="BS1225" s="397"/>
      <c r="IO1225" s="32" t="s">
        <v>851</v>
      </c>
    </row>
    <row r="1226" spans="1:251" s="40" customFormat="1" x14ac:dyDescent="0.25">
      <c r="A1226" s="40">
        <v>57</v>
      </c>
      <c r="B1226" s="40" t="s">
        <v>836</v>
      </c>
      <c r="C1226" s="40" t="s">
        <v>837</v>
      </c>
      <c r="D1226" s="40">
        <v>1990</v>
      </c>
      <c r="E1226" s="40">
        <v>1987</v>
      </c>
      <c r="F1226" s="40" t="s">
        <v>841</v>
      </c>
      <c r="G1226" s="40" t="s">
        <v>838</v>
      </c>
      <c r="H1226" s="32" t="s">
        <v>2831</v>
      </c>
      <c r="I1226" s="40">
        <v>34.200000000000003</v>
      </c>
      <c r="J1226" s="40">
        <v>-90.58</v>
      </c>
      <c r="K1226" s="40">
        <v>55.3</v>
      </c>
      <c r="Q1226" s="71" t="s">
        <v>1938</v>
      </c>
      <c r="R1226" s="71" t="s">
        <v>1936</v>
      </c>
      <c r="S1226" s="71" t="s">
        <v>877</v>
      </c>
      <c r="T1226" s="71" t="s">
        <v>1990</v>
      </c>
      <c r="U1226" s="71" t="s">
        <v>1386</v>
      </c>
      <c r="V1226" s="80" t="s">
        <v>1724</v>
      </c>
      <c r="W1226" s="71" t="s">
        <v>1386</v>
      </c>
      <c r="X1226" s="71" t="s">
        <v>1386</v>
      </c>
      <c r="Y1226" s="40">
        <v>1.325</v>
      </c>
      <c r="Z1226" s="341"/>
      <c r="AA1226" s="341"/>
      <c r="AB1226" s="40" t="s">
        <v>451</v>
      </c>
      <c r="AF1226" s="79" t="s">
        <v>1350</v>
      </c>
      <c r="AG1226" s="40" t="s">
        <v>244</v>
      </c>
      <c r="AH1226" s="138" t="s">
        <v>578</v>
      </c>
      <c r="AI1226" s="40" t="s">
        <v>585</v>
      </c>
      <c r="AJ1226" s="140" t="s">
        <v>1621</v>
      </c>
      <c r="AQ1226" s="40" t="s">
        <v>844</v>
      </c>
      <c r="AR1226" s="40" t="s">
        <v>844</v>
      </c>
      <c r="AS1226" s="40" t="s">
        <v>178</v>
      </c>
      <c r="AT1226" s="40" t="s">
        <v>161</v>
      </c>
      <c r="AU1226" s="40">
        <v>4</v>
      </c>
      <c r="AW1226" s="40" t="s">
        <v>142</v>
      </c>
      <c r="BB1226" s="40" t="s">
        <v>839</v>
      </c>
      <c r="BH1226" s="40">
        <v>2490</v>
      </c>
      <c r="BI1226" s="40">
        <v>2781</v>
      </c>
      <c r="BM1226" s="416"/>
      <c r="BN1226" s="416"/>
      <c r="BR1226" s="416"/>
      <c r="BS1226" s="416"/>
      <c r="IO1226" s="40" t="s">
        <v>851</v>
      </c>
    </row>
    <row r="1227" spans="1:251" s="40" customFormat="1" x14ac:dyDescent="0.25">
      <c r="A1227" s="40">
        <v>57</v>
      </c>
      <c r="B1227" s="40" t="s">
        <v>836</v>
      </c>
      <c r="C1227" s="40" t="s">
        <v>837</v>
      </c>
      <c r="D1227" s="40">
        <v>1990</v>
      </c>
      <c r="E1227" s="40">
        <v>1987</v>
      </c>
      <c r="F1227" s="40" t="s">
        <v>841</v>
      </c>
      <c r="G1227" s="40" t="s">
        <v>838</v>
      </c>
      <c r="H1227" s="32" t="s">
        <v>2831</v>
      </c>
      <c r="I1227" s="40">
        <v>34.200000000000003</v>
      </c>
      <c r="J1227" s="40">
        <v>-90.58</v>
      </c>
      <c r="K1227" s="40">
        <v>55.3</v>
      </c>
      <c r="Q1227" s="71" t="s">
        <v>1938</v>
      </c>
      <c r="R1227" s="71" t="s">
        <v>1936</v>
      </c>
      <c r="S1227" s="71" t="s">
        <v>877</v>
      </c>
      <c r="T1227" s="71" t="s">
        <v>1990</v>
      </c>
      <c r="U1227" s="71" t="s">
        <v>1386</v>
      </c>
      <c r="V1227" s="80" t="s">
        <v>1724</v>
      </c>
      <c r="W1227" s="71" t="s">
        <v>1386</v>
      </c>
      <c r="X1227" s="71" t="s">
        <v>1386</v>
      </c>
      <c r="Y1227" s="40">
        <v>1.325</v>
      </c>
      <c r="Z1227" s="341"/>
      <c r="AA1227" s="341"/>
      <c r="AB1227" s="40" t="s">
        <v>451</v>
      </c>
      <c r="AF1227" s="79" t="s">
        <v>1350</v>
      </c>
      <c r="AG1227" s="40" t="s">
        <v>1522</v>
      </c>
      <c r="AH1227" s="138" t="s">
        <v>1586</v>
      </c>
      <c r="AI1227" s="40" t="s">
        <v>585</v>
      </c>
      <c r="AJ1227" s="140" t="s">
        <v>1621</v>
      </c>
      <c r="AQ1227" s="40" t="s">
        <v>844</v>
      </c>
      <c r="AR1227" s="40" t="s">
        <v>844</v>
      </c>
      <c r="AS1227" s="40" t="s">
        <v>178</v>
      </c>
      <c r="AT1227" s="40" t="s">
        <v>161</v>
      </c>
      <c r="AU1227" s="40">
        <v>4</v>
      </c>
      <c r="AW1227" s="40" t="s">
        <v>142</v>
      </c>
      <c r="BB1227" s="40" t="s">
        <v>839</v>
      </c>
      <c r="BH1227" s="40">
        <v>2490</v>
      </c>
      <c r="BI1227" s="40">
        <v>2798</v>
      </c>
      <c r="BM1227" s="416"/>
      <c r="BN1227" s="416"/>
      <c r="BR1227" s="416"/>
      <c r="BS1227" s="416"/>
      <c r="IO1227" s="40" t="s">
        <v>851</v>
      </c>
    </row>
    <row r="1228" spans="1:251" s="40" customFormat="1" x14ac:dyDescent="0.25">
      <c r="A1228" s="40">
        <v>57</v>
      </c>
      <c r="B1228" s="40" t="s">
        <v>836</v>
      </c>
      <c r="C1228" s="40" t="s">
        <v>837</v>
      </c>
      <c r="D1228" s="40">
        <v>1990</v>
      </c>
      <c r="E1228" s="40">
        <v>1987</v>
      </c>
      <c r="F1228" s="40" t="s">
        <v>841</v>
      </c>
      <c r="G1228" s="40" t="s">
        <v>838</v>
      </c>
      <c r="H1228" s="32" t="s">
        <v>2831</v>
      </c>
      <c r="I1228" s="40">
        <v>34.200000000000003</v>
      </c>
      <c r="J1228" s="40">
        <v>-90.58</v>
      </c>
      <c r="K1228" s="40">
        <v>55.3</v>
      </c>
      <c r="Q1228" s="71" t="s">
        <v>1938</v>
      </c>
      <c r="R1228" s="71" t="s">
        <v>1936</v>
      </c>
      <c r="S1228" s="71" t="s">
        <v>877</v>
      </c>
      <c r="T1228" s="71" t="s">
        <v>1990</v>
      </c>
      <c r="U1228" s="71" t="s">
        <v>1386</v>
      </c>
      <c r="V1228" s="80" t="s">
        <v>1724</v>
      </c>
      <c r="W1228" s="71" t="s">
        <v>1386</v>
      </c>
      <c r="X1228" s="71" t="s">
        <v>1386</v>
      </c>
      <c r="Y1228" s="40">
        <v>1.325</v>
      </c>
      <c r="Z1228" s="341"/>
      <c r="AA1228" s="341"/>
      <c r="AB1228" s="40" t="s">
        <v>451</v>
      </c>
      <c r="AF1228" s="79" t="s">
        <v>1350</v>
      </c>
      <c r="AG1228" s="40" t="s">
        <v>1523</v>
      </c>
      <c r="AH1228" s="138" t="s">
        <v>1586</v>
      </c>
      <c r="AI1228" s="40" t="s">
        <v>585</v>
      </c>
      <c r="AJ1228" s="140" t="s">
        <v>1621</v>
      </c>
      <c r="AQ1228" s="40" t="s">
        <v>844</v>
      </c>
      <c r="AR1228" s="40" t="s">
        <v>844</v>
      </c>
      <c r="AS1228" s="40" t="s">
        <v>178</v>
      </c>
      <c r="AT1228" s="40" t="s">
        <v>161</v>
      </c>
      <c r="AU1228" s="40">
        <v>4</v>
      </c>
      <c r="AW1228" s="40" t="s">
        <v>142</v>
      </c>
      <c r="BB1228" s="40" t="s">
        <v>839</v>
      </c>
      <c r="BH1228" s="40">
        <v>2490</v>
      </c>
      <c r="BI1228" s="40">
        <v>2925</v>
      </c>
      <c r="BM1228" s="416"/>
      <c r="BN1228" s="416"/>
      <c r="BR1228" s="416"/>
      <c r="BS1228" s="416"/>
      <c r="IO1228" s="40" t="s">
        <v>851</v>
      </c>
    </row>
    <row r="1229" spans="1:251" s="81" customFormat="1" x14ac:dyDescent="0.25">
      <c r="A1229" s="81">
        <v>57</v>
      </c>
      <c r="B1229" s="81" t="s">
        <v>836</v>
      </c>
      <c r="C1229" s="81" t="s">
        <v>837</v>
      </c>
      <c r="D1229" s="81">
        <v>1990</v>
      </c>
      <c r="E1229" s="81">
        <v>1988</v>
      </c>
      <c r="F1229" s="81" t="s">
        <v>841</v>
      </c>
      <c r="G1229" s="81" t="s">
        <v>838</v>
      </c>
      <c r="H1229" s="32" t="s">
        <v>2831</v>
      </c>
      <c r="I1229" s="81">
        <v>34.200000000000003</v>
      </c>
      <c r="J1229" s="81">
        <v>-90.58</v>
      </c>
      <c r="K1229" s="81">
        <v>55.3</v>
      </c>
      <c r="Q1229" s="82" t="s">
        <v>1936</v>
      </c>
      <c r="R1229" s="82" t="s">
        <v>1936</v>
      </c>
      <c r="S1229" s="82" t="s">
        <v>882</v>
      </c>
      <c r="T1229" s="82" t="s">
        <v>1990</v>
      </c>
      <c r="U1229" s="82" t="s">
        <v>1386</v>
      </c>
      <c r="V1229" s="44" t="s">
        <v>1724</v>
      </c>
      <c r="W1229" s="82" t="s">
        <v>1386</v>
      </c>
      <c r="X1229" s="82" t="s">
        <v>1386</v>
      </c>
      <c r="Y1229" s="81">
        <v>1.325</v>
      </c>
      <c r="Z1229" s="344"/>
      <c r="AA1229" s="344"/>
      <c r="AB1229" s="81" t="s">
        <v>451</v>
      </c>
      <c r="AF1229" s="32" t="s">
        <v>1350</v>
      </c>
      <c r="AG1229" s="81" t="s">
        <v>244</v>
      </c>
      <c r="AH1229" s="138" t="s">
        <v>578</v>
      </c>
      <c r="AI1229" s="81" t="s">
        <v>585</v>
      </c>
      <c r="AJ1229" s="140" t="s">
        <v>1621</v>
      </c>
      <c r="AQ1229" s="81" t="s">
        <v>850</v>
      </c>
      <c r="AR1229" s="81" t="s">
        <v>850</v>
      </c>
      <c r="AS1229" s="81" t="s">
        <v>178</v>
      </c>
      <c r="AT1229" s="81" t="s">
        <v>161</v>
      </c>
      <c r="AU1229" s="81">
        <v>4</v>
      </c>
      <c r="AW1229" s="81" t="s">
        <v>142</v>
      </c>
      <c r="AY1229" s="81">
        <v>2439</v>
      </c>
      <c r="BB1229" s="81" t="s">
        <v>839</v>
      </c>
      <c r="BH1229" s="81">
        <v>3135</v>
      </c>
      <c r="BI1229" s="81">
        <v>2191</v>
      </c>
      <c r="BM1229" s="419"/>
      <c r="BN1229" s="419"/>
      <c r="BR1229" s="419"/>
      <c r="BS1229" s="419"/>
      <c r="IO1229" s="81" t="s">
        <v>851</v>
      </c>
    </row>
    <row r="1230" spans="1:251" s="81" customFormat="1" x14ac:dyDescent="0.25">
      <c r="A1230" s="81">
        <v>57</v>
      </c>
      <c r="B1230" s="81" t="s">
        <v>836</v>
      </c>
      <c r="C1230" s="81" t="s">
        <v>837</v>
      </c>
      <c r="D1230" s="81">
        <v>1990</v>
      </c>
      <c r="E1230" s="81">
        <v>1988</v>
      </c>
      <c r="F1230" s="81" t="s">
        <v>841</v>
      </c>
      <c r="G1230" s="81" t="s">
        <v>838</v>
      </c>
      <c r="H1230" s="32" t="s">
        <v>2831</v>
      </c>
      <c r="I1230" s="81">
        <v>34.200000000000003</v>
      </c>
      <c r="J1230" s="81">
        <v>-90.58</v>
      </c>
      <c r="K1230" s="81">
        <v>55.3</v>
      </c>
      <c r="Q1230" s="82" t="s">
        <v>1936</v>
      </c>
      <c r="R1230" s="82" t="s">
        <v>1936</v>
      </c>
      <c r="S1230" s="82" t="s">
        <v>882</v>
      </c>
      <c r="T1230" s="82" t="s">
        <v>1990</v>
      </c>
      <c r="U1230" s="82" t="s">
        <v>1386</v>
      </c>
      <c r="V1230" s="44" t="s">
        <v>1724</v>
      </c>
      <c r="W1230" s="82" t="s">
        <v>1386</v>
      </c>
      <c r="X1230" s="82" t="s">
        <v>1386</v>
      </c>
      <c r="Y1230" s="81">
        <v>1.325</v>
      </c>
      <c r="Z1230" s="344"/>
      <c r="AA1230" s="344"/>
      <c r="AB1230" s="81" t="s">
        <v>451</v>
      </c>
      <c r="AF1230" s="32" t="s">
        <v>1350</v>
      </c>
      <c r="AG1230" s="81" t="s">
        <v>1522</v>
      </c>
      <c r="AH1230" s="138" t="s">
        <v>1586</v>
      </c>
      <c r="AI1230" s="81" t="s">
        <v>585</v>
      </c>
      <c r="AJ1230" s="140" t="s">
        <v>1621</v>
      </c>
      <c r="AQ1230" s="81" t="s">
        <v>850</v>
      </c>
      <c r="AR1230" s="81" t="s">
        <v>850</v>
      </c>
      <c r="AS1230" s="81" t="s">
        <v>178</v>
      </c>
      <c r="AT1230" s="81" t="s">
        <v>161</v>
      </c>
      <c r="AU1230" s="81">
        <v>4</v>
      </c>
      <c r="AW1230" s="81" t="s">
        <v>142</v>
      </c>
      <c r="AY1230" s="81">
        <v>2710</v>
      </c>
      <c r="BB1230" s="81" t="s">
        <v>839</v>
      </c>
      <c r="BH1230" s="81">
        <v>3135</v>
      </c>
      <c r="BI1230" s="81">
        <v>2596</v>
      </c>
      <c r="BM1230" s="419"/>
      <c r="BN1230" s="419"/>
      <c r="BR1230" s="419"/>
      <c r="BS1230" s="419"/>
      <c r="IO1230" s="81" t="s">
        <v>851</v>
      </c>
    </row>
    <row r="1231" spans="1:251" s="81" customFormat="1" x14ac:dyDescent="0.25">
      <c r="A1231" s="81">
        <v>57</v>
      </c>
      <c r="B1231" s="81" t="s">
        <v>836</v>
      </c>
      <c r="C1231" s="81" t="s">
        <v>837</v>
      </c>
      <c r="D1231" s="81">
        <v>1990</v>
      </c>
      <c r="E1231" s="81">
        <v>1988</v>
      </c>
      <c r="F1231" s="81" t="s">
        <v>841</v>
      </c>
      <c r="G1231" s="81" t="s">
        <v>838</v>
      </c>
      <c r="H1231" s="32" t="s">
        <v>2831</v>
      </c>
      <c r="I1231" s="81">
        <v>34.200000000000003</v>
      </c>
      <c r="J1231" s="81">
        <v>-90.58</v>
      </c>
      <c r="K1231" s="81">
        <v>55.3</v>
      </c>
      <c r="Q1231" s="82" t="s">
        <v>1936</v>
      </c>
      <c r="R1231" s="82" t="s">
        <v>1936</v>
      </c>
      <c r="S1231" s="82" t="s">
        <v>882</v>
      </c>
      <c r="T1231" s="82" t="s">
        <v>1990</v>
      </c>
      <c r="U1231" s="82" t="s">
        <v>1386</v>
      </c>
      <c r="V1231" s="44" t="s">
        <v>1724</v>
      </c>
      <c r="W1231" s="82" t="s">
        <v>1386</v>
      </c>
      <c r="X1231" s="82" t="s">
        <v>1386</v>
      </c>
      <c r="Y1231" s="81">
        <v>1.325</v>
      </c>
      <c r="Z1231" s="344"/>
      <c r="AA1231" s="344"/>
      <c r="AB1231" s="81" t="s">
        <v>451</v>
      </c>
      <c r="AF1231" s="32" t="s">
        <v>1350</v>
      </c>
      <c r="AG1231" s="81" t="s">
        <v>1523</v>
      </c>
      <c r="AH1231" s="138" t="s">
        <v>1586</v>
      </c>
      <c r="AI1231" s="81" t="s">
        <v>585</v>
      </c>
      <c r="AJ1231" s="140" t="s">
        <v>1621</v>
      </c>
      <c r="AQ1231" s="81" t="s">
        <v>850</v>
      </c>
      <c r="AR1231" s="81" t="s">
        <v>850</v>
      </c>
      <c r="AS1231" s="81" t="s">
        <v>178</v>
      </c>
      <c r="AT1231" s="81" t="s">
        <v>161</v>
      </c>
      <c r="AU1231" s="81">
        <v>4</v>
      </c>
      <c r="AW1231" s="81" t="s">
        <v>142</v>
      </c>
      <c r="AY1231" s="81">
        <v>3524</v>
      </c>
      <c r="BB1231" s="81" t="s">
        <v>839</v>
      </c>
      <c r="BH1231" s="81">
        <v>3135</v>
      </c>
      <c r="BI1231" s="81">
        <v>2723</v>
      </c>
      <c r="BM1231" s="419"/>
      <c r="BN1231" s="419"/>
      <c r="BR1231" s="419"/>
      <c r="BS1231" s="419"/>
      <c r="IO1231" s="81" t="s">
        <v>851</v>
      </c>
    </row>
    <row r="1232" spans="1:251" s="39" customFormat="1" x14ac:dyDescent="0.25">
      <c r="A1232" s="39">
        <v>58</v>
      </c>
      <c r="B1232" s="39" t="s">
        <v>863</v>
      </c>
      <c r="C1232" s="39" t="s">
        <v>864</v>
      </c>
      <c r="D1232" s="39">
        <v>1990</v>
      </c>
      <c r="E1232" s="39">
        <v>1987</v>
      </c>
      <c r="F1232" s="39" t="s">
        <v>865</v>
      </c>
      <c r="G1232" s="39" t="s">
        <v>891</v>
      </c>
      <c r="H1232" s="32" t="s">
        <v>2831</v>
      </c>
      <c r="I1232" s="39">
        <v>38.92</v>
      </c>
      <c r="J1232" s="39">
        <v>-76.150000000000006</v>
      </c>
      <c r="K1232" s="39">
        <v>5</v>
      </c>
      <c r="N1232" s="39">
        <v>836</v>
      </c>
      <c r="Q1232" s="70">
        <v>1</v>
      </c>
      <c r="R1232" s="70" t="s">
        <v>1856</v>
      </c>
      <c r="S1232" s="39" t="s">
        <v>866</v>
      </c>
      <c r="T1232" s="70" t="s">
        <v>883</v>
      </c>
      <c r="U1232" s="70" t="s">
        <v>1393</v>
      </c>
      <c r="V1232" s="80" t="s">
        <v>1727</v>
      </c>
      <c r="W1232" s="70" t="s">
        <v>1393</v>
      </c>
      <c r="X1232" s="70" t="s">
        <v>1393</v>
      </c>
      <c r="Y1232" s="39">
        <v>1.5</v>
      </c>
      <c r="Z1232" s="340"/>
      <c r="AA1232" s="340"/>
      <c r="AB1232" s="39" t="s">
        <v>451</v>
      </c>
      <c r="AF1232" s="39" t="s">
        <v>1351</v>
      </c>
      <c r="AG1232" s="39" t="s">
        <v>132</v>
      </c>
      <c r="AH1232" s="138" t="s">
        <v>132</v>
      </c>
      <c r="AI1232" s="39" t="s">
        <v>133</v>
      </c>
      <c r="AJ1232" s="141" t="s">
        <v>133</v>
      </c>
      <c r="AN1232" s="39" t="s">
        <v>232</v>
      </c>
      <c r="AO1232" s="39" t="s">
        <v>232</v>
      </c>
      <c r="AP1232" s="39" t="s">
        <v>178</v>
      </c>
      <c r="AT1232" s="39" t="s">
        <v>120</v>
      </c>
      <c r="AU1232" s="39">
        <v>4</v>
      </c>
      <c r="AW1232" s="39" t="s">
        <v>336</v>
      </c>
      <c r="BM1232" s="415"/>
      <c r="BN1232" s="415"/>
      <c r="BR1232" s="415"/>
      <c r="BS1232" s="415"/>
      <c r="BW1232" s="39">
        <v>9.94</v>
      </c>
      <c r="BX1232" s="39">
        <v>13.11</v>
      </c>
      <c r="CA1232" s="39" t="s">
        <v>890</v>
      </c>
      <c r="IQ1232"/>
    </row>
    <row r="1233" spans="1:251" s="39" customFormat="1" x14ac:dyDescent="0.25">
      <c r="A1233" s="39">
        <v>58</v>
      </c>
      <c r="B1233" s="39" t="s">
        <v>863</v>
      </c>
      <c r="C1233" s="39" t="s">
        <v>864</v>
      </c>
      <c r="D1233" s="39">
        <v>1990</v>
      </c>
      <c r="E1233" s="39">
        <v>1987</v>
      </c>
      <c r="F1233" s="39" t="s">
        <v>865</v>
      </c>
      <c r="G1233" s="39" t="s">
        <v>891</v>
      </c>
      <c r="H1233" s="32" t="s">
        <v>2831</v>
      </c>
      <c r="I1233" s="39">
        <v>38.92</v>
      </c>
      <c r="J1233" s="39">
        <v>-76.150000000000006</v>
      </c>
      <c r="K1233" s="39">
        <v>5</v>
      </c>
      <c r="N1233" s="39">
        <v>836</v>
      </c>
      <c r="Q1233" s="70">
        <v>1</v>
      </c>
      <c r="R1233" s="70" t="s">
        <v>1856</v>
      </c>
      <c r="S1233" s="39" t="s">
        <v>866</v>
      </c>
      <c r="T1233" s="70" t="s">
        <v>884</v>
      </c>
      <c r="U1233" s="70" t="s">
        <v>1393</v>
      </c>
      <c r="V1233" s="80" t="s">
        <v>1727</v>
      </c>
      <c r="W1233" s="70" t="s">
        <v>1393</v>
      </c>
      <c r="X1233" s="70" t="s">
        <v>1393</v>
      </c>
      <c r="Y1233" s="39">
        <v>1.5</v>
      </c>
      <c r="Z1233" s="340"/>
      <c r="AA1233" s="340"/>
      <c r="AB1233" s="39" t="s">
        <v>451</v>
      </c>
      <c r="AF1233" s="39" t="s">
        <v>1351</v>
      </c>
      <c r="AG1233" s="39" t="s">
        <v>132</v>
      </c>
      <c r="AH1233" s="138" t="s">
        <v>132</v>
      </c>
      <c r="AI1233" s="39" t="s">
        <v>133</v>
      </c>
      <c r="AJ1233" s="141" t="s">
        <v>133</v>
      </c>
      <c r="AN1233" s="39" t="s">
        <v>232</v>
      </c>
      <c r="AO1233" s="39" t="s">
        <v>232</v>
      </c>
      <c r="AP1233" s="39" t="s">
        <v>178</v>
      </c>
      <c r="AT1233" s="39" t="s">
        <v>120</v>
      </c>
      <c r="AU1233" s="39">
        <v>4</v>
      </c>
      <c r="AW1233" s="39" t="s">
        <v>336</v>
      </c>
      <c r="BM1233" s="415"/>
      <c r="BN1233" s="415"/>
      <c r="BR1233" s="415"/>
      <c r="BS1233" s="415"/>
      <c r="BW1233" s="39">
        <v>1.44</v>
      </c>
      <c r="BX1233" s="39">
        <v>7.28</v>
      </c>
      <c r="CA1233" s="39" t="s">
        <v>890</v>
      </c>
      <c r="IQ1233"/>
    </row>
    <row r="1234" spans="1:251" s="39" customFormat="1" x14ac:dyDescent="0.25">
      <c r="A1234" s="39">
        <v>58</v>
      </c>
      <c r="B1234" s="39" t="s">
        <v>863</v>
      </c>
      <c r="C1234" s="39" t="s">
        <v>864</v>
      </c>
      <c r="D1234" s="39">
        <v>1990</v>
      </c>
      <c r="E1234" s="39">
        <v>1988</v>
      </c>
      <c r="F1234" s="39" t="s">
        <v>865</v>
      </c>
      <c r="G1234" s="39" t="s">
        <v>891</v>
      </c>
      <c r="H1234" s="32" t="s">
        <v>2831</v>
      </c>
      <c r="I1234" s="39">
        <v>38.92</v>
      </c>
      <c r="J1234" s="39">
        <v>-76.150000000000006</v>
      </c>
      <c r="K1234" s="39">
        <v>5</v>
      </c>
      <c r="N1234" s="39">
        <v>836</v>
      </c>
      <c r="Q1234" s="70">
        <v>2</v>
      </c>
      <c r="R1234" s="70" t="s">
        <v>1856</v>
      </c>
      <c r="S1234" s="39" t="s">
        <v>866</v>
      </c>
      <c r="T1234" s="70" t="s">
        <v>885</v>
      </c>
      <c r="U1234" s="70" t="s">
        <v>1393</v>
      </c>
      <c r="V1234" s="80" t="s">
        <v>1727</v>
      </c>
      <c r="W1234" s="70" t="s">
        <v>1393</v>
      </c>
      <c r="X1234" s="70" t="s">
        <v>1393</v>
      </c>
      <c r="Y1234" s="39">
        <v>1.5</v>
      </c>
      <c r="Z1234" s="340"/>
      <c r="AA1234" s="340"/>
      <c r="AB1234" s="39" t="s">
        <v>451</v>
      </c>
      <c r="AF1234" s="39" t="s">
        <v>1351</v>
      </c>
      <c r="AG1234" s="39" t="s">
        <v>132</v>
      </c>
      <c r="AH1234" s="138" t="s">
        <v>132</v>
      </c>
      <c r="AI1234" s="39" t="s">
        <v>133</v>
      </c>
      <c r="AJ1234" s="141" t="s">
        <v>133</v>
      </c>
      <c r="AN1234" s="39" t="s">
        <v>232</v>
      </c>
      <c r="AO1234" s="39" t="s">
        <v>232</v>
      </c>
      <c r="AP1234" s="39" t="s">
        <v>178</v>
      </c>
      <c r="AT1234" s="39" t="s">
        <v>120</v>
      </c>
      <c r="AU1234" s="39">
        <v>4</v>
      </c>
      <c r="AW1234" s="39" t="s">
        <v>336</v>
      </c>
      <c r="BM1234" s="415"/>
      <c r="BN1234" s="415"/>
      <c r="BR1234" s="415"/>
      <c r="BS1234" s="415"/>
      <c r="BW1234" s="39">
        <v>1.75</v>
      </c>
      <c r="BX1234" s="39">
        <v>3.6</v>
      </c>
      <c r="CA1234" s="39" t="s">
        <v>890</v>
      </c>
      <c r="IQ1234"/>
    </row>
    <row r="1235" spans="1:251" s="39" customFormat="1" x14ac:dyDescent="0.25">
      <c r="A1235" s="39">
        <v>58</v>
      </c>
      <c r="B1235" s="39" t="s">
        <v>863</v>
      </c>
      <c r="C1235" s="39" t="s">
        <v>864</v>
      </c>
      <c r="D1235" s="39">
        <v>1990</v>
      </c>
      <c r="E1235" s="39">
        <v>1988</v>
      </c>
      <c r="F1235" s="39" t="s">
        <v>865</v>
      </c>
      <c r="G1235" s="39" t="s">
        <v>891</v>
      </c>
      <c r="H1235" s="32" t="s">
        <v>2831</v>
      </c>
      <c r="I1235" s="39">
        <v>38.92</v>
      </c>
      <c r="J1235" s="39">
        <v>-76.150000000000006</v>
      </c>
      <c r="K1235" s="39">
        <v>5</v>
      </c>
      <c r="N1235" s="39">
        <v>836</v>
      </c>
      <c r="Q1235" s="70">
        <v>2</v>
      </c>
      <c r="R1235" s="70" t="s">
        <v>1856</v>
      </c>
      <c r="S1235" s="39" t="s">
        <v>866</v>
      </c>
      <c r="T1235" s="70" t="s">
        <v>781</v>
      </c>
      <c r="U1235" s="70" t="s">
        <v>1393</v>
      </c>
      <c r="V1235" s="80" t="s">
        <v>1727</v>
      </c>
      <c r="W1235" s="70" t="s">
        <v>1393</v>
      </c>
      <c r="X1235" s="70" t="s">
        <v>1393</v>
      </c>
      <c r="Y1235" s="39">
        <v>1.5</v>
      </c>
      <c r="Z1235" s="340"/>
      <c r="AA1235" s="340"/>
      <c r="AB1235" s="39" t="s">
        <v>451</v>
      </c>
      <c r="AF1235" s="39" t="s">
        <v>1351</v>
      </c>
      <c r="AG1235" s="39" t="s">
        <v>132</v>
      </c>
      <c r="AH1235" s="138" t="s">
        <v>132</v>
      </c>
      <c r="AI1235" s="39" t="s">
        <v>133</v>
      </c>
      <c r="AJ1235" s="141" t="s">
        <v>133</v>
      </c>
      <c r="AN1235" s="39" t="s">
        <v>232</v>
      </c>
      <c r="AO1235" s="39" t="s">
        <v>232</v>
      </c>
      <c r="AP1235" s="39" t="s">
        <v>178</v>
      </c>
      <c r="AT1235" s="39" t="s">
        <v>120</v>
      </c>
      <c r="AU1235" s="39">
        <v>4</v>
      </c>
      <c r="AW1235" s="39" t="s">
        <v>336</v>
      </c>
      <c r="BM1235" s="415"/>
      <c r="BN1235" s="415"/>
      <c r="BR1235" s="415"/>
      <c r="BS1235" s="415"/>
      <c r="BW1235" s="39">
        <v>0.43</v>
      </c>
      <c r="BX1235" s="39">
        <v>0.74</v>
      </c>
      <c r="CA1235" s="39" t="s">
        <v>890</v>
      </c>
      <c r="IQ1235"/>
    </row>
    <row r="1236" spans="1:251" s="39" customFormat="1" x14ac:dyDescent="0.25">
      <c r="A1236" s="39">
        <v>58</v>
      </c>
      <c r="B1236" s="39" t="s">
        <v>863</v>
      </c>
      <c r="C1236" s="39" t="s">
        <v>864</v>
      </c>
      <c r="D1236" s="39">
        <v>1990</v>
      </c>
      <c r="E1236" s="39">
        <v>1988</v>
      </c>
      <c r="F1236" s="39" t="s">
        <v>865</v>
      </c>
      <c r="G1236" s="39" t="s">
        <v>891</v>
      </c>
      <c r="H1236" s="32" t="s">
        <v>2831</v>
      </c>
      <c r="I1236" s="39">
        <v>38.92</v>
      </c>
      <c r="J1236" s="39">
        <v>-76.150000000000006</v>
      </c>
      <c r="K1236" s="39">
        <v>5</v>
      </c>
      <c r="N1236" s="39">
        <v>836</v>
      </c>
      <c r="Q1236" s="70">
        <v>2</v>
      </c>
      <c r="R1236" s="70" t="s">
        <v>1856</v>
      </c>
      <c r="S1236" s="39" t="s">
        <v>866</v>
      </c>
      <c r="T1236" s="70" t="s">
        <v>886</v>
      </c>
      <c r="U1236" s="70" t="s">
        <v>1393</v>
      </c>
      <c r="V1236" s="80" t="s">
        <v>1727</v>
      </c>
      <c r="W1236" s="70" t="s">
        <v>1393</v>
      </c>
      <c r="X1236" s="70" t="s">
        <v>1393</v>
      </c>
      <c r="Y1236" s="39">
        <v>1.5</v>
      </c>
      <c r="Z1236" s="340"/>
      <c r="AA1236" s="340"/>
      <c r="AB1236" s="39" t="s">
        <v>451</v>
      </c>
      <c r="AF1236" s="39" t="s">
        <v>1351</v>
      </c>
      <c r="AG1236" s="39" t="s">
        <v>132</v>
      </c>
      <c r="AH1236" s="138" t="s">
        <v>132</v>
      </c>
      <c r="AI1236" s="39" t="s">
        <v>133</v>
      </c>
      <c r="AJ1236" s="141" t="s">
        <v>133</v>
      </c>
      <c r="AN1236" s="39" t="s">
        <v>232</v>
      </c>
      <c r="AO1236" s="39" t="s">
        <v>232</v>
      </c>
      <c r="AP1236" s="39" t="s">
        <v>178</v>
      </c>
      <c r="AT1236" s="39" t="s">
        <v>120</v>
      </c>
      <c r="AU1236" s="39">
        <v>4</v>
      </c>
      <c r="AW1236" s="39" t="s">
        <v>336</v>
      </c>
      <c r="BM1236" s="415"/>
      <c r="BN1236" s="415"/>
      <c r="BR1236" s="415"/>
      <c r="BS1236" s="415"/>
      <c r="BW1236" s="39">
        <v>1.98</v>
      </c>
      <c r="BX1236" s="39">
        <v>9.15</v>
      </c>
      <c r="CA1236" s="39" t="s">
        <v>890</v>
      </c>
      <c r="IQ1236"/>
    </row>
    <row r="1237" spans="1:251" s="39" customFormat="1" x14ac:dyDescent="0.25">
      <c r="A1237" s="39">
        <v>58</v>
      </c>
      <c r="B1237" s="39" t="s">
        <v>863</v>
      </c>
      <c r="C1237" s="39" t="s">
        <v>864</v>
      </c>
      <c r="D1237" s="39">
        <v>1990</v>
      </c>
      <c r="E1237" s="39">
        <v>1988</v>
      </c>
      <c r="F1237" s="39" t="s">
        <v>865</v>
      </c>
      <c r="G1237" s="39" t="s">
        <v>891</v>
      </c>
      <c r="H1237" s="32" t="s">
        <v>2831</v>
      </c>
      <c r="I1237" s="39">
        <v>38.92</v>
      </c>
      <c r="J1237" s="39">
        <v>-76.150000000000006</v>
      </c>
      <c r="K1237" s="39">
        <v>5</v>
      </c>
      <c r="N1237" s="39">
        <v>836</v>
      </c>
      <c r="Q1237" s="70">
        <v>2</v>
      </c>
      <c r="R1237" s="70" t="s">
        <v>1856</v>
      </c>
      <c r="S1237" s="39" t="s">
        <v>866</v>
      </c>
      <c r="T1237" s="70" t="s">
        <v>889</v>
      </c>
      <c r="U1237" s="70" t="s">
        <v>1393</v>
      </c>
      <c r="V1237" s="80" t="s">
        <v>1727</v>
      </c>
      <c r="W1237" s="70" t="s">
        <v>1393</v>
      </c>
      <c r="X1237" s="70" t="s">
        <v>1393</v>
      </c>
      <c r="Y1237" s="39">
        <v>1.5</v>
      </c>
      <c r="Z1237" s="340"/>
      <c r="AA1237" s="340"/>
      <c r="AB1237" s="39" t="s">
        <v>451</v>
      </c>
      <c r="AF1237" s="39" t="s">
        <v>1351</v>
      </c>
      <c r="AG1237" s="39" t="s">
        <v>132</v>
      </c>
      <c r="AH1237" s="138" t="s">
        <v>132</v>
      </c>
      <c r="AI1237" s="39" t="s">
        <v>133</v>
      </c>
      <c r="AJ1237" s="141" t="s">
        <v>133</v>
      </c>
      <c r="AN1237" s="39" t="s">
        <v>232</v>
      </c>
      <c r="AO1237" s="39" t="s">
        <v>232</v>
      </c>
      <c r="AP1237" s="39" t="s">
        <v>178</v>
      </c>
      <c r="AT1237" s="39" t="s">
        <v>120</v>
      </c>
      <c r="AU1237" s="39">
        <v>4</v>
      </c>
      <c r="AW1237" s="39" t="s">
        <v>336</v>
      </c>
      <c r="BM1237" s="415"/>
      <c r="BN1237" s="415"/>
      <c r="BR1237" s="415"/>
      <c r="BS1237" s="415"/>
      <c r="BW1237" s="39">
        <v>18.989999999999998</v>
      </c>
      <c r="BX1237" s="39">
        <v>31.89</v>
      </c>
      <c r="CA1237" s="39" t="s">
        <v>890</v>
      </c>
      <c r="IQ1237"/>
    </row>
    <row r="1238" spans="1:251" s="39" customFormat="1" x14ac:dyDescent="0.25">
      <c r="A1238" s="39">
        <v>58</v>
      </c>
      <c r="B1238" s="39" t="s">
        <v>863</v>
      </c>
      <c r="C1238" s="39" t="s">
        <v>864</v>
      </c>
      <c r="D1238" s="39">
        <v>1990</v>
      </c>
      <c r="E1238" s="39">
        <v>1988</v>
      </c>
      <c r="F1238" s="39" t="s">
        <v>865</v>
      </c>
      <c r="G1238" s="39" t="s">
        <v>891</v>
      </c>
      <c r="H1238" s="32" t="s">
        <v>2831</v>
      </c>
      <c r="I1238" s="39">
        <v>38.92</v>
      </c>
      <c r="J1238" s="39">
        <v>-76.150000000000006</v>
      </c>
      <c r="K1238" s="39">
        <v>5</v>
      </c>
      <c r="N1238" s="39">
        <v>836</v>
      </c>
      <c r="Q1238" s="70">
        <v>2</v>
      </c>
      <c r="R1238" s="70" t="s">
        <v>1856</v>
      </c>
      <c r="S1238" s="39" t="s">
        <v>866</v>
      </c>
      <c r="T1238" s="70" t="s">
        <v>887</v>
      </c>
      <c r="U1238" s="70" t="s">
        <v>1393</v>
      </c>
      <c r="V1238" s="80" t="s">
        <v>1727</v>
      </c>
      <c r="W1238" s="70" t="s">
        <v>1393</v>
      </c>
      <c r="X1238" s="70" t="s">
        <v>1393</v>
      </c>
      <c r="Y1238" s="39">
        <v>1.5</v>
      </c>
      <c r="Z1238" s="340"/>
      <c r="AA1238" s="340"/>
      <c r="AB1238" s="39" t="s">
        <v>451</v>
      </c>
      <c r="AF1238" s="39" t="s">
        <v>1351</v>
      </c>
      <c r="AG1238" s="39" t="s">
        <v>132</v>
      </c>
      <c r="AH1238" s="138" t="s">
        <v>132</v>
      </c>
      <c r="AI1238" s="39" t="s">
        <v>133</v>
      </c>
      <c r="AJ1238" s="141" t="s">
        <v>133</v>
      </c>
      <c r="AN1238" s="39" t="s">
        <v>232</v>
      </c>
      <c r="AO1238" s="39" t="s">
        <v>232</v>
      </c>
      <c r="AP1238" s="39" t="s">
        <v>178</v>
      </c>
      <c r="AT1238" s="39" t="s">
        <v>120</v>
      </c>
      <c r="AU1238" s="39">
        <v>4</v>
      </c>
      <c r="AW1238" s="39" t="s">
        <v>336</v>
      </c>
      <c r="BM1238" s="415"/>
      <c r="BN1238" s="415"/>
      <c r="BR1238" s="415"/>
      <c r="BS1238" s="415"/>
      <c r="BW1238" s="39">
        <v>16.329999999999998</v>
      </c>
      <c r="BX1238" s="39">
        <v>36.200000000000003</v>
      </c>
      <c r="CA1238" s="39" t="s">
        <v>890</v>
      </c>
      <c r="IQ1238"/>
    </row>
    <row r="1239" spans="1:251" s="39" customFormat="1" x14ac:dyDescent="0.25">
      <c r="A1239" s="39">
        <v>58</v>
      </c>
      <c r="B1239" s="39" t="s">
        <v>863</v>
      </c>
      <c r="C1239" s="39" t="s">
        <v>864</v>
      </c>
      <c r="D1239" s="39">
        <v>1990</v>
      </c>
      <c r="E1239" s="39">
        <v>1988</v>
      </c>
      <c r="F1239" s="39" t="s">
        <v>865</v>
      </c>
      <c r="G1239" s="39" t="s">
        <v>891</v>
      </c>
      <c r="H1239" s="32" t="s">
        <v>2831</v>
      </c>
      <c r="I1239" s="39">
        <v>38.92</v>
      </c>
      <c r="J1239" s="39">
        <v>-76.150000000000006</v>
      </c>
      <c r="K1239" s="39">
        <v>5</v>
      </c>
      <c r="N1239" s="39">
        <v>836</v>
      </c>
      <c r="Q1239" s="70">
        <v>2</v>
      </c>
      <c r="R1239" s="70" t="s">
        <v>1856</v>
      </c>
      <c r="S1239" s="39" t="s">
        <v>866</v>
      </c>
      <c r="T1239" s="70" t="s">
        <v>888</v>
      </c>
      <c r="U1239" s="70" t="s">
        <v>1393</v>
      </c>
      <c r="V1239" s="80" t="s">
        <v>1727</v>
      </c>
      <c r="W1239" s="70" t="s">
        <v>1393</v>
      </c>
      <c r="X1239" s="70" t="s">
        <v>1393</v>
      </c>
      <c r="Y1239" s="39">
        <v>1.5</v>
      </c>
      <c r="Z1239" s="340"/>
      <c r="AA1239" s="340"/>
      <c r="AB1239" s="39" t="s">
        <v>451</v>
      </c>
      <c r="AF1239" s="39" t="s">
        <v>1351</v>
      </c>
      <c r="AG1239" s="39" t="s">
        <v>132</v>
      </c>
      <c r="AH1239" s="138" t="s">
        <v>132</v>
      </c>
      <c r="AI1239" s="39" t="s">
        <v>133</v>
      </c>
      <c r="AJ1239" s="141" t="s">
        <v>133</v>
      </c>
      <c r="AN1239" s="39" t="s">
        <v>232</v>
      </c>
      <c r="AO1239" s="39" t="s">
        <v>232</v>
      </c>
      <c r="AP1239" s="39" t="s">
        <v>178</v>
      </c>
      <c r="AT1239" s="39" t="s">
        <v>120</v>
      </c>
      <c r="AU1239" s="39">
        <v>4</v>
      </c>
      <c r="AW1239" s="39" t="s">
        <v>336</v>
      </c>
      <c r="BM1239" s="415"/>
      <c r="BN1239" s="415"/>
      <c r="BR1239" s="415"/>
      <c r="BS1239" s="415"/>
      <c r="BW1239" s="39">
        <v>25.04</v>
      </c>
      <c r="BX1239" s="39">
        <v>47.06</v>
      </c>
      <c r="CA1239" s="39" t="s">
        <v>890</v>
      </c>
      <c r="IQ1239"/>
    </row>
    <row r="1240" spans="1:251" s="28" customFormat="1" x14ac:dyDescent="0.25">
      <c r="A1240" s="28">
        <v>58</v>
      </c>
      <c r="B1240" s="28" t="s">
        <v>863</v>
      </c>
      <c r="C1240" s="28" t="s">
        <v>864</v>
      </c>
      <c r="D1240" s="28">
        <v>1990</v>
      </c>
      <c r="E1240" s="28">
        <v>1987</v>
      </c>
      <c r="F1240" s="28" t="s">
        <v>865</v>
      </c>
      <c r="G1240" s="28" t="s">
        <v>891</v>
      </c>
      <c r="H1240" s="32" t="s">
        <v>2831</v>
      </c>
      <c r="I1240" s="28">
        <v>38.92</v>
      </c>
      <c r="J1240" s="28">
        <v>-76.150000000000006</v>
      </c>
      <c r="K1240" s="28">
        <v>5</v>
      </c>
      <c r="N1240" s="28">
        <v>836</v>
      </c>
      <c r="Q1240" s="46">
        <v>1</v>
      </c>
      <c r="R1240" s="46" t="s">
        <v>1856</v>
      </c>
      <c r="S1240" s="28" t="s">
        <v>866</v>
      </c>
      <c r="T1240" s="46" t="s">
        <v>884</v>
      </c>
      <c r="U1240" s="46" t="s">
        <v>1393</v>
      </c>
      <c r="V1240" s="46" t="s">
        <v>1727</v>
      </c>
      <c r="W1240" s="46" t="s">
        <v>1393</v>
      </c>
      <c r="X1240" s="46" t="s">
        <v>1393</v>
      </c>
      <c r="Y1240" s="28">
        <v>1.5</v>
      </c>
      <c r="Z1240" s="326"/>
      <c r="AA1240" s="326"/>
      <c r="AB1240" s="28" t="s">
        <v>451</v>
      </c>
      <c r="AF1240" s="28" t="s">
        <v>1351</v>
      </c>
      <c r="AG1240" s="28" t="s">
        <v>132</v>
      </c>
      <c r="AH1240" s="138" t="s">
        <v>132</v>
      </c>
      <c r="AI1240" s="28" t="s">
        <v>133</v>
      </c>
      <c r="AJ1240" s="141" t="s">
        <v>133</v>
      </c>
      <c r="AN1240" s="28" t="s">
        <v>157</v>
      </c>
      <c r="AO1240" s="28" t="s">
        <v>157</v>
      </c>
      <c r="AP1240" s="28" t="s">
        <v>178</v>
      </c>
      <c r="AT1240" s="28" t="s">
        <v>120</v>
      </c>
      <c r="AU1240" s="28">
        <v>4</v>
      </c>
      <c r="AW1240" s="28" t="s">
        <v>336</v>
      </c>
      <c r="BM1240" s="401"/>
      <c r="BN1240" s="401"/>
      <c r="BR1240" s="401"/>
      <c r="BS1240" s="401"/>
      <c r="BW1240" s="28">
        <v>38.520000000000003</v>
      </c>
      <c r="BX1240" s="28">
        <v>23.56</v>
      </c>
      <c r="CA1240" s="28" t="s">
        <v>890</v>
      </c>
    </row>
    <row r="1241" spans="1:251" s="28" customFormat="1" x14ac:dyDescent="0.25">
      <c r="A1241" s="28">
        <v>58</v>
      </c>
      <c r="B1241" s="28" t="s">
        <v>863</v>
      </c>
      <c r="C1241" s="28" t="s">
        <v>864</v>
      </c>
      <c r="D1241" s="28">
        <v>1990</v>
      </c>
      <c r="E1241" s="28">
        <v>1988</v>
      </c>
      <c r="F1241" s="28" t="s">
        <v>865</v>
      </c>
      <c r="G1241" s="28" t="s">
        <v>891</v>
      </c>
      <c r="H1241" s="32" t="s">
        <v>2831</v>
      </c>
      <c r="I1241" s="28">
        <v>38.92</v>
      </c>
      <c r="J1241" s="28">
        <v>-76.150000000000006</v>
      </c>
      <c r="K1241" s="28">
        <v>5</v>
      </c>
      <c r="N1241" s="28">
        <v>836</v>
      </c>
      <c r="Q1241" s="46">
        <v>2</v>
      </c>
      <c r="R1241" s="46" t="s">
        <v>1856</v>
      </c>
      <c r="S1241" s="28" t="s">
        <v>866</v>
      </c>
      <c r="T1241" s="46" t="s">
        <v>885</v>
      </c>
      <c r="U1241" s="46" t="s">
        <v>1393</v>
      </c>
      <c r="V1241" s="46" t="s">
        <v>1727</v>
      </c>
      <c r="W1241" s="46" t="s">
        <v>1393</v>
      </c>
      <c r="X1241" s="46" t="s">
        <v>1393</v>
      </c>
      <c r="Y1241" s="28">
        <v>1.5</v>
      </c>
      <c r="Z1241" s="326"/>
      <c r="AA1241" s="326"/>
      <c r="AB1241" s="28" t="s">
        <v>451</v>
      </c>
      <c r="AF1241" s="28" t="s">
        <v>1351</v>
      </c>
      <c r="AG1241" s="28" t="s">
        <v>132</v>
      </c>
      <c r="AH1241" s="138" t="s">
        <v>132</v>
      </c>
      <c r="AI1241" s="28" t="s">
        <v>133</v>
      </c>
      <c r="AJ1241" s="141" t="s">
        <v>133</v>
      </c>
      <c r="AN1241" s="28" t="s">
        <v>157</v>
      </c>
      <c r="AO1241" s="28" t="s">
        <v>157</v>
      </c>
      <c r="AP1241" s="28" t="s">
        <v>178</v>
      </c>
      <c r="AT1241" s="28" t="s">
        <v>120</v>
      </c>
      <c r="AU1241" s="28">
        <v>4</v>
      </c>
      <c r="AW1241" s="28" t="s">
        <v>336</v>
      </c>
      <c r="BM1241" s="401"/>
      <c r="BN1241" s="401"/>
      <c r="BR1241" s="401"/>
      <c r="BS1241" s="401"/>
      <c r="BW1241" s="28">
        <v>11.89</v>
      </c>
      <c r="BX1241" s="28">
        <v>6.27</v>
      </c>
      <c r="CA1241" s="28" t="s">
        <v>890</v>
      </c>
    </row>
    <row r="1242" spans="1:251" s="28" customFormat="1" x14ac:dyDescent="0.25">
      <c r="A1242" s="28">
        <v>58</v>
      </c>
      <c r="B1242" s="28" t="s">
        <v>863</v>
      </c>
      <c r="C1242" s="28" t="s">
        <v>864</v>
      </c>
      <c r="D1242" s="28">
        <v>1990</v>
      </c>
      <c r="E1242" s="28">
        <v>1988</v>
      </c>
      <c r="F1242" s="28" t="s">
        <v>865</v>
      </c>
      <c r="G1242" s="28" t="s">
        <v>891</v>
      </c>
      <c r="H1242" s="32" t="s">
        <v>2831</v>
      </c>
      <c r="I1242" s="28">
        <v>38.92</v>
      </c>
      <c r="J1242" s="28">
        <v>-76.150000000000006</v>
      </c>
      <c r="K1242" s="28">
        <v>5</v>
      </c>
      <c r="N1242" s="28">
        <v>836</v>
      </c>
      <c r="Q1242" s="46">
        <v>2</v>
      </c>
      <c r="R1242" s="46" t="s">
        <v>1856</v>
      </c>
      <c r="S1242" s="28" t="s">
        <v>866</v>
      </c>
      <c r="T1242" s="46" t="s">
        <v>781</v>
      </c>
      <c r="U1242" s="46" t="s">
        <v>1393</v>
      </c>
      <c r="V1242" s="46" t="s">
        <v>1727</v>
      </c>
      <c r="W1242" s="46" t="s">
        <v>1393</v>
      </c>
      <c r="X1242" s="46" t="s">
        <v>1393</v>
      </c>
      <c r="Y1242" s="28">
        <v>1.5</v>
      </c>
      <c r="Z1242" s="326"/>
      <c r="AA1242" s="326"/>
      <c r="AB1242" s="28" t="s">
        <v>451</v>
      </c>
      <c r="AF1242" s="28" t="s">
        <v>1351</v>
      </c>
      <c r="AG1242" s="28" t="s">
        <v>132</v>
      </c>
      <c r="AH1242" s="138" t="s">
        <v>132</v>
      </c>
      <c r="AI1242" s="28" t="s">
        <v>133</v>
      </c>
      <c r="AJ1242" s="141" t="s">
        <v>133</v>
      </c>
      <c r="AN1242" s="28" t="s">
        <v>157</v>
      </c>
      <c r="AO1242" s="28" t="s">
        <v>157</v>
      </c>
      <c r="AP1242" s="28" t="s">
        <v>178</v>
      </c>
      <c r="AT1242" s="28" t="s">
        <v>120</v>
      </c>
      <c r="AU1242" s="28">
        <v>4</v>
      </c>
      <c r="AW1242" s="28" t="s">
        <v>336</v>
      </c>
      <c r="BM1242" s="401"/>
      <c r="BN1242" s="401"/>
      <c r="BR1242" s="401"/>
      <c r="BS1242" s="401"/>
      <c r="BW1242" s="28">
        <v>0.74</v>
      </c>
      <c r="BX1242" s="28">
        <v>2.48</v>
      </c>
      <c r="CA1242" s="28" t="s">
        <v>890</v>
      </c>
    </row>
    <row r="1243" spans="1:251" s="28" customFormat="1" x14ac:dyDescent="0.25">
      <c r="A1243" s="28">
        <v>58</v>
      </c>
      <c r="B1243" s="28" t="s">
        <v>863</v>
      </c>
      <c r="C1243" s="28" t="s">
        <v>864</v>
      </c>
      <c r="D1243" s="28">
        <v>1990</v>
      </c>
      <c r="E1243" s="28">
        <v>1988</v>
      </c>
      <c r="F1243" s="28" t="s">
        <v>865</v>
      </c>
      <c r="G1243" s="28" t="s">
        <v>891</v>
      </c>
      <c r="H1243" s="32" t="s">
        <v>2831</v>
      </c>
      <c r="I1243" s="28">
        <v>38.92</v>
      </c>
      <c r="J1243" s="28">
        <v>-76.150000000000006</v>
      </c>
      <c r="K1243" s="28">
        <v>5</v>
      </c>
      <c r="N1243" s="28">
        <v>836</v>
      </c>
      <c r="Q1243" s="46">
        <v>2</v>
      </c>
      <c r="R1243" s="46" t="s">
        <v>1856</v>
      </c>
      <c r="S1243" s="28" t="s">
        <v>866</v>
      </c>
      <c r="T1243" s="46" t="s">
        <v>886</v>
      </c>
      <c r="U1243" s="46" t="s">
        <v>1393</v>
      </c>
      <c r="V1243" s="46" t="s">
        <v>1727</v>
      </c>
      <c r="W1243" s="46" t="s">
        <v>1393</v>
      </c>
      <c r="X1243" s="46" t="s">
        <v>1393</v>
      </c>
      <c r="Y1243" s="28">
        <v>1.5</v>
      </c>
      <c r="Z1243" s="326"/>
      <c r="AA1243" s="326"/>
      <c r="AB1243" s="28" t="s">
        <v>451</v>
      </c>
      <c r="AF1243" s="28" t="s">
        <v>1351</v>
      </c>
      <c r="AG1243" s="28" t="s">
        <v>132</v>
      </c>
      <c r="AH1243" s="138" t="s">
        <v>132</v>
      </c>
      <c r="AI1243" s="28" t="s">
        <v>133</v>
      </c>
      <c r="AJ1243" s="141" t="s">
        <v>133</v>
      </c>
      <c r="AN1243" s="28" t="s">
        <v>157</v>
      </c>
      <c r="AO1243" s="28" t="s">
        <v>157</v>
      </c>
      <c r="AP1243" s="28" t="s">
        <v>178</v>
      </c>
      <c r="AT1243" s="28" t="s">
        <v>120</v>
      </c>
      <c r="AU1243" s="28">
        <v>4</v>
      </c>
      <c r="AW1243" s="28" t="s">
        <v>336</v>
      </c>
      <c r="BM1243" s="401"/>
      <c r="BN1243" s="401"/>
      <c r="BR1243" s="401"/>
      <c r="BS1243" s="401"/>
      <c r="BW1243" s="28">
        <v>0.31</v>
      </c>
      <c r="BX1243" s="28">
        <v>13.04</v>
      </c>
      <c r="CA1243" s="28" t="s">
        <v>890</v>
      </c>
    </row>
    <row r="1244" spans="1:251" s="28" customFormat="1" x14ac:dyDescent="0.25">
      <c r="A1244" s="28">
        <v>58</v>
      </c>
      <c r="B1244" s="28" t="s">
        <v>863</v>
      </c>
      <c r="C1244" s="28" t="s">
        <v>864</v>
      </c>
      <c r="D1244" s="28">
        <v>1990</v>
      </c>
      <c r="E1244" s="28">
        <v>1988</v>
      </c>
      <c r="F1244" s="28" t="s">
        <v>865</v>
      </c>
      <c r="G1244" s="28" t="s">
        <v>891</v>
      </c>
      <c r="H1244" s="32" t="s">
        <v>2831</v>
      </c>
      <c r="I1244" s="28">
        <v>38.92</v>
      </c>
      <c r="J1244" s="28">
        <v>-76.150000000000006</v>
      </c>
      <c r="K1244" s="28">
        <v>5</v>
      </c>
      <c r="N1244" s="28">
        <v>836</v>
      </c>
      <c r="Q1244" s="46">
        <v>2</v>
      </c>
      <c r="R1244" s="46" t="s">
        <v>1856</v>
      </c>
      <c r="S1244" s="28" t="s">
        <v>866</v>
      </c>
      <c r="T1244" s="46" t="s">
        <v>889</v>
      </c>
      <c r="U1244" s="46" t="s">
        <v>1393</v>
      </c>
      <c r="V1244" s="46" t="s">
        <v>1727</v>
      </c>
      <c r="W1244" s="46" t="s">
        <v>1393</v>
      </c>
      <c r="X1244" s="46" t="s">
        <v>1393</v>
      </c>
      <c r="Y1244" s="28">
        <v>1.5</v>
      </c>
      <c r="Z1244" s="326"/>
      <c r="AA1244" s="326"/>
      <c r="AB1244" s="28" t="s">
        <v>451</v>
      </c>
      <c r="AF1244" s="28" t="s">
        <v>1351</v>
      </c>
      <c r="AG1244" s="28" t="s">
        <v>132</v>
      </c>
      <c r="AH1244" s="138" t="s">
        <v>132</v>
      </c>
      <c r="AI1244" s="28" t="s">
        <v>133</v>
      </c>
      <c r="AJ1244" s="141" t="s">
        <v>133</v>
      </c>
      <c r="AN1244" s="28" t="s">
        <v>157</v>
      </c>
      <c r="AO1244" s="28" t="s">
        <v>157</v>
      </c>
      <c r="AP1244" s="28" t="s">
        <v>178</v>
      </c>
      <c r="AT1244" s="28" t="s">
        <v>120</v>
      </c>
      <c r="AU1244" s="28">
        <v>4</v>
      </c>
      <c r="AW1244" s="28" t="s">
        <v>336</v>
      </c>
      <c r="BM1244" s="401"/>
      <c r="BN1244" s="401"/>
      <c r="BR1244" s="401"/>
      <c r="BS1244" s="401"/>
      <c r="BW1244" s="28">
        <v>18.89</v>
      </c>
      <c r="BX1244" s="28">
        <v>33.33</v>
      </c>
      <c r="CA1244" s="28" t="s">
        <v>890</v>
      </c>
    </row>
    <row r="1245" spans="1:251" s="28" customFormat="1" x14ac:dyDescent="0.25">
      <c r="A1245" s="28">
        <v>58</v>
      </c>
      <c r="B1245" s="28" t="s">
        <v>863</v>
      </c>
      <c r="C1245" s="28" t="s">
        <v>864</v>
      </c>
      <c r="D1245" s="28">
        <v>1990</v>
      </c>
      <c r="E1245" s="28">
        <v>1988</v>
      </c>
      <c r="F1245" s="28" t="s">
        <v>865</v>
      </c>
      <c r="G1245" s="28" t="s">
        <v>891</v>
      </c>
      <c r="H1245" s="32" t="s">
        <v>2831</v>
      </c>
      <c r="I1245" s="28">
        <v>38.92</v>
      </c>
      <c r="J1245" s="28">
        <v>-76.150000000000006</v>
      </c>
      <c r="K1245" s="28">
        <v>5</v>
      </c>
      <c r="N1245" s="28">
        <v>836</v>
      </c>
      <c r="Q1245" s="46">
        <v>2</v>
      </c>
      <c r="R1245" s="46" t="s">
        <v>1856</v>
      </c>
      <c r="S1245" s="28" t="s">
        <v>866</v>
      </c>
      <c r="T1245" s="46" t="s">
        <v>887</v>
      </c>
      <c r="U1245" s="46" t="s">
        <v>1393</v>
      </c>
      <c r="V1245" s="46" t="s">
        <v>1727</v>
      </c>
      <c r="W1245" s="46" t="s">
        <v>1393</v>
      </c>
      <c r="X1245" s="46" t="s">
        <v>1393</v>
      </c>
      <c r="Y1245" s="28">
        <v>1.5</v>
      </c>
      <c r="Z1245" s="326"/>
      <c r="AA1245" s="326"/>
      <c r="AB1245" s="28" t="s">
        <v>451</v>
      </c>
      <c r="AF1245" s="28" t="s">
        <v>1351</v>
      </c>
      <c r="AG1245" s="28" t="s">
        <v>132</v>
      </c>
      <c r="AH1245" s="138" t="s">
        <v>132</v>
      </c>
      <c r="AI1245" s="28" t="s">
        <v>133</v>
      </c>
      <c r="AJ1245" s="141" t="s">
        <v>133</v>
      </c>
      <c r="AN1245" s="28" t="s">
        <v>157</v>
      </c>
      <c r="AO1245" s="28" t="s">
        <v>157</v>
      </c>
      <c r="AP1245" s="28" t="s">
        <v>178</v>
      </c>
      <c r="AT1245" s="28" t="s">
        <v>120</v>
      </c>
      <c r="AU1245" s="28">
        <v>4</v>
      </c>
      <c r="AW1245" s="28" t="s">
        <v>336</v>
      </c>
      <c r="BM1245" s="401"/>
      <c r="BN1245" s="401"/>
      <c r="BR1245" s="401"/>
      <c r="BS1245" s="401"/>
      <c r="BW1245" s="28">
        <v>28.93</v>
      </c>
      <c r="BX1245" s="28">
        <v>28.93</v>
      </c>
      <c r="CA1245" s="28" t="s">
        <v>890</v>
      </c>
    </row>
    <row r="1246" spans="1:251" s="28" customFormat="1" x14ac:dyDescent="0.25">
      <c r="A1246" s="28">
        <v>58</v>
      </c>
      <c r="B1246" s="28" t="s">
        <v>863</v>
      </c>
      <c r="C1246" s="28" t="s">
        <v>864</v>
      </c>
      <c r="D1246" s="28">
        <v>1990</v>
      </c>
      <c r="E1246" s="28">
        <v>1988</v>
      </c>
      <c r="F1246" s="28" t="s">
        <v>865</v>
      </c>
      <c r="G1246" s="28" t="s">
        <v>891</v>
      </c>
      <c r="H1246" s="32" t="s">
        <v>2831</v>
      </c>
      <c r="I1246" s="28">
        <v>38.92</v>
      </c>
      <c r="J1246" s="28">
        <v>-76.150000000000006</v>
      </c>
      <c r="K1246" s="28">
        <v>5</v>
      </c>
      <c r="N1246" s="28">
        <v>836</v>
      </c>
      <c r="Q1246" s="46">
        <v>2</v>
      </c>
      <c r="R1246" s="46" t="s">
        <v>1856</v>
      </c>
      <c r="S1246" s="28" t="s">
        <v>866</v>
      </c>
      <c r="T1246" s="46" t="s">
        <v>888</v>
      </c>
      <c r="U1246" s="46" t="s">
        <v>1393</v>
      </c>
      <c r="V1246" s="46" t="s">
        <v>1727</v>
      </c>
      <c r="W1246" s="46" t="s">
        <v>1393</v>
      </c>
      <c r="X1246" s="46" t="s">
        <v>1393</v>
      </c>
      <c r="Y1246" s="28">
        <v>1.5</v>
      </c>
      <c r="Z1246" s="326"/>
      <c r="AA1246" s="326"/>
      <c r="AB1246" s="28" t="s">
        <v>451</v>
      </c>
      <c r="AF1246" s="28" t="s">
        <v>1351</v>
      </c>
      <c r="AG1246" s="28" t="s">
        <v>132</v>
      </c>
      <c r="AH1246" s="138" t="s">
        <v>132</v>
      </c>
      <c r="AI1246" s="28" t="s">
        <v>133</v>
      </c>
      <c r="AJ1246" s="141" t="s">
        <v>133</v>
      </c>
      <c r="AN1246" s="28" t="s">
        <v>157</v>
      </c>
      <c r="AO1246" s="28" t="s">
        <v>157</v>
      </c>
      <c r="AP1246" s="28" t="s">
        <v>178</v>
      </c>
      <c r="AT1246" s="28" t="s">
        <v>120</v>
      </c>
      <c r="AU1246" s="28">
        <v>4</v>
      </c>
      <c r="AW1246" s="28" t="s">
        <v>336</v>
      </c>
      <c r="BM1246" s="401"/>
      <c r="BN1246" s="401"/>
      <c r="BR1246" s="401"/>
      <c r="BS1246" s="401"/>
      <c r="BW1246" s="28">
        <v>9.57</v>
      </c>
      <c r="BX1246" s="28">
        <v>64.98</v>
      </c>
      <c r="CA1246" s="28" t="s">
        <v>890</v>
      </c>
    </row>
    <row r="1247" spans="1:251" s="40" customFormat="1" x14ac:dyDescent="0.25">
      <c r="A1247" s="40">
        <v>59</v>
      </c>
      <c r="B1247" s="40" t="s">
        <v>863</v>
      </c>
      <c r="C1247" s="40" t="s">
        <v>864</v>
      </c>
      <c r="D1247" s="40">
        <v>1997</v>
      </c>
      <c r="E1247" s="40">
        <v>1990</v>
      </c>
      <c r="F1247" s="40" t="s">
        <v>865</v>
      </c>
      <c r="G1247" s="40" t="s">
        <v>891</v>
      </c>
      <c r="H1247" s="32" t="s">
        <v>2831</v>
      </c>
      <c r="I1247" s="40">
        <v>38.92</v>
      </c>
      <c r="J1247" s="40">
        <v>-76.150000000000006</v>
      </c>
      <c r="K1247" s="40">
        <v>5</v>
      </c>
      <c r="N1247" s="40">
        <v>1007</v>
      </c>
      <c r="Q1247" s="71">
        <v>4</v>
      </c>
      <c r="R1247" s="71" t="s">
        <v>1869</v>
      </c>
      <c r="S1247" s="71" t="s">
        <v>866</v>
      </c>
      <c r="T1247" s="71" t="s">
        <v>1992</v>
      </c>
      <c r="U1247" s="71" t="s">
        <v>1393</v>
      </c>
      <c r="V1247" s="71" t="s">
        <v>1727</v>
      </c>
      <c r="W1247" s="71" t="s">
        <v>1393</v>
      </c>
      <c r="X1247" s="71" t="s">
        <v>1421</v>
      </c>
      <c r="Y1247" s="40">
        <v>1.5</v>
      </c>
      <c r="Z1247" s="341"/>
      <c r="AA1247" s="341"/>
      <c r="AB1247" s="40" t="s">
        <v>451</v>
      </c>
      <c r="AF1247" s="40" t="s">
        <v>1351</v>
      </c>
      <c r="AG1247" s="40" t="s">
        <v>132</v>
      </c>
      <c r="AH1247" s="138" t="s">
        <v>132</v>
      </c>
      <c r="AI1247" s="40" t="s">
        <v>133</v>
      </c>
      <c r="AJ1247" s="140" t="s">
        <v>133</v>
      </c>
      <c r="AN1247" s="40" t="s">
        <v>157</v>
      </c>
      <c r="AO1247" s="40" t="s">
        <v>157</v>
      </c>
      <c r="AP1247" s="40" t="s">
        <v>178</v>
      </c>
      <c r="AQ1247" s="40" t="s">
        <v>893</v>
      </c>
      <c r="AR1247" s="40" t="s">
        <v>893</v>
      </c>
      <c r="AS1247" s="40" t="s">
        <v>178</v>
      </c>
      <c r="AT1247" s="40" t="s">
        <v>120</v>
      </c>
      <c r="AU1247" s="40">
        <v>4</v>
      </c>
      <c r="AW1247" s="40" t="s">
        <v>336</v>
      </c>
      <c r="AY1247" s="40">
        <v>4048</v>
      </c>
      <c r="AZ1247" s="40">
        <f>AY1247/85</f>
        <v>47.623529411764707</v>
      </c>
      <c r="BC1247" s="40">
        <v>8809</v>
      </c>
      <c r="BD1247" s="40">
        <v>9447</v>
      </c>
      <c r="BG1247" s="40" t="s">
        <v>892</v>
      </c>
      <c r="BH1247" s="40">
        <v>9483</v>
      </c>
      <c r="BI1247" s="40">
        <v>10049</v>
      </c>
      <c r="BM1247" s="416"/>
      <c r="BN1247" s="416"/>
      <c r="BR1247" s="416"/>
      <c r="BS1247" s="416"/>
      <c r="EO1247" s="40">
        <v>27</v>
      </c>
      <c r="EP1247" s="40">
        <v>1.5</v>
      </c>
      <c r="ES1247" s="87" t="s">
        <v>895</v>
      </c>
    </row>
    <row r="1248" spans="1:251" s="40" customFormat="1" x14ac:dyDescent="0.25">
      <c r="A1248" s="40">
        <v>59</v>
      </c>
      <c r="B1248" s="40" t="s">
        <v>863</v>
      </c>
      <c r="C1248" s="40" t="s">
        <v>864</v>
      </c>
      <c r="D1248" s="40">
        <v>1997</v>
      </c>
      <c r="E1248" s="40">
        <v>1991</v>
      </c>
      <c r="F1248" s="40" t="s">
        <v>865</v>
      </c>
      <c r="G1248" s="40" t="s">
        <v>891</v>
      </c>
      <c r="H1248" s="32" t="s">
        <v>2831</v>
      </c>
      <c r="I1248" s="40">
        <v>38.92</v>
      </c>
      <c r="J1248" s="40">
        <v>-76.150000000000006</v>
      </c>
      <c r="K1248" s="40">
        <v>5</v>
      </c>
      <c r="N1248" s="40">
        <v>997</v>
      </c>
      <c r="Q1248" s="71">
        <v>5</v>
      </c>
      <c r="R1248" s="71" t="s">
        <v>1869</v>
      </c>
      <c r="S1248" s="71" t="s">
        <v>866</v>
      </c>
      <c r="T1248" s="71" t="s">
        <v>1992</v>
      </c>
      <c r="U1248" s="71" t="s">
        <v>1393</v>
      </c>
      <c r="V1248" s="71" t="s">
        <v>1727</v>
      </c>
      <c r="W1248" s="71" t="s">
        <v>1393</v>
      </c>
      <c r="X1248" s="71" t="s">
        <v>1421</v>
      </c>
      <c r="Y1248" s="40">
        <v>1.5</v>
      </c>
      <c r="Z1248" s="341"/>
      <c r="AA1248" s="341"/>
      <c r="AB1248" s="40" t="s">
        <v>451</v>
      </c>
      <c r="AF1248" s="40" t="s">
        <v>1351</v>
      </c>
      <c r="AG1248" s="40" t="s">
        <v>132</v>
      </c>
      <c r="AH1248" s="138" t="s">
        <v>132</v>
      </c>
      <c r="AI1248" s="40" t="s">
        <v>133</v>
      </c>
      <c r="AJ1248" s="140" t="s">
        <v>133</v>
      </c>
      <c r="AN1248" s="40" t="s">
        <v>157</v>
      </c>
      <c r="AO1248" s="40" t="s">
        <v>157</v>
      </c>
      <c r="AP1248" s="40" t="s">
        <v>178</v>
      </c>
      <c r="AQ1248" s="40" t="s">
        <v>893</v>
      </c>
      <c r="AR1248" s="40" t="s">
        <v>893</v>
      </c>
      <c r="AS1248" s="40" t="s">
        <v>178</v>
      </c>
      <c r="AT1248" s="40" t="s">
        <v>120</v>
      </c>
      <c r="AU1248" s="40">
        <v>4</v>
      </c>
      <c r="AW1248" s="40" t="s">
        <v>336</v>
      </c>
      <c r="AY1248" s="40">
        <v>1793</v>
      </c>
      <c r="AZ1248" s="40">
        <f>AY1248/25.9</f>
        <v>69.227799227799238</v>
      </c>
      <c r="BC1248" s="40">
        <v>7462</v>
      </c>
      <c r="BD1248" s="40">
        <v>8171</v>
      </c>
      <c r="BG1248" s="40" t="s">
        <v>892</v>
      </c>
      <c r="BH1248" s="40">
        <v>9096</v>
      </c>
      <c r="BI1248" s="40">
        <v>9104</v>
      </c>
      <c r="BM1248" s="416"/>
      <c r="BN1248" s="416"/>
      <c r="BR1248" s="416"/>
      <c r="BS1248" s="416"/>
      <c r="EO1248" s="40">
        <v>25</v>
      </c>
      <c r="EP1248" s="40">
        <v>0.5</v>
      </c>
      <c r="ES1248" s="87" t="s">
        <v>895</v>
      </c>
    </row>
    <row r="1249" spans="1:149" s="40" customFormat="1" x14ac:dyDescent="0.25">
      <c r="A1249" s="40">
        <v>59</v>
      </c>
      <c r="B1249" s="40" t="s">
        <v>863</v>
      </c>
      <c r="C1249" s="40" t="s">
        <v>864</v>
      </c>
      <c r="D1249" s="40">
        <v>1997</v>
      </c>
      <c r="E1249" s="40">
        <v>1992</v>
      </c>
      <c r="F1249" s="40" t="s">
        <v>865</v>
      </c>
      <c r="G1249" s="40" t="s">
        <v>891</v>
      </c>
      <c r="H1249" s="32" t="s">
        <v>2831</v>
      </c>
      <c r="I1249" s="40">
        <v>38.92</v>
      </c>
      <c r="J1249" s="40">
        <v>-76.150000000000006</v>
      </c>
      <c r="K1249" s="40">
        <v>5</v>
      </c>
      <c r="N1249" s="40">
        <v>866</v>
      </c>
      <c r="Q1249" s="71">
        <v>6</v>
      </c>
      <c r="R1249" s="71" t="s">
        <v>1869</v>
      </c>
      <c r="S1249" s="71" t="s">
        <v>866</v>
      </c>
      <c r="T1249" s="71" t="s">
        <v>1992</v>
      </c>
      <c r="U1249" s="71" t="s">
        <v>1393</v>
      </c>
      <c r="V1249" s="71" t="s">
        <v>1727</v>
      </c>
      <c r="W1249" s="71" t="s">
        <v>1393</v>
      </c>
      <c r="X1249" s="71" t="s">
        <v>1421</v>
      </c>
      <c r="Y1249" s="40">
        <v>1.5</v>
      </c>
      <c r="Z1249" s="341"/>
      <c r="AA1249" s="341"/>
      <c r="AB1249" s="40" t="s">
        <v>451</v>
      </c>
      <c r="AF1249" s="40" t="s">
        <v>1351</v>
      </c>
      <c r="AG1249" s="40" t="s">
        <v>132</v>
      </c>
      <c r="AH1249" s="138" t="s">
        <v>132</v>
      </c>
      <c r="AI1249" s="40" t="s">
        <v>133</v>
      </c>
      <c r="AJ1249" s="140" t="s">
        <v>133</v>
      </c>
      <c r="AN1249" s="40" t="s">
        <v>157</v>
      </c>
      <c r="AO1249" s="40" t="s">
        <v>157</v>
      </c>
      <c r="AP1249" s="40" t="s">
        <v>178</v>
      </c>
      <c r="AQ1249" s="40" t="s">
        <v>893</v>
      </c>
      <c r="AR1249" s="40" t="s">
        <v>893</v>
      </c>
      <c r="AS1249" s="40" t="s">
        <v>178</v>
      </c>
      <c r="AT1249" s="40" t="s">
        <v>120</v>
      </c>
      <c r="AU1249" s="40">
        <v>4</v>
      </c>
      <c r="AW1249" s="40" t="s">
        <v>336</v>
      </c>
      <c r="AY1249" s="40">
        <v>2053</v>
      </c>
      <c r="AZ1249" s="40">
        <f>AY1249/40.5</f>
        <v>50.691358024691361</v>
      </c>
      <c r="BC1249" s="40">
        <v>8245</v>
      </c>
      <c r="BD1249" s="40">
        <v>7689</v>
      </c>
      <c r="BG1249" s="40" t="s">
        <v>892</v>
      </c>
      <c r="BH1249" s="40">
        <v>10898</v>
      </c>
      <c r="BI1249" s="40">
        <v>9920</v>
      </c>
      <c r="BM1249" s="416"/>
      <c r="BN1249" s="416"/>
      <c r="BR1249" s="416"/>
      <c r="BS1249" s="416"/>
      <c r="EO1249" s="40">
        <v>12</v>
      </c>
      <c r="EP1249" s="40">
        <v>0.8</v>
      </c>
      <c r="ES1249" s="87" t="s">
        <v>895</v>
      </c>
    </row>
    <row r="1250" spans="1:149" s="40" customFormat="1" x14ac:dyDescent="0.25">
      <c r="A1250" s="40">
        <v>59</v>
      </c>
      <c r="B1250" s="40" t="s">
        <v>863</v>
      </c>
      <c r="C1250" s="40" t="s">
        <v>864</v>
      </c>
      <c r="D1250" s="40">
        <v>1997</v>
      </c>
      <c r="E1250" s="40">
        <v>1993</v>
      </c>
      <c r="F1250" s="40" t="s">
        <v>865</v>
      </c>
      <c r="G1250" s="40" t="s">
        <v>891</v>
      </c>
      <c r="H1250" s="32" t="s">
        <v>2831</v>
      </c>
      <c r="I1250" s="40">
        <v>38.92</v>
      </c>
      <c r="J1250" s="40">
        <v>-76.150000000000006</v>
      </c>
      <c r="K1250" s="40">
        <v>5</v>
      </c>
      <c r="N1250" s="40">
        <v>972</v>
      </c>
      <c r="Q1250" s="71">
        <v>7</v>
      </c>
      <c r="R1250" s="71" t="s">
        <v>1869</v>
      </c>
      <c r="S1250" s="71" t="s">
        <v>866</v>
      </c>
      <c r="T1250" s="71" t="s">
        <v>1992</v>
      </c>
      <c r="U1250" s="71" t="s">
        <v>1393</v>
      </c>
      <c r="V1250" s="71" t="s">
        <v>1727</v>
      </c>
      <c r="W1250" s="71" t="s">
        <v>1393</v>
      </c>
      <c r="X1250" s="71" t="s">
        <v>1421</v>
      </c>
      <c r="Y1250" s="40">
        <v>1.5</v>
      </c>
      <c r="Z1250" s="341"/>
      <c r="AA1250" s="341"/>
      <c r="AB1250" s="40" t="s">
        <v>451</v>
      </c>
      <c r="AF1250" s="40" t="s">
        <v>1351</v>
      </c>
      <c r="AG1250" s="40" t="s">
        <v>132</v>
      </c>
      <c r="AH1250" s="138" t="s">
        <v>132</v>
      </c>
      <c r="AI1250" s="40" t="s">
        <v>133</v>
      </c>
      <c r="AJ1250" s="140" t="s">
        <v>133</v>
      </c>
      <c r="AN1250" s="40" t="s">
        <v>157</v>
      </c>
      <c r="AO1250" s="40" t="s">
        <v>157</v>
      </c>
      <c r="AP1250" s="40" t="s">
        <v>178</v>
      </c>
      <c r="AQ1250" s="40" t="s">
        <v>893</v>
      </c>
      <c r="AR1250" s="40" t="s">
        <v>893</v>
      </c>
      <c r="AS1250" s="40" t="s">
        <v>178</v>
      </c>
      <c r="AT1250" s="40" t="s">
        <v>120</v>
      </c>
      <c r="AU1250" s="40">
        <v>4</v>
      </c>
      <c r="AW1250" s="40" t="s">
        <v>336</v>
      </c>
      <c r="AY1250" s="40">
        <v>1873</v>
      </c>
      <c r="AZ1250" s="40">
        <f>AY1250/37.3</f>
        <v>50.21447721179625</v>
      </c>
      <c r="BC1250" s="40">
        <v>7455</v>
      </c>
      <c r="BD1250" s="40">
        <v>8732</v>
      </c>
      <c r="BG1250" s="40" t="s">
        <v>892</v>
      </c>
      <c r="BH1250" s="40">
        <v>7421</v>
      </c>
      <c r="BI1250" s="40">
        <v>8586</v>
      </c>
      <c r="BM1250" s="416"/>
      <c r="BN1250" s="416"/>
      <c r="BR1250" s="416"/>
      <c r="BS1250" s="416"/>
      <c r="EO1250" s="40">
        <v>9</v>
      </c>
      <c r="EP1250" s="40">
        <v>2.2999999999999998</v>
      </c>
      <c r="ES1250" s="87" t="s">
        <v>895</v>
      </c>
    </row>
    <row r="1251" spans="1:149" s="40" customFormat="1" x14ac:dyDescent="0.25">
      <c r="A1251" s="40">
        <v>59</v>
      </c>
      <c r="B1251" s="40" t="s">
        <v>863</v>
      </c>
      <c r="C1251" s="40" t="s">
        <v>864</v>
      </c>
      <c r="D1251" s="40">
        <v>1997</v>
      </c>
      <c r="E1251" s="40">
        <v>1994</v>
      </c>
      <c r="F1251" s="40" t="s">
        <v>865</v>
      </c>
      <c r="G1251" s="40" t="s">
        <v>891</v>
      </c>
      <c r="H1251" s="32" t="s">
        <v>2831</v>
      </c>
      <c r="I1251" s="40">
        <v>38.92</v>
      </c>
      <c r="J1251" s="40">
        <v>-76.150000000000006</v>
      </c>
      <c r="K1251" s="40">
        <v>5</v>
      </c>
      <c r="N1251" s="40">
        <v>1275</v>
      </c>
      <c r="Q1251" s="71">
        <v>8</v>
      </c>
      <c r="R1251" s="71" t="s">
        <v>1869</v>
      </c>
      <c r="S1251" s="71" t="s">
        <v>866</v>
      </c>
      <c r="T1251" s="71" t="s">
        <v>1992</v>
      </c>
      <c r="U1251" s="71" t="s">
        <v>1393</v>
      </c>
      <c r="V1251" s="71" t="s">
        <v>1727</v>
      </c>
      <c r="W1251" s="71" t="s">
        <v>1393</v>
      </c>
      <c r="X1251" s="71" t="s">
        <v>1421</v>
      </c>
      <c r="Y1251" s="40">
        <v>1.5</v>
      </c>
      <c r="Z1251" s="341"/>
      <c r="AA1251" s="341"/>
      <c r="AB1251" s="40" t="s">
        <v>451</v>
      </c>
      <c r="AF1251" s="40" t="s">
        <v>1351</v>
      </c>
      <c r="AG1251" s="40" t="s">
        <v>132</v>
      </c>
      <c r="AH1251" s="138" t="s">
        <v>132</v>
      </c>
      <c r="AI1251" s="40" t="s">
        <v>133</v>
      </c>
      <c r="AJ1251" s="140" t="s">
        <v>133</v>
      </c>
      <c r="AN1251" s="40" t="s">
        <v>157</v>
      </c>
      <c r="AO1251" s="40" t="s">
        <v>157</v>
      </c>
      <c r="AP1251" s="40" t="s">
        <v>178</v>
      </c>
      <c r="AQ1251" s="40" t="s">
        <v>893</v>
      </c>
      <c r="AR1251" s="40" t="s">
        <v>893</v>
      </c>
      <c r="AS1251" s="40" t="s">
        <v>178</v>
      </c>
      <c r="AT1251" s="40" t="s">
        <v>120</v>
      </c>
      <c r="AU1251" s="40">
        <v>4</v>
      </c>
      <c r="AW1251" s="40" t="s">
        <v>336</v>
      </c>
      <c r="AY1251" s="40">
        <v>3645</v>
      </c>
      <c r="AZ1251" s="40">
        <f>AY1251/59.2</f>
        <v>61.570945945945944</v>
      </c>
      <c r="BC1251" s="40">
        <v>9114</v>
      </c>
      <c r="BD1251" s="40">
        <v>9261</v>
      </c>
      <c r="BG1251" s="40" t="s">
        <v>892</v>
      </c>
      <c r="BH1251" s="40">
        <v>10036</v>
      </c>
      <c r="BI1251" s="40">
        <v>10042</v>
      </c>
      <c r="BM1251" s="416"/>
      <c r="BN1251" s="416"/>
      <c r="BR1251" s="416"/>
      <c r="BS1251" s="416"/>
      <c r="EO1251" s="40">
        <v>11</v>
      </c>
      <c r="EP1251" s="40">
        <v>1.4</v>
      </c>
      <c r="ES1251" s="87" t="s">
        <v>895</v>
      </c>
    </row>
    <row r="1252" spans="1:149" s="40" customFormat="1" x14ac:dyDescent="0.25">
      <c r="A1252" s="40">
        <v>59</v>
      </c>
      <c r="B1252" s="40" t="s">
        <v>863</v>
      </c>
      <c r="C1252" s="40" t="s">
        <v>864</v>
      </c>
      <c r="D1252" s="40">
        <v>1997</v>
      </c>
      <c r="E1252" s="40">
        <v>1995</v>
      </c>
      <c r="F1252" s="40" t="s">
        <v>865</v>
      </c>
      <c r="G1252" s="40" t="s">
        <v>891</v>
      </c>
      <c r="H1252" s="32" t="s">
        <v>2831</v>
      </c>
      <c r="I1252" s="40">
        <v>38.92</v>
      </c>
      <c r="J1252" s="40">
        <v>-76.150000000000006</v>
      </c>
      <c r="K1252" s="40">
        <v>5</v>
      </c>
      <c r="N1252" s="40">
        <v>755</v>
      </c>
      <c r="Q1252" s="71">
        <v>9</v>
      </c>
      <c r="R1252" s="71" t="s">
        <v>1869</v>
      </c>
      <c r="S1252" s="71" t="s">
        <v>866</v>
      </c>
      <c r="T1252" s="71" t="s">
        <v>1992</v>
      </c>
      <c r="U1252" s="71" t="s">
        <v>1393</v>
      </c>
      <c r="V1252" s="71" t="s">
        <v>1727</v>
      </c>
      <c r="W1252" s="71" t="s">
        <v>1393</v>
      </c>
      <c r="X1252" s="71" t="s">
        <v>1421</v>
      </c>
      <c r="Y1252" s="40">
        <v>1.5</v>
      </c>
      <c r="Z1252" s="341"/>
      <c r="AA1252" s="341"/>
      <c r="AB1252" s="40" t="s">
        <v>451</v>
      </c>
      <c r="AF1252" s="40" t="s">
        <v>1351</v>
      </c>
      <c r="AG1252" s="40" t="s">
        <v>132</v>
      </c>
      <c r="AH1252" s="138" t="s">
        <v>132</v>
      </c>
      <c r="AI1252" s="40" t="s">
        <v>133</v>
      </c>
      <c r="AJ1252" s="140" t="s">
        <v>133</v>
      </c>
      <c r="AN1252" s="40" t="s">
        <v>157</v>
      </c>
      <c r="AO1252" s="40" t="s">
        <v>157</v>
      </c>
      <c r="AP1252" s="40" t="s">
        <v>178</v>
      </c>
      <c r="AQ1252" s="40" t="s">
        <v>893</v>
      </c>
      <c r="AR1252" s="40" t="s">
        <v>893</v>
      </c>
      <c r="AS1252" s="40" t="s">
        <v>178</v>
      </c>
      <c r="AT1252" s="40" t="s">
        <v>120</v>
      </c>
      <c r="AU1252" s="40">
        <v>4</v>
      </c>
      <c r="AW1252" s="40" t="s">
        <v>336</v>
      </c>
      <c r="BC1252" s="40">
        <v>8474</v>
      </c>
      <c r="BD1252" s="40">
        <v>7822</v>
      </c>
      <c r="BG1252" s="40" t="s">
        <v>892</v>
      </c>
      <c r="BH1252" s="40">
        <v>8978</v>
      </c>
      <c r="BI1252" s="40">
        <v>8372</v>
      </c>
      <c r="BM1252" s="416"/>
      <c r="BN1252" s="416"/>
      <c r="BR1252" s="416"/>
      <c r="BS1252" s="416"/>
      <c r="EO1252" s="40">
        <v>13</v>
      </c>
      <c r="EP1252" s="40">
        <v>0.9</v>
      </c>
      <c r="ES1252" s="87" t="s">
        <v>895</v>
      </c>
    </row>
    <row r="1253" spans="1:149" s="24" customFormat="1" x14ac:dyDescent="0.25">
      <c r="A1253" s="24">
        <v>59</v>
      </c>
      <c r="B1253" s="24" t="s">
        <v>863</v>
      </c>
      <c r="C1253" s="24" t="s">
        <v>864</v>
      </c>
      <c r="D1253" s="24">
        <v>1997</v>
      </c>
      <c r="E1253" s="24">
        <v>1991</v>
      </c>
      <c r="F1253" s="24" t="s">
        <v>865</v>
      </c>
      <c r="G1253" s="24" t="s">
        <v>891</v>
      </c>
      <c r="H1253" s="32" t="s">
        <v>2831</v>
      </c>
      <c r="I1253" s="24">
        <v>38.92</v>
      </c>
      <c r="J1253" s="24">
        <v>-76.150000000000006</v>
      </c>
      <c r="K1253" s="24">
        <v>5</v>
      </c>
      <c r="N1253" s="24">
        <v>997</v>
      </c>
      <c r="Q1253" s="42">
        <v>5</v>
      </c>
      <c r="R1253" s="42" t="s">
        <v>1869</v>
      </c>
      <c r="S1253" s="42" t="s">
        <v>866</v>
      </c>
      <c r="T1253" s="42" t="s">
        <v>1992</v>
      </c>
      <c r="U1253" s="42" t="s">
        <v>1393</v>
      </c>
      <c r="V1253" s="42" t="s">
        <v>1727</v>
      </c>
      <c r="W1253" s="42" t="s">
        <v>1393</v>
      </c>
      <c r="X1253" s="42" t="s">
        <v>1421</v>
      </c>
      <c r="Y1253" s="24">
        <v>1.5</v>
      </c>
      <c r="Z1253" s="321"/>
      <c r="AA1253" s="321"/>
      <c r="AB1253" s="24" t="s">
        <v>451</v>
      </c>
      <c r="AF1253" s="24" t="s">
        <v>1351</v>
      </c>
      <c r="AG1253" s="24" t="s">
        <v>132</v>
      </c>
      <c r="AH1253" s="138" t="s">
        <v>132</v>
      </c>
      <c r="AI1253" s="24" t="s">
        <v>133</v>
      </c>
      <c r="AJ1253" s="140" t="s">
        <v>133</v>
      </c>
      <c r="AN1253" s="24" t="s">
        <v>157</v>
      </c>
      <c r="AO1253" s="24" t="s">
        <v>157</v>
      </c>
      <c r="AP1253" s="24" t="s">
        <v>178</v>
      </c>
      <c r="AQ1253" s="24" t="s">
        <v>893</v>
      </c>
      <c r="AR1253" s="24" t="s">
        <v>893</v>
      </c>
      <c r="AS1253" s="24" t="s">
        <v>178</v>
      </c>
      <c r="AT1253" s="24" t="s">
        <v>120</v>
      </c>
      <c r="AU1253" s="24">
        <v>4</v>
      </c>
      <c r="AW1253" s="24" t="s">
        <v>336</v>
      </c>
      <c r="AY1253" s="24">
        <v>1793</v>
      </c>
      <c r="AZ1253" s="24">
        <v>69.227799227799238</v>
      </c>
      <c r="BM1253" s="395"/>
      <c r="BN1253" s="395"/>
      <c r="BR1253" s="395"/>
      <c r="BS1253" s="395"/>
      <c r="EO1253" s="24">
        <v>27.32</v>
      </c>
      <c r="EP1253" s="24">
        <v>1.46</v>
      </c>
      <c r="ES1253" s="24" t="s">
        <v>895</v>
      </c>
    </row>
    <row r="1254" spans="1:149" s="24" customFormat="1" x14ac:dyDescent="0.25">
      <c r="A1254" s="24">
        <v>59</v>
      </c>
      <c r="B1254" s="24" t="s">
        <v>863</v>
      </c>
      <c r="C1254" s="24" t="s">
        <v>864</v>
      </c>
      <c r="D1254" s="24">
        <v>1997</v>
      </c>
      <c r="E1254" s="24">
        <v>1991</v>
      </c>
      <c r="F1254" s="24" t="s">
        <v>865</v>
      </c>
      <c r="G1254" s="24" t="s">
        <v>891</v>
      </c>
      <c r="H1254" s="32" t="s">
        <v>2831</v>
      </c>
      <c r="I1254" s="24">
        <v>38.92</v>
      </c>
      <c r="J1254" s="24">
        <v>-76.150000000000006</v>
      </c>
      <c r="K1254" s="24">
        <v>5</v>
      </c>
      <c r="N1254" s="24">
        <v>997</v>
      </c>
      <c r="Q1254" s="42">
        <v>5</v>
      </c>
      <c r="R1254" s="42" t="s">
        <v>1869</v>
      </c>
      <c r="S1254" s="42" t="s">
        <v>866</v>
      </c>
      <c r="T1254" s="42" t="s">
        <v>1992</v>
      </c>
      <c r="U1254" s="42" t="s">
        <v>1393</v>
      </c>
      <c r="V1254" s="42" t="s">
        <v>1727</v>
      </c>
      <c r="W1254" s="42" t="s">
        <v>1393</v>
      </c>
      <c r="X1254" s="42" t="s">
        <v>1421</v>
      </c>
      <c r="Y1254" s="24">
        <v>1.5</v>
      </c>
      <c r="Z1254" s="321"/>
      <c r="AA1254" s="321"/>
      <c r="AB1254" s="24" t="s">
        <v>451</v>
      </c>
      <c r="AF1254" s="24" t="s">
        <v>1351</v>
      </c>
      <c r="AG1254" s="24" t="s">
        <v>132</v>
      </c>
      <c r="AH1254" s="138" t="s">
        <v>132</v>
      </c>
      <c r="AI1254" s="24" t="s">
        <v>133</v>
      </c>
      <c r="AJ1254" s="140" t="s">
        <v>133</v>
      </c>
      <c r="AN1254" s="24" t="s">
        <v>157</v>
      </c>
      <c r="AO1254" s="24" t="s">
        <v>157</v>
      </c>
      <c r="AP1254" s="24" t="s">
        <v>178</v>
      </c>
      <c r="AQ1254" s="24" t="s">
        <v>893</v>
      </c>
      <c r="AR1254" s="24" t="s">
        <v>893</v>
      </c>
      <c r="AS1254" s="24" t="s">
        <v>178</v>
      </c>
      <c r="AT1254" s="24" t="s">
        <v>120</v>
      </c>
      <c r="AU1254" s="24">
        <v>4</v>
      </c>
      <c r="AW1254" s="24" t="s">
        <v>336</v>
      </c>
      <c r="AY1254" s="24">
        <v>1793</v>
      </c>
      <c r="AZ1254" s="24">
        <v>69.227799227799238</v>
      </c>
      <c r="BM1254" s="395"/>
      <c r="BN1254" s="395"/>
      <c r="BR1254" s="395"/>
      <c r="BS1254" s="395"/>
      <c r="EO1254" s="24">
        <v>20.79</v>
      </c>
      <c r="EP1254" s="24">
        <v>0.73</v>
      </c>
      <c r="ES1254" s="24" t="s">
        <v>895</v>
      </c>
    </row>
    <row r="1255" spans="1:149" s="24" customFormat="1" x14ac:dyDescent="0.25">
      <c r="A1255" s="24">
        <v>59</v>
      </c>
      <c r="B1255" s="24" t="s">
        <v>863</v>
      </c>
      <c r="C1255" s="24" t="s">
        <v>864</v>
      </c>
      <c r="D1255" s="24">
        <v>1997</v>
      </c>
      <c r="E1255" s="24">
        <v>1991</v>
      </c>
      <c r="F1255" s="24" t="s">
        <v>865</v>
      </c>
      <c r="G1255" s="24" t="s">
        <v>891</v>
      </c>
      <c r="H1255" s="32" t="s">
        <v>2831</v>
      </c>
      <c r="I1255" s="24">
        <v>38.92</v>
      </c>
      <c r="J1255" s="24">
        <v>-76.150000000000006</v>
      </c>
      <c r="K1255" s="24">
        <v>5</v>
      </c>
      <c r="N1255" s="24">
        <v>997</v>
      </c>
      <c r="Q1255" s="42">
        <v>5</v>
      </c>
      <c r="R1255" s="42" t="s">
        <v>1869</v>
      </c>
      <c r="S1255" s="42" t="s">
        <v>866</v>
      </c>
      <c r="T1255" s="42" t="s">
        <v>1992</v>
      </c>
      <c r="U1255" s="42" t="s">
        <v>1393</v>
      </c>
      <c r="V1255" s="42" t="s">
        <v>1727</v>
      </c>
      <c r="W1255" s="42" t="s">
        <v>1393</v>
      </c>
      <c r="X1255" s="42" t="s">
        <v>1421</v>
      </c>
      <c r="Y1255" s="24">
        <v>1.5</v>
      </c>
      <c r="Z1255" s="321"/>
      <c r="AA1255" s="321"/>
      <c r="AB1255" s="24" t="s">
        <v>451</v>
      </c>
      <c r="AF1255" s="24" t="s">
        <v>1351</v>
      </c>
      <c r="AG1255" s="24" t="s">
        <v>132</v>
      </c>
      <c r="AH1255" s="138" t="s">
        <v>132</v>
      </c>
      <c r="AI1255" s="24" t="s">
        <v>133</v>
      </c>
      <c r="AJ1255" s="140" t="s">
        <v>133</v>
      </c>
      <c r="AN1255" s="24" t="s">
        <v>157</v>
      </c>
      <c r="AO1255" s="24" t="s">
        <v>157</v>
      </c>
      <c r="AP1255" s="24" t="s">
        <v>178</v>
      </c>
      <c r="AQ1255" s="24" t="s">
        <v>893</v>
      </c>
      <c r="AR1255" s="24" t="s">
        <v>893</v>
      </c>
      <c r="AS1255" s="24" t="s">
        <v>178</v>
      </c>
      <c r="AT1255" s="24" t="s">
        <v>120</v>
      </c>
      <c r="AU1255" s="24">
        <v>4</v>
      </c>
      <c r="AW1255" s="24" t="s">
        <v>336</v>
      </c>
      <c r="AY1255" s="24">
        <v>1793</v>
      </c>
      <c r="AZ1255" s="24">
        <v>69.227799227799238</v>
      </c>
      <c r="BM1255" s="395"/>
      <c r="BN1255" s="395"/>
      <c r="BR1255" s="395"/>
      <c r="BS1255" s="395"/>
      <c r="EO1255" s="24">
        <v>26.89</v>
      </c>
      <c r="EP1255" s="24">
        <v>0.2</v>
      </c>
      <c r="ES1255" s="24" t="s">
        <v>895</v>
      </c>
    </row>
    <row r="1256" spans="1:149" s="24" customFormat="1" x14ac:dyDescent="0.25">
      <c r="A1256" s="24">
        <v>59</v>
      </c>
      <c r="B1256" s="24" t="s">
        <v>863</v>
      </c>
      <c r="C1256" s="24" t="s">
        <v>864</v>
      </c>
      <c r="D1256" s="24">
        <v>1997</v>
      </c>
      <c r="E1256" s="24">
        <v>1991</v>
      </c>
      <c r="F1256" s="24" t="s">
        <v>865</v>
      </c>
      <c r="G1256" s="24" t="s">
        <v>891</v>
      </c>
      <c r="H1256" s="32" t="s">
        <v>2831</v>
      </c>
      <c r="I1256" s="24">
        <v>38.92</v>
      </c>
      <c r="J1256" s="24">
        <v>-76.150000000000006</v>
      </c>
      <c r="K1256" s="24">
        <v>5</v>
      </c>
      <c r="N1256" s="24">
        <v>997</v>
      </c>
      <c r="Q1256" s="42">
        <v>5</v>
      </c>
      <c r="R1256" s="42" t="s">
        <v>1869</v>
      </c>
      <c r="S1256" s="42" t="s">
        <v>866</v>
      </c>
      <c r="T1256" s="42" t="s">
        <v>1992</v>
      </c>
      <c r="U1256" s="42" t="s">
        <v>1393</v>
      </c>
      <c r="V1256" s="42" t="s">
        <v>1727</v>
      </c>
      <c r="W1256" s="42" t="s">
        <v>1393</v>
      </c>
      <c r="X1256" s="42" t="s">
        <v>1421</v>
      </c>
      <c r="Y1256" s="24">
        <v>1.5</v>
      </c>
      <c r="Z1256" s="321"/>
      <c r="AA1256" s="321"/>
      <c r="AB1256" s="24" t="s">
        <v>451</v>
      </c>
      <c r="AF1256" s="24" t="s">
        <v>1351</v>
      </c>
      <c r="AG1256" s="24" t="s">
        <v>132</v>
      </c>
      <c r="AH1256" s="138" t="s">
        <v>132</v>
      </c>
      <c r="AI1256" s="24" t="s">
        <v>133</v>
      </c>
      <c r="AJ1256" s="140" t="s">
        <v>133</v>
      </c>
      <c r="AN1256" s="24" t="s">
        <v>157</v>
      </c>
      <c r="AO1256" s="24" t="s">
        <v>157</v>
      </c>
      <c r="AP1256" s="24" t="s">
        <v>178</v>
      </c>
      <c r="AQ1256" s="24" t="s">
        <v>893</v>
      </c>
      <c r="AR1256" s="24" t="s">
        <v>893</v>
      </c>
      <c r="AS1256" s="24" t="s">
        <v>178</v>
      </c>
      <c r="AT1256" s="24" t="s">
        <v>120</v>
      </c>
      <c r="AU1256" s="24">
        <v>4</v>
      </c>
      <c r="AW1256" s="24" t="s">
        <v>336</v>
      </c>
      <c r="AY1256" s="24">
        <v>1793</v>
      </c>
      <c r="AZ1256" s="24">
        <v>69.227799227799238</v>
      </c>
      <c r="BM1256" s="395"/>
      <c r="BN1256" s="395"/>
      <c r="BR1256" s="395"/>
      <c r="BS1256" s="395"/>
      <c r="EO1256" s="24">
        <v>27.33</v>
      </c>
      <c r="EP1256" s="24">
        <v>1.7000000000000001E-2</v>
      </c>
      <c r="ES1256" s="24" t="s">
        <v>895</v>
      </c>
    </row>
    <row r="1257" spans="1:149" s="24" customFormat="1" x14ac:dyDescent="0.25">
      <c r="A1257" s="24">
        <v>59</v>
      </c>
      <c r="B1257" s="24" t="s">
        <v>863</v>
      </c>
      <c r="C1257" s="24" t="s">
        <v>864</v>
      </c>
      <c r="D1257" s="24">
        <v>1997</v>
      </c>
      <c r="E1257" s="24">
        <v>1991</v>
      </c>
      <c r="F1257" s="24" t="s">
        <v>865</v>
      </c>
      <c r="G1257" s="24" t="s">
        <v>891</v>
      </c>
      <c r="H1257" s="32" t="s">
        <v>2831</v>
      </c>
      <c r="I1257" s="24">
        <v>38.92</v>
      </c>
      <c r="J1257" s="24">
        <v>-76.150000000000006</v>
      </c>
      <c r="K1257" s="24">
        <v>5</v>
      </c>
      <c r="N1257" s="24">
        <v>997</v>
      </c>
      <c r="Q1257" s="42">
        <v>5</v>
      </c>
      <c r="R1257" s="42" t="s">
        <v>1869</v>
      </c>
      <c r="S1257" s="42" t="s">
        <v>866</v>
      </c>
      <c r="T1257" s="42" t="s">
        <v>1992</v>
      </c>
      <c r="U1257" s="42" t="s">
        <v>1393</v>
      </c>
      <c r="V1257" s="42" t="s">
        <v>1727</v>
      </c>
      <c r="W1257" s="42" t="s">
        <v>1393</v>
      </c>
      <c r="X1257" s="42" t="s">
        <v>1421</v>
      </c>
      <c r="Y1257" s="24">
        <v>1.5</v>
      </c>
      <c r="Z1257" s="321"/>
      <c r="AA1257" s="321"/>
      <c r="AB1257" s="24" t="s">
        <v>451</v>
      </c>
      <c r="AF1257" s="24" t="s">
        <v>1351</v>
      </c>
      <c r="AG1257" s="24" t="s">
        <v>132</v>
      </c>
      <c r="AH1257" s="138" t="s">
        <v>132</v>
      </c>
      <c r="AI1257" s="24" t="s">
        <v>133</v>
      </c>
      <c r="AJ1257" s="140" t="s">
        <v>133</v>
      </c>
      <c r="AN1257" s="24" t="s">
        <v>157</v>
      </c>
      <c r="AO1257" s="24" t="s">
        <v>157</v>
      </c>
      <c r="AP1257" s="24" t="s">
        <v>178</v>
      </c>
      <c r="AQ1257" s="24" t="s">
        <v>893</v>
      </c>
      <c r="AR1257" s="24" t="s">
        <v>893</v>
      </c>
      <c r="AS1257" s="24" t="s">
        <v>178</v>
      </c>
      <c r="AT1257" s="24" t="s">
        <v>120</v>
      </c>
      <c r="AU1257" s="24">
        <v>4</v>
      </c>
      <c r="AW1257" s="24" t="s">
        <v>336</v>
      </c>
      <c r="AY1257" s="24">
        <v>1793</v>
      </c>
      <c r="AZ1257" s="24">
        <v>69.227799227799238</v>
      </c>
      <c r="BM1257" s="395"/>
      <c r="BN1257" s="395"/>
      <c r="BR1257" s="395"/>
      <c r="BS1257" s="395"/>
      <c r="EO1257" s="24">
        <v>25.1</v>
      </c>
      <c r="EP1257" s="24">
        <v>1.7000000000000001E-2</v>
      </c>
      <c r="ES1257" s="24" t="s">
        <v>895</v>
      </c>
    </row>
    <row r="1258" spans="1:149" s="24" customFormat="1" x14ac:dyDescent="0.25">
      <c r="A1258" s="24">
        <v>59</v>
      </c>
      <c r="B1258" s="24" t="s">
        <v>863</v>
      </c>
      <c r="C1258" s="24" t="s">
        <v>864</v>
      </c>
      <c r="D1258" s="24">
        <v>1997</v>
      </c>
      <c r="E1258" s="24">
        <v>1991</v>
      </c>
      <c r="F1258" s="24" t="s">
        <v>865</v>
      </c>
      <c r="G1258" s="24" t="s">
        <v>891</v>
      </c>
      <c r="H1258" s="32" t="s">
        <v>2831</v>
      </c>
      <c r="I1258" s="24">
        <v>38.92</v>
      </c>
      <c r="J1258" s="24">
        <v>-76.150000000000006</v>
      </c>
      <c r="K1258" s="24">
        <v>5</v>
      </c>
      <c r="N1258" s="24">
        <v>997</v>
      </c>
      <c r="Q1258" s="42">
        <v>5</v>
      </c>
      <c r="R1258" s="42" t="s">
        <v>1869</v>
      </c>
      <c r="S1258" s="42" t="s">
        <v>866</v>
      </c>
      <c r="T1258" s="42" t="s">
        <v>1992</v>
      </c>
      <c r="U1258" s="42" t="s">
        <v>1393</v>
      </c>
      <c r="V1258" s="42" t="s">
        <v>1727</v>
      </c>
      <c r="W1258" s="42" t="s">
        <v>1393</v>
      </c>
      <c r="X1258" s="42" t="s">
        <v>1421</v>
      </c>
      <c r="Y1258" s="24">
        <v>1.5</v>
      </c>
      <c r="Z1258" s="321"/>
      <c r="AA1258" s="321"/>
      <c r="AB1258" s="24" t="s">
        <v>451</v>
      </c>
      <c r="AF1258" s="24" t="s">
        <v>1351</v>
      </c>
      <c r="AG1258" s="24" t="s">
        <v>132</v>
      </c>
      <c r="AH1258" s="138" t="s">
        <v>132</v>
      </c>
      <c r="AI1258" s="24" t="s">
        <v>133</v>
      </c>
      <c r="AJ1258" s="140" t="s">
        <v>133</v>
      </c>
      <c r="AN1258" s="24" t="s">
        <v>157</v>
      </c>
      <c r="AO1258" s="24" t="s">
        <v>157</v>
      </c>
      <c r="AP1258" s="24" t="s">
        <v>178</v>
      </c>
      <c r="AQ1258" s="24" t="s">
        <v>893</v>
      </c>
      <c r="AR1258" s="24" t="s">
        <v>893</v>
      </c>
      <c r="AS1258" s="24" t="s">
        <v>178</v>
      </c>
      <c r="AT1258" s="24" t="s">
        <v>120</v>
      </c>
      <c r="AU1258" s="24">
        <v>4</v>
      </c>
      <c r="AW1258" s="24" t="s">
        <v>336</v>
      </c>
      <c r="AY1258" s="24">
        <v>1793</v>
      </c>
      <c r="AZ1258" s="24">
        <v>69.227799227799238</v>
      </c>
      <c r="BM1258" s="395"/>
      <c r="BN1258" s="395"/>
      <c r="BR1258" s="395"/>
      <c r="BS1258" s="395"/>
      <c r="EO1258" s="24">
        <v>25.78</v>
      </c>
      <c r="EP1258" s="24">
        <v>1.4999999999999999E-2</v>
      </c>
      <c r="ES1258" s="24" t="s">
        <v>895</v>
      </c>
    </row>
    <row r="1259" spans="1:149" s="24" customFormat="1" x14ac:dyDescent="0.25">
      <c r="A1259" s="24">
        <v>59</v>
      </c>
      <c r="B1259" s="24" t="s">
        <v>863</v>
      </c>
      <c r="C1259" s="24" t="s">
        <v>864</v>
      </c>
      <c r="D1259" s="24">
        <v>1997</v>
      </c>
      <c r="E1259" s="24">
        <v>1991</v>
      </c>
      <c r="F1259" s="24" t="s">
        <v>865</v>
      </c>
      <c r="G1259" s="24" t="s">
        <v>891</v>
      </c>
      <c r="H1259" s="32" t="s">
        <v>2831</v>
      </c>
      <c r="I1259" s="24">
        <v>38.92</v>
      </c>
      <c r="J1259" s="24">
        <v>-76.150000000000006</v>
      </c>
      <c r="K1259" s="24">
        <v>5</v>
      </c>
      <c r="N1259" s="24">
        <v>997</v>
      </c>
      <c r="Q1259" s="42">
        <v>5</v>
      </c>
      <c r="R1259" s="42" t="s">
        <v>1869</v>
      </c>
      <c r="S1259" s="42" t="s">
        <v>866</v>
      </c>
      <c r="T1259" s="42" t="s">
        <v>1992</v>
      </c>
      <c r="U1259" s="42" t="s">
        <v>1393</v>
      </c>
      <c r="V1259" s="42" t="s">
        <v>1727</v>
      </c>
      <c r="W1259" s="42" t="s">
        <v>1393</v>
      </c>
      <c r="X1259" s="42" t="s">
        <v>1421</v>
      </c>
      <c r="Y1259" s="24">
        <v>1.5</v>
      </c>
      <c r="Z1259" s="321"/>
      <c r="AA1259" s="321"/>
      <c r="AB1259" s="24" t="s">
        <v>451</v>
      </c>
      <c r="AF1259" s="24" t="s">
        <v>1351</v>
      </c>
      <c r="AG1259" s="24" t="s">
        <v>132</v>
      </c>
      <c r="AH1259" s="138" t="s">
        <v>132</v>
      </c>
      <c r="AI1259" s="24" t="s">
        <v>133</v>
      </c>
      <c r="AJ1259" s="140" t="s">
        <v>133</v>
      </c>
      <c r="AN1259" s="24" t="s">
        <v>157</v>
      </c>
      <c r="AO1259" s="24" t="s">
        <v>157</v>
      </c>
      <c r="AP1259" s="24" t="s">
        <v>178</v>
      </c>
      <c r="AQ1259" s="24" t="s">
        <v>893</v>
      </c>
      <c r="AR1259" s="24" t="s">
        <v>893</v>
      </c>
      <c r="AS1259" s="24" t="s">
        <v>178</v>
      </c>
      <c r="AT1259" s="24" t="s">
        <v>120</v>
      </c>
      <c r="AU1259" s="24">
        <v>4</v>
      </c>
      <c r="AW1259" s="24" t="s">
        <v>336</v>
      </c>
      <c r="AY1259" s="24">
        <v>1793</v>
      </c>
      <c r="AZ1259" s="24">
        <v>69.227799227799238</v>
      </c>
      <c r="BM1259" s="395"/>
      <c r="BN1259" s="395"/>
      <c r="BR1259" s="395"/>
      <c r="BS1259" s="395"/>
      <c r="EO1259" s="24">
        <v>26.7</v>
      </c>
      <c r="EP1259" s="24">
        <v>0.02</v>
      </c>
      <c r="ES1259" s="24" t="s">
        <v>895</v>
      </c>
    </row>
    <row r="1260" spans="1:149" s="24" customFormat="1" x14ac:dyDescent="0.25">
      <c r="A1260" s="24">
        <v>59</v>
      </c>
      <c r="B1260" s="24" t="s">
        <v>863</v>
      </c>
      <c r="C1260" s="24" t="s">
        <v>864</v>
      </c>
      <c r="D1260" s="24">
        <v>1997</v>
      </c>
      <c r="E1260" s="24">
        <v>1991</v>
      </c>
      <c r="F1260" s="24" t="s">
        <v>865</v>
      </c>
      <c r="G1260" s="24" t="s">
        <v>891</v>
      </c>
      <c r="H1260" s="32" t="s">
        <v>2831</v>
      </c>
      <c r="I1260" s="24">
        <v>38.92</v>
      </c>
      <c r="J1260" s="24">
        <v>-76.150000000000006</v>
      </c>
      <c r="K1260" s="24">
        <v>5</v>
      </c>
      <c r="N1260" s="24">
        <v>997</v>
      </c>
      <c r="Q1260" s="42">
        <v>5</v>
      </c>
      <c r="R1260" s="42" t="s">
        <v>1869</v>
      </c>
      <c r="S1260" s="42" t="s">
        <v>866</v>
      </c>
      <c r="T1260" s="42" t="s">
        <v>1992</v>
      </c>
      <c r="U1260" s="42" t="s">
        <v>1393</v>
      </c>
      <c r="V1260" s="42" t="s">
        <v>1727</v>
      </c>
      <c r="W1260" s="42" t="s">
        <v>1393</v>
      </c>
      <c r="X1260" s="42" t="s">
        <v>1421</v>
      </c>
      <c r="Y1260" s="24">
        <v>1.5</v>
      </c>
      <c r="Z1260" s="321"/>
      <c r="AA1260" s="321"/>
      <c r="AB1260" s="24" t="s">
        <v>451</v>
      </c>
      <c r="AF1260" s="24" t="s">
        <v>1351</v>
      </c>
      <c r="AG1260" s="24" t="s">
        <v>132</v>
      </c>
      <c r="AH1260" s="138" t="s">
        <v>132</v>
      </c>
      <c r="AI1260" s="24" t="s">
        <v>133</v>
      </c>
      <c r="AJ1260" s="140" t="s">
        <v>133</v>
      </c>
      <c r="AN1260" s="24" t="s">
        <v>157</v>
      </c>
      <c r="AO1260" s="24" t="s">
        <v>157</v>
      </c>
      <c r="AP1260" s="24" t="s">
        <v>178</v>
      </c>
      <c r="AQ1260" s="24" t="s">
        <v>893</v>
      </c>
      <c r="AR1260" s="24" t="s">
        <v>893</v>
      </c>
      <c r="AS1260" s="24" t="s">
        <v>178</v>
      </c>
      <c r="AT1260" s="24" t="s">
        <v>120</v>
      </c>
      <c r="AU1260" s="24">
        <v>4</v>
      </c>
      <c r="AW1260" s="24" t="s">
        <v>336</v>
      </c>
      <c r="AY1260" s="24">
        <v>1793</v>
      </c>
      <c r="AZ1260" s="24">
        <v>69.227799227799238</v>
      </c>
      <c r="BM1260" s="395"/>
      <c r="BN1260" s="395"/>
      <c r="BR1260" s="395"/>
      <c r="BS1260" s="395"/>
      <c r="EO1260" s="24">
        <v>20.8</v>
      </c>
      <c r="EP1260" s="24">
        <v>1.33</v>
      </c>
      <c r="ES1260" s="24" t="s">
        <v>895</v>
      </c>
    </row>
    <row r="1261" spans="1:149" s="87" customFormat="1" x14ac:dyDescent="0.25">
      <c r="A1261" s="87">
        <v>59</v>
      </c>
      <c r="B1261" s="87" t="s">
        <v>863</v>
      </c>
      <c r="C1261" s="87" t="s">
        <v>864</v>
      </c>
      <c r="D1261" s="87">
        <v>1997</v>
      </c>
      <c r="E1261" s="87">
        <v>1992</v>
      </c>
      <c r="F1261" s="87" t="s">
        <v>865</v>
      </c>
      <c r="G1261" s="87" t="s">
        <v>891</v>
      </c>
      <c r="H1261" s="32" t="s">
        <v>2831</v>
      </c>
      <c r="I1261" s="87">
        <v>38.92</v>
      </c>
      <c r="J1261" s="87">
        <v>-76.150000000000006</v>
      </c>
      <c r="K1261" s="87">
        <v>5</v>
      </c>
      <c r="N1261" s="87">
        <v>866</v>
      </c>
      <c r="Q1261" s="88">
        <v>6</v>
      </c>
      <c r="R1261" s="88" t="s">
        <v>1869</v>
      </c>
      <c r="S1261" s="88" t="s">
        <v>866</v>
      </c>
      <c r="T1261" s="88" t="s">
        <v>1992</v>
      </c>
      <c r="U1261" s="88" t="s">
        <v>1393</v>
      </c>
      <c r="V1261" s="88" t="s">
        <v>1727</v>
      </c>
      <c r="W1261" s="88" t="s">
        <v>1393</v>
      </c>
      <c r="X1261" s="88" t="s">
        <v>1421</v>
      </c>
      <c r="Y1261" s="87">
        <v>1.5</v>
      </c>
      <c r="Z1261" s="345"/>
      <c r="AA1261" s="345"/>
      <c r="AB1261" s="87" t="s">
        <v>451</v>
      </c>
      <c r="AF1261" s="87" t="s">
        <v>1351</v>
      </c>
      <c r="AG1261" s="87" t="s">
        <v>132</v>
      </c>
      <c r="AH1261" s="138" t="s">
        <v>132</v>
      </c>
      <c r="AI1261" s="87" t="s">
        <v>133</v>
      </c>
      <c r="AJ1261" s="140" t="s">
        <v>133</v>
      </c>
      <c r="AN1261" s="87" t="s">
        <v>157</v>
      </c>
      <c r="AO1261" s="87" t="s">
        <v>157</v>
      </c>
      <c r="AP1261" s="87" t="s">
        <v>178</v>
      </c>
      <c r="AQ1261" s="87" t="s">
        <v>893</v>
      </c>
      <c r="AR1261" s="87" t="s">
        <v>893</v>
      </c>
      <c r="AS1261" s="87" t="s">
        <v>178</v>
      </c>
      <c r="AT1261" s="87" t="s">
        <v>120</v>
      </c>
      <c r="AU1261" s="87">
        <v>4</v>
      </c>
      <c r="AW1261" s="87" t="s">
        <v>336</v>
      </c>
      <c r="AY1261" s="87">
        <v>2053</v>
      </c>
      <c r="AZ1261" s="87">
        <v>50.691358024691361</v>
      </c>
      <c r="BM1261" s="420"/>
      <c r="BN1261" s="420"/>
      <c r="BR1261" s="420"/>
      <c r="BS1261" s="420"/>
      <c r="EO1261" s="87">
        <v>5.91</v>
      </c>
      <c r="EP1261" s="87">
        <v>3.68</v>
      </c>
      <c r="ES1261" s="87" t="s">
        <v>895</v>
      </c>
    </row>
    <row r="1262" spans="1:149" s="87" customFormat="1" x14ac:dyDescent="0.25">
      <c r="A1262" s="87">
        <v>59</v>
      </c>
      <c r="B1262" s="87" t="s">
        <v>863</v>
      </c>
      <c r="C1262" s="87" t="s">
        <v>864</v>
      </c>
      <c r="D1262" s="87">
        <v>1997</v>
      </c>
      <c r="E1262" s="87">
        <v>1992</v>
      </c>
      <c r="F1262" s="87" t="s">
        <v>865</v>
      </c>
      <c r="G1262" s="87" t="s">
        <v>891</v>
      </c>
      <c r="H1262" s="32" t="s">
        <v>2831</v>
      </c>
      <c r="I1262" s="87">
        <v>38.92</v>
      </c>
      <c r="J1262" s="87">
        <v>-76.150000000000006</v>
      </c>
      <c r="K1262" s="87">
        <v>5</v>
      </c>
      <c r="N1262" s="87">
        <v>866</v>
      </c>
      <c r="Q1262" s="88">
        <v>6</v>
      </c>
      <c r="R1262" s="88" t="s">
        <v>1869</v>
      </c>
      <c r="S1262" s="88" t="s">
        <v>866</v>
      </c>
      <c r="T1262" s="88" t="s">
        <v>1992</v>
      </c>
      <c r="U1262" s="88" t="s">
        <v>1393</v>
      </c>
      <c r="V1262" s="88" t="s">
        <v>1727</v>
      </c>
      <c r="W1262" s="88" t="s">
        <v>1393</v>
      </c>
      <c r="X1262" s="88" t="s">
        <v>1421</v>
      </c>
      <c r="Y1262" s="87">
        <v>1.5</v>
      </c>
      <c r="Z1262" s="345"/>
      <c r="AA1262" s="345"/>
      <c r="AB1262" s="87" t="s">
        <v>451</v>
      </c>
      <c r="AF1262" s="87" t="s">
        <v>1351</v>
      </c>
      <c r="AG1262" s="87" t="s">
        <v>132</v>
      </c>
      <c r="AH1262" s="138" t="s">
        <v>132</v>
      </c>
      <c r="AI1262" s="87" t="s">
        <v>133</v>
      </c>
      <c r="AJ1262" s="140" t="s">
        <v>133</v>
      </c>
      <c r="AN1262" s="87" t="s">
        <v>157</v>
      </c>
      <c r="AO1262" s="87" t="s">
        <v>157</v>
      </c>
      <c r="AP1262" s="87" t="s">
        <v>178</v>
      </c>
      <c r="AQ1262" s="87" t="s">
        <v>893</v>
      </c>
      <c r="AR1262" s="87" t="s">
        <v>893</v>
      </c>
      <c r="AS1262" s="87" t="s">
        <v>178</v>
      </c>
      <c r="AT1262" s="87" t="s">
        <v>120</v>
      </c>
      <c r="AU1262" s="87">
        <v>4</v>
      </c>
      <c r="AW1262" s="87" t="s">
        <v>336</v>
      </c>
      <c r="AY1262" s="87">
        <v>2053</v>
      </c>
      <c r="AZ1262" s="87">
        <v>50.691358024691361</v>
      </c>
      <c r="BM1262" s="420"/>
      <c r="BN1262" s="420"/>
      <c r="BR1262" s="420"/>
      <c r="BS1262" s="420"/>
      <c r="EO1262" s="87">
        <v>16.62</v>
      </c>
      <c r="EP1262" s="87">
        <v>0.35</v>
      </c>
      <c r="ES1262" s="87" t="s">
        <v>895</v>
      </c>
    </row>
    <row r="1263" spans="1:149" s="87" customFormat="1" x14ac:dyDescent="0.25">
      <c r="A1263" s="87">
        <v>59</v>
      </c>
      <c r="B1263" s="87" t="s">
        <v>863</v>
      </c>
      <c r="C1263" s="87" t="s">
        <v>864</v>
      </c>
      <c r="D1263" s="87">
        <v>1997</v>
      </c>
      <c r="E1263" s="87">
        <v>1992</v>
      </c>
      <c r="F1263" s="87" t="s">
        <v>865</v>
      </c>
      <c r="G1263" s="87" t="s">
        <v>891</v>
      </c>
      <c r="H1263" s="32" t="s">
        <v>2831</v>
      </c>
      <c r="I1263" s="87">
        <v>38.92</v>
      </c>
      <c r="J1263" s="87">
        <v>-76.150000000000006</v>
      </c>
      <c r="K1263" s="87">
        <v>5</v>
      </c>
      <c r="N1263" s="87">
        <v>866</v>
      </c>
      <c r="Q1263" s="88">
        <v>6</v>
      </c>
      <c r="R1263" s="88" t="s">
        <v>1869</v>
      </c>
      <c r="S1263" s="88" t="s">
        <v>866</v>
      </c>
      <c r="T1263" s="88" t="s">
        <v>1992</v>
      </c>
      <c r="U1263" s="88" t="s">
        <v>1393</v>
      </c>
      <c r="V1263" s="88" t="s">
        <v>1727</v>
      </c>
      <c r="W1263" s="88" t="s">
        <v>1393</v>
      </c>
      <c r="X1263" s="88" t="s">
        <v>1421</v>
      </c>
      <c r="Y1263" s="87">
        <v>1.5</v>
      </c>
      <c r="Z1263" s="345"/>
      <c r="AA1263" s="345"/>
      <c r="AB1263" s="87" t="s">
        <v>451</v>
      </c>
      <c r="AF1263" s="87" t="s">
        <v>1351</v>
      </c>
      <c r="AG1263" s="87" t="s">
        <v>132</v>
      </c>
      <c r="AH1263" s="138" t="s">
        <v>132</v>
      </c>
      <c r="AI1263" s="87" t="s">
        <v>133</v>
      </c>
      <c r="AJ1263" s="140" t="s">
        <v>133</v>
      </c>
      <c r="AN1263" s="87" t="s">
        <v>157</v>
      </c>
      <c r="AO1263" s="87" t="s">
        <v>157</v>
      </c>
      <c r="AP1263" s="87" t="s">
        <v>178</v>
      </c>
      <c r="AQ1263" s="87" t="s">
        <v>893</v>
      </c>
      <c r="AR1263" s="87" t="s">
        <v>893</v>
      </c>
      <c r="AS1263" s="87" t="s">
        <v>178</v>
      </c>
      <c r="AT1263" s="87" t="s">
        <v>120</v>
      </c>
      <c r="AU1263" s="87">
        <v>4</v>
      </c>
      <c r="AW1263" s="87" t="s">
        <v>336</v>
      </c>
      <c r="AY1263" s="87">
        <v>2053</v>
      </c>
      <c r="AZ1263" s="87">
        <v>50.691358024691361</v>
      </c>
      <c r="BM1263" s="420"/>
      <c r="BN1263" s="420"/>
      <c r="BR1263" s="420"/>
      <c r="BS1263" s="420"/>
      <c r="EO1263" s="87">
        <v>15.7</v>
      </c>
      <c r="EP1263" s="87">
        <v>0.1</v>
      </c>
      <c r="ES1263" s="87" t="s">
        <v>895</v>
      </c>
    </row>
    <row r="1264" spans="1:149" s="87" customFormat="1" x14ac:dyDescent="0.25">
      <c r="A1264" s="87">
        <v>59</v>
      </c>
      <c r="B1264" s="87" t="s">
        <v>863</v>
      </c>
      <c r="C1264" s="87" t="s">
        <v>864</v>
      </c>
      <c r="D1264" s="87">
        <v>1997</v>
      </c>
      <c r="E1264" s="87">
        <v>1992</v>
      </c>
      <c r="F1264" s="87" t="s">
        <v>865</v>
      </c>
      <c r="G1264" s="87" t="s">
        <v>891</v>
      </c>
      <c r="H1264" s="32" t="s">
        <v>2831</v>
      </c>
      <c r="I1264" s="87">
        <v>38.92</v>
      </c>
      <c r="J1264" s="87">
        <v>-76.150000000000006</v>
      </c>
      <c r="K1264" s="87">
        <v>5</v>
      </c>
      <c r="N1264" s="87">
        <v>866</v>
      </c>
      <c r="Q1264" s="88">
        <v>6</v>
      </c>
      <c r="R1264" s="88" t="s">
        <v>1869</v>
      </c>
      <c r="S1264" s="88" t="s">
        <v>866</v>
      </c>
      <c r="T1264" s="88" t="s">
        <v>1992</v>
      </c>
      <c r="U1264" s="88" t="s">
        <v>1393</v>
      </c>
      <c r="V1264" s="88" t="s">
        <v>1727</v>
      </c>
      <c r="W1264" s="88" t="s">
        <v>1393</v>
      </c>
      <c r="X1264" s="88" t="s">
        <v>1421</v>
      </c>
      <c r="Y1264" s="87">
        <v>1.5</v>
      </c>
      <c r="Z1264" s="345"/>
      <c r="AA1264" s="345"/>
      <c r="AB1264" s="87" t="s">
        <v>451</v>
      </c>
      <c r="AF1264" s="87" t="s">
        <v>1351</v>
      </c>
      <c r="AG1264" s="87" t="s">
        <v>132</v>
      </c>
      <c r="AH1264" s="138" t="s">
        <v>132</v>
      </c>
      <c r="AI1264" s="87" t="s">
        <v>133</v>
      </c>
      <c r="AJ1264" s="140" t="s">
        <v>133</v>
      </c>
      <c r="AN1264" s="87" t="s">
        <v>157</v>
      </c>
      <c r="AO1264" s="87" t="s">
        <v>157</v>
      </c>
      <c r="AP1264" s="87" t="s">
        <v>178</v>
      </c>
      <c r="AQ1264" s="87" t="s">
        <v>893</v>
      </c>
      <c r="AR1264" s="87" t="s">
        <v>893</v>
      </c>
      <c r="AS1264" s="87" t="s">
        <v>178</v>
      </c>
      <c r="AT1264" s="87" t="s">
        <v>120</v>
      </c>
      <c r="AU1264" s="87">
        <v>4</v>
      </c>
      <c r="AW1264" s="87" t="s">
        <v>336</v>
      </c>
      <c r="AY1264" s="87">
        <v>2053</v>
      </c>
      <c r="AZ1264" s="87">
        <v>50.691358024691361</v>
      </c>
      <c r="BM1264" s="420"/>
      <c r="BN1264" s="420"/>
      <c r="BR1264" s="420"/>
      <c r="BS1264" s="420"/>
      <c r="EO1264" s="87">
        <v>20.350000000000001</v>
      </c>
      <c r="EP1264" s="87">
        <v>0.3</v>
      </c>
      <c r="ES1264" s="87" t="s">
        <v>895</v>
      </c>
    </row>
    <row r="1265" spans="1:149" s="87" customFormat="1" x14ac:dyDescent="0.25">
      <c r="A1265" s="87">
        <v>59</v>
      </c>
      <c r="B1265" s="87" t="s">
        <v>863</v>
      </c>
      <c r="C1265" s="87" t="s">
        <v>864</v>
      </c>
      <c r="D1265" s="87">
        <v>1997</v>
      </c>
      <c r="E1265" s="87">
        <v>1992</v>
      </c>
      <c r="F1265" s="87" t="s">
        <v>865</v>
      </c>
      <c r="G1265" s="87" t="s">
        <v>891</v>
      </c>
      <c r="H1265" s="32" t="s">
        <v>2831</v>
      </c>
      <c r="I1265" s="87">
        <v>38.92</v>
      </c>
      <c r="J1265" s="87">
        <v>-76.150000000000006</v>
      </c>
      <c r="K1265" s="87">
        <v>5</v>
      </c>
      <c r="N1265" s="87">
        <v>866</v>
      </c>
      <c r="Q1265" s="88">
        <v>6</v>
      </c>
      <c r="R1265" s="88" t="s">
        <v>1869</v>
      </c>
      <c r="S1265" s="88" t="s">
        <v>866</v>
      </c>
      <c r="T1265" s="88" t="s">
        <v>1992</v>
      </c>
      <c r="U1265" s="88" t="s">
        <v>1393</v>
      </c>
      <c r="V1265" s="88" t="s">
        <v>1727</v>
      </c>
      <c r="W1265" s="88" t="s">
        <v>1393</v>
      </c>
      <c r="X1265" s="88" t="s">
        <v>1421</v>
      </c>
      <c r="Y1265" s="87">
        <v>1.5</v>
      </c>
      <c r="Z1265" s="345"/>
      <c r="AA1265" s="345"/>
      <c r="AB1265" s="87" t="s">
        <v>451</v>
      </c>
      <c r="AF1265" s="87" t="s">
        <v>1351</v>
      </c>
      <c r="AG1265" s="87" t="s">
        <v>132</v>
      </c>
      <c r="AH1265" s="138" t="s">
        <v>132</v>
      </c>
      <c r="AI1265" s="87" t="s">
        <v>133</v>
      </c>
      <c r="AJ1265" s="140" t="s">
        <v>133</v>
      </c>
      <c r="AN1265" s="87" t="s">
        <v>157</v>
      </c>
      <c r="AO1265" s="87" t="s">
        <v>157</v>
      </c>
      <c r="AP1265" s="87" t="s">
        <v>178</v>
      </c>
      <c r="AQ1265" s="87" t="s">
        <v>893</v>
      </c>
      <c r="AR1265" s="87" t="s">
        <v>893</v>
      </c>
      <c r="AS1265" s="87" t="s">
        <v>178</v>
      </c>
      <c r="AT1265" s="87" t="s">
        <v>120</v>
      </c>
      <c r="AU1265" s="87">
        <v>4</v>
      </c>
      <c r="AW1265" s="87" t="s">
        <v>336</v>
      </c>
      <c r="AY1265" s="87">
        <v>2053</v>
      </c>
      <c r="AZ1265" s="87">
        <v>50.691358024691361</v>
      </c>
      <c r="BM1265" s="420"/>
      <c r="BN1265" s="420"/>
      <c r="BR1265" s="420"/>
      <c r="BS1265" s="420"/>
      <c r="EO1265" s="87">
        <v>14.3</v>
      </c>
      <c r="EP1265" s="87">
        <v>0.16</v>
      </c>
      <c r="ES1265" s="87" t="s">
        <v>895</v>
      </c>
    </row>
    <row r="1266" spans="1:149" s="87" customFormat="1" x14ac:dyDescent="0.25">
      <c r="A1266" s="87">
        <v>59</v>
      </c>
      <c r="B1266" s="87" t="s">
        <v>863</v>
      </c>
      <c r="C1266" s="87" t="s">
        <v>864</v>
      </c>
      <c r="D1266" s="87">
        <v>1997</v>
      </c>
      <c r="E1266" s="87">
        <v>1992</v>
      </c>
      <c r="F1266" s="87" t="s">
        <v>865</v>
      </c>
      <c r="G1266" s="87" t="s">
        <v>891</v>
      </c>
      <c r="H1266" s="32" t="s">
        <v>2831</v>
      </c>
      <c r="I1266" s="87">
        <v>38.92</v>
      </c>
      <c r="J1266" s="87">
        <v>-76.150000000000006</v>
      </c>
      <c r="K1266" s="87">
        <v>5</v>
      </c>
      <c r="N1266" s="87">
        <v>866</v>
      </c>
      <c r="Q1266" s="88">
        <v>6</v>
      </c>
      <c r="R1266" s="88" t="s">
        <v>1869</v>
      </c>
      <c r="S1266" s="88" t="s">
        <v>866</v>
      </c>
      <c r="T1266" s="88" t="s">
        <v>1992</v>
      </c>
      <c r="U1266" s="88" t="s">
        <v>1393</v>
      </c>
      <c r="V1266" s="88" t="s">
        <v>1727</v>
      </c>
      <c r="W1266" s="88" t="s">
        <v>1393</v>
      </c>
      <c r="X1266" s="88" t="s">
        <v>1421</v>
      </c>
      <c r="Y1266" s="87">
        <v>1.5</v>
      </c>
      <c r="Z1266" s="345"/>
      <c r="AA1266" s="345"/>
      <c r="AB1266" s="87" t="s">
        <v>451</v>
      </c>
      <c r="AF1266" s="87" t="s">
        <v>1351</v>
      </c>
      <c r="AG1266" s="87" t="s">
        <v>132</v>
      </c>
      <c r="AH1266" s="138" t="s">
        <v>132</v>
      </c>
      <c r="AI1266" s="87" t="s">
        <v>133</v>
      </c>
      <c r="AJ1266" s="140" t="s">
        <v>133</v>
      </c>
      <c r="AN1266" s="87" t="s">
        <v>157</v>
      </c>
      <c r="AO1266" s="87" t="s">
        <v>157</v>
      </c>
      <c r="AP1266" s="87" t="s">
        <v>178</v>
      </c>
      <c r="AQ1266" s="87" t="s">
        <v>893</v>
      </c>
      <c r="AR1266" s="87" t="s">
        <v>893</v>
      </c>
      <c r="AS1266" s="87" t="s">
        <v>178</v>
      </c>
      <c r="AT1266" s="87" t="s">
        <v>120</v>
      </c>
      <c r="AU1266" s="87">
        <v>4</v>
      </c>
      <c r="AW1266" s="87" t="s">
        <v>336</v>
      </c>
      <c r="AY1266" s="87">
        <v>2053</v>
      </c>
      <c r="AZ1266" s="87">
        <v>50.691358024691361</v>
      </c>
      <c r="BM1266" s="420"/>
      <c r="BN1266" s="420"/>
      <c r="BR1266" s="420"/>
      <c r="BS1266" s="420"/>
      <c r="EO1266" s="87">
        <v>9.17</v>
      </c>
      <c r="EP1266" s="87">
        <v>0.1</v>
      </c>
      <c r="ES1266" s="87" t="s">
        <v>895</v>
      </c>
    </row>
    <row r="1267" spans="1:149" s="87" customFormat="1" x14ac:dyDescent="0.25">
      <c r="A1267" s="87">
        <v>59</v>
      </c>
      <c r="B1267" s="87" t="s">
        <v>863</v>
      </c>
      <c r="C1267" s="87" t="s">
        <v>864</v>
      </c>
      <c r="D1267" s="87">
        <v>1997</v>
      </c>
      <c r="E1267" s="87">
        <v>1992</v>
      </c>
      <c r="F1267" s="87" t="s">
        <v>865</v>
      </c>
      <c r="G1267" s="87" t="s">
        <v>891</v>
      </c>
      <c r="H1267" s="32" t="s">
        <v>2831</v>
      </c>
      <c r="I1267" s="87">
        <v>38.92</v>
      </c>
      <c r="J1267" s="87">
        <v>-76.150000000000006</v>
      </c>
      <c r="K1267" s="87">
        <v>5</v>
      </c>
      <c r="N1267" s="87">
        <v>866</v>
      </c>
      <c r="Q1267" s="88">
        <v>6</v>
      </c>
      <c r="R1267" s="88" t="s">
        <v>1869</v>
      </c>
      <c r="S1267" s="88" t="s">
        <v>866</v>
      </c>
      <c r="T1267" s="88" t="s">
        <v>1992</v>
      </c>
      <c r="U1267" s="88" t="s">
        <v>1393</v>
      </c>
      <c r="V1267" s="88" t="s">
        <v>1727</v>
      </c>
      <c r="W1267" s="88" t="s">
        <v>1393</v>
      </c>
      <c r="X1267" s="88" t="s">
        <v>1421</v>
      </c>
      <c r="Y1267" s="87">
        <v>1.5</v>
      </c>
      <c r="Z1267" s="345"/>
      <c r="AA1267" s="345"/>
      <c r="AB1267" s="87" t="s">
        <v>451</v>
      </c>
      <c r="AF1267" s="87" t="s">
        <v>1351</v>
      </c>
      <c r="AG1267" s="87" t="s">
        <v>132</v>
      </c>
      <c r="AH1267" s="138" t="s">
        <v>132</v>
      </c>
      <c r="AI1267" s="87" t="s">
        <v>133</v>
      </c>
      <c r="AJ1267" s="140" t="s">
        <v>133</v>
      </c>
      <c r="AN1267" s="87" t="s">
        <v>157</v>
      </c>
      <c r="AO1267" s="87" t="s">
        <v>157</v>
      </c>
      <c r="AP1267" s="87" t="s">
        <v>178</v>
      </c>
      <c r="AQ1267" s="87" t="s">
        <v>893</v>
      </c>
      <c r="AR1267" s="87" t="s">
        <v>893</v>
      </c>
      <c r="AS1267" s="87" t="s">
        <v>178</v>
      </c>
      <c r="AT1267" s="87" t="s">
        <v>120</v>
      </c>
      <c r="AU1267" s="87">
        <v>4</v>
      </c>
      <c r="AW1267" s="87" t="s">
        <v>336</v>
      </c>
      <c r="AY1267" s="87">
        <v>2053</v>
      </c>
      <c r="AZ1267" s="87">
        <v>50.691358024691361</v>
      </c>
      <c r="BM1267" s="420"/>
      <c r="BN1267" s="420"/>
      <c r="BR1267" s="420"/>
      <c r="BS1267" s="420"/>
      <c r="EO1267" s="87">
        <v>5.12</v>
      </c>
      <c r="EP1267" s="87">
        <v>0.55000000000000004</v>
      </c>
      <c r="ES1267" s="87" t="s">
        <v>895</v>
      </c>
    </row>
    <row r="1268" spans="1:149" s="87" customFormat="1" x14ac:dyDescent="0.25">
      <c r="A1268" s="87">
        <v>59</v>
      </c>
      <c r="B1268" s="87" t="s">
        <v>863</v>
      </c>
      <c r="C1268" s="87" t="s">
        <v>864</v>
      </c>
      <c r="D1268" s="87">
        <v>1997</v>
      </c>
      <c r="E1268" s="87">
        <v>1992</v>
      </c>
      <c r="F1268" s="87" t="s">
        <v>865</v>
      </c>
      <c r="G1268" s="87" t="s">
        <v>891</v>
      </c>
      <c r="H1268" s="32" t="s">
        <v>2831</v>
      </c>
      <c r="I1268" s="87">
        <v>38.92</v>
      </c>
      <c r="J1268" s="87">
        <v>-76.150000000000006</v>
      </c>
      <c r="K1268" s="87">
        <v>5</v>
      </c>
      <c r="N1268" s="87">
        <v>866</v>
      </c>
      <c r="Q1268" s="88">
        <v>6</v>
      </c>
      <c r="R1268" s="88" t="s">
        <v>1869</v>
      </c>
      <c r="S1268" s="88" t="s">
        <v>866</v>
      </c>
      <c r="T1268" s="88" t="s">
        <v>1992</v>
      </c>
      <c r="U1268" s="88" t="s">
        <v>1393</v>
      </c>
      <c r="V1268" s="88" t="s">
        <v>1727</v>
      </c>
      <c r="W1268" s="88" t="s">
        <v>1393</v>
      </c>
      <c r="X1268" s="88" t="s">
        <v>1421</v>
      </c>
      <c r="Y1268" s="87">
        <v>1.5</v>
      </c>
      <c r="Z1268" s="345"/>
      <c r="AA1268" s="345"/>
      <c r="AB1268" s="87" t="s">
        <v>451</v>
      </c>
      <c r="AF1268" s="87" t="s">
        <v>1351</v>
      </c>
      <c r="AG1268" s="87" t="s">
        <v>132</v>
      </c>
      <c r="AH1268" s="138" t="s">
        <v>132</v>
      </c>
      <c r="AI1268" s="87" t="s">
        <v>133</v>
      </c>
      <c r="AJ1268" s="140" t="s">
        <v>133</v>
      </c>
      <c r="AN1268" s="87" t="s">
        <v>157</v>
      </c>
      <c r="AO1268" s="87" t="s">
        <v>157</v>
      </c>
      <c r="AP1268" s="87" t="s">
        <v>178</v>
      </c>
      <c r="AQ1268" s="87" t="s">
        <v>893</v>
      </c>
      <c r="AR1268" s="87" t="s">
        <v>893</v>
      </c>
      <c r="AS1268" s="87" t="s">
        <v>178</v>
      </c>
      <c r="AT1268" s="87" t="s">
        <v>120</v>
      </c>
      <c r="AU1268" s="87">
        <v>4</v>
      </c>
      <c r="AW1268" s="87" t="s">
        <v>336</v>
      </c>
      <c r="AY1268" s="87">
        <v>2053</v>
      </c>
      <c r="AZ1268" s="87">
        <v>50.691358024691361</v>
      </c>
      <c r="BM1268" s="420"/>
      <c r="BN1268" s="420"/>
      <c r="BR1268" s="420"/>
      <c r="BS1268" s="420"/>
      <c r="EO1268" s="87">
        <v>12.96</v>
      </c>
      <c r="EP1268" s="87">
        <v>1.23</v>
      </c>
      <c r="ES1268" s="87" t="s">
        <v>895</v>
      </c>
    </row>
    <row r="1269" spans="1:149" s="24" customFormat="1" x14ac:dyDescent="0.25">
      <c r="A1269" s="24">
        <v>59</v>
      </c>
      <c r="B1269" s="24" t="s">
        <v>863</v>
      </c>
      <c r="C1269" s="24" t="s">
        <v>864</v>
      </c>
      <c r="D1269" s="24">
        <v>1997</v>
      </c>
      <c r="E1269" s="24">
        <v>1993</v>
      </c>
      <c r="F1269" s="24" t="s">
        <v>865</v>
      </c>
      <c r="G1269" s="24" t="s">
        <v>891</v>
      </c>
      <c r="H1269" s="32" t="s">
        <v>2831</v>
      </c>
      <c r="I1269" s="24">
        <v>38.92</v>
      </c>
      <c r="J1269" s="24">
        <v>-76.150000000000006</v>
      </c>
      <c r="K1269" s="24">
        <v>5</v>
      </c>
      <c r="N1269" s="24">
        <v>972</v>
      </c>
      <c r="Q1269" s="42">
        <v>7</v>
      </c>
      <c r="R1269" s="42" t="s">
        <v>1869</v>
      </c>
      <c r="S1269" s="42" t="s">
        <v>866</v>
      </c>
      <c r="T1269" s="42" t="s">
        <v>1992</v>
      </c>
      <c r="U1269" s="42" t="s">
        <v>1393</v>
      </c>
      <c r="V1269" s="42" t="s">
        <v>1727</v>
      </c>
      <c r="W1269" s="42" t="s">
        <v>1393</v>
      </c>
      <c r="X1269" s="42" t="s">
        <v>1421</v>
      </c>
      <c r="Y1269" s="24">
        <v>1.5</v>
      </c>
      <c r="Z1269" s="321"/>
      <c r="AA1269" s="321"/>
      <c r="AB1269" s="24" t="s">
        <v>451</v>
      </c>
      <c r="AF1269" s="24" t="s">
        <v>1351</v>
      </c>
      <c r="AG1269" s="24" t="s">
        <v>132</v>
      </c>
      <c r="AH1269" s="138" t="s">
        <v>132</v>
      </c>
      <c r="AI1269" s="24" t="s">
        <v>133</v>
      </c>
      <c r="AJ1269" s="140" t="s">
        <v>133</v>
      </c>
      <c r="AN1269" s="24" t="s">
        <v>157</v>
      </c>
      <c r="AO1269" s="24" t="s">
        <v>157</v>
      </c>
      <c r="AP1269" s="24" t="s">
        <v>178</v>
      </c>
      <c r="AQ1269" s="24" t="s">
        <v>893</v>
      </c>
      <c r="AR1269" s="24" t="s">
        <v>893</v>
      </c>
      <c r="AS1269" s="24" t="s">
        <v>178</v>
      </c>
      <c r="AT1269" s="24" t="s">
        <v>120</v>
      </c>
      <c r="AU1269" s="24">
        <v>4</v>
      </c>
      <c r="AW1269" s="24" t="s">
        <v>336</v>
      </c>
      <c r="AY1269" s="24">
        <v>1873</v>
      </c>
      <c r="AZ1269" s="24">
        <v>50.21447721179625</v>
      </c>
      <c r="BM1269" s="395"/>
      <c r="BN1269" s="395"/>
      <c r="BR1269" s="395"/>
      <c r="BS1269" s="395"/>
      <c r="EO1269" s="24">
        <v>8.82</v>
      </c>
      <c r="EP1269" s="24">
        <v>3.97</v>
      </c>
      <c r="ES1269" s="24" t="s">
        <v>895</v>
      </c>
    </row>
    <row r="1270" spans="1:149" s="24" customFormat="1" x14ac:dyDescent="0.25">
      <c r="A1270" s="24">
        <v>59</v>
      </c>
      <c r="B1270" s="24" t="s">
        <v>863</v>
      </c>
      <c r="C1270" s="24" t="s">
        <v>864</v>
      </c>
      <c r="D1270" s="24">
        <v>1997</v>
      </c>
      <c r="E1270" s="24">
        <v>1993</v>
      </c>
      <c r="F1270" s="24" t="s">
        <v>865</v>
      </c>
      <c r="G1270" s="24" t="s">
        <v>891</v>
      </c>
      <c r="H1270" s="32" t="s">
        <v>2831</v>
      </c>
      <c r="I1270" s="24">
        <v>38.92</v>
      </c>
      <c r="J1270" s="24">
        <v>-76.150000000000006</v>
      </c>
      <c r="K1270" s="24">
        <v>5</v>
      </c>
      <c r="N1270" s="24">
        <v>972</v>
      </c>
      <c r="Q1270" s="42">
        <v>7</v>
      </c>
      <c r="R1270" s="42" t="s">
        <v>1869</v>
      </c>
      <c r="S1270" s="42" t="s">
        <v>866</v>
      </c>
      <c r="T1270" s="42" t="s">
        <v>1992</v>
      </c>
      <c r="U1270" s="42" t="s">
        <v>1393</v>
      </c>
      <c r="V1270" s="42" t="s">
        <v>1727</v>
      </c>
      <c r="W1270" s="42" t="s">
        <v>1393</v>
      </c>
      <c r="X1270" s="42" t="s">
        <v>1421</v>
      </c>
      <c r="Y1270" s="24">
        <v>1.5</v>
      </c>
      <c r="Z1270" s="321"/>
      <c r="AA1270" s="321"/>
      <c r="AB1270" s="24" t="s">
        <v>451</v>
      </c>
      <c r="AF1270" s="24" t="s">
        <v>1351</v>
      </c>
      <c r="AG1270" s="24" t="s">
        <v>132</v>
      </c>
      <c r="AH1270" s="138" t="s">
        <v>132</v>
      </c>
      <c r="AI1270" s="24" t="s">
        <v>133</v>
      </c>
      <c r="AJ1270" s="140" t="s">
        <v>133</v>
      </c>
      <c r="AN1270" s="24" t="s">
        <v>157</v>
      </c>
      <c r="AO1270" s="24" t="s">
        <v>157</v>
      </c>
      <c r="AP1270" s="24" t="s">
        <v>178</v>
      </c>
      <c r="AQ1270" s="24" t="s">
        <v>893</v>
      </c>
      <c r="AR1270" s="24" t="s">
        <v>893</v>
      </c>
      <c r="AS1270" s="24" t="s">
        <v>178</v>
      </c>
      <c r="AT1270" s="24" t="s">
        <v>120</v>
      </c>
      <c r="AU1270" s="24">
        <v>4</v>
      </c>
      <c r="AW1270" s="24" t="s">
        <v>336</v>
      </c>
      <c r="AY1270" s="24">
        <v>1873</v>
      </c>
      <c r="AZ1270" s="24">
        <v>50.21447721179625</v>
      </c>
      <c r="BM1270" s="395"/>
      <c r="BN1270" s="395"/>
      <c r="BR1270" s="395"/>
      <c r="BS1270" s="395"/>
      <c r="EO1270" s="24">
        <v>6.88</v>
      </c>
      <c r="EP1270" s="24">
        <v>5.72</v>
      </c>
      <c r="ES1270" s="24" t="s">
        <v>895</v>
      </c>
    </row>
    <row r="1271" spans="1:149" s="24" customFormat="1" x14ac:dyDescent="0.25">
      <c r="A1271" s="24">
        <v>59</v>
      </c>
      <c r="B1271" s="24" t="s">
        <v>863</v>
      </c>
      <c r="C1271" s="24" t="s">
        <v>864</v>
      </c>
      <c r="D1271" s="24">
        <v>1997</v>
      </c>
      <c r="E1271" s="24">
        <v>1993</v>
      </c>
      <c r="F1271" s="24" t="s">
        <v>865</v>
      </c>
      <c r="G1271" s="24" t="s">
        <v>891</v>
      </c>
      <c r="H1271" s="32" t="s">
        <v>2831</v>
      </c>
      <c r="I1271" s="24">
        <v>38.92</v>
      </c>
      <c r="J1271" s="24">
        <v>-76.150000000000006</v>
      </c>
      <c r="K1271" s="24">
        <v>5</v>
      </c>
      <c r="N1271" s="24">
        <v>972</v>
      </c>
      <c r="Q1271" s="42">
        <v>7</v>
      </c>
      <c r="R1271" s="42" t="s">
        <v>1869</v>
      </c>
      <c r="S1271" s="42" t="s">
        <v>866</v>
      </c>
      <c r="T1271" s="42" t="s">
        <v>1992</v>
      </c>
      <c r="U1271" s="42" t="s">
        <v>1393</v>
      </c>
      <c r="V1271" s="42" t="s">
        <v>1727</v>
      </c>
      <c r="W1271" s="42" t="s">
        <v>1393</v>
      </c>
      <c r="X1271" s="42" t="s">
        <v>1421</v>
      </c>
      <c r="Y1271" s="24">
        <v>1.5</v>
      </c>
      <c r="Z1271" s="321"/>
      <c r="AA1271" s="321"/>
      <c r="AB1271" s="24" t="s">
        <v>451</v>
      </c>
      <c r="AF1271" s="24" t="s">
        <v>1351</v>
      </c>
      <c r="AG1271" s="24" t="s">
        <v>132</v>
      </c>
      <c r="AH1271" s="138" t="s">
        <v>132</v>
      </c>
      <c r="AI1271" s="24" t="s">
        <v>133</v>
      </c>
      <c r="AJ1271" s="140" t="s">
        <v>133</v>
      </c>
      <c r="AN1271" s="24" t="s">
        <v>157</v>
      </c>
      <c r="AO1271" s="24" t="s">
        <v>157</v>
      </c>
      <c r="AP1271" s="24" t="s">
        <v>178</v>
      </c>
      <c r="AQ1271" s="24" t="s">
        <v>893</v>
      </c>
      <c r="AR1271" s="24" t="s">
        <v>893</v>
      </c>
      <c r="AS1271" s="24" t="s">
        <v>178</v>
      </c>
      <c r="AT1271" s="24" t="s">
        <v>120</v>
      </c>
      <c r="AU1271" s="24">
        <v>4</v>
      </c>
      <c r="AW1271" s="24" t="s">
        <v>336</v>
      </c>
      <c r="AY1271" s="24">
        <v>1873</v>
      </c>
      <c r="AZ1271" s="24">
        <v>50.21447721179625</v>
      </c>
      <c r="BM1271" s="395"/>
      <c r="BN1271" s="395"/>
      <c r="BR1271" s="395"/>
      <c r="BS1271" s="395"/>
      <c r="EO1271" s="24">
        <v>10.47</v>
      </c>
      <c r="EP1271" s="24">
        <v>2.72</v>
      </c>
      <c r="ES1271" s="24" t="s">
        <v>895</v>
      </c>
    </row>
    <row r="1272" spans="1:149" s="24" customFormat="1" x14ac:dyDescent="0.25">
      <c r="A1272" s="24">
        <v>59</v>
      </c>
      <c r="B1272" s="24" t="s">
        <v>863</v>
      </c>
      <c r="C1272" s="24" t="s">
        <v>864</v>
      </c>
      <c r="D1272" s="24">
        <v>1997</v>
      </c>
      <c r="E1272" s="24">
        <v>1993</v>
      </c>
      <c r="F1272" s="24" t="s">
        <v>865</v>
      </c>
      <c r="G1272" s="24" t="s">
        <v>891</v>
      </c>
      <c r="H1272" s="32" t="s">
        <v>2831</v>
      </c>
      <c r="I1272" s="24">
        <v>38.92</v>
      </c>
      <c r="J1272" s="24">
        <v>-76.150000000000006</v>
      </c>
      <c r="K1272" s="24">
        <v>5</v>
      </c>
      <c r="N1272" s="24">
        <v>972</v>
      </c>
      <c r="Q1272" s="42">
        <v>7</v>
      </c>
      <c r="R1272" s="42" t="s">
        <v>1869</v>
      </c>
      <c r="S1272" s="42" t="s">
        <v>866</v>
      </c>
      <c r="T1272" s="42" t="s">
        <v>1992</v>
      </c>
      <c r="U1272" s="42" t="s">
        <v>1393</v>
      </c>
      <c r="V1272" s="42" t="s">
        <v>1727</v>
      </c>
      <c r="W1272" s="42" t="s">
        <v>1393</v>
      </c>
      <c r="X1272" s="42" t="s">
        <v>1421</v>
      </c>
      <c r="Y1272" s="24">
        <v>1.5</v>
      </c>
      <c r="Z1272" s="321"/>
      <c r="AA1272" s="321"/>
      <c r="AB1272" s="24" t="s">
        <v>451</v>
      </c>
      <c r="AF1272" s="24" t="s">
        <v>1351</v>
      </c>
      <c r="AG1272" s="24" t="s">
        <v>132</v>
      </c>
      <c r="AH1272" s="138" t="s">
        <v>132</v>
      </c>
      <c r="AI1272" s="24" t="s">
        <v>133</v>
      </c>
      <c r="AJ1272" s="140" t="s">
        <v>133</v>
      </c>
      <c r="AN1272" s="24" t="s">
        <v>157</v>
      </c>
      <c r="AO1272" s="24" t="s">
        <v>157</v>
      </c>
      <c r="AP1272" s="24" t="s">
        <v>178</v>
      </c>
      <c r="AQ1272" s="24" t="s">
        <v>893</v>
      </c>
      <c r="AR1272" s="24" t="s">
        <v>893</v>
      </c>
      <c r="AS1272" s="24" t="s">
        <v>178</v>
      </c>
      <c r="AT1272" s="24" t="s">
        <v>120</v>
      </c>
      <c r="AU1272" s="24">
        <v>4</v>
      </c>
      <c r="AW1272" s="24" t="s">
        <v>336</v>
      </c>
      <c r="AY1272" s="24">
        <v>1873</v>
      </c>
      <c r="AZ1272" s="24">
        <v>50.21447721179625</v>
      </c>
      <c r="BM1272" s="395"/>
      <c r="BN1272" s="395"/>
      <c r="BR1272" s="395"/>
      <c r="BS1272" s="395"/>
      <c r="EO1272" s="24">
        <v>7.95</v>
      </c>
      <c r="EP1272" s="24">
        <v>1.72</v>
      </c>
      <c r="ES1272" s="24" t="s">
        <v>895</v>
      </c>
    </row>
    <row r="1273" spans="1:149" s="24" customFormat="1" x14ac:dyDescent="0.25">
      <c r="A1273" s="24">
        <v>59</v>
      </c>
      <c r="B1273" s="24" t="s">
        <v>863</v>
      </c>
      <c r="C1273" s="24" t="s">
        <v>864</v>
      </c>
      <c r="D1273" s="24">
        <v>1997</v>
      </c>
      <c r="E1273" s="24">
        <v>1993</v>
      </c>
      <c r="F1273" s="24" t="s">
        <v>865</v>
      </c>
      <c r="G1273" s="24" t="s">
        <v>891</v>
      </c>
      <c r="H1273" s="32" t="s">
        <v>2831</v>
      </c>
      <c r="I1273" s="24">
        <v>38.92</v>
      </c>
      <c r="J1273" s="24">
        <v>-76.150000000000006</v>
      </c>
      <c r="K1273" s="24">
        <v>5</v>
      </c>
      <c r="N1273" s="24">
        <v>972</v>
      </c>
      <c r="Q1273" s="42">
        <v>7</v>
      </c>
      <c r="R1273" s="42" t="s">
        <v>1869</v>
      </c>
      <c r="S1273" s="42" t="s">
        <v>866</v>
      </c>
      <c r="T1273" s="42" t="s">
        <v>1992</v>
      </c>
      <c r="U1273" s="42" t="s">
        <v>1393</v>
      </c>
      <c r="V1273" s="42" t="s">
        <v>1727</v>
      </c>
      <c r="W1273" s="42" t="s">
        <v>1393</v>
      </c>
      <c r="X1273" s="42" t="s">
        <v>1421</v>
      </c>
      <c r="Y1273" s="24">
        <v>1.5</v>
      </c>
      <c r="Z1273" s="321"/>
      <c r="AA1273" s="321"/>
      <c r="AB1273" s="24" t="s">
        <v>451</v>
      </c>
      <c r="AF1273" s="24" t="s">
        <v>1351</v>
      </c>
      <c r="AG1273" s="24" t="s">
        <v>132</v>
      </c>
      <c r="AH1273" s="138" t="s">
        <v>132</v>
      </c>
      <c r="AI1273" s="24" t="s">
        <v>133</v>
      </c>
      <c r="AJ1273" s="140" t="s">
        <v>133</v>
      </c>
      <c r="AN1273" s="24" t="s">
        <v>157</v>
      </c>
      <c r="AO1273" s="24" t="s">
        <v>157</v>
      </c>
      <c r="AP1273" s="24" t="s">
        <v>178</v>
      </c>
      <c r="AQ1273" s="24" t="s">
        <v>893</v>
      </c>
      <c r="AR1273" s="24" t="s">
        <v>893</v>
      </c>
      <c r="AS1273" s="24" t="s">
        <v>178</v>
      </c>
      <c r="AT1273" s="24" t="s">
        <v>120</v>
      </c>
      <c r="AU1273" s="24">
        <v>4</v>
      </c>
      <c r="AW1273" s="24" t="s">
        <v>336</v>
      </c>
      <c r="AY1273" s="24">
        <v>1873</v>
      </c>
      <c r="AZ1273" s="24">
        <v>50.21447721179625</v>
      </c>
      <c r="BM1273" s="395"/>
      <c r="BN1273" s="395"/>
      <c r="BR1273" s="395"/>
      <c r="BS1273" s="395"/>
      <c r="EO1273" s="24">
        <v>10.62</v>
      </c>
      <c r="EP1273" s="24">
        <v>0.45</v>
      </c>
      <c r="ES1273" s="24" t="s">
        <v>895</v>
      </c>
    </row>
    <row r="1274" spans="1:149" s="24" customFormat="1" x14ac:dyDescent="0.25">
      <c r="A1274" s="24">
        <v>59</v>
      </c>
      <c r="B1274" s="24" t="s">
        <v>863</v>
      </c>
      <c r="C1274" s="24" t="s">
        <v>864</v>
      </c>
      <c r="D1274" s="24">
        <v>1997</v>
      </c>
      <c r="E1274" s="24">
        <v>1993</v>
      </c>
      <c r="F1274" s="24" t="s">
        <v>865</v>
      </c>
      <c r="G1274" s="24" t="s">
        <v>891</v>
      </c>
      <c r="H1274" s="32" t="s">
        <v>2831</v>
      </c>
      <c r="I1274" s="24">
        <v>38.92</v>
      </c>
      <c r="J1274" s="24">
        <v>-76.150000000000006</v>
      </c>
      <c r="K1274" s="24">
        <v>5</v>
      </c>
      <c r="N1274" s="24">
        <v>972</v>
      </c>
      <c r="Q1274" s="42">
        <v>7</v>
      </c>
      <c r="R1274" s="42" t="s">
        <v>1869</v>
      </c>
      <c r="S1274" s="42" t="s">
        <v>866</v>
      </c>
      <c r="T1274" s="42" t="s">
        <v>1992</v>
      </c>
      <c r="U1274" s="42" t="s">
        <v>1393</v>
      </c>
      <c r="V1274" s="42" t="s">
        <v>1727</v>
      </c>
      <c r="W1274" s="42" t="s">
        <v>1393</v>
      </c>
      <c r="X1274" s="42" t="s">
        <v>1421</v>
      </c>
      <c r="Y1274" s="24">
        <v>1.5</v>
      </c>
      <c r="Z1274" s="321"/>
      <c r="AA1274" s="321"/>
      <c r="AB1274" s="24" t="s">
        <v>451</v>
      </c>
      <c r="AF1274" s="24" t="s">
        <v>1351</v>
      </c>
      <c r="AG1274" s="24" t="s">
        <v>132</v>
      </c>
      <c r="AH1274" s="138" t="s">
        <v>132</v>
      </c>
      <c r="AI1274" s="24" t="s">
        <v>133</v>
      </c>
      <c r="AJ1274" s="140" t="s">
        <v>133</v>
      </c>
      <c r="AN1274" s="24" t="s">
        <v>157</v>
      </c>
      <c r="AO1274" s="24" t="s">
        <v>157</v>
      </c>
      <c r="AP1274" s="24" t="s">
        <v>178</v>
      </c>
      <c r="AQ1274" s="24" t="s">
        <v>893</v>
      </c>
      <c r="AR1274" s="24" t="s">
        <v>893</v>
      </c>
      <c r="AS1274" s="24" t="s">
        <v>178</v>
      </c>
      <c r="AT1274" s="24" t="s">
        <v>120</v>
      </c>
      <c r="AU1274" s="24">
        <v>4</v>
      </c>
      <c r="AW1274" s="24" t="s">
        <v>336</v>
      </c>
      <c r="AY1274" s="24">
        <v>1873</v>
      </c>
      <c r="AZ1274" s="24">
        <v>50.21447721179625</v>
      </c>
      <c r="BM1274" s="395"/>
      <c r="BN1274" s="395"/>
      <c r="BR1274" s="395"/>
      <c r="BS1274" s="395"/>
      <c r="EO1274" s="24">
        <v>7.33</v>
      </c>
      <c r="EP1274" s="24">
        <v>0.26</v>
      </c>
      <c r="ES1274" s="24" t="s">
        <v>895</v>
      </c>
    </row>
    <row r="1275" spans="1:149" s="24" customFormat="1" x14ac:dyDescent="0.25">
      <c r="A1275" s="24">
        <v>59</v>
      </c>
      <c r="B1275" s="24" t="s">
        <v>863</v>
      </c>
      <c r="C1275" s="24" t="s">
        <v>864</v>
      </c>
      <c r="D1275" s="24">
        <v>1997</v>
      </c>
      <c r="E1275" s="24">
        <v>1993</v>
      </c>
      <c r="F1275" s="24" t="s">
        <v>865</v>
      </c>
      <c r="G1275" s="24" t="s">
        <v>891</v>
      </c>
      <c r="H1275" s="32" t="s">
        <v>2831</v>
      </c>
      <c r="I1275" s="24">
        <v>38.92</v>
      </c>
      <c r="J1275" s="24">
        <v>-76.150000000000006</v>
      </c>
      <c r="K1275" s="24">
        <v>5</v>
      </c>
      <c r="N1275" s="24">
        <v>972</v>
      </c>
      <c r="Q1275" s="42">
        <v>7</v>
      </c>
      <c r="R1275" s="42" t="s">
        <v>1869</v>
      </c>
      <c r="S1275" s="42" t="s">
        <v>866</v>
      </c>
      <c r="T1275" s="42" t="s">
        <v>1992</v>
      </c>
      <c r="U1275" s="42" t="s">
        <v>1393</v>
      </c>
      <c r="V1275" s="42" t="s">
        <v>1727</v>
      </c>
      <c r="W1275" s="42" t="s">
        <v>1393</v>
      </c>
      <c r="X1275" s="42" t="s">
        <v>1421</v>
      </c>
      <c r="Y1275" s="24">
        <v>1.5</v>
      </c>
      <c r="Z1275" s="321"/>
      <c r="AA1275" s="321"/>
      <c r="AB1275" s="24" t="s">
        <v>451</v>
      </c>
      <c r="AF1275" s="24" t="s">
        <v>1351</v>
      </c>
      <c r="AG1275" s="24" t="s">
        <v>132</v>
      </c>
      <c r="AH1275" s="138" t="s">
        <v>132</v>
      </c>
      <c r="AI1275" s="24" t="s">
        <v>133</v>
      </c>
      <c r="AJ1275" s="140" t="s">
        <v>133</v>
      </c>
      <c r="AN1275" s="24" t="s">
        <v>157</v>
      </c>
      <c r="AO1275" s="24" t="s">
        <v>157</v>
      </c>
      <c r="AP1275" s="24" t="s">
        <v>178</v>
      </c>
      <c r="AQ1275" s="24" t="s">
        <v>893</v>
      </c>
      <c r="AR1275" s="24" t="s">
        <v>893</v>
      </c>
      <c r="AS1275" s="24" t="s">
        <v>178</v>
      </c>
      <c r="AT1275" s="24" t="s">
        <v>120</v>
      </c>
      <c r="AU1275" s="24">
        <v>4</v>
      </c>
      <c r="AW1275" s="24" t="s">
        <v>336</v>
      </c>
      <c r="AY1275" s="24">
        <v>1873</v>
      </c>
      <c r="AZ1275" s="24">
        <v>50.21447721179625</v>
      </c>
      <c r="BM1275" s="395"/>
      <c r="BN1275" s="395"/>
      <c r="BR1275" s="395"/>
      <c r="BS1275" s="395"/>
      <c r="EO1275" s="24">
        <v>8.69</v>
      </c>
      <c r="EP1275" s="24">
        <v>0.46</v>
      </c>
      <c r="ES1275" s="24" t="s">
        <v>895</v>
      </c>
    </row>
    <row r="1276" spans="1:149" s="24" customFormat="1" x14ac:dyDescent="0.25">
      <c r="A1276" s="24">
        <v>59</v>
      </c>
      <c r="B1276" s="24" t="s">
        <v>863</v>
      </c>
      <c r="C1276" s="24" t="s">
        <v>864</v>
      </c>
      <c r="D1276" s="24">
        <v>1997</v>
      </c>
      <c r="E1276" s="24">
        <v>1993</v>
      </c>
      <c r="F1276" s="24" t="s">
        <v>865</v>
      </c>
      <c r="G1276" s="24" t="s">
        <v>891</v>
      </c>
      <c r="H1276" s="32" t="s">
        <v>2831</v>
      </c>
      <c r="I1276" s="24">
        <v>38.92</v>
      </c>
      <c r="J1276" s="24">
        <v>-76.150000000000006</v>
      </c>
      <c r="K1276" s="24">
        <v>5</v>
      </c>
      <c r="N1276" s="24">
        <v>972</v>
      </c>
      <c r="Q1276" s="42">
        <v>7</v>
      </c>
      <c r="R1276" s="42" t="s">
        <v>1869</v>
      </c>
      <c r="S1276" s="42" t="s">
        <v>866</v>
      </c>
      <c r="T1276" s="42" t="s">
        <v>1992</v>
      </c>
      <c r="U1276" s="42" t="s">
        <v>1393</v>
      </c>
      <c r="V1276" s="42" t="s">
        <v>1727</v>
      </c>
      <c r="W1276" s="42" t="s">
        <v>1393</v>
      </c>
      <c r="X1276" s="42" t="s">
        <v>1421</v>
      </c>
      <c r="Y1276" s="24">
        <v>1.5</v>
      </c>
      <c r="Z1276" s="321"/>
      <c r="AA1276" s="321"/>
      <c r="AB1276" s="24" t="s">
        <v>451</v>
      </c>
      <c r="AF1276" s="24" t="s">
        <v>1351</v>
      </c>
      <c r="AG1276" s="24" t="s">
        <v>132</v>
      </c>
      <c r="AH1276" s="138" t="s">
        <v>132</v>
      </c>
      <c r="AI1276" s="24" t="s">
        <v>133</v>
      </c>
      <c r="AJ1276" s="140" t="s">
        <v>133</v>
      </c>
      <c r="AN1276" s="24" t="s">
        <v>157</v>
      </c>
      <c r="AO1276" s="24" t="s">
        <v>157</v>
      </c>
      <c r="AP1276" s="24" t="s">
        <v>178</v>
      </c>
      <c r="AQ1276" s="24" t="s">
        <v>893</v>
      </c>
      <c r="AR1276" s="24" t="s">
        <v>893</v>
      </c>
      <c r="AS1276" s="24" t="s">
        <v>178</v>
      </c>
      <c r="AT1276" s="24" t="s">
        <v>120</v>
      </c>
      <c r="AU1276" s="24">
        <v>4</v>
      </c>
      <c r="AW1276" s="24" t="s">
        <v>336</v>
      </c>
      <c r="AY1276" s="24">
        <v>1873</v>
      </c>
      <c r="AZ1276" s="24">
        <v>50.21447721179625</v>
      </c>
      <c r="BM1276" s="395"/>
      <c r="BN1276" s="395"/>
      <c r="BR1276" s="395"/>
      <c r="BS1276" s="395"/>
      <c r="EO1276" s="24">
        <v>12.95</v>
      </c>
      <c r="EP1276" s="24">
        <v>2.98</v>
      </c>
      <c r="ES1276" s="24" t="s">
        <v>895</v>
      </c>
    </row>
    <row r="1277" spans="1:149" s="87" customFormat="1" x14ac:dyDescent="0.25">
      <c r="A1277" s="87">
        <v>59</v>
      </c>
      <c r="B1277" s="87" t="s">
        <v>863</v>
      </c>
      <c r="C1277" s="87" t="s">
        <v>864</v>
      </c>
      <c r="D1277" s="87">
        <v>1997</v>
      </c>
      <c r="E1277" s="87">
        <v>1994</v>
      </c>
      <c r="F1277" s="87" t="s">
        <v>865</v>
      </c>
      <c r="G1277" s="87" t="s">
        <v>891</v>
      </c>
      <c r="H1277" s="32" t="s">
        <v>2831</v>
      </c>
      <c r="I1277" s="87">
        <v>38.92</v>
      </c>
      <c r="J1277" s="87">
        <v>-76.150000000000006</v>
      </c>
      <c r="K1277" s="87">
        <v>5</v>
      </c>
      <c r="N1277" s="87">
        <v>1275</v>
      </c>
      <c r="Q1277" s="88">
        <v>8</v>
      </c>
      <c r="R1277" s="88" t="s">
        <v>1869</v>
      </c>
      <c r="S1277" s="88" t="s">
        <v>866</v>
      </c>
      <c r="T1277" s="88" t="s">
        <v>1992</v>
      </c>
      <c r="U1277" s="88" t="s">
        <v>1393</v>
      </c>
      <c r="V1277" s="88" t="s">
        <v>1727</v>
      </c>
      <c r="W1277" s="88" t="s">
        <v>1393</v>
      </c>
      <c r="X1277" s="88" t="s">
        <v>1421</v>
      </c>
      <c r="Y1277" s="87">
        <v>1.5</v>
      </c>
      <c r="Z1277" s="345"/>
      <c r="AA1277" s="345"/>
      <c r="AB1277" s="87" t="s">
        <v>451</v>
      </c>
      <c r="AF1277" s="87" t="s">
        <v>1351</v>
      </c>
      <c r="AG1277" s="87" t="s">
        <v>132</v>
      </c>
      <c r="AH1277" s="138" t="s">
        <v>132</v>
      </c>
      <c r="AI1277" s="87" t="s">
        <v>133</v>
      </c>
      <c r="AJ1277" s="140" t="s">
        <v>133</v>
      </c>
      <c r="AN1277" s="87" t="s">
        <v>157</v>
      </c>
      <c r="AO1277" s="87" t="s">
        <v>157</v>
      </c>
      <c r="AP1277" s="87" t="s">
        <v>178</v>
      </c>
      <c r="AQ1277" s="87" t="s">
        <v>893</v>
      </c>
      <c r="AR1277" s="87" t="s">
        <v>893</v>
      </c>
      <c r="AS1277" s="87" t="s">
        <v>178</v>
      </c>
      <c r="AT1277" s="87" t="s">
        <v>120</v>
      </c>
      <c r="AU1277" s="87">
        <v>4</v>
      </c>
      <c r="AW1277" s="87" t="s">
        <v>336</v>
      </c>
      <c r="AY1277" s="87">
        <v>3645</v>
      </c>
      <c r="AZ1277" s="87">
        <v>61.570945945945944</v>
      </c>
      <c r="BM1277" s="420"/>
      <c r="BN1277" s="420"/>
      <c r="BR1277" s="420"/>
      <c r="BS1277" s="420"/>
      <c r="EO1277" s="87">
        <v>16.27</v>
      </c>
      <c r="EP1277" s="87">
        <v>6</v>
      </c>
      <c r="ES1277" s="87" t="s">
        <v>895</v>
      </c>
    </row>
    <row r="1278" spans="1:149" s="87" customFormat="1" x14ac:dyDescent="0.25">
      <c r="A1278" s="87">
        <v>59</v>
      </c>
      <c r="B1278" s="87" t="s">
        <v>863</v>
      </c>
      <c r="C1278" s="87" t="s">
        <v>864</v>
      </c>
      <c r="D1278" s="87">
        <v>1997</v>
      </c>
      <c r="E1278" s="87">
        <v>1994</v>
      </c>
      <c r="F1278" s="87" t="s">
        <v>865</v>
      </c>
      <c r="G1278" s="87" t="s">
        <v>891</v>
      </c>
      <c r="H1278" s="32" t="s">
        <v>2831</v>
      </c>
      <c r="I1278" s="87">
        <v>38.92</v>
      </c>
      <c r="J1278" s="87">
        <v>-76.150000000000006</v>
      </c>
      <c r="K1278" s="87">
        <v>5</v>
      </c>
      <c r="N1278" s="87">
        <v>1275</v>
      </c>
      <c r="Q1278" s="88">
        <v>8</v>
      </c>
      <c r="R1278" s="88" t="s">
        <v>1869</v>
      </c>
      <c r="S1278" s="88" t="s">
        <v>866</v>
      </c>
      <c r="T1278" s="88" t="s">
        <v>1992</v>
      </c>
      <c r="U1278" s="88" t="s">
        <v>1393</v>
      </c>
      <c r="V1278" s="88" t="s">
        <v>1727</v>
      </c>
      <c r="W1278" s="88" t="s">
        <v>1393</v>
      </c>
      <c r="X1278" s="88" t="s">
        <v>1421</v>
      </c>
      <c r="Y1278" s="87">
        <v>1.5</v>
      </c>
      <c r="Z1278" s="345"/>
      <c r="AA1278" s="345"/>
      <c r="AB1278" s="87" t="s">
        <v>451</v>
      </c>
      <c r="AF1278" s="87" t="s">
        <v>1351</v>
      </c>
      <c r="AG1278" s="87" t="s">
        <v>132</v>
      </c>
      <c r="AH1278" s="138" t="s">
        <v>132</v>
      </c>
      <c r="AI1278" s="87" t="s">
        <v>133</v>
      </c>
      <c r="AJ1278" s="140" t="s">
        <v>133</v>
      </c>
      <c r="AN1278" s="87" t="s">
        <v>157</v>
      </c>
      <c r="AO1278" s="87" t="s">
        <v>157</v>
      </c>
      <c r="AP1278" s="87" t="s">
        <v>178</v>
      </c>
      <c r="AQ1278" s="87" t="s">
        <v>893</v>
      </c>
      <c r="AR1278" s="87" t="s">
        <v>893</v>
      </c>
      <c r="AS1278" s="87" t="s">
        <v>178</v>
      </c>
      <c r="AT1278" s="87" t="s">
        <v>120</v>
      </c>
      <c r="AU1278" s="87">
        <v>4</v>
      </c>
      <c r="AW1278" s="87" t="s">
        <v>336</v>
      </c>
      <c r="AY1278" s="87">
        <v>3645</v>
      </c>
      <c r="AZ1278" s="87">
        <v>61.570945945945944</v>
      </c>
      <c r="BM1278" s="420"/>
      <c r="BN1278" s="420"/>
      <c r="BR1278" s="420"/>
      <c r="BS1278" s="420"/>
      <c r="EO1278" s="87">
        <v>15.46</v>
      </c>
      <c r="EP1278" s="87">
        <v>2.19</v>
      </c>
      <c r="ES1278" s="87" t="s">
        <v>895</v>
      </c>
    </row>
    <row r="1279" spans="1:149" s="87" customFormat="1" x14ac:dyDescent="0.25">
      <c r="A1279" s="87">
        <v>59</v>
      </c>
      <c r="B1279" s="87" t="s">
        <v>863</v>
      </c>
      <c r="C1279" s="87" t="s">
        <v>864</v>
      </c>
      <c r="D1279" s="87">
        <v>1997</v>
      </c>
      <c r="E1279" s="87">
        <v>1994</v>
      </c>
      <c r="F1279" s="87" t="s">
        <v>865</v>
      </c>
      <c r="G1279" s="87" t="s">
        <v>891</v>
      </c>
      <c r="H1279" s="32" t="s">
        <v>2831</v>
      </c>
      <c r="I1279" s="87">
        <v>38.92</v>
      </c>
      <c r="J1279" s="87">
        <v>-76.150000000000006</v>
      </c>
      <c r="K1279" s="87">
        <v>5</v>
      </c>
      <c r="N1279" s="87">
        <v>1275</v>
      </c>
      <c r="Q1279" s="88">
        <v>8</v>
      </c>
      <c r="R1279" s="88" t="s">
        <v>1869</v>
      </c>
      <c r="S1279" s="88" t="s">
        <v>866</v>
      </c>
      <c r="T1279" s="88" t="s">
        <v>1992</v>
      </c>
      <c r="U1279" s="88" t="s">
        <v>1393</v>
      </c>
      <c r="V1279" s="88" t="s">
        <v>1727</v>
      </c>
      <c r="W1279" s="88" t="s">
        <v>1393</v>
      </c>
      <c r="X1279" s="88" t="s">
        <v>1421</v>
      </c>
      <c r="Y1279" s="87">
        <v>1.5</v>
      </c>
      <c r="Z1279" s="345"/>
      <c r="AA1279" s="345"/>
      <c r="AB1279" s="87" t="s">
        <v>451</v>
      </c>
      <c r="AF1279" s="87" t="s">
        <v>1351</v>
      </c>
      <c r="AG1279" s="87" t="s">
        <v>132</v>
      </c>
      <c r="AH1279" s="138" t="s">
        <v>132</v>
      </c>
      <c r="AI1279" s="87" t="s">
        <v>133</v>
      </c>
      <c r="AJ1279" s="140" t="s">
        <v>133</v>
      </c>
      <c r="AN1279" s="87" t="s">
        <v>157</v>
      </c>
      <c r="AO1279" s="87" t="s">
        <v>157</v>
      </c>
      <c r="AP1279" s="87" t="s">
        <v>178</v>
      </c>
      <c r="AQ1279" s="87" t="s">
        <v>893</v>
      </c>
      <c r="AR1279" s="87" t="s">
        <v>893</v>
      </c>
      <c r="AS1279" s="87" t="s">
        <v>178</v>
      </c>
      <c r="AT1279" s="87" t="s">
        <v>120</v>
      </c>
      <c r="AU1279" s="87">
        <v>4</v>
      </c>
      <c r="AW1279" s="87" t="s">
        <v>336</v>
      </c>
      <c r="AY1279" s="87">
        <v>3645</v>
      </c>
      <c r="AZ1279" s="87">
        <v>61.570945945945944</v>
      </c>
      <c r="BM1279" s="420"/>
      <c r="BN1279" s="420"/>
      <c r="BR1279" s="420"/>
      <c r="BS1279" s="420"/>
      <c r="EO1279" s="87">
        <v>23.55</v>
      </c>
      <c r="EP1279" s="87">
        <v>1.56</v>
      </c>
      <c r="ES1279" s="87" t="s">
        <v>895</v>
      </c>
    </row>
    <row r="1280" spans="1:149" s="87" customFormat="1" x14ac:dyDescent="0.25">
      <c r="A1280" s="87">
        <v>59</v>
      </c>
      <c r="B1280" s="87" t="s">
        <v>863</v>
      </c>
      <c r="C1280" s="87" t="s">
        <v>864</v>
      </c>
      <c r="D1280" s="87">
        <v>1997</v>
      </c>
      <c r="E1280" s="87">
        <v>1994</v>
      </c>
      <c r="F1280" s="87" t="s">
        <v>865</v>
      </c>
      <c r="G1280" s="87" t="s">
        <v>891</v>
      </c>
      <c r="H1280" s="32" t="s">
        <v>2831</v>
      </c>
      <c r="I1280" s="87">
        <v>38.92</v>
      </c>
      <c r="J1280" s="87">
        <v>-76.150000000000006</v>
      </c>
      <c r="K1280" s="87">
        <v>5</v>
      </c>
      <c r="N1280" s="87">
        <v>1275</v>
      </c>
      <c r="Q1280" s="88">
        <v>8</v>
      </c>
      <c r="R1280" s="88" t="s">
        <v>1869</v>
      </c>
      <c r="S1280" s="88" t="s">
        <v>866</v>
      </c>
      <c r="T1280" s="88" t="s">
        <v>1992</v>
      </c>
      <c r="U1280" s="88" t="s">
        <v>1393</v>
      </c>
      <c r="V1280" s="88" t="s">
        <v>1727</v>
      </c>
      <c r="W1280" s="88" t="s">
        <v>1393</v>
      </c>
      <c r="X1280" s="88" t="s">
        <v>1421</v>
      </c>
      <c r="Y1280" s="87">
        <v>1.5</v>
      </c>
      <c r="Z1280" s="345"/>
      <c r="AA1280" s="345"/>
      <c r="AB1280" s="87" t="s">
        <v>451</v>
      </c>
      <c r="AF1280" s="87" t="s">
        <v>1351</v>
      </c>
      <c r="AG1280" s="87" t="s">
        <v>132</v>
      </c>
      <c r="AH1280" s="138" t="s">
        <v>132</v>
      </c>
      <c r="AI1280" s="87" t="s">
        <v>133</v>
      </c>
      <c r="AJ1280" s="140" t="s">
        <v>133</v>
      </c>
      <c r="AN1280" s="87" t="s">
        <v>157</v>
      </c>
      <c r="AO1280" s="87" t="s">
        <v>157</v>
      </c>
      <c r="AP1280" s="87" t="s">
        <v>178</v>
      </c>
      <c r="AQ1280" s="87" t="s">
        <v>893</v>
      </c>
      <c r="AR1280" s="87" t="s">
        <v>893</v>
      </c>
      <c r="AS1280" s="87" t="s">
        <v>178</v>
      </c>
      <c r="AT1280" s="87" t="s">
        <v>120</v>
      </c>
      <c r="AU1280" s="87">
        <v>4</v>
      </c>
      <c r="AW1280" s="87" t="s">
        <v>336</v>
      </c>
      <c r="AY1280" s="87">
        <v>3645</v>
      </c>
      <c r="AZ1280" s="87">
        <v>61.570945945945944</v>
      </c>
      <c r="BM1280" s="420"/>
      <c r="BN1280" s="420"/>
      <c r="BR1280" s="420"/>
      <c r="BS1280" s="420"/>
      <c r="EO1280" s="87">
        <v>7.28</v>
      </c>
      <c r="EP1280" s="87">
        <v>0.3</v>
      </c>
      <c r="ES1280" s="87" t="s">
        <v>895</v>
      </c>
    </row>
    <row r="1281" spans="1:149" s="87" customFormat="1" x14ac:dyDescent="0.25">
      <c r="A1281" s="87">
        <v>59</v>
      </c>
      <c r="B1281" s="87" t="s">
        <v>863</v>
      </c>
      <c r="C1281" s="87" t="s">
        <v>864</v>
      </c>
      <c r="D1281" s="87">
        <v>1997</v>
      </c>
      <c r="E1281" s="87">
        <v>1994</v>
      </c>
      <c r="F1281" s="87" t="s">
        <v>865</v>
      </c>
      <c r="G1281" s="87" t="s">
        <v>891</v>
      </c>
      <c r="H1281" s="32" t="s">
        <v>2831</v>
      </c>
      <c r="I1281" s="87">
        <v>38.92</v>
      </c>
      <c r="J1281" s="87">
        <v>-76.150000000000006</v>
      </c>
      <c r="K1281" s="87">
        <v>5</v>
      </c>
      <c r="N1281" s="87">
        <v>1275</v>
      </c>
      <c r="Q1281" s="88">
        <v>8</v>
      </c>
      <c r="R1281" s="88" t="s">
        <v>1869</v>
      </c>
      <c r="S1281" s="88" t="s">
        <v>866</v>
      </c>
      <c r="T1281" s="88" t="s">
        <v>1992</v>
      </c>
      <c r="U1281" s="88" t="s">
        <v>1393</v>
      </c>
      <c r="V1281" s="88" t="s">
        <v>1727</v>
      </c>
      <c r="W1281" s="88" t="s">
        <v>1393</v>
      </c>
      <c r="X1281" s="88" t="s">
        <v>1421</v>
      </c>
      <c r="Y1281" s="87">
        <v>1.5</v>
      </c>
      <c r="Z1281" s="345"/>
      <c r="AA1281" s="345"/>
      <c r="AB1281" s="87" t="s">
        <v>451</v>
      </c>
      <c r="AF1281" s="87" t="s">
        <v>1351</v>
      </c>
      <c r="AG1281" s="87" t="s">
        <v>132</v>
      </c>
      <c r="AH1281" s="138" t="s">
        <v>132</v>
      </c>
      <c r="AI1281" s="87" t="s">
        <v>133</v>
      </c>
      <c r="AJ1281" s="140" t="s">
        <v>133</v>
      </c>
      <c r="AN1281" s="87" t="s">
        <v>157</v>
      </c>
      <c r="AO1281" s="87" t="s">
        <v>157</v>
      </c>
      <c r="AP1281" s="87" t="s">
        <v>178</v>
      </c>
      <c r="AQ1281" s="87" t="s">
        <v>893</v>
      </c>
      <c r="AR1281" s="87" t="s">
        <v>893</v>
      </c>
      <c r="AS1281" s="87" t="s">
        <v>178</v>
      </c>
      <c r="AT1281" s="87" t="s">
        <v>120</v>
      </c>
      <c r="AU1281" s="87">
        <v>4</v>
      </c>
      <c r="AW1281" s="87" t="s">
        <v>336</v>
      </c>
      <c r="AY1281" s="87">
        <v>3645</v>
      </c>
      <c r="AZ1281" s="87">
        <v>61.570945945945944</v>
      </c>
      <c r="BM1281" s="420"/>
      <c r="BN1281" s="420"/>
      <c r="BR1281" s="420"/>
      <c r="BS1281" s="420"/>
      <c r="EO1281" s="87">
        <v>7.38</v>
      </c>
      <c r="EP1281" s="87">
        <v>0.21</v>
      </c>
      <c r="ES1281" s="87" t="s">
        <v>895</v>
      </c>
    </row>
    <row r="1282" spans="1:149" s="87" customFormat="1" x14ac:dyDescent="0.25">
      <c r="A1282" s="87">
        <v>59</v>
      </c>
      <c r="B1282" s="87" t="s">
        <v>863</v>
      </c>
      <c r="C1282" s="87" t="s">
        <v>864</v>
      </c>
      <c r="D1282" s="87">
        <v>1997</v>
      </c>
      <c r="E1282" s="87">
        <v>1994</v>
      </c>
      <c r="F1282" s="87" t="s">
        <v>865</v>
      </c>
      <c r="G1282" s="87" t="s">
        <v>891</v>
      </c>
      <c r="H1282" s="32" t="s">
        <v>2831</v>
      </c>
      <c r="I1282" s="87">
        <v>38.92</v>
      </c>
      <c r="J1282" s="87">
        <v>-76.150000000000006</v>
      </c>
      <c r="K1282" s="87">
        <v>5</v>
      </c>
      <c r="N1282" s="87">
        <v>1275</v>
      </c>
      <c r="Q1282" s="88">
        <v>8</v>
      </c>
      <c r="R1282" s="88" t="s">
        <v>1869</v>
      </c>
      <c r="S1282" s="88" t="s">
        <v>866</v>
      </c>
      <c r="T1282" s="88" t="s">
        <v>1992</v>
      </c>
      <c r="U1282" s="88" t="s">
        <v>1393</v>
      </c>
      <c r="V1282" s="88" t="s">
        <v>1727</v>
      </c>
      <c r="W1282" s="88" t="s">
        <v>1393</v>
      </c>
      <c r="X1282" s="88" t="s">
        <v>1421</v>
      </c>
      <c r="Y1282" s="87">
        <v>1.5</v>
      </c>
      <c r="Z1282" s="345"/>
      <c r="AA1282" s="345"/>
      <c r="AB1282" s="87" t="s">
        <v>451</v>
      </c>
      <c r="AF1282" s="87" t="s">
        <v>1351</v>
      </c>
      <c r="AG1282" s="87" t="s">
        <v>132</v>
      </c>
      <c r="AH1282" s="138" t="s">
        <v>132</v>
      </c>
      <c r="AI1282" s="87" t="s">
        <v>133</v>
      </c>
      <c r="AJ1282" s="140" t="s">
        <v>133</v>
      </c>
      <c r="AN1282" s="87" t="s">
        <v>157</v>
      </c>
      <c r="AO1282" s="87" t="s">
        <v>157</v>
      </c>
      <c r="AP1282" s="87" t="s">
        <v>178</v>
      </c>
      <c r="AQ1282" s="87" t="s">
        <v>893</v>
      </c>
      <c r="AR1282" s="87" t="s">
        <v>893</v>
      </c>
      <c r="AS1282" s="87" t="s">
        <v>178</v>
      </c>
      <c r="AT1282" s="87" t="s">
        <v>120</v>
      </c>
      <c r="AU1282" s="87">
        <v>4</v>
      </c>
      <c r="AW1282" s="87" t="s">
        <v>336</v>
      </c>
      <c r="AY1282" s="87">
        <v>3645</v>
      </c>
      <c r="AZ1282" s="87">
        <v>61.570945945945944</v>
      </c>
      <c r="BM1282" s="420"/>
      <c r="BN1282" s="420"/>
      <c r="BR1282" s="420"/>
      <c r="BS1282" s="420"/>
      <c r="EO1282" s="87">
        <v>12.85</v>
      </c>
      <c r="EP1282" s="87">
        <v>0.16</v>
      </c>
      <c r="ES1282" s="87" t="s">
        <v>895</v>
      </c>
    </row>
    <row r="1283" spans="1:149" s="87" customFormat="1" x14ac:dyDescent="0.25">
      <c r="A1283" s="87">
        <v>59</v>
      </c>
      <c r="B1283" s="87" t="s">
        <v>863</v>
      </c>
      <c r="C1283" s="87" t="s">
        <v>864</v>
      </c>
      <c r="D1283" s="87">
        <v>1997</v>
      </c>
      <c r="E1283" s="87">
        <v>1994</v>
      </c>
      <c r="F1283" s="87" t="s">
        <v>865</v>
      </c>
      <c r="G1283" s="87" t="s">
        <v>891</v>
      </c>
      <c r="H1283" s="32" t="s">
        <v>2831</v>
      </c>
      <c r="I1283" s="87">
        <v>38.92</v>
      </c>
      <c r="J1283" s="87">
        <v>-76.150000000000006</v>
      </c>
      <c r="K1283" s="87">
        <v>5</v>
      </c>
      <c r="N1283" s="87">
        <v>1275</v>
      </c>
      <c r="Q1283" s="88">
        <v>8</v>
      </c>
      <c r="R1283" s="88" t="s">
        <v>1869</v>
      </c>
      <c r="S1283" s="88" t="s">
        <v>866</v>
      </c>
      <c r="T1283" s="88" t="s">
        <v>1992</v>
      </c>
      <c r="U1283" s="88" t="s">
        <v>1393</v>
      </c>
      <c r="V1283" s="88" t="s">
        <v>1727</v>
      </c>
      <c r="W1283" s="88" t="s">
        <v>1393</v>
      </c>
      <c r="X1283" s="88" t="s">
        <v>1421</v>
      </c>
      <c r="Y1283" s="87">
        <v>1.5</v>
      </c>
      <c r="Z1283" s="345"/>
      <c r="AA1283" s="345"/>
      <c r="AB1283" s="87" t="s">
        <v>451</v>
      </c>
      <c r="AF1283" s="87" t="s">
        <v>1351</v>
      </c>
      <c r="AG1283" s="87" t="s">
        <v>132</v>
      </c>
      <c r="AH1283" s="138" t="s">
        <v>132</v>
      </c>
      <c r="AI1283" s="87" t="s">
        <v>133</v>
      </c>
      <c r="AJ1283" s="140" t="s">
        <v>133</v>
      </c>
      <c r="AN1283" s="87" t="s">
        <v>157</v>
      </c>
      <c r="AO1283" s="87" t="s">
        <v>157</v>
      </c>
      <c r="AP1283" s="87" t="s">
        <v>178</v>
      </c>
      <c r="AQ1283" s="87" t="s">
        <v>893</v>
      </c>
      <c r="AR1283" s="87" t="s">
        <v>893</v>
      </c>
      <c r="AS1283" s="87" t="s">
        <v>178</v>
      </c>
      <c r="AT1283" s="87" t="s">
        <v>120</v>
      </c>
      <c r="AU1283" s="87">
        <v>4</v>
      </c>
      <c r="AW1283" s="87" t="s">
        <v>336</v>
      </c>
      <c r="AY1283" s="87">
        <v>3645</v>
      </c>
      <c r="AZ1283" s="87">
        <v>61.570945945945944</v>
      </c>
      <c r="BM1283" s="420"/>
      <c r="BN1283" s="420"/>
      <c r="BR1283" s="420"/>
      <c r="BS1283" s="420"/>
      <c r="EO1283" s="87">
        <v>5</v>
      </c>
      <c r="EP1283" s="87">
        <v>0.16</v>
      </c>
      <c r="ES1283" s="87" t="s">
        <v>895</v>
      </c>
    </row>
    <row r="1284" spans="1:149" s="87" customFormat="1" x14ac:dyDescent="0.25">
      <c r="A1284" s="87">
        <v>59</v>
      </c>
      <c r="B1284" s="87" t="s">
        <v>863</v>
      </c>
      <c r="C1284" s="87" t="s">
        <v>864</v>
      </c>
      <c r="D1284" s="87">
        <v>1997</v>
      </c>
      <c r="E1284" s="87">
        <v>1994</v>
      </c>
      <c r="F1284" s="87" t="s">
        <v>865</v>
      </c>
      <c r="G1284" s="87" t="s">
        <v>891</v>
      </c>
      <c r="H1284" s="32" t="s">
        <v>2831</v>
      </c>
      <c r="I1284" s="87">
        <v>38.92</v>
      </c>
      <c r="J1284" s="87">
        <v>-76.150000000000006</v>
      </c>
      <c r="K1284" s="87">
        <v>5</v>
      </c>
      <c r="N1284" s="87">
        <v>1275</v>
      </c>
      <c r="Q1284" s="88">
        <v>8</v>
      </c>
      <c r="R1284" s="88" t="s">
        <v>1869</v>
      </c>
      <c r="S1284" s="88" t="s">
        <v>866</v>
      </c>
      <c r="T1284" s="88" t="s">
        <v>1992</v>
      </c>
      <c r="U1284" s="88" t="s">
        <v>1393</v>
      </c>
      <c r="V1284" s="88" t="s">
        <v>1727</v>
      </c>
      <c r="W1284" s="88" t="s">
        <v>1393</v>
      </c>
      <c r="X1284" s="88" t="s">
        <v>1421</v>
      </c>
      <c r="Y1284" s="87">
        <v>1.5</v>
      </c>
      <c r="Z1284" s="345"/>
      <c r="AA1284" s="345"/>
      <c r="AB1284" s="87" t="s">
        <v>451</v>
      </c>
      <c r="AF1284" s="87" t="s">
        <v>1351</v>
      </c>
      <c r="AG1284" s="87" t="s">
        <v>132</v>
      </c>
      <c r="AH1284" s="138" t="s">
        <v>132</v>
      </c>
      <c r="AI1284" s="87" t="s">
        <v>133</v>
      </c>
      <c r="AJ1284" s="140" t="s">
        <v>133</v>
      </c>
      <c r="AN1284" s="87" t="s">
        <v>157</v>
      </c>
      <c r="AO1284" s="87" t="s">
        <v>157</v>
      </c>
      <c r="AP1284" s="87" t="s">
        <v>178</v>
      </c>
      <c r="AQ1284" s="87" t="s">
        <v>893</v>
      </c>
      <c r="AR1284" s="87" t="s">
        <v>893</v>
      </c>
      <c r="AS1284" s="87" t="s">
        <v>178</v>
      </c>
      <c r="AT1284" s="87" t="s">
        <v>120</v>
      </c>
      <c r="AU1284" s="87">
        <v>4</v>
      </c>
      <c r="AW1284" s="87" t="s">
        <v>336</v>
      </c>
      <c r="AY1284" s="87">
        <v>3645</v>
      </c>
      <c r="AZ1284" s="87">
        <v>61.570945945945944</v>
      </c>
      <c r="BM1284" s="420"/>
      <c r="BN1284" s="420"/>
      <c r="BR1284" s="420"/>
      <c r="BS1284" s="420"/>
      <c r="EO1284" s="87">
        <v>0.55000000000000004</v>
      </c>
      <c r="EP1284" s="87">
        <v>0.36</v>
      </c>
      <c r="ES1284" s="87" t="s">
        <v>895</v>
      </c>
    </row>
    <row r="1285" spans="1:149" s="24" customFormat="1" x14ac:dyDescent="0.25">
      <c r="A1285" s="24">
        <v>59</v>
      </c>
      <c r="B1285" s="24" t="s">
        <v>863</v>
      </c>
      <c r="C1285" s="24" t="s">
        <v>864</v>
      </c>
      <c r="D1285" s="24">
        <v>1997</v>
      </c>
      <c r="E1285" s="24">
        <v>1995</v>
      </c>
      <c r="F1285" s="24" t="s">
        <v>865</v>
      </c>
      <c r="G1285" s="24" t="s">
        <v>891</v>
      </c>
      <c r="H1285" s="32" t="s">
        <v>2831</v>
      </c>
      <c r="I1285" s="24">
        <v>38.92</v>
      </c>
      <c r="J1285" s="24">
        <v>-76.150000000000006</v>
      </c>
      <c r="K1285" s="24">
        <v>5</v>
      </c>
      <c r="N1285" s="24">
        <v>755</v>
      </c>
      <c r="Q1285" s="42">
        <v>9</v>
      </c>
      <c r="R1285" s="42" t="s">
        <v>1869</v>
      </c>
      <c r="S1285" s="42" t="s">
        <v>866</v>
      </c>
      <c r="T1285" s="42" t="s">
        <v>1992</v>
      </c>
      <c r="U1285" s="42" t="s">
        <v>1393</v>
      </c>
      <c r="V1285" s="42" t="s">
        <v>1727</v>
      </c>
      <c r="W1285" s="42" t="s">
        <v>1393</v>
      </c>
      <c r="X1285" s="42" t="s">
        <v>1421</v>
      </c>
      <c r="Y1285" s="24">
        <v>1.5</v>
      </c>
      <c r="Z1285" s="321"/>
      <c r="AA1285" s="321"/>
      <c r="AB1285" s="24" t="s">
        <v>451</v>
      </c>
      <c r="AF1285" s="24" t="s">
        <v>1351</v>
      </c>
      <c r="AG1285" s="24" t="s">
        <v>132</v>
      </c>
      <c r="AH1285" s="138" t="s">
        <v>132</v>
      </c>
      <c r="AI1285" s="24" t="s">
        <v>133</v>
      </c>
      <c r="AJ1285" s="140" t="s">
        <v>133</v>
      </c>
      <c r="AN1285" s="24" t="s">
        <v>157</v>
      </c>
      <c r="AO1285" s="24" t="s">
        <v>157</v>
      </c>
      <c r="AP1285" s="24" t="s">
        <v>178</v>
      </c>
      <c r="AQ1285" s="24" t="s">
        <v>893</v>
      </c>
      <c r="AR1285" s="24" t="s">
        <v>893</v>
      </c>
      <c r="AS1285" s="24" t="s">
        <v>178</v>
      </c>
      <c r="AT1285" s="24" t="s">
        <v>120</v>
      </c>
      <c r="AU1285" s="24">
        <v>4</v>
      </c>
      <c r="AW1285" s="24" t="s">
        <v>336</v>
      </c>
      <c r="AY1285" s="24">
        <v>3645</v>
      </c>
      <c r="AZ1285" s="24">
        <v>61.570945945945944</v>
      </c>
      <c r="BM1285" s="395"/>
      <c r="BN1285" s="395"/>
      <c r="BR1285" s="395"/>
      <c r="BS1285" s="395"/>
      <c r="EO1285" s="24">
        <v>5.81</v>
      </c>
      <c r="EP1285" s="24">
        <v>3.78</v>
      </c>
      <c r="ES1285" s="24" t="s">
        <v>895</v>
      </c>
    </row>
    <row r="1286" spans="1:149" s="24" customFormat="1" x14ac:dyDescent="0.25">
      <c r="A1286" s="24">
        <v>59</v>
      </c>
      <c r="B1286" s="24" t="s">
        <v>863</v>
      </c>
      <c r="C1286" s="24" t="s">
        <v>864</v>
      </c>
      <c r="D1286" s="24">
        <v>1997</v>
      </c>
      <c r="E1286" s="24">
        <v>1995</v>
      </c>
      <c r="F1286" s="24" t="s">
        <v>865</v>
      </c>
      <c r="G1286" s="24" t="s">
        <v>891</v>
      </c>
      <c r="H1286" s="32" t="s">
        <v>2831</v>
      </c>
      <c r="I1286" s="24">
        <v>38.92</v>
      </c>
      <c r="J1286" s="24">
        <v>-76.150000000000006</v>
      </c>
      <c r="K1286" s="24">
        <v>5</v>
      </c>
      <c r="N1286" s="24">
        <v>755</v>
      </c>
      <c r="Q1286" s="42">
        <v>9</v>
      </c>
      <c r="R1286" s="42" t="s">
        <v>1869</v>
      </c>
      <c r="S1286" s="42" t="s">
        <v>866</v>
      </c>
      <c r="T1286" s="42" t="s">
        <v>1992</v>
      </c>
      <c r="U1286" s="42" t="s">
        <v>1393</v>
      </c>
      <c r="V1286" s="42" t="s">
        <v>1727</v>
      </c>
      <c r="W1286" s="42" t="s">
        <v>1393</v>
      </c>
      <c r="X1286" s="42" t="s">
        <v>1421</v>
      </c>
      <c r="Y1286" s="24">
        <v>1.5</v>
      </c>
      <c r="Z1286" s="321"/>
      <c r="AA1286" s="321"/>
      <c r="AB1286" s="24" t="s">
        <v>451</v>
      </c>
      <c r="AF1286" s="24" t="s">
        <v>1351</v>
      </c>
      <c r="AG1286" s="24" t="s">
        <v>132</v>
      </c>
      <c r="AH1286" s="138" t="s">
        <v>132</v>
      </c>
      <c r="AI1286" s="24" t="s">
        <v>133</v>
      </c>
      <c r="AJ1286" s="140" t="s">
        <v>133</v>
      </c>
      <c r="AN1286" s="24" t="s">
        <v>157</v>
      </c>
      <c r="AO1286" s="24" t="s">
        <v>157</v>
      </c>
      <c r="AP1286" s="24" t="s">
        <v>178</v>
      </c>
      <c r="AQ1286" s="24" t="s">
        <v>893</v>
      </c>
      <c r="AR1286" s="24" t="s">
        <v>893</v>
      </c>
      <c r="AS1286" s="24" t="s">
        <v>178</v>
      </c>
      <c r="AT1286" s="24" t="s">
        <v>120</v>
      </c>
      <c r="AU1286" s="24">
        <v>4</v>
      </c>
      <c r="AW1286" s="24" t="s">
        <v>336</v>
      </c>
      <c r="AY1286" s="24">
        <v>3645</v>
      </c>
      <c r="AZ1286" s="24">
        <v>61.570945945945944</v>
      </c>
      <c r="BM1286" s="395"/>
      <c r="BN1286" s="395"/>
      <c r="BR1286" s="395"/>
      <c r="BS1286" s="395"/>
      <c r="EO1286" s="24">
        <v>16.760000000000002</v>
      </c>
      <c r="EP1286" s="24">
        <v>0.39</v>
      </c>
      <c r="ES1286" s="24" t="s">
        <v>895</v>
      </c>
    </row>
    <row r="1287" spans="1:149" s="24" customFormat="1" x14ac:dyDescent="0.25">
      <c r="A1287" s="24">
        <v>59</v>
      </c>
      <c r="B1287" s="24" t="s">
        <v>863</v>
      </c>
      <c r="C1287" s="24" t="s">
        <v>864</v>
      </c>
      <c r="D1287" s="24">
        <v>1997</v>
      </c>
      <c r="E1287" s="24">
        <v>1995</v>
      </c>
      <c r="F1287" s="24" t="s">
        <v>865</v>
      </c>
      <c r="G1287" s="24" t="s">
        <v>891</v>
      </c>
      <c r="H1287" s="32" t="s">
        <v>2831</v>
      </c>
      <c r="I1287" s="24">
        <v>38.92</v>
      </c>
      <c r="J1287" s="24">
        <v>-76.150000000000006</v>
      </c>
      <c r="K1287" s="24">
        <v>5</v>
      </c>
      <c r="N1287" s="24">
        <v>755</v>
      </c>
      <c r="Q1287" s="42">
        <v>9</v>
      </c>
      <c r="R1287" s="42" t="s">
        <v>1869</v>
      </c>
      <c r="S1287" s="42" t="s">
        <v>866</v>
      </c>
      <c r="T1287" s="42" t="s">
        <v>1992</v>
      </c>
      <c r="U1287" s="42" t="s">
        <v>1393</v>
      </c>
      <c r="V1287" s="42" t="s">
        <v>1727</v>
      </c>
      <c r="W1287" s="42" t="s">
        <v>1393</v>
      </c>
      <c r="X1287" s="42" t="s">
        <v>1421</v>
      </c>
      <c r="Y1287" s="24">
        <v>1.5</v>
      </c>
      <c r="Z1287" s="321"/>
      <c r="AA1287" s="321"/>
      <c r="AB1287" s="24" t="s">
        <v>451</v>
      </c>
      <c r="AF1287" s="24" t="s">
        <v>1351</v>
      </c>
      <c r="AG1287" s="24" t="s">
        <v>132</v>
      </c>
      <c r="AH1287" s="138" t="s">
        <v>132</v>
      </c>
      <c r="AI1287" s="24" t="s">
        <v>133</v>
      </c>
      <c r="AJ1287" s="140" t="s">
        <v>133</v>
      </c>
      <c r="AN1287" s="24" t="s">
        <v>157</v>
      </c>
      <c r="AO1287" s="24" t="s">
        <v>157</v>
      </c>
      <c r="AP1287" s="24" t="s">
        <v>178</v>
      </c>
      <c r="AQ1287" s="24" t="s">
        <v>893</v>
      </c>
      <c r="AR1287" s="24" t="s">
        <v>893</v>
      </c>
      <c r="AS1287" s="24" t="s">
        <v>178</v>
      </c>
      <c r="AT1287" s="24" t="s">
        <v>120</v>
      </c>
      <c r="AU1287" s="24">
        <v>4</v>
      </c>
      <c r="AW1287" s="24" t="s">
        <v>336</v>
      </c>
      <c r="AY1287" s="24">
        <v>3645</v>
      </c>
      <c r="AZ1287" s="24">
        <v>61.570945945945944</v>
      </c>
      <c r="BM1287" s="395"/>
      <c r="BN1287" s="395"/>
      <c r="BR1287" s="395"/>
      <c r="BS1287" s="395"/>
      <c r="EO1287" s="24">
        <v>15.75</v>
      </c>
      <c r="EP1287" s="24">
        <v>0.44</v>
      </c>
      <c r="ES1287" s="24" t="s">
        <v>895</v>
      </c>
    </row>
    <row r="1288" spans="1:149" s="24" customFormat="1" x14ac:dyDescent="0.25">
      <c r="A1288" s="24">
        <v>59</v>
      </c>
      <c r="B1288" s="24" t="s">
        <v>863</v>
      </c>
      <c r="C1288" s="24" t="s">
        <v>864</v>
      </c>
      <c r="D1288" s="24">
        <v>1997</v>
      </c>
      <c r="E1288" s="24">
        <v>1995</v>
      </c>
      <c r="F1288" s="24" t="s">
        <v>865</v>
      </c>
      <c r="G1288" s="24" t="s">
        <v>891</v>
      </c>
      <c r="H1288" s="32" t="s">
        <v>2831</v>
      </c>
      <c r="I1288" s="24">
        <v>38.92</v>
      </c>
      <c r="J1288" s="24">
        <v>-76.150000000000006</v>
      </c>
      <c r="K1288" s="24">
        <v>5</v>
      </c>
      <c r="N1288" s="24">
        <v>755</v>
      </c>
      <c r="Q1288" s="42">
        <v>9</v>
      </c>
      <c r="R1288" s="42" t="s">
        <v>1869</v>
      </c>
      <c r="S1288" s="42" t="s">
        <v>866</v>
      </c>
      <c r="T1288" s="42" t="s">
        <v>1992</v>
      </c>
      <c r="U1288" s="42" t="s">
        <v>1393</v>
      </c>
      <c r="V1288" s="42" t="s">
        <v>1727</v>
      </c>
      <c r="W1288" s="42" t="s">
        <v>1393</v>
      </c>
      <c r="X1288" s="42" t="s">
        <v>1421</v>
      </c>
      <c r="Y1288" s="24">
        <v>1.5</v>
      </c>
      <c r="Z1288" s="321"/>
      <c r="AA1288" s="321"/>
      <c r="AB1288" s="24" t="s">
        <v>451</v>
      </c>
      <c r="AF1288" s="24" t="s">
        <v>1351</v>
      </c>
      <c r="AG1288" s="24" t="s">
        <v>132</v>
      </c>
      <c r="AH1288" s="138" t="s">
        <v>132</v>
      </c>
      <c r="AI1288" s="24" t="s">
        <v>133</v>
      </c>
      <c r="AJ1288" s="140" t="s">
        <v>133</v>
      </c>
      <c r="AN1288" s="24" t="s">
        <v>157</v>
      </c>
      <c r="AO1288" s="24" t="s">
        <v>157</v>
      </c>
      <c r="AP1288" s="24" t="s">
        <v>178</v>
      </c>
      <c r="AQ1288" s="24" t="s">
        <v>893</v>
      </c>
      <c r="AR1288" s="24" t="s">
        <v>893</v>
      </c>
      <c r="AS1288" s="24" t="s">
        <v>178</v>
      </c>
      <c r="AT1288" s="24" t="s">
        <v>120</v>
      </c>
      <c r="AU1288" s="24">
        <v>4</v>
      </c>
      <c r="AW1288" s="24" t="s">
        <v>336</v>
      </c>
      <c r="AY1288" s="24">
        <v>3645</v>
      </c>
      <c r="AZ1288" s="24">
        <v>61.570945945945944</v>
      </c>
      <c r="BM1288" s="395"/>
      <c r="BN1288" s="395"/>
      <c r="BR1288" s="395"/>
      <c r="BS1288" s="395"/>
      <c r="EO1288" s="24">
        <v>20.45</v>
      </c>
      <c r="EP1288" s="24">
        <v>0.31</v>
      </c>
      <c r="ES1288" s="24" t="s">
        <v>895</v>
      </c>
    </row>
    <row r="1289" spans="1:149" s="24" customFormat="1" x14ac:dyDescent="0.25">
      <c r="A1289" s="24">
        <v>59</v>
      </c>
      <c r="B1289" s="24" t="s">
        <v>863</v>
      </c>
      <c r="C1289" s="24" t="s">
        <v>864</v>
      </c>
      <c r="D1289" s="24">
        <v>1997</v>
      </c>
      <c r="E1289" s="24">
        <v>1995</v>
      </c>
      <c r="F1289" s="24" t="s">
        <v>865</v>
      </c>
      <c r="G1289" s="24" t="s">
        <v>891</v>
      </c>
      <c r="H1289" s="32" t="s">
        <v>2831</v>
      </c>
      <c r="I1289" s="24">
        <v>38.92</v>
      </c>
      <c r="J1289" s="24">
        <v>-76.150000000000006</v>
      </c>
      <c r="K1289" s="24">
        <v>5</v>
      </c>
      <c r="N1289" s="24">
        <v>755</v>
      </c>
      <c r="Q1289" s="42">
        <v>9</v>
      </c>
      <c r="R1289" s="42" t="s">
        <v>1869</v>
      </c>
      <c r="S1289" s="42" t="s">
        <v>866</v>
      </c>
      <c r="T1289" s="42" t="s">
        <v>1992</v>
      </c>
      <c r="U1289" s="42" t="s">
        <v>1393</v>
      </c>
      <c r="V1289" s="42" t="s">
        <v>1727</v>
      </c>
      <c r="W1289" s="42" t="s">
        <v>1393</v>
      </c>
      <c r="X1289" s="42" t="s">
        <v>1421</v>
      </c>
      <c r="Y1289" s="24">
        <v>1.5</v>
      </c>
      <c r="Z1289" s="321"/>
      <c r="AA1289" s="321"/>
      <c r="AB1289" s="24" t="s">
        <v>451</v>
      </c>
      <c r="AF1289" s="24" t="s">
        <v>1351</v>
      </c>
      <c r="AG1289" s="24" t="s">
        <v>132</v>
      </c>
      <c r="AH1289" s="138" t="s">
        <v>132</v>
      </c>
      <c r="AI1289" s="24" t="s">
        <v>133</v>
      </c>
      <c r="AJ1289" s="140" t="s">
        <v>133</v>
      </c>
      <c r="AN1289" s="24" t="s">
        <v>157</v>
      </c>
      <c r="AO1289" s="24" t="s">
        <v>157</v>
      </c>
      <c r="AP1289" s="24" t="s">
        <v>178</v>
      </c>
      <c r="AQ1289" s="24" t="s">
        <v>893</v>
      </c>
      <c r="AR1289" s="24" t="s">
        <v>893</v>
      </c>
      <c r="AS1289" s="24" t="s">
        <v>178</v>
      </c>
      <c r="AT1289" s="24" t="s">
        <v>120</v>
      </c>
      <c r="AU1289" s="24">
        <v>4</v>
      </c>
      <c r="AW1289" s="24" t="s">
        <v>336</v>
      </c>
      <c r="AY1289" s="24">
        <v>3645</v>
      </c>
      <c r="AZ1289" s="24">
        <v>61.570945945945944</v>
      </c>
      <c r="BM1289" s="395"/>
      <c r="BN1289" s="395"/>
      <c r="BR1289" s="395"/>
      <c r="BS1289" s="395"/>
      <c r="EO1289" s="24">
        <v>14.45</v>
      </c>
      <c r="EP1289" s="24">
        <v>0.21</v>
      </c>
      <c r="ES1289" s="24" t="s">
        <v>895</v>
      </c>
    </row>
    <row r="1290" spans="1:149" s="24" customFormat="1" x14ac:dyDescent="0.25">
      <c r="A1290" s="24">
        <v>59</v>
      </c>
      <c r="B1290" s="24" t="s">
        <v>863</v>
      </c>
      <c r="C1290" s="24" t="s">
        <v>864</v>
      </c>
      <c r="D1290" s="24">
        <v>1997</v>
      </c>
      <c r="E1290" s="24">
        <v>1995</v>
      </c>
      <c r="F1290" s="24" t="s">
        <v>865</v>
      </c>
      <c r="G1290" s="24" t="s">
        <v>891</v>
      </c>
      <c r="H1290" s="32" t="s">
        <v>2831</v>
      </c>
      <c r="I1290" s="24">
        <v>38.92</v>
      </c>
      <c r="J1290" s="24">
        <v>-76.150000000000006</v>
      </c>
      <c r="K1290" s="24">
        <v>5</v>
      </c>
      <c r="N1290" s="24">
        <v>755</v>
      </c>
      <c r="Q1290" s="42">
        <v>9</v>
      </c>
      <c r="R1290" s="42" t="s">
        <v>1869</v>
      </c>
      <c r="S1290" s="42" t="s">
        <v>866</v>
      </c>
      <c r="T1290" s="42" t="s">
        <v>1992</v>
      </c>
      <c r="U1290" s="42" t="s">
        <v>1393</v>
      </c>
      <c r="V1290" s="42" t="s">
        <v>1727</v>
      </c>
      <c r="W1290" s="42" t="s">
        <v>1393</v>
      </c>
      <c r="X1290" s="42" t="s">
        <v>1421</v>
      </c>
      <c r="Y1290" s="24">
        <v>1.5</v>
      </c>
      <c r="Z1290" s="321"/>
      <c r="AA1290" s="321"/>
      <c r="AB1290" s="24" t="s">
        <v>451</v>
      </c>
      <c r="AF1290" s="24" t="s">
        <v>1351</v>
      </c>
      <c r="AG1290" s="24" t="s">
        <v>132</v>
      </c>
      <c r="AH1290" s="138" t="s">
        <v>132</v>
      </c>
      <c r="AI1290" s="24" t="s">
        <v>133</v>
      </c>
      <c r="AJ1290" s="140" t="s">
        <v>133</v>
      </c>
      <c r="AN1290" s="24" t="s">
        <v>157</v>
      </c>
      <c r="AO1290" s="24" t="s">
        <v>157</v>
      </c>
      <c r="AP1290" s="24" t="s">
        <v>178</v>
      </c>
      <c r="AQ1290" s="24" t="s">
        <v>893</v>
      </c>
      <c r="AR1290" s="24" t="s">
        <v>893</v>
      </c>
      <c r="AS1290" s="24" t="s">
        <v>178</v>
      </c>
      <c r="AT1290" s="24" t="s">
        <v>120</v>
      </c>
      <c r="AU1290" s="24">
        <v>4</v>
      </c>
      <c r="AW1290" s="24" t="s">
        <v>336</v>
      </c>
      <c r="AY1290" s="24">
        <v>3645</v>
      </c>
      <c r="AZ1290" s="24">
        <v>61.570945945945944</v>
      </c>
      <c r="BM1290" s="395"/>
      <c r="BN1290" s="395"/>
      <c r="BR1290" s="395"/>
      <c r="BS1290" s="395"/>
      <c r="EO1290" s="24">
        <v>9.17</v>
      </c>
      <c r="EP1290" s="24">
        <v>0.1</v>
      </c>
      <c r="ES1290" s="24" t="s">
        <v>895</v>
      </c>
    </row>
    <row r="1291" spans="1:149" s="24" customFormat="1" x14ac:dyDescent="0.25">
      <c r="A1291" s="24">
        <v>59</v>
      </c>
      <c r="B1291" s="24" t="s">
        <v>863</v>
      </c>
      <c r="C1291" s="24" t="s">
        <v>864</v>
      </c>
      <c r="D1291" s="24">
        <v>1997</v>
      </c>
      <c r="E1291" s="24">
        <v>1995</v>
      </c>
      <c r="F1291" s="24" t="s">
        <v>865</v>
      </c>
      <c r="G1291" s="24" t="s">
        <v>891</v>
      </c>
      <c r="H1291" s="32" t="s">
        <v>2831</v>
      </c>
      <c r="I1291" s="24">
        <v>38.92</v>
      </c>
      <c r="J1291" s="24">
        <v>-76.150000000000006</v>
      </c>
      <c r="K1291" s="24">
        <v>5</v>
      </c>
      <c r="N1291" s="24">
        <v>755</v>
      </c>
      <c r="Q1291" s="42">
        <v>9</v>
      </c>
      <c r="R1291" s="42" t="s">
        <v>1869</v>
      </c>
      <c r="S1291" s="42" t="s">
        <v>866</v>
      </c>
      <c r="T1291" s="42" t="s">
        <v>1992</v>
      </c>
      <c r="U1291" s="42" t="s">
        <v>1393</v>
      </c>
      <c r="V1291" s="42" t="s">
        <v>1727</v>
      </c>
      <c r="W1291" s="42" t="s">
        <v>1393</v>
      </c>
      <c r="X1291" s="42" t="s">
        <v>1421</v>
      </c>
      <c r="Y1291" s="24">
        <v>1.5</v>
      </c>
      <c r="Z1291" s="321"/>
      <c r="AA1291" s="321"/>
      <c r="AB1291" s="24" t="s">
        <v>451</v>
      </c>
      <c r="AF1291" s="24" t="s">
        <v>1351</v>
      </c>
      <c r="AG1291" s="24" t="s">
        <v>132</v>
      </c>
      <c r="AH1291" s="138" t="s">
        <v>132</v>
      </c>
      <c r="AI1291" s="24" t="s">
        <v>133</v>
      </c>
      <c r="AJ1291" s="140" t="s">
        <v>133</v>
      </c>
      <c r="AN1291" s="24" t="s">
        <v>157</v>
      </c>
      <c r="AO1291" s="24" t="s">
        <v>157</v>
      </c>
      <c r="AP1291" s="24" t="s">
        <v>178</v>
      </c>
      <c r="AQ1291" s="24" t="s">
        <v>893</v>
      </c>
      <c r="AR1291" s="24" t="s">
        <v>893</v>
      </c>
      <c r="AS1291" s="24" t="s">
        <v>178</v>
      </c>
      <c r="AT1291" s="24" t="s">
        <v>120</v>
      </c>
      <c r="AU1291" s="24">
        <v>4</v>
      </c>
      <c r="AW1291" s="24" t="s">
        <v>336</v>
      </c>
      <c r="AY1291" s="24">
        <v>3645</v>
      </c>
      <c r="AZ1291" s="24">
        <v>61.570945945945944</v>
      </c>
      <c r="BM1291" s="395"/>
      <c r="BN1291" s="395"/>
      <c r="BR1291" s="395"/>
      <c r="BS1291" s="395"/>
      <c r="EO1291" s="24">
        <v>12.47</v>
      </c>
      <c r="EP1291" s="24">
        <v>0.56000000000000005</v>
      </c>
      <c r="ES1291" s="24" t="s">
        <v>895</v>
      </c>
    </row>
    <row r="1292" spans="1:149" s="24" customFormat="1" x14ac:dyDescent="0.25">
      <c r="A1292" s="24">
        <v>59</v>
      </c>
      <c r="B1292" s="24" t="s">
        <v>863</v>
      </c>
      <c r="C1292" s="24" t="s">
        <v>864</v>
      </c>
      <c r="D1292" s="24">
        <v>1997</v>
      </c>
      <c r="E1292" s="24">
        <v>1995</v>
      </c>
      <c r="F1292" s="24" t="s">
        <v>865</v>
      </c>
      <c r="G1292" s="24" t="s">
        <v>891</v>
      </c>
      <c r="H1292" s="32" t="s">
        <v>2831</v>
      </c>
      <c r="I1292" s="24">
        <v>38.92</v>
      </c>
      <c r="J1292" s="24">
        <v>-76.150000000000006</v>
      </c>
      <c r="K1292" s="24">
        <v>5</v>
      </c>
      <c r="N1292" s="24">
        <v>755</v>
      </c>
      <c r="Q1292" s="42">
        <v>9</v>
      </c>
      <c r="R1292" s="42" t="s">
        <v>1869</v>
      </c>
      <c r="S1292" s="42" t="s">
        <v>866</v>
      </c>
      <c r="T1292" s="42" t="s">
        <v>1992</v>
      </c>
      <c r="U1292" s="42" t="s">
        <v>1393</v>
      </c>
      <c r="V1292" s="42" t="s">
        <v>1727</v>
      </c>
      <c r="W1292" s="42" t="s">
        <v>1393</v>
      </c>
      <c r="X1292" s="42" t="s">
        <v>1421</v>
      </c>
      <c r="Y1292" s="24">
        <v>1.5</v>
      </c>
      <c r="Z1292" s="321"/>
      <c r="AA1292" s="321"/>
      <c r="AB1292" s="24" t="s">
        <v>451</v>
      </c>
      <c r="AF1292" s="24" t="s">
        <v>1351</v>
      </c>
      <c r="AG1292" s="24" t="s">
        <v>132</v>
      </c>
      <c r="AH1292" s="138" t="s">
        <v>132</v>
      </c>
      <c r="AI1292" s="24" t="s">
        <v>133</v>
      </c>
      <c r="AJ1292" s="140" t="s">
        <v>133</v>
      </c>
      <c r="AN1292" s="24" t="s">
        <v>157</v>
      </c>
      <c r="AO1292" s="24" t="s">
        <v>157</v>
      </c>
      <c r="AP1292" s="24" t="s">
        <v>178</v>
      </c>
      <c r="AQ1292" s="24" t="s">
        <v>893</v>
      </c>
      <c r="AR1292" s="24" t="s">
        <v>893</v>
      </c>
      <c r="AS1292" s="24" t="s">
        <v>178</v>
      </c>
      <c r="AT1292" s="24" t="s">
        <v>120</v>
      </c>
      <c r="AU1292" s="24">
        <v>4</v>
      </c>
      <c r="AW1292" s="24" t="s">
        <v>336</v>
      </c>
      <c r="AY1292" s="24">
        <v>3645</v>
      </c>
      <c r="AZ1292" s="24">
        <v>61.570945945945944</v>
      </c>
      <c r="BM1292" s="395"/>
      <c r="BN1292" s="395"/>
      <c r="BR1292" s="395"/>
      <c r="BS1292" s="395"/>
      <c r="EO1292" s="24">
        <v>12.86</v>
      </c>
      <c r="EP1292" s="24">
        <v>1.23</v>
      </c>
      <c r="ES1292" s="24" t="s">
        <v>895</v>
      </c>
    </row>
    <row r="1293" spans="1:149" s="23" customFormat="1" x14ac:dyDescent="0.25">
      <c r="A1293" s="23">
        <v>59</v>
      </c>
      <c r="B1293" s="23" t="s">
        <v>863</v>
      </c>
      <c r="C1293" s="23" t="s">
        <v>864</v>
      </c>
      <c r="D1293" s="23">
        <v>1997</v>
      </c>
      <c r="E1293" s="23">
        <v>1988</v>
      </c>
      <c r="F1293" s="23" t="s">
        <v>865</v>
      </c>
      <c r="G1293" s="23" t="s">
        <v>891</v>
      </c>
      <c r="H1293" s="32" t="s">
        <v>2831</v>
      </c>
      <c r="I1293" s="23">
        <v>38.92</v>
      </c>
      <c r="J1293" s="23">
        <v>-76.150000000000006</v>
      </c>
      <c r="K1293" s="23">
        <v>5</v>
      </c>
      <c r="N1293" s="23">
        <v>866</v>
      </c>
      <c r="Q1293" s="89">
        <v>2</v>
      </c>
      <c r="R1293" s="89" t="s">
        <v>1869</v>
      </c>
      <c r="S1293" s="89" t="s">
        <v>866</v>
      </c>
      <c r="T1293" s="89" t="s">
        <v>1993</v>
      </c>
      <c r="U1293" s="89" t="s">
        <v>1414</v>
      </c>
      <c r="V1293" s="89" t="s">
        <v>1731</v>
      </c>
      <c r="W1293" s="89" t="s">
        <v>1393</v>
      </c>
      <c r="X1293" s="89" t="s">
        <v>1421</v>
      </c>
      <c r="Y1293" s="23">
        <v>1.5</v>
      </c>
      <c r="Z1293" s="346"/>
      <c r="AA1293" s="346"/>
      <c r="AB1293" s="23" t="s">
        <v>451</v>
      </c>
      <c r="AF1293" s="23" t="s">
        <v>1351</v>
      </c>
      <c r="AG1293" s="23" t="s">
        <v>132</v>
      </c>
      <c r="AH1293" s="138" t="s">
        <v>132</v>
      </c>
      <c r="AI1293" s="23" t="s">
        <v>133</v>
      </c>
      <c r="AJ1293" s="140" t="s">
        <v>133</v>
      </c>
      <c r="AN1293" s="23" t="s">
        <v>232</v>
      </c>
      <c r="AO1293" s="23" t="s">
        <v>232</v>
      </c>
      <c r="AP1293" s="23" t="s">
        <v>178</v>
      </c>
      <c r="AQ1293" s="23" t="s">
        <v>893</v>
      </c>
      <c r="AR1293" s="23" t="s">
        <v>893</v>
      </c>
      <c r="AS1293" s="23" t="s">
        <v>178</v>
      </c>
      <c r="AT1293" s="23" t="s">
        <v>120</v>
      </c>
      <c r="AU1293" s="23">
        <v>4</v>
      </c>
      <c r="AW1293" s="23" t="s">
        <v>336</v>
      </c>
      <c r="BM1293" s="421"/>
      <c r="BN1293" s="421"/>
      <c r="BR1293" s="421"/>
      <c r="BS1293" s="421"/>
      <c r="BW1293" s="23">
        <v>6.96</v>
      </c>
      <c r="BX1293" s="23">
        <v>6.96</v>
      </c>
      <c r="CA1293" s="23" t="s">
        <v>1683</v>
      </c>
    </row>
    <row r="1294" spans="1:149" s="23" customFormat="1" x14ac:dyDescent="0.25">
      <c r="A1294" s="23">
        <v>59</v>
      </c>
      <c r="B1294" s="23" t="s">
        <v>863</v>
      </c>
      <c r="C1294" s="23" t="s">
        <v>864</v>
      </c>
      <c r="D1294" s="23">
        <v>1997</v>
      </c>
      <c r="E1294" s="23">
        <v>1989</v>
      </c>
      <c r="F1294" s="23" t="s">
        <v>865</v>
      </c>
      <c r="G1294" s="23" t="s">
        <v>891</v>
      </c>
      <c r="H1294" s="32" t="s">
        <v>2831</v>
      </c>
      <c r="I1294" s="23">
        <v>38.92</v>
      </c>
      <c r="J1294" s="23">
        <v>-76.150000000000006</v>
      </c>
      <c r="K1294" s="23">
        <v>5</v>
      </c>
      <c r="N1294" s="23">
        <v>1300</v>
      </c>
      <c r="Q1294" s="89">
        <v>3</v>
      </c>
      <c r="R1294" s="89" t="s">
        <v>1869</v>
      </c>
      <c r="S1294" s="89" t="s">
        <v>866</v>
      </c>
      <c r="T1294" s="89" t="s">
        <v>1994</v>
      </c>
      <c r="U1294" s="89" t="s">
        <v>1414</v>
      </c>
      <c r="V1294" s="89" t="s">
        <v>1731</v>
      </c>
      <c r="W1294" s="89" t="s">
        <v>1393</v>
      </c>
      <c r="X1294" s="89" t="s">
        <v>1421</v>
      </c>
      <c r="Y1294" s="23">
        <v>1.5</v>
      </c>
      <c r="Z1294" s="346"/>
      <c r="AA1294" s="346"/>
      <c r="AB1294" s="23" t="s">
        <v>451</v>
      </c>
      <c r="AF1294" s="23" t="s">
        <v>1351</v>
      </c>
      <c r="AG1294" s="23" t="s">
        <v>132</v>
      </c>
      <c r="AH1294" s="138" t="s">
        <v>132</v>
      </c>
      <c r="AI1294" s="23" t="s">
        <v>133</v>
      </c>
      <c r="AJ1294" s="140" t="s">
        <v>133</v>
      </c>
      <c r="AN1294" s="23" t="s">
        <v>232</v>
      </c>
      <c r="AO1294" s="23" t="s">
        <v>232</v>
      </c>
      <c r="AP1294" s="23" t="s">
        <v>178</v>
      </c>
      <c r="AQ1294" s="23" t="s">
        <v>893</v>
      </c>
      <c r="AR1294" s="23" t="s">
        <v>893</v>
      </c>
      <c r="AS1294" s="23" t="s">
        <v>178</v>
      </c>
      <c r="AT1294" s="23" t="s">
        <v>120</v>
      </c>
      <c r="AU1294" s="23">
        <v>4</v>
      </c>
      <c r="AW1294" s="23" t="s">
        <v>336</v>
      </c>
      <c r="BM1294" s="421"/>
      <c r="BN1294" s="421"/>
      <c r="BR1294" s="421"/>
      <c r="BS1294" s="421"/>
      <c r="BW1294" s="23">
        <v>4.62</v>
      </c>
      <c r="BX1294" s="23">
        <v>0.77</v>
      </c>
      <c r="CA1294" s="23" t="s">
        <v>1683</v>
      </c>
    </row>
    <row r="1295" spans="1:149" s="23" customFormat="1" x14ac:dyDescent="0.25">
      <c r="A1295" s="23">
        <v>59</v>
      </c>
      <c r="B1295" s="23" t="s">
        <v>863</v>
      </c>
      <c r="C1295" s="23" t="s">
        <v>864</v>
      </c>
      <c r="D1295" s="23">
        <v>1997</v>
      </c>
      <c r="E1295" s="23">
        <v>1989</v>
      </c>
      <c r="F1295" s="23" t="s">
        <v>865</v>
      </c>
      <c r="G1295" s="23" t="s">
        <v>891</v>
      </c>
      <c r="H1295" s="32" t="s">
        <v>2831</v>
      </c>
      <c r="I1295" s="23">
        <v>38.92</v>
      </c>
      <c r="J1295" s="23">
        <v>-76.150000000000006</v>
      </c>
      <c r="K1295" s="23">
        <v>5</v>
      </c>
      <c r="N1295" s="23">
        <v>1300</v>
      </c>
      <c r="Q1295" s="89">
        <v>3</v>
      </c>
      <c r="R1295" s="89" t="s">
        <v>1869</v>
      </c>
      <c r="S1295" s="89" t="s">
        <v>866</v>
      </c>
      <c r="T1295" s="89" t="s">
        <v>1993</v>
      </c>
      <c r="U1295" s="89" t="s">
        <v>1414</v>
      </c>
      <c r="V1295" s="89" t="s">
        <v>1731</v>
      </c>
      <c r="W1295" s="89" t="s">
        <v>1393</v>
      </c>
      <c r="X1295" s="89" t="s">
        <v>1421</v>
      </c>
      <c r="Y1295" s="23">
        <v>1.5</v>
      </c>
      <c r="Z1295" s="346"/>
      <c r="AA1295" s="346"/>
      <c r="AB1295" s="23" t="s">
        <v>451</v>
      </c>
      <c r="AF1295" s="23" t="s">
        <v>1351</v>
      </c>
      <c r="AG1295" s="23" t="s">
        <v>132</v>
      </c>
      <c r="AH1295" s="138" t="s">
        <v>132</v>
      </c>
      <c r="AI1295" s="23" t="s">
        <v>133</v>
      </c>
      <c r="AJ1295" s="140" t="s">
        <v>133</v>
      </c>
      <c r="AN1295" s="23" t="s">
        <v>232</v>
      </c>
      <c r="AO1295" s="23" t="s">
        <v>232</v>
      </c>
      <c r="AP1295" s="23" t="s">
        <v>178</v>
      </c>
      <c r="AQ1295" s="23" t="s">
        <v>893</v>
      </c>
      <c r="AR1295" s="23" t="s">
        <v>893</v>
      </c>
      <c r="AS1295" s="23" t="s">
        <v>178</v>
      </c>
      <c r="AT1295" s="23" t="s">
        <v>120</v>
      </c>
      <c r="AU1295" s="23">
        <v>4</v>
      </c>
      <c r="AW1295" s="23" t="s">
        <v>336</v>
      </c>
      <c r="BM1295" s="421"/>
      <c r="BN1295" s="421"/>
      <c r="BR1295" s="421"/>
      <c r="BS1295" s="421"/>
      <c r="BW1295" s="23">
        <v>4.3</v>
      </c>
      <c r="BX1295" s="23">
        <v>1.06</v>
      </c>
      <c r="CA1295" s="23" t="s">
        <v>1683</v>
      </c>
    </row>
    <row r="1296" spans="1:149" s="23" customFormat="1" x14ac:dyDescent="0.25">
      <c r="A1296" s="23">
        <v>59</v>
      </c>
      <c r="B1296" s="23" t="s">
        <v>863</v>
      </c>
      <c r="C1296" s="23" t="s">
        <v>864</v>
      </c>
      <c r="D1296" s="23">
        <v>1997</v>
      </c>
      <c r="E1296" s="23">
        <v>1990</v>
      </c>
      <c r="F1296" s="23" t="s">
        <v>865</v>
      </c>
      <c r="G1296" s="23" t="s">
        <v>891</v>
      </c>
      <c r="H1296" s="32" t="s">
        <v>2831</v>
      </c>
      <c r="I1296" s="23">
        <v>38.92</v>
      </c>
      <c r="J1296" s="23">
        <v>-76.150000000000006</v>
      </c>
      <c r="K1296" s="23">
        <v>5</v>
      </c>
      <c r="N1296" s="23">
        <v>1007</v>
      </c>
      <c r="Q1296" s="89">
        <v>4</v>
      </c>
      <c r="R1296" s="89" t="s">
        <v>1869</v>
      </c>
      <c r="S1296" s="89" t="s">
        <v>866</v>
      </c>
      <c r="T1296" s="89" t="s">
        <v>1994</v>
      </c>
      <c r="U1296" s="89" t="s">
        <v>1414</v>
      </c>
      <c r="V1296" s="89" t="s">
        <v>1731</v>
      </c>
      <c r="W1296" s="89" t="s">
        <v>1393</v>
      </c>
      <c r="X1296" s="89" t="s">
        <v>1421</v>
      </c>
      <c r="Y1296" s="23">
        <v>1.5</v>
      </c>
      <c r="Z1296" s="346"/>
      <c r="AA1296" s="346"/>
      <c r="AB1296" s="23" t="s">
        <v>451</v>
      </c>
      <c r="AF1296" s="23" t="s">
        <v>1351</v>
      </c>
      <c r="AG1296" s="23" t="s">
        <v>132</v>
      </c>
      <c r="AH1296" s="138" t="s">
        <v>132</v>
      </c>
      <c r="AI1296" s="23" t="s">
        <v>133</v>
      </c>
      <c r="AJ1296" s="140" t="s">
        <v>133</v>
      </c>
      <c r="AN1296" s="23" t="s">
        <v>232</v>
      </c>
      <c r="AO1296" s="23" t="s">
        <v>232</v>
      </c>
      <c r="AP1296" s="23" t="s">
        <v>178</v>
      </c>
      <c r="AQ1296" s="23" t="s">
        <v>893</v>
      </c>
      <c r="AR1296" s="23" t="s">
        <v>893</v>
      </c>
      <c r="AS1296" s="23" t="s">
        <v>178</v>
      </c>
      <c r="AT1296" s="23" t="s">
        <v>120</v>
      </c>
      <c r="AU1296" s="23">
        <v>4</v>
      </c>
      <c r="AW1296" s="23" t="s">
        <v>336</v>
      </c>
      <c r="AY1296" s="23">
        <v>4048</v>
      </c>
      <c r="AZ1296" s="23">
        <f>AY1296/85</f>
        <v>47.623529411764707</v>
      </c>
      <c r="BM1296" s="421"/>
      <c r="BN1296" s="421"/>
      <c r="BR1296" s="421"/>
      <c r="BS1296" s="421"/>
      <c r="BW1296" s="23">
        <v>3.68</v>
      </c>
      <c r="BX1296" s="23">
        <v>0.9</v>
      </c>
      <c r="CA1296" s="23" t="s">
        <v>1683</v>
      </c>
    </row>
    <row r="1297" spans="1:79" s="23" customFormat="1" x14ac:dyDescent="0.25">
      <c r="A1297" s="23">
        <v>59</v>
      </c>
      <c r="B1297" s="23" t="s">
        <v>863</v>
      </c>
      <c r="C1297" s="23" t="s">
        <v>864</v>
      </c>
      <c r="D1297" s="23">
        <v>1997</v>
      </c>
      <c r="E1297" s="23">
        <v>1990</v>
      </c>
      <c r="F1297" s="23" t="s">
        <v>865</v>
      </c>
      <c r="G1297" s="23" t="s">
        <v>891</v>
      </c>
      <c r="H1297" s="32" t="s">
        <v>2831</v>
      </c>
      <c r="I1297" s="23">
        <v>38.92</v>
      </c>
      <c r="J1297" s="23">
        <v>-76.150000000000006</v>
      </c>
      <c r="K1297" s="23">
        <v>5</v>
      </c>
      <c r="N1297" s="23">
        <v>1007</v>
      </c>
      <c r="Q1297" s="89">
        <v>4</v>
      </c>
      <c r="R1297" s="89" t="s">
        <v>1869</v>
      </c>
      <c r="S1297" s="89" t="s">
        <v>866</v>
      </c>
      <c r="T1297" s="89" t="s">
        <v>1993</v>
      </c>
      <c r="U1297" s="89" t="s">
        <v>1414</v>
      </c>
      <c r="V1297" s="89" t="s">
        <v>1731</v>
      </c>
      <c r="W1297" s="89" t="s">
        <v>1393</v>
      </c>
      <c r="X1297" s="89" t="s">
        <v>1421</v>
      </c>
      <c r="Y1297" s="23">
        <v>1.5</v>
      </c>
      <c r="Z1297" s="346"/>
      <c r="AA1297" s="346"/>
      <c r="AB1297" s="23" t="s">
        <v>451</v>
      </c>
      <c r="AF1297" s="23" t="s">
        <v>1351</v>
      </c>
      <c r="AG1297" s="23" t="s">
        <v>132</v>
      </c>
      <c r="AH1297" s="138" t="s">
        <v>132</v>
      </c>
      <c r="AI1297" s="23" t="s">
        <v>133</v>
      </c>
      <c r="AJ1297" s="140" t="s">
        <v>133</v>
      </c>
      <c r="AN1297" s="23" t="s">
        <v>232</v>
      </c>
      <c r="AO1297" s="23" t="s">
        <v>232</v>
      </c>
      <c r="AP1297" s="23" t="s">
        <v>178</v>
      </c>
      <c r="AQ1297" s="23" t="s">
        <v>893</v>
      </c>
      <c r="AR1297" s="23" t="s">
        <v>893</v>
      </c>
      <c r="AS1297" s="23" t="s">
        <v>178</v>
      </c>
      <c r="AT1297" s="23" t="s">
        <v>120</v>
      </c>
      <c r="AU1297" s="23">
        <v>4</v>
      </c>
      <c r="AW1297" s="23" t="s">
        <v>336</v>
      </c>
      <c r="AY1297" s="23">
        <v>4048</v>
      </c>
      <c r="AZ1297" s="23">
        <f>AY1297/85</f>
        <v>47.623529411764707</v>
      </c>
      <c r="BM1297" s="421"/>
      <c r="BN1297" s="421"/>
      <c r="BR1297" s="421"/>
      <c r="BS1297" s="421"/>
      <c r="BW1297" s="23">
        <v>2.2799999999999998</v>
      </c>
      <c r="BX1297" s="23">
        <v>1.44</v>
      </c>
      <c r="CA1297" s="23" t="s">
        <v>1683</v>
      </c>
    </row>
    <row r="1298" spans="1:79" s="23" customFormat="1" x14ac:dyDescent="0.25">
      <c r="A1298" s="23">
        <v>59</v>
      </c>
      <c r="B1298" s="23" t="s">
        <v>863</v>
      </c>
      <c r="C1298" s="23" t="s">
        <v>864</v>
      </c>
      <c r="D1298" s="23">
        <v>1997</v>
      </c>
      <c r="E1298" s="23">
        <v>1991</v>
      </c>
      <c r="F1298" s="23" t="s">
        <v>865</v>
      </c>
      <c r="G1298" s="23" t="s">
        <v>891</v>
      </c>
      <c r="H1298" s="32" t="s">
        <v>2831</v>
      </c>
      <c r="I1298" s="23">
        <v>38.92</v>
      </c>
      <c r="J1298" s="23">
        <v>-76.150000000000006</v>
      </c>
      <c r="K1298" s="23">
        <v>5</v>
      </c>
      <c r="N1298" s="23">
        <v>997</v>
      </c>
      <c r="Q1298" s="89">
        <v>5</v>
      </c>
      <c r="R1298" s="89" t="s">
        <v>1869</v>
      </c>
      <c r="S1298" s="89" t="s">
        <v>866</v>
      </c>
      <c r="T1298" s="89" t="s">
        <v>1994</v>
      </c>
      <c r="U1298" s="89" t="s">
        <v>1414</v>
      </c>
      <c r="V1298" s="89" t="s">
        <v>1731</v>
      </c>
      <c r="W1298" s="89" t="s">
        <v>1393</v>
      </c>
      <c r="X1298" s="89" t="s">
        <v>1421</v>
      </c>
      <c r="Y1298" s="23">
        <v>1.5</v>
      </c>
      <c r="Z1298" s="346"/>
      <c r="AA1298" s="346"/>
      <c r="AB1298" s="23" t="s">
        <v>451</v>
      </c>
      <c r="AF1298" s="23" t="s">
        <v>1351</v>
      </c>
      <c r="AG1298" s="23" t="s">
        <v>132</v>
      </c>
      <c r="AH1298" s="138" t="s">
        <v>132</v>
      </c>
      <c r="AI1298" s="23" t="s">
        <v>133</v>
      </c>
      <c r="AJ1298" s="140" t="s">
        <v>133</v>
      </c>
      <c r="AN1298" s="23" t="s">
        <v>232</v>
      </c>
      <c r="AO1298" s="23" t="s">
        <v>232</v>
      </c>
      <c r="AP1298" s="23" t="s">
        <v>178</v>
      </c>
      <c r="AQ1298" s="23" t="s">
        <v>893</v>
      </c>
      <c r="AR1298" s="23" t="s">
        <v>893</v>
      </c>
      <c r="AS1298" s="23" t="s">
        <v>178</v>
      </c>
      <c r="AT1298" s="23" t="s">
        <v>120</v>
      </c>
      <c r="AU1298" s="23">
        <v>4</v>
      </c>
      <c r="AW1298" s="23" t="s">
        <v>336</v>
      </c>
      <c r="AY1298" s="23">
        <v>1793</v>
      </c>
      <c r="AZ1298" s="23">
        <f>AY1298/25.9</f>
        <v>69.227799227799238</v>
      </c>
      <c r="BM1298" s="421"/>
      <c r="BN1298" s="421"/>
      <c r="BR1298" s="421"/>
      <c r="BS1298" s="421"/>
      <c r="BW1298" s="23">
        <v>4.57</v>
      </c>
      <c r="BX1298" s="23">
        <v>0.32</v>
      </c>
      <c r="CA1298" s="23" t="s">
        <v>1683</v>
      </c>
    </row>
    <row r="1299" spans="1:79" s="23" customFormat="1" x14ac:dyDescent="0.25">
      <c r="A1299" s="23">
        <v>59</v>
      </c>
      <c r="B1299" s="23" t="s">
        <v>863</v>
      </c>
      <c r="C1299" s="23" t="s">
        <v>864</v>
      </c>
      <c r="D1299" s="23">
        <v>1997</v>
      </c>
      <c r="E1299" s="23">
        <v>1991</v>
      </c>
      <c r="F1299" s="23" t="s">
        <v>865</v>
      </c>
      <c r="G1299" s="23" t="s">
        <v>891</v>
      </c>
      <c r="H1299" s="32" t="s">
        <v>2831</v>
      </c>
      <c r="I1299" s="23">
        <v>38.92</v>
      </c>
      <c r="J1299" s="23">
        <v>-76.150000000000006</v>
      </c>
      <c r="K1299" s="23">
        <v>5</v>
      </c>
      <c r="N1299" s="23">
        <v>997</v>
      </c>
      <c r="Q1299" s="89">
        <v>5</v>
      </c>
      <c r="R1299" s="89" t="s">
        <v>1869</v>
      </c>
      <c r="S1299" s="89" t="s">
        <v>866</v>
      </c>
      <c r="T1299" s="89" t="s">
        <v>1993</v>
      </c>
      <c r="U1299" s="89" t="s">
        <v>1414</v>
      </c>
      <c r="V1299" s="89" t="s">
        <v>1731</v>
      </c>
      <c r="W1299" s="89" t="s">
        <v>1393</v>
      </c>
      <c r="X1299" s="89" t="s">
        <v>1421</v>
      </c>
      <c r="Y1299" s="23">
        <v>1.5</v>
      </c>
      <c r="Z1299" s="346"/>
      <c r="AA1299" s="346"/>
      <c r="AB1299" s="23" t="s">
        <v>451</v>
      </c>
      <c r="AF1299" s="23" t="s">
        <v>1351</v>
      </c>
      <c r="AG1299" s="23" t="s">
        <v>132</v>
      </c>
      <c r="AH1299" s="138" t="s">
        <v>132</v>
      </c>
      <c r="AI1299" s="23" t="s">
        <v>133</v>
      </c>
      <c r="AJ1299" s="140" t="s">
        <v>133</v>
      </c>
      <c r="AN1299" s="23" t="s">
        <v>232</v>
      </c>
      <c r="AO1299" s="23" t="s">
        <v>232</v>
      </c>
      <c r="AP1299" s="23" t="s">
        <v>178</v>
      </c>
      <c r="AQ1299" s="23" t="s">
        <v>893</v>
      </c>
      <c r="AR1299" s="23" t="s">
        <v>893</v>
      </c>
      <c r="AS1299" s="23" t="s">
        <v>178</v>
      </c>
      <c r="AT1299" s="23" t="s">
        <v>120</v>
      </c>
      <c r="AU1299" s="23">
        <v>4</v>
      </c>
      <c r="AW1299" s="23" t="s">
        <v>336</v>
      </c>
      <c r="AY1299" s="23">
        <v>1793</v>
      </c>
      <c r="AZ1299" s="23">
        <f>AY1299/25.9</f>
        <v>69.227799227799238</v>
      </c>
      <c r="BM1299" s="421"/>
      <c r="BN1299" s="421"/>
      <c r="BR1299" s="421"/>
      <c r="BS1299" s="421"/>
      <c r="BW1299" s="23">
        <v>2.2400000000000002</v>
      </c>
      <c r="BX1299" s="23">
        <v>1.68</v>
      </c>
      <c r="CA1299" s="23" t="s">
        <v>1683</v>
      </c>
    </row>
    <row r="1300" spans="1:79" s="23" customFormat="1" x14ac:dyDescent="0.25">
      <c r="A1300" s="23">
        <v>59</v>
      </c>
      <c r="B1300" s="23" t="s">
        <v>863</v>
      </c>
      <c r="C1300" s="23" t="s">
        <v>864</v>
      </c>
      <c r="D1300" s="23">
        <v>1997</v>
      </c>
      <c r="E1300" s="23">
        <v>1992</v>
      </c>
      <c r="F1300" s="23" t="s">
        <v>865</v>
      </c>
      <c r="G1300" s="23" t="s">
        <v>891</v>
      </c>
      <c r="H1300" s="32" t="s">
        <v>2831</v>
      </c>
      <c r="I1300" s="23">
        <v>38.92</v>
      </c>
      <c r="J1300" s="23">
        <v>-76.150000000000006</v>
      </c>
      <c r="K1300" s="23">
        <v>5</v>
      </c>
      <c r="N1300" s="23">
        <v>866</v>
      </c>
      <c r="Q1300" s="89">
        <v>6</v>
      </c>
      <c r="R1300" s="89" t="s">
        <v>1869</v>
      </c>
      <c r="S1300" s="89" t="s">
        <v>866</v>
      </c>
      <c r="T1300" s="89" t="s">
        <v>1994</v>
      </c>
      <c r="U1300" s="89" t="s">
        <v>1414</v>
      </c>
      <c r="V1300" s="89" t="s">
        <v>1731</v>
      </c>
      <c r="W1300" s="89" t="s">
        <v>1393</v>
      </c>
      <c r="X1300" s="89" t="s">
        <v>1421</v>
      </c>
      <c r="Y1300" s="23">
        <v>1.5</v>
      </c>
      <c r="Z1300" s="346"/>
      <c r="AA1300" s="346"/>
      <c r="AB1300" s="23" t="s">
        <v>451</v>
      </c>
      <c r="AF1300" s="23" t="s">
        <v>1351</v>
      </c>
      <c r="AG1300" s="23" t="s">
        <v>132</v>
      </c>
      <c r="AH1300" s="138" t="s">
        <v>132</v>
      </c>
      <c r="AI1300" s="23" t="s">
        <v>133</v>
      </c>
      <c r="AJ1300" s="140" t="s">
        <v>133</v>
      </c>
      <c r="AN1300" s="23" t="s">
        <v>232</v>
      </c>
      <c r="AO1300" s="23" t="s">
        <v>232</v>
      </c>
      <c r="AP1300" s="23" t="s">
        <v>178</v>
      </c>
      <c r="AQ1300" s="23" t="s">
        <v>893</v>
      </c>
      <c r="AR1300" s="23" t="s">
        <v>893</v>
      </c>
      <c r="AS1300" s="23" t="s">
        <v>178</v>
      </c>
      <c r="AT1300" s="23" t="s">
        <v>120</v>
      </c>
      <c r="AU1300" s="23">
        <v>4</v>
      </c>
      <c r="AW1300" s="23" t="s">
        <v>336</v>
      </c>
      <c r="AY1300" s="23">
        <v>2053</v>
      </c>
      <c r="AZ1300" s="23">
        <f>AY1300/40.5</f>
        <v>50.691358024691361</v>
      </c>
      <c r="BM1300" s="421"/>
      <c r="BN1300" s="421"/>
      <c r="BR1300" s="421"/>
      <c r="BS1300" s="421"/>
      <c r="BW1300" s="23">
        <v>4.51</v>
      </c>
      <c r="BX1300" s="23">
        <v>0.33</v>
      </c>
      <c r="CA1300" s="23" t="s">
        <v>1683</v>
      </c>
    </row>
    <row r="1301" spans="1:79" s="23" customFormat="1" x14ac:dyDescent="0.25">
      <c r="A1301" s="23">
        <v>59</v>
      </c>
      <c r="B1301" s="23" t="s">
        <v>863</v>
      </c>
      <c r="C1301" s="23" t="s">
        <v>864</v>
      </c>
      <c r="D1301" s="23">
        <v>1997</v>
      </c>
      <c r="E1301" s="23">
        <v>1992</v>
      </c>
      <c r="F1301" s="23" t="s">
        <v>865</v>
      </c>
      <c r="G1301" s="23" t="s">
        <v>891</v>
      </c>
      <c r="H1301" s="32" t="s">
        <v>2831</v>
      </c>
      <c r="I1301" s="23">
        <v>38.92</v>
      </c>
      <c r="J1301" s="23">
        <v>-76.150000000000006</v>
      </c>
      <c r="K1301" s="23">
        <v>5</v>
      </c>
      <c r="N1301" s="23">
        <v>866</v>
      </c>
      <c r="Q1301" s="89">
        <v>6</v>
      </c>
      <c r="R1301" s="89" t="s">
        <v>1869</v>
      </c>
      <c r="S1301" s="89" t="s">
        <v>866</v>
      </c>
      <c r="T1301" s="89" t="s">
        <v>1993</v>
      </c>
      <c r="U1301" s="89" t="s">
        <v>1414</v>
      </c>
      <c r="V1301" s="89" t="s">
        <v>1731</v>
      </c>
      <c r="W1301" s="89" t="s">
        <v>1393</v>
      </c>
      <c r="X1301" s="89" t="s">
        <v>1421</v>
      </c>
      <c r="Y1301" s="23">
        <v>1.5</v>
      </c>
      <c r="Z1301" s="346"/>
      <c r="AA1301" s="346"/>
      <c r="AB1301" s="23" t="s">
        <v>451</v>
      </c>
      <c r="AF1301" s="23" t="s">
        <v>1351</v>
      </c>
      <c r="AG1301" s="23" t="s">
        <v>132</v>
      </c>
      <c r="AH1301" s="138" t="s">
        <v>132</v>
      </c>
      <c r="AI1301" s="23" t="s">
        <v>133</v>
      </c>
      <c r="AJ1301" s="140" t="s">
        <v>133</v>
      </c>
      <c r="AN1301" s="23" t="s">
        <v>232</v>
      </c>
      <c r="AO1301" s="23" t="s">
        <v>232</v>
      </c>
      <c r="AP1301" s="23" t="s">
        <v>178</v>
      </c>
      <c r="AQ1301" s="23" t="s">
        <v>893</v>
      </c>
      <c r="AR1301" s="23" t="s">
        <v>893</v>
      </c>
      <c r="AS1301" s="23" t="s">
        <v>178</v>
      </c>
      <c r="AT1301" s="23" t="s">
        <v>120</v>
      </c>
      <c r="AU1301" s="23">
        <v>4</v>
      </c>
      <c r="AW1301" s="23" t="s">
        <v>336</v>
      </c>
      <c r="AY1301" s="23">
        <v>2053</v>
      </c>
      <c r="AZ1301" s="23">
        <f>AY1301/40.5</f>
        <v>50.691358024691361</v>
      </c>
      <c r="BM1301" s="421"/>
      <c r="BN1301" s="421"/>
      <c r="BR1301" s="421"/>
      <c r="BS1301" s="421"/>
      <c r="BW1301" s="23">
        <v>0.62</v>
      </c>
      <c r="BX1301" s="23">
        <v>0.48</v>
      </c>
      <c r="CA1301" s="23" t="s">
        <v>1683</v>
      </c>
    </row>
    <row r="1302" spans="1:79" s="23" customFormat="1" x14ac:dyDescent="0.25">
      <c r="A1302" s="23">
        <v>59</v>
      </c>
      <c r="B1302" s="23" t="s">
        <v>863</v>
      </c>
      <c r="C1302" s="23" t="s">
        <v>864</v>
      </c>
      <c r="D1302" s="23">
        <v>1997</v>
      </c>
      <c r="E1302" s="23">
        <v>1993</v>
      </c>
      <c r="F1302" s="23" t="s">
        <v>865</v>
      </c>
      <c r="G1302" s="23" t="s">
        <v>891</v>
      </c>
      <c r="H1302" s="32" t="s">
        <v>2831</v>
      </c>
      <c r="I1302" s="23">
        <v>38.92</v>
      </c>
      <c r="J1302" s="23">
        <v>-76.150000000000006</v>
      </c>
      <c r="K1302" s="23">
        <v>5</v>
      </c>
      <c r="N1302" s="23">
        <v>972</v>
      </c>
      <c r="Q1302" s="89">
        <v>7</v>
      </c>
      <c r="R1302" s="89" t="s">
        <v>1869</v>
      </c>
      <c r="S1302" s="89" t="s">
        <v>866</v>
      </c>
      <c r="T1302" s="89" t="s">
        <v>1994</v>
      </c>
      <c r="U1302" s="89" t="s">
        <v>1414</v>
      </c>
      <c r="V1302" s="89" t="s">
        <v>1731</v>
      </c>
      <c r="W1302" s="89" t="s">
        <v>1393</v>
      </c>
      <c r="X1302" s="89" t="s">
        <v>1421</v>
      </c>
      <c r="Y1302" s="23">
        <v>1.5</v>
      </c>
      <c r="Z1302" s="346"/>
      <c r="AA1302" s="346"/>
      <c r="AB1302" s="23" t="s">
        <v>451</v>
      </c>
      <c r="AF1302" s="23" t="s">
        <v>1351</v>
      </c>
      <c r="AG1302" s="23" t="s">
        <v>132</v>
      </c>
      <c r="AH1302" s="138" t="s">
        <v>132</v>
      </c>
      <c r="AI1302" s="23" t="s">
        <v>133</v>
      </c>
      <c r="AJ1302" s="140" t="s">
        <v>133</v>
      </c>
      <c r="AN1302" s="23" t="s">
        <v>232</v>
      </c>
      <c r="AO1302" s="23" t="s">
        <v>232</v>
      </c>
      <c r="AP1302" s="23" t="s">
        <v>178</v>
      </c>
      <c r="AQ1302" s="23" t="s">
        <v>893</v>
      </c>
      <c r="AR1302" s="23" t="s">
        <v>893</v>
      </c>
      <c r="AS1302" s="23" t="s">
        <v>178</v>
      </c>
      <c r="AT1302" s="23" t="s">
        <v>120</v>
      </c>
      <c r="AU1302" s="23">
        <v>4</v>
      </c>
      <c r="AW1302" s="23" t="s">
        <v>336</v>
      </c>
      <c r="AY1302" s="23">
        <v>1873</v>
      </c>
      <c r="AZ1302" s="23">
        <f>AY1302/37.3</f>
        <v>50.21447721179625</v>
      </c>
      <c r="BM1302" s="421"/>
      <c r="BN1302" s="421"/>
      <c r="BR1302" s="421"/>
      <c r="BS1302" s="421"/>
      <c r="BW1302" s="23">
        <v>0.9</v>
      </c>
      <c r="BX1302" s="23">
        <v>0.26</v>
      </c>
      <c r="CA1302" s="23" t="s">
        <v>1683</v>
      </c>
    </row>
    <row r="1303" spans="1:79" s="23" customFormat="1" x14ac:dyDescent="0.25">
      <c r="A1303" s="23">
        <v>59</v>
      </c>
      <c r="B1303" s="23" t="s">
        <v>863</v>
      </c>
      <c r="C1303" s="23" t="s">
        <v>864</v>
      </c>
      <c r="D1303" s="23">
        <v>1997</v>
      </c>
      <c r="E1303" s="23">
        <v>1993</v>
      </c>
      <c r="F1303" s="23" t="s">
        <v>865</v>
      </c>
      <c r="G1303" s="23" t="s">
        <v>891</v>
      </c>
      <c r="H1303" s="32" t="s">
        <v>2831</v>
      </c>
      <c r="I1303" s="23">
        <v>38.92</v>
      </c>
      <c r="J1303" s="23">
        <v>-76.150000000000006</v>
      </c>
      <c r="K1303" s="23">
        <v>5</v>
      </c>
      <c r="N1303" s="23">
        <v>972</v>
      </c>
      <c r="Q1303" s="89">
        <v>7</v>
      </c>
      <c r="R1303" s="89" t="s">
        <v>1869</v>
      </c>
      <c r="S1303" s="89" t="s">
        <v>866</v>
      </c>
      <c r="T1303" s="89" t="s">
        <v>1993</v>
      </c>
      <c r="U1303" s="89" t="s">
        <v>1414</v>
      </c>
      <c r="V1303" s="89" t="s">
        <v>1731</v>
      </c>
      <c r="W1303" s="89" t="s">
        <v>1393</v>
      </c>
      <c r="X1303" s="89" t="s">
        <v>1421</v>
      </c>
      <c r="Y1303" s="23">
        <v>1.5</v>
      </c>
      <c r="Z1303" s="346"/>
      <c r="AA1303" s="346"/>
      <c r="AB1303" s="23" t="s">
        <v>451</v>
      </c>
      <c r="AF1303" s="23" t="s">
        <v>1351</v>
      </c>
      <c r="AG1303" s="23" t="s">
        <v>132</v>
      </c>
      <c r="AH1303" s="138" t="s">
        <v>132</v>
      </c>
      <c r="AI1303" s="23" t="s">
        <v>133</v>
      </c>
      <c r="AJ1303" s="140" t="s">
        <v>133</v>
      </c>
      <c r="AN1303" s="23" t="s">
        <v>232</v>
      </c>
      <c r="AO1303" s="23" t="s">
        <v>232</v>
      </c>
      <c r="AP1303" s="23" t="s">
        <v>178</v>
      </c>
      <c r="AQ1303" s="23" t="s">
        <v>893</v>
      </c>
      <c r="AR1303" s="23" t="s">
        <v>893</v>
      </c>
      <c r="AS1303" s="23" t="s">
        <v>178</v>
      </c>
      <c r="AT1303" s="23" t="s">
        <v>120</v>
      </c>
      <c r="AU1303" s="23">
        <v>4</v>
      </c>
      <c r="AW1303" s="23" t="s">
        <v>336</v>
      </c>
      <c r="AY1303" s="23">
        <v>1873</v>
      </c>
      <c r="AZ1303" s="23">
        <f>AY1303/37.3</f>
        <v>50.21447721179625</v>
      </c>
      <c r="BM1303" s="421"/>
      <c r="BN1303" s="421"/>
      <c r="BR1303" s="421"/>
      <c r="BS1303" s="421"/>
      <c r="BW1303" s="23">
        <v>0.39</v>
      </c>
      <c r="BX1303" s="23">
        <v>0.28000000000000003</v>
      </c>
      <c r="CA1303" s="23" t="s">
        <v>1683</v>
      </c>
    </row>
    <row r="1304" spans="1:79" s="23" customFormat="1" x14ac:dyDescent="0.25">
      <c r="A1304" s="23">
        <v>59</v>
      </c>
      <c r="B1304" s="23" t="s">
        <v>863</v>
      </c>
      <c r="C1304" s="23" t="s">
        <v>864</v>
      </c>
      <c r="D1304" s="23">
        <v>1997</v>
      </c>
      <c r="E1304" s="23">
        <v>1994</v>
      </c>
      <c r="F1304" s="23" t="s">
        <v>865</v>
      </c>
      <c r="G1304" s="23" t="s">
        <v>891</v>
      </c>
      <c r="H1304" s="32" t="s">
        <v>2831</v>
      </c>
      <c r="I1304" s="23">
        <v>38.92</v>
      </c>
      <c r="J1304" s="23">
        <v>-76.150000000000006</v>
      </c>
      <c r="K1304" s="23">
        <v>5</v>
      </c>
      <c r="N1304" s="23">
        <v>1275</v>
      </c>
      <c r="Q1304" s="89">
        <v>8</v>
      </c>
      <c r="R1304" s="89" t="s">
        <v>1869</v>
      </c>
      <c r="S1304" s="89" t="s">
        <v>866</v>
      </c>
      <c r="T1304" s="89" t="s">
        <v>1994</v>
      </c>
      <c r="U1304" s="89" t="s">
        <v>1414</v>
      </c>
      <c r="V1304" s="89" t="s">
        <v>1731</v>
      </c>
      <c r="W1304" s="89" t="s">
        <v>1393</v>
      </c>
      <c r="X1304" s="89" t="s">
        <v>1421</v>
      </c>
      <c r="Y1304" s="23">
        <v>1.5</v>
      </c>
      <c r="Z1304" s="346"/>
      <c r="AA1304" s="346"/>
      <c r="AB1304" s="23" t="s">
        <v>451</v>
      </c>
      <c r="AF1304" s="23" t="s">
        <v>1351</v>
      </c>
      <c r="AG1304" s="23" t="s">
        <v>132</v>
      </c>
      <c r="AH1304" s="138" t="s">
        <v>132</v>
      </c>
      <c r="AI1304" s="23" t="s">
        <v>133</v>
      </c>
      <c r="AJ1304" s="140" t="s">
        <v>133</v>
      </c>
      <c r="AN1304" s="23" t="s">
        <v>232</v>
      </c>
      <c r="AO1304" s="23" t="s">
        <v>232</v>
      </c>
      <c r="AP1304" s="23" t="s">
        <v>178</v>
      </c>
      <c r="AQ1304" s="23" t="s">
        <v>893</v>
      </c>
      <c r="AR1304" s="23" t="s">
        <v>893</v>
      </c>
      <c r="AS1304" s="23" t="s">
        <v>178</v>
      </c>
      <c r="AT1304" s="23" t="s">
        <v>120</v>
      </c>
      <c r="AU1304" s="23">
        <v>4</v>
      </c>
      <c r="AW1304" s="23" t="s">
        <v>336</v>
      </c>
      <c r="AY1304" s="23">
        <v>3645</v>
      </c>
      <c r="AZ1304" s="23">
        <f>AY1304/59.2</f>
        <v>61.570945945945944</v>
      </c>
      <c r="BM1304" s="421"/>
      <c r="BN1304" s="421"/>
      <c r="BR1304" s="421"/>
      <c r="BS1304" s="421"/>
      <c r="BW1304" s="23">
        <v>1.77</v>
      </c>
      <c r="BX1304" s="23">
        <v>0.44</v>
      </c>
      <c r="CA1304" s="23" t="s">
        <v>1683</v>
      </c>
    </row>
    <row r="1305" spans="1:79" s="23" customFormat="1" x14ac:dyDescent="0.25">
      <c r="A1305" s="23">
        <v>59</v>
      </c>
      <c r="B1305" s="23" t="s">
        <v>863</v>
      </c>
      <c r="C1305" s="23" t="s">
        <v>864</v>
      </c>
      <c r="D1305" s="23">
        <v>1997</v>
      </c>
      <c r="E1305" s="23">
        <v>1994</v>
      </c>
      <c r="F1305" s="23" t="s">
        <v>865</v>
      </c>
      <c r="G1305" s="23" t="s">
        <v>891</v>
      </c>
      <c r="H1305" s="32" t="s">
        <v>2831</v>
      </c>
      <c r="I1305" s="23">
        <v>38.92</v>
      </c>
      <c r="J1305" s="23">
        <v>-76.150000000000006</v>
      </c>
      <c r="K1305" s="23">
        <v>5</v>
      </c>
      <c r="N1305" s="23">
        <v>1275</v>
      </c>
      <c r="Q1305" s="89">
        <v>8</v>
      </c>
      <c r="R1305" s="89" t="s">
        <v>1869</v>
      </c>
      <c r="S1305" s="89" t="s">
        <v>866</v>
      </c>
      <c r="T1305" s="89" t="s">
        <v>1993</v>
      </c>
      <c r="U1305" s="89" t="s">
        <v>1414</v>
      </c>
      <c r="V1305" s="89" t="s">
        <v>1731</v>
      </c>
      <c r="W1305" s="89" t="s">
        <v>1393</v>
      </c>
      <c r="X1305" s="89" t="s">
        <v>1421</v>
      </c>
      <c r="Y1305" s="23">
        <v>1.5</v>
      </c>
      <c r="Z1305" s="346"/>
      <c r="AA1305" s="346"/>
      <c r="AB1305" s="23" t="s">
        <v>451</v>
      </c>
      <c r="AF1305" s="23" t="s">
        <v>1351</v>
      </c>
      <c r="AG1305" s="23" t="s">
        <v>132</v>
      </c>
      <c r="AH1305" s="138" t="s">
        <v>132</v>
      </c>
      <c r="AI1305" s="23" t="s">
        <v>133</v>
      </c>
      <c r="AJ1305" s="140" t="s">
        <v>133</v>
      </c>
      <c r="AN1305" s="23" t="s">
        <v>232</v>
      </c>
      <c r="AO1305" s="23" t="s">
        <v>232</v>
      </c>
      <c r="AP1305" s="23" t="s">
        <v>178</v>
      </c>
      <c r="AQ1305" s="23" t="s">
        <v>893</v>
      </c>
      <c r="AR1305" s="23" t="s">
        <v>893</v>
      </c>
      <c r="AS1305" s="23" t="s">
        <v>178</v>
      </c>
      <c r="AT1305" s="23" t="s">
        <v>120</v>
      </c>
      <c r="AU1305" s="23">
        <v>4</v>
      </c>
      <c r="AW1305" s="23" t="s">
        <v>336</v>
      </c>
      <c r="AY1305" s="23">
        <v>3645</v>
      </c>
      <c r="AZ1305" s="23">
        <f>AY1305/59.2</f>
        <v>61.570945945945944</v>
      </c>
      <c r="BM1305" s="421"/>
      <c r="BN1305" s="421"/>
      <c r="BR1305" s="421"/>
      <c r="BS1305" s="421"/>
      <c r="BW1305" s="23">
        <v>0.84</v>
      </c>
      <c r="BX1305" s="23">
        <v>0.35</v>
      </c>
      <c r="CA1305" s="23" t="s">
        <v>1683</v>
      </c>
    </row>
    <row r="1306" spans="1:79" s="85" customFormat="1" x14ac:dyDescent="0.25">
      <c r="A1306" s="85">
        <v>59</v>
      </c>
      <c r="B1306" s="85" t="s">
        <v>863</v>
      </c>
      <c r="C1306" s="85" t="s">
        <v>864</v>
      </c>
      <c r="D1306" s="85">
        <v>1997</v>
      </c>
      <c r="E1306" s="85">
        <v>1989</v>
      </c>
      <c r="F1306" s="85" t="s">
        <v>865</v>
      </c>
      <c r="G1306" s="85" t="s">
        <v>891</v>
      </c>
      <c r="H1306" s="32" t="s">
        <v>2831</v>
      </c>
      <c r="I1306" s="85">
        <v>38.92</v>
      </c>
      <c r="J1306" s="85">
        <v>-76.150000000000006</v>
      </c>
      <c r="K1306" s="85">
        <v>5</v>
      </c>
      <c r="N1306" s="85">
        <v>1300</v>
      </c>
      <c r="Q1306" s="86">
        <v>3</v>
      </c>
      <c r="R1306" s="86" t="s">
        <v>1869</v>
      </c>
      <c r="S1306" s="86" t="s">
        <v>866</v>
      </c>
      <c r="T1306" s="86" t="s">
        <v>1994</v>
      </c>
      <c r="U1306" s="86" t="s">
        <v>1414</v>
      </c>
      <c r="V1306" s="86" t="s">
        <v>1731</v>
      </c>
      <c r="W1306" s="86" t="s">
        <v>1393</v>
      </c>
      <c r="X1306" s="86" t="s">
        <v>1421</v>
      </c>
      <c r="Y1306" s="85">
        <v>1.5</v>
      </c>
      <c r="Z1306" s="347"/>
      <c r="AA1306" s="347"/>
      <c r="AB1306" s="85" t="s">
        <v>451</v>
      </c>
      <c r="AF1306" s="85" t="s">
        <v>1351</v>
      </c>
      <c r="AG1306" s="85" t="s">
        <v>132</v>
      </c>
      <c r="AH1306" s="138" t="s">
        <v>132</v>
      </c>
      <c r="AI1306" s="85" t="s">
        <v>133</v>
      </c>
      <c r="AJ1306" s="140" t="s">
        <v>133</v>
      </c>
      <c r="AN1306" s="85" t="s">
        <v>157</v>
      </c>
      <c r="AO1306" s="85" t="s">
        <v>157</v>
      </c>
      <c r="AP1306" s="85" t="s">
        <v>178</v>
      </c>
      <c r="AQ1306" s="85" t="s">
        <v>893</v>
      </c>
      <c r="AR1306" s="85" t="s">
        <v>893</v>
      </c>
      <c r="AS1306" s="85" t="s">
        <v>178</v>
      </c>
      <c r="AT1306" s="85" t="s">
        <v>120</v>
      </c>
      <c r="AU1306" s="85">
        <v>4</v>
      </c>
      <c r="AW1306" s="85" t="s">
        <v>336</v>
      </c>
      <c r="BM1306" s="422"/>
      <c r="BN1306" s="422"/>
      <c r="BR1306" s="422"/>
      <c r="BS1306" s="422"/>
      <c r="BW1306" s="85">
        <v>1.82</v>
      </c>
      <c r="BX1306" s="85">
        <v>0.37</v>
      </c>
      <c r="CA1306" s="85" t="s">
        <v>1683</v>
      </c>
    </row>
    <row r="1307" spans="1:79" s="85" customFormat="1" x14ac:dyDescent="0.25">
      <c r="A1307" s="85">
        <v>59</v>
      </c>
      <c r="B1307" s="85" t="s">
        <v>863</v>
      </c>
      <c r="C1307" s="85" t="s">
        <v>864</v>
      </c>
      <c r="D1307" s="85">
        <v>1997</v>
      </c>
      <c r="E1307" s="85">
        <v>1989</v>
      </c>
      <c r="F1307" s="85" t="s">
        <v>865</v>
      </c>
      <c r="G1307" s="85" t="s">
        <v>891</v>
      </c>
      <c r="H1307" s="32" t="s">
        <v>2831</v>
      </c>
      <c r="I1307" s="85">
        <v>38.92</v>
      </c>
      <c r="J1307" s="85">
        <v>-76.150000000000006</v>
      </c>
      <c r="K1307" s="85">
        <v>5</v>
      </c>
      <c r="N1307" s="85">
        <v>1300</v>
      </c>
      <c r="Q1307" s="86">
        <v>3</v>
      </c>
      <c r="R1307" s="86" t="s">
        <v>1869</v>
      </c>
      <c r="S1307" s="86" t="s">
        <v>866</v>
      </c>
      <c r="T1307" s="86" t="s">
        <v>1993</v>
      </c>
      <c r="U1307" s="86" t="s">
        <v>1414</v>
      </c>
      <c r="V1307" s="86" t="s">
        <v>1731</v>
      </c>
      <c r="W1307" s="86" t="s">
        <v>1393</v>
      </c>
      <c r="X1307" s="86" t="s">
        <v>1421</v>
      </c>
      <c r="Y1307" s="85">
        <v>1.5</v>
      </c>
      <c r="Z1307" s="347"/>
      <c r="AA1307" s="347"/>
      <c r="AB1307" s="85" t="s">
        <v>451</v>
      </c>
      <c r="AF1307" s="85" t="s">
        <v>1351</v>
      </c>
      <c r="AG1307" s="85" t="s">
        <v>132</v>
      </c>
      <c r="AH1307" s="138" t="s">
        <v>132</v>
      </c>
      <c r="AI1307" s="85" t="s">
        <v>133</v>
      </c>
      <c r="AJ1307" s="140" t="s">
        <v>133</v>
      </c>
      <c r="AN1307" s="85" t="s">
        <v>157</v>
      </c>
      <c r="AO1307" s="85" t="s">
        <v>157</v>
      </c>
      <c r="AP1307" s="85" t="s">
        <v>178</v>
      </c>
      <c r="AQ1307" s="85" t="s">
        <v>893</v>
      </c>
      <c r="AR1307" s="85" t="s">
        <v>893</v>
      </c>
      <c r="AS1307" s="85" t="s">
        <v>178</v>
      </c>
      <c r="AT1307" s="85" t="s">
        <v>120</v>
      </c>
      <c r="AU1307" s="85">
        <v>4</v>
      </c>
      <c r="AW1307" s="85" t="s">
        <v>336</v>
      </c>
      <c r="BM1307" s="422"/>
      <c r="BN1307" s="422"/>
      <c r="BR1307" s="422"/>
      <c r="BS1307" s="422"/>
      <c r="BW1307" s="85">
        <v>2.92</v>
      </c>
      <c r="BX1307" s="85">
        <v>2.67</v>
      </c>
      <c r="CA1307" s="85" t="s">
        <v>1683</v>
      </c>
    </row>
    <row r="1308" spans="1:79" s="85" customFormat="1" x14ac:dyDescent="0.25">
      <c r="A1308" s="85">
        <v>59</v>
      </c>
      <c r="B1308" s="85" t="s">
        <v>863</v>
      </c>
      <c r="C1308" s="85" t="s">
        <v>864</v>
      </c>
      <c r="D1308" s="85">
        <v>1997</v>
      </c>
      <c r="E1308" s="85">
        <v>1990</v>
      </c>
      <c r="F1308" s="85" t="s">
        <v>865</v>
      </c>
      <c r="G1308" s="85" t="s">
        <v>891</v>
      </c>
      <c r="H1308" s="32" t="s">
        <v>2831</v>
      </c>
      <c r="I1308" s="85">
        <v>38.92</v>
      </c>
      <c r="J1308" s="85">
        <v>-76.150000000000006</v>
      </c>
      <c r="K1308" s="85">
        <v>5</v>
      </c>
      <c r="N1308" s="85">
        <v>1007</v>
      </c>
      <c r="Q1308" s="86">
        <v>4</v>
      </c>
      <c r="R1308" s="86" t="s">
        <v>1869</v>
      </c>
      <c r="S1308" s="86" t="s">
        <v>866</v>
      </c>
      <c r="T1308" s="86" t="s">
        <v>1994</v>
      </c>
      <c r="U1308" s="86" t="s">
        <v>1414</v>
      </c>
      <c r="V1308" s="86" t="s">
        <v>1731</v>
      </c>
      <c r="W1308" s="86" t="s">
        <v>1393</v>
      </c>
      <c r="X1308" s="86" t="s">
        <v>1421</v>
      </c>
      <c r="Y1308" s="85">
        <v>1.5</v>
      </c>
      <c r="Z1308" s="347"/>
      <c r="AA1308" s="347"/>
      <c r="AB1308" s="85" t="s">
        <v>451</v>
      </c>
      <c r="AF1308" s="85" t="s">
        <v>1351</v>
      </c>
      <c r="AG1308" s="85" t="s">
        <v>132</v>
      </c>
      <c r="AH1308" s="138" t="s">
        <v>132</v>
      </c>
      <c r="AI1308" s="85" t="s">
        <v>133</v>
      </c>
      <c r="AJ1308" s="140" t="s">
        <v>133</v>
      </c>
      <c r="AN1308" s="85" t="s">
        <v>157</v>
      </c>
      <c r="AO1308" s="85" t="s">
        <v>157</v>
      </c>
      <c r="AP1308" s="85" t="s">
        <v>178</v>
      </c>
      <c r="AQ1308" s="85" t="s">
        <v>893</v>
      </c>
      <c r="AR1308" s="85" t="s">
        <v>893</v>
      </c>
      <c r="AS1308" s="85" t="s">
        <v>178</v>
      </c>
      <c r="AT1308" s="85" t="s">
        <v>120</v>
      </c>
      <c r="AU1308" s="85">
        <v>4</v>
      </c>
      <c r="AW1308" s="85" t="s">
        <v>336</v>
      </c>
      <c r="AY1308" s="85">
        <v>4048</v>
      </c>
      <c r="AZ1308" s="85">
        <f>AY1308/85</f>
        <v>47.623529411764707</v>
      </c>
      <c r="BM1308" s="422"/>
      <c r="BN1308" s="422"/>
      <c r="BR1308" s="422"/>
      <c r="BS1308" s="422"/>
      <c r="BW1308" s="85">
        <v>3.03</v>
      </c>
      <c r="BX1308" s="85">
        <v>0.49</v>
      </c>
      <c r="CA1308" s="85" t="s">
        <v>1683</v>
      </c>
    </row>
    <row r="1309" spans="1:79" s="85" customFormat="1" x14ac:dyDescent="0.25">
      <c r="A1309" s="85">
        <v>59</v>
      </c>
      <c r="B1309" s="85" t="s">
        <v>863</v>
      </c>
      <c r="C1309" s="85" t="s">
        <v>864</v>
      </c>
      <c r="D1309" s="85">
        <v>1997</v>
      </c>
      <c r="E1309" s="85">
        <v>1990</v>
      </c>
      <c r="F1309" s="85" t="s">
        <v>865</v>
      </c>
      <c r="G1309" s="85" t="s">
        <v>891</v>
      </c>
      <c r="H1309" s="32" t="s">
        <v>2831</v>
      </c>
      <c r="I1309" s="85">
        <v>38.92</v>
      </c>
      <c r="J1309" s="85">
        <v>-76.150000000000006</v>
      </c>
      <c r="K1309" s="85">
        <v>5</v>
      </c>
      <c r="N1309" s="85">
        <v>1007</v>
      </c>
      <c r="Q1309" s="86">
        <v>4</v>
      </c>
      <c r="R1309" s="86" t="s">
        <v>1869</v>
      </c>
      <c r="S1309" s="86" t="s">
        <v>866</v>
      </c>
      <c r="T1309" s="86" t="s">
        <v>1993</v>
      </c>
      <c r="U1309" s="86" t="s">
        <v>1414</v>
      </c>
      <c r="V1309" s="86" t="s">
        <v>1731</v>
      </c>
      <c r="W1309" s="86" t="s">
        <v>1393</v>
      </c>
      <c r="X1309" s="86" t="s">
        <v>1421</v>
      </c>
      <c r="Y1309" s="85">
        <v>1.5</v>
      </c>
      <c r="Z1309" s="347"/>
      <c r="AA1309" s="347"/>
      <c r="AB1309" s="85" t="s">
        <v>451</v>
      </c>
      <c r="AF1309" s="85" t="s">
        <v>1351</v>
      </c>
      <c r="AG1309" s="85" t="s">
        <v>132</v>
      </c>
      <c r="AH1309" s="138" t="s">
        <v>132</v>
      </c>
      <c r="AI1309" s="85" t="s">
        <v>133</v>
      </c>
      <c r="AJ1309" s="140" t="s">
        <v>133</v>
      </c>
      <c r="AN1309" s="85" t="s">
        <v>157</v>
      </c>
      <c r="AO1309" s="85" t="s">
        <v>157</v>
      </c>
      <c r="AP1309" s="85" t="s">
        <v>178</v>
      </c>
      <c r="AQ1309" s="85" t="s">
        <v>893</v>
      </c>
      <c r="AR1309" s="85" t="s">
        <v>893</v>
      </c>
      <c r="AS1309" s="85" t="s">
        <v>178</v>
      </c>
      <c r="AT1309" s="85" t="s">
        <v>120</v>
      </c>
      <c r="AU1309" s="85">
        <v>4</v>
      </c>
      <c r="AW1309" s="85" t="s">
        <v>336</v>
      </c>
      <c r="AY1309" s="85">
        <v>4048</v>
      </c>
      <c r="AZ1309" s="85">
        <f>AY1309/85</f>
        <v>47.623529411764707</v>
      </c>
      <c r="BM1309" s="422"/>
      <c r="BN1309" s="422"/>
      <c r="BR1309" s="422"/>
      <c r="BS1309" s="422"/>
      <c r="BW1309" s="85">
        <v>1.54</v>
      </c>
      <c r="BX1309" s="85">
        <v>0.73</v>
      </c>
      <c r="CA1309" s="85" t="s">
        <v>1683</v>
      </c>
    </row>
    <row r="1310" spans="1:79" s="85" customFormat="1" x14ac:dyDescent="0.25">
      <c r="A1310" s="85">
        <v>59</v>
      </c>
      <c r="B1310" s="85" t="s">
        <v>863</v>
      </c>
      <c r="C1310" s="85" t="s">
        <v>864</v>
      </c>
      <c r="D1310" s="85">
        <v>1997</v>
      </c>
      <c r="E1310" s="85">
        <v>1991</v>
      </c>
      <c r="F1310" s="85" t="s">
        <v>865</v>
      </c>
      <c r="G1310" s="85" t="s">
        <v>891</v>
      </c>
      <c r="H1310" s="32" t="s">
        <v>2831</v>
      </c>
      <c r="I1310" s="85">
        <v>38.92</v>
      </c>
      <c r="J1310" s="85">
        <v>-76.150000000000006</v>
      </c>
      <c r="K1310" s="85">
        <v>5</v>
      </c>
      <c r="N1310" s="85">
        <v>997</v>
      </c>
      <c r="Q1310" s="86">
        <v>5</v>
      </c>
      <c r="R1310" s="86" t="s">
        <v>1869</v>
      </c>
      <c r="S1310" s="86" t="s">
        <v>866</v>
      </c>
      <c r="T1310" s="86" t="s">
        <v>1994</v>
      </c>
      <c r="U1310" s="86" t="s">
        <v>1414</v>
      </c>
      <c r="V1310" s="86" t="s">
        <v>1731</v>
      </c>
      <c r="W1310" s="86" t="s">
        <v>1393</v>
      </c>
      <c r="X1310" s="86" t="s">
        <v>1421</v>
      </c>
      <c r="Y1310" s="85">
        <v>1.5</v>
      </c>
      <c r="Z1310" s="347"/>
      <c r="AA1310" s="347"/>
      <c r="AB1310" s="85" t="s">
        <v>451</v>
      </c>
      <c r="AF1310" s="85" t="s">
        <v>1351</v>
      </c>
      <c r="AG1310" s="85" t="s">
        <v>132</v>
      </c>
      <c r="AH1310" s="138" t="s">
        <v>132</v>
      </c>
      <c r="AI1310" s="85" t="s">
        <v>133</v>
      </c>
      <c r="AJ1310" s="140" t="s">
        <v>133</v>
      </c>
      <c r="AN1310" s="85" t="s">
        <v>157</v>
      </c>
      <c r="AO1310" s="85" t="s">
        <v>157</v>
      </c>
      <c r="AP1310" s="85" t="s">
        <v>178</v>
      </c>
      <c r="AQ1310" s="85" t="s">
        <v>893</v>
      </c>
      <c r="AR1310" s="85" t="s">
        <v>893</v>
      </c>
      <c r="AS1310" s="85" t="s">
        <v>178</v>
      </c>
      <c r="AT1310" s="85" t="s">
        <v>120</v>
      </c>
      <c r="AU1310" s="85">
        <v>4</v>
      </c>
      <c r="AW1310" s="85" t="s">
        <v>336</v>
      </c>
      <c r="AY1310" s="85">
        <v>1793</v>
      </c>
      <c r="AZ1310" s="85">
        <f>AY1310/25.9</f>
        <v>69.227799227799238</v>
      </c>
      <c r="BM1310" s="422"/>
      <c r="BN1310" s="422"/>
      <c r="BR1310" s="422"/>
      <c r="BS1310" s="422"/>
      <c r="BW1310" s="85">
        <v>3.64</v>
      </c>
      <c r="BX1310" s="85">
        <v>0.22</v>
      </c>
      <c r="CA1310" s="85" t="s">
        <v>1683</v>
      </c>
    </row>
    <row r="1311" spans="1:79" s="85" customFormat="1" x14ac:dyDescent="0.25">
      <c r="A1311" s="85">
        <v>59</v>
      </c>
      <c r="B1311" s="85" t="s">
        <v>863</v>
      </c>
      <c r="C1311" s="85" t="s">
        <v>864</v>
      </c>
      <c r="D1311" s="85">
        <v>1997</v>
      </c>
      <c r="E1311" s="85">
        <v>1991</v>
      </c>
      <c r="F1311" s="85" t="s">
        <v>865</v>
      </c>
      <c r="G1311" s="85" t="s">
        <v>891</v>
      </c>
      <c r="H1311" s="32" t="s">
        <v>2831</v>
      </c>
      <c r="I1311" s="85">
        <v>38.92</v>
      </c>
      <c r="J1311" s="85">
        <v>-76.150000000000006</v>
      </c>
      <c r="K1311" s="85">
        <v>5</v>
      </c>
      <c r="N1311" s="85">
        <v>997</v>
      </c>
      <c r="Q1311" s="86">
        <v>5</v>
      </c>
      <c r="R1311" s="86" t="s">
        <v>1869</v>
      </c>
      <c r="S1311" s="86" t="s">
        <v>866</v>
      </c>
      <c r="T1311" s="86" t="s">
        <v>1993</v>
      </c>
      <c r="U1311" s="86" t="s">
        <v>1414</v>
      </c>
      <c r="V1311" s="86" t="s">
        <v>1731</v>
      </c>
      <c r="W1311" s="86" t="s">
        <v>1393</v>
      </c>
      <c r="X1311" s="86" t="s">
        <v>1421</v>
      </c>
      <c r="Y1311" s="85">
        <v>1.5</v>
      </c>
      <c r="Z1311" s="347"/>
      <c r="AA1311" s="347"/>
      <c r="AB1311" s="85" t="s">
        <v>451</v>
      </c>
      <c r="AF1311" s="85" t="s">
        <v>1351</v>
      </c>
      <c r="AG1311" s="85" t="s">
        <v>132</v>
      </c>
      <c r="AH1311" s="138" t="s">
        <v>132</v>
      </c>
      <c r="AI1311" s="85" t="s">
        <v>133</v>
      </c>
      <c r="AJ1311" s="140" t="s">
        <v>133</v>
      </c>
      <c r="AN1311" s="85" t="s">
        <v>157</v>
      </c>
      <c r="AO1311" s="85" t="s">
        <v>157</v>
      </c>
      <c r="AP1311" s="85" t="s">
        <v>178</v>
      </c>
      <c r="AQ1311" s="85" t="s">
        <v>893</v>
      </c>
      <c r="AR1311" s="85" t="s">
        <v>893</v>
      </c>
      <c r="AS1311" s="85" t="s">
        <v>178</v>
      </c>
      <c r="AT1311" s="85" t="s">
        <v>120</v>
      </c>
      <c r="AU1311" s="85">
        <v>4</v>
      </c>
      <c r="AW1311" s="85" t="s">
        <v>336</v>
      </c>
      <c r="AY1311" s="85">
        <v>1793</v>
      </c>
      <c r="AZ1311" s="85">
        <f>AY1311/25.9</f>
        <v>69.227799227799238</v>
      </c>
      <c r="BM1311" s="422"/>
      <c r="BN1311" s="422"/>
      <c r="BR1311" s="422"/>
      <c r="BS1311" s="422"/>
      <c r="BW1311" s="85">
        <v>2.57</v>
      </c>
      <c r="BX1311" s="85">
        <v>1.03</v>
      </c>
      <c r="CA1311" s="85" t="s">
        <v>1683</v>
      </c>
    </row>
    <row r="1312" spans="1:79" s="85" customFormat="1" x14ac:dyDescent="0.25">
      <c r="A1312" s="85">
        <v>59</v>
      </c>
      <c r="B1312" s="85" t="s">
        <v>863</v>
      </c>
      <c r="C1312" s="85" t="s">
        <v>864</v>
      </c>
      <c r="D1312" s="85">
        <v>1997</v>
      </c>
      <c r="E1312" s="85">
        <v>1992</v>
      </c>
      <c r="F1312" s="85" t="s">
        <v>865</v>
      </c>
      <c r="G1312" s="85" t="s">
        <v>891</v>
      </c>
      <c r="H1312" s="32" t="s">
        <v>2831</v>
      </c>
      <c r="I1312" s="85">
        <v>38.92</v>
      </c>
      <c r="J1312" s="85">
        <v>-76.150000000000006</v>
      </c>
      <c r="K1312" s="85">
        <v>5</v>
      </c>
      <c r="N1312" s="85">
        <v>866</v>
      </c>
      <c r="Q1312" s="86">
        <v>6</v>
      </c>
      <c r="R1312" s="86" t="s">
        <v>1869</v>
      </c>
      <c r="S1312" s="86" t="s">
        <v>866</v>
      </c>
      <c r="T1312" s="86" t="s">
        <v>1994</v>
      </c>
      <c r="U1312" s="86" t="s">
        <v>1414</v>
      </c>
      <c r="V1312" s="86" t="s">
        <v>1731</v>
      </c>
      <c r="W1312" s="86" t="s">
        <v>1393</v>
      </c>
      <c r="X1312" s="86" t="s">
        <v>1421</v>
      </c>
      <c r="Y1312" s="85">
        <v>1.5</v>
      </c>
      <c r="Z1312" s="347"/>
      <c r="AA1312" s="347"/>
      <c r="AB1312" s="85" t="s">
        <v>451</v>
      </c>
      <c r="AF1312" s="85" t="s">
        <v>1351</v>
      </c>
      <c r="AG1312" s="85" t="s">
        <v>132</v>
      </c>
      <c r="AH1312" s="138" t="s">
        <v>132</v>
      </c>
      <c r="AI1312" s="85" t="s">
        <v>133</v>
      </c>
      <c r="AJ1312" s="140" t="s">
        <v>133</v>
      </c>
      <c r="AN1312" s="85" t="s">
        <v>157</v>
      </c>
      <c r="AO1312" s="85" t="s">
        <v>157</v>
      </c>
      <c r="AP1312" s="85" t="s">
        <v>178</v>
      </c>
      <c r="AQ1312" s="85" t="s">
        <v>893</v>
      </c>
      <c r="AR1312" s="85" t="s">
        <v>893</v>
      </c>
      <c r="AS1312" s="85" t="s">
        <v>178</v>
      </c>
      <c r="AT1312" s="85" t="s">
        <v>120</v>
      </c>
      <c r="AU1312" s="85">
        <v>4</v>
      </c>
      <c r="AW1312" s="85" t="s">
        <v>336</v>
      </c>
      <c r="AY1312" s="85">
        <v>2053</v>
      </c>
      <c r="AZ1312" s="85">
        <f>AY1312/40.5</f>
        <v>50.691358024691361</v>
      </c>
      <c r="BM1312" s="422"/>
      <c r="BN1312" s="422"/>
      <c r="BR1312" s="422"/>
      <c r="BS1312" s="422"/>
      <c r="BW1312" s="85">
        <v>3.67</v>
      </c>
      <c r="BX1312" s="85">
        <v>0.14000000000000001</v>
      </c>
      <c r="CA1312" s="85" t="s">
        <v>1683</v>
      </c>
    </row>
    <row r="1313" spans="1:251" s="85" customFormat="1" x14ac:dyDescent="0.25">
      <c r="A1313" s="85">
        <v>59</v>
      </c>
      <c r="B1313" s="85" t="s">
        <v>863</v>
      </c>
      <c r="C1313" s="85" t="s">
        <v>864</v>
      </c>
      <c r="D1313" s="85">
        <v>1997</v>
      </c>
      <c r="E1313" s="85">
        <v>1992</v>
      </c>
      <c r="F1313" s="85" t="s">
        <v>865</v>
      </c>
      <c r="G1313" s="85" t="s">
        <v>891</v>
      </c>
      <c r="H1313" s="32" t="s">
        <v>2831</v>
      </c>
      <c r="I1313" s="85">
        <v>38.92</v>
      </c>
      <c r="J1313" s="85">
        <v>-76.150000000000006</v>
      </c>
      <c r="K1313" s="85">
        <v>5</v>
      </c>
      <c r="N1313" s="85">
        <v>866</v>
      </c>
      <c r="Q1313" s="86">
        <v>6</v>
      </c>
      <c r="R1313" s="86" t="s">
        <v>1869</v>
      </c>
      <c r="S1313" s="86" t="s">
        <v>866</v>
      </c>
      <c r="T1313" s="86" t="s">
        <v>1993</v>
      </c>
      <c r="U1313" s="86" t="s">
        <v>1414</v>
      </c>
      <c r="V1313" s="86" t="s">
        <v>1731</v>
      </c>
      <c r="W1313" s="86" t="s">
        <v>1393</v>
      </c>
      <c r="X1313" s="86" t="s">
        <v>1421</v>
      </c>
      <c r="Y1313" s="85">
        <v>1.5</v>
      </c>
      <c r="Z1313" s="347"/>
      <c r="AA1313" s="347"/>
      <c r="AB1313" s="85" t="s">
        <v>451</v>
      </c>
      <c r="AF1313" s="85" t="s">
        <v>1351</v>
      </c>
      <c r="AG1313" s="85" t="s">
        <v>132</v>
      </c>
      <c r="AH1313" s="138" t="s">
        <v>132</v>
      </c>
      <c r="AI1313" s="85" t="s">
        <v>133</v>
      </c>
      <c r="AJ1313" s="140" t="s">
        <v>133</v>
      </c>
      <c r="AN1313" s="85" t="s">
        <v>157</v>
      </c>
      <c r="AO1313" s="85" t="s">
        <v>157</v>
      </c>
      <c r="AP1313" s="85" t="s">
        <v>178</v>
      </c>
      <c r="AQ1313" s="85" t="s">
        <v>893</v>
      </c>
      <c r="AR1313" s="85" t="s">
        <v>893</v>
      </c>
      <c r="AS1313" s="85" t="s">
        <v>178</v>
      </c>
      <c r="AT1313" s="85" t="s">
        <v>120</v>
      </c>
      <c r="AU1313" s="85">
        <v>4</v>
      </c>
      <c r="AW1313" s="85" t="s">
        <v>336</v>
      </c>
      <c r="AY1313" s="85">
        <v>2053</v>
      </c>
      <c r="AZ1313" s="85">
        <f>AY1313/40.5</f>
        <v>50.691358024691361</v>
      </c>
      <c r="BM1313" s="422"/>
      <c r="BN1313" s="422"/>
      <c r="BR1313" s="422"/>
      <c r="BS1313" s="422"/>
      <c r="BW1313" s="85">
        <v>0.81</v>
      </c>
      <c r="BX1313" s="85">
        <v>0.34</v>
      </c>
      <c r="CA1313" s="85" t="s">
        <v>1683</v>
      </c>
    </row>
    <row r="1314" spans="1:251" s="85" customFormat="1" x14ac:dyDescent="0.25">
      <c r="A1314" s="85">
        <v>59</v>
      </c>
      <c r="B1314" s="85" t="s">
        <v>863</v>
      </c>
      <c r="C1314" s="85" t="s">
        <v>864</v>
      </c>
      <c r="D1314" s="85">
        <v>1997</v>
      </c>
      <c r="E1314" s="85">
        <v>1993</v>
      </c>
      <c r="F1314" s="85" t="s">
        <v>865</v>
      </c>
      <c r="G1314" s="85" t="s">
        <v>891</v>
      </c>
      <c r="H1314" s="32" t="s">
        <v>2831</v>
      </c>
      <c r="I1314" s="85">
        <v>38.92</v>
      </c>
      <c r="J1314" s="85">
        <v>-76.150000000000006</v>
      </c>
      <c r="K1314" s="85">
        <v>5</v>
      </c>
      <c r="N1314" s="85">
        <v>972</v>
      </c>
      <c r="Q1314" s="86">
        <v>7</v>
      </c>
      <c r="R1314" s="86" t="s">
        <v>1869</v>
      </c>
      <c r="S1314" s="86" t="s">
        <v>866</v>
      </c>
      <c r="T1314" s="86" t="s">
        <v>1994</v>
      </c>
      <c r="U1314" s="86" t="s">
        <v>1414</v>
      </c>
      <c r="V1314" s="86" t="s">
        <v>1731</v>
      </c>
      <c r="W1314" s="86" t="s">
        <v>1393</v>
      </c>
      <c r="X1314" s="86" t="s">
        <v>1421</v>
      </c>
      <c r="Y1314" s="85">
        <v>1.5</v>
      </c>
      <c r="Z1314" s="347"/>
      <c r="AA1314" s="347"/>
      <c r="AB1314" s="85" t="s">
        <v>451</v>
      </c>
      <c r="AF1314" s="85" t="s">
        <v>1351</v>
      </c>
      <c r="AG1314" s="85" t="s">
        <v>132</v>
      </c>
      <c r="AH1314" s="138" t="s">
        <v>132</v>
      </c>
      <c r="AI1314" s="85" t="s">
        <v>133</v>
      </c>
      <c r="AJ1314" s="140" t="s">
        <v>133</v>
      </c>
      <c r="AN1314" s="85" t="s">
        <v>157</v>
      </c>
      <c r="AO1314" s="85" t="s">
        <v>157</v>
      </c>
      <c r="AP1314" s="85" t="s">
        <v>178</v>
      </c>
      <c r="AQ1314" s="85" t="s">
        <v>893</v>
      </c>
      <c r="AR1314" s="85" t="s">
        <v>893</v>
      </c>
      <c r="AS1314" s="85" t="s">
        <v>178</v>
      </c>
      <c r="AT1314" s="85" t="s">
        <v>120</v>
      </c>
      <c r="AU1314" s="85">
        <v>4</v>
      </c>
      <c r="AW1314" s="85" t="s">
        <v>336</v>
      </c>
      <c r="AY1314" s="85">
        <v>1873</v>
      </c>
      <c r="AZ1314" s="85">
        <f>AY1314/37.3</f>
        <v>50.21447721179625</v>
      </c>
      <c r="BM1314" s="422"/>
      <c r="BN1314" s="422"/>
      <c r="BR1314" s="422"/>
      <c r="BS1314" s="422"/>
      <c r="BW1314" s="85">
        <v>2.04</v>
      </c>
      <c r="BX1314" s="85">
        <v>0.3</v>
      </c>
      <c r="CA1314" s="85" t="s">
        <v>1683</v>
      </c>
    </row>
    <row r="1315" spans="1:251" s="85" customFormat="1" x14ac:dyDescent="0.25">
      <c r="A1315" s="85">
        <v>59</v>
      </c>
      <c r="B1315" s="85" t="s">
        <v>863</v>
      </c>
      <c r="C1315" s="85" t="s">
        <v>864</v>
      </c>
      <c r="D1315" s="85">
        <v>1997</v>
      </c>
      <c r="E1315" s="85">
        <v>1993</v>
      </c>
      <c r="F1315" s="85" t="s">
        <v>865</v>
      </c>
      <c r="G1315" s="85" t="s">
        <v>891</v>
      </c>
      <c r="H1315" s="32" t="s">
        <v>2831</v>
      </c>
      <c r="I1315" s="85">
        <v>38.92</v>
      </c>
      <c r="J1315" s="85">
        <v>-76.150000000000006</v>
      </c>
      <c r="K1315" s="85">
        <v>5</v>
      </c>
      <c r="N1315" s="85">
        <v>972</v>
      </c>
      <c r="Q1315" s="86">
        <v>7</v>
      </c>
      <c r="R1315" s="86" t="s">
        <v>1869</v>
      </c>
      <c r="S1315" s="86" t="s">
        <v>866</v>
      </c>
      <c r="T1315" s="86" t="s">
        <v>1993</v>
      </c>
      <c r="U1315" s="86" t="s">
        <v>1414</v>
      </c>
      <c r="V1315" s="86" t="s">
        <v>1731</v>
      </c>
      <c r="W1315" s="86" t="s">
        <v>1393</v>
      </c>
      <c r="X1315" s="86" t="s">
        <v>1421</v>
      </c>
      <c r="Y1315" s="85">
        <v>1.5</v>
      </c>
      <c r="Z1315" s="347"/>
      <c r="AA1315" s="347"/>
      <c r="AB1315" s="85" t="s">
        <v>451</v>
      </c>
      <c r="AF1315" s="85" t="s">
        <v>1351</v>
      </c>
      <c r="AG1315" s="85" t="s">
        <v>132</v>
      </c>
      <c r="AH1315" s="138" t="s">
        <v>132</v>
      </c>
      <c r="AI1315" s="85" t="s">
        <v>133</v>
      </c>
      <c r="AJ1315" s="140" t="s">
        <v>133</v>
      </c>
      <c r="AN1315" s="85" t="s">
        <v>157</v>
      </c>
      <c r="AO1315" s="85" t="s">
        <v>157</v>
      </c>
      <c r="AP1315" s="85" t="s">
        <v>178</v>
      </c>
      <c r="AQ1315" s="85" t="s">
        <v>893</v>
      </c>
      <c r="AR1315" s="85" t="s">
        <v>893</v>
      </c>
      <c r="AS1315" s="85" t="s">
        <v>178</v>
      </c>
      <c r="AT1315" s="85" t="s">
        <v>120</v>
      </c>
      <c r="AU1315" s="85">
        <v>4</v>
      </c>
      <c r="AW1315" s="85" t="s">
        <v>336</v>
      </c>
      <c r="AY1315" s="85">
        <v>1873</v>
      </c>
      <c r="AZ1315" s="85">
        <f>AY1315/37.3</f>
        <v>50.21447721179625</v>
      </c>
      <c r="BM1315" s="422"/>
      <c r="BN1315" s="422"/>
      <c r="BR1315" s="422"/>
      <c r="BS1315" s="422"/>
      <c r="BW1315" s="85">
        <v>0.48</v>
      </c>
      <c r="BX1315" s="85">
        <v>0.19</v>
      </c>
      <c r="CA1315" s="85" t="s">
        <v>1683</v>
      </c>
    </row>
    <row r="1316" spans="1:251" s="85" customFormat="1" x14ac:dyDescent="0.25">
      <c r="A1316" s="85">
        <v>59</v>
      </c>
      <c r="B1316" s="85" t="s">
        <v>863</v>
      </c>
      <c r="C1316" s="85" t="s">
        <v>864</v>
      </c>
      <c r="D1316" s="85">
        <v>1997</v>
      </c>
      <c r="E1316" s="85">
        <v>1994</v>
      </c>
      <c r="F1316" s="85" t="s">
        <v>865</v>
      </c>
      <c r="G1316" s="85" t="s">
        <v>891</v>
      </c>
      <c r="H1316" s="32" t="s">
        <v>2831</v>
      </c>
      <c r="I1316" s="85">
        <v>38.92</v>
      </c>
      <c r="J1316" s="85">
        <v>-76.150000000000006</v>
      </c>
      <c r="K1316" s="85">
        <v>5</v>
      </c>
      <c r="N1316" s="85">
        <v>1275</v>
      </c>
      <c r="Q1316" s="86">
        <v>8</v>
      </c>
      <c r="R1316" s="86" t="s">
        <v>1869</v>
      </c>
      <c r="S1316" s="86" t="s">
        <v>866</v>
      </c>
      <c r="T1316" s="86" t="s">
        <v>1994</v>
      </c>
      <c r="U1316" s="86" t="s">
        <v>1414</v>
      </c>
      <c r="V1316" s="86" t="s">
        <v>1731</v>
      </c>
      <c r="W1316" s="86" t="s">
        <v>1393</v>
      </c>
      <c r="X1316" s="86" t="s">
        <v>1421</v>
      </c>
      <c r="Y1316" s="85">
        <v>1.5</v>
      </c>
      <c r="Z1316" s="347"/>
      <c r="AA1316" s="347"/>
      <c r="AB1316" s="85" t="s">
        <v>451</v>
      </c>
      <c r="AF1316" s="85" t="s">
        <v>1351</v>
      </c>
      <c r="AG1316" s="85" t="s">
        <v>132</v>
      </c>
      <c r="AH1316" s="138" t="s">
        <v>132</v>
      </c>
      <c r="AI1316" s="85" t="s">
        <v>133</v>
      </c>
      <c r="AJ1316" s="140" t="s">
        <v>133</v>
      </c>
      <c r="AN1316" s="85" t="s">
        <v>157</v>
      </c>
      <c r="AO1316" s="85" t="s">
        <v>157</v>
      </c>
      <c r="AP1316" s="85" t="s">
        <v>178</v>
      </c>
      <c r="AQ1316" s="85" t="s">
        <v>893</v>
      </c>
      <c r="AR1316" s="85" t="s">
        <v>893</v>
      </c>
      <c r="AS1316" s="85" t="s">
        <v>178</v>
      </c>
      <c r="AT1316" s="85" t="s">
        <v>120</v>
      </c>
      <c r="AU1316" s="85">
        <v>4</v>
      </c>
      <c r="AW1316" s="85" t="s">
        <v>336</v>
      </c>
      <c r="AY1316" s="85">
        <v>3645</v>
      </c>
      <c r="AZ1316" s="85">
        <f>AY1316/59.2</f>
        <v>61.570945945945944</v>
      </c>
      <c r="BM1316" s="422"/>
      <c r="BN1316" s="422"/>
      <c r="BR1316" s="422"/>
      <c r="BS1316" s="422"/>
      <c r="BW1316" s="85">
        <v>1.53</v>
      </c>
      <c r="BX1316" s="85">
        <v>0.19</v>
      </c>
      <c r="CA1316" s="85" t="s">
        <v>1683</v>
      </c>
    </row>
    <row r="1317" spans="1:251" s="85" customFormat="1" x14ac:dyDescent="0.25">
      <c r="A1317" s="85">
        <v>59</v>
      </c>
      <c r="B1317" s="85" t="s">
        <v>863</v>
      </c>
      <c r="C1317" s="85" t="s">
        <v>864</v>
      </c>
      <c r="D1317" s="85">
        <v>1997</v>
      </c>
      <c r="E1317" s="85">
        <v>1994</v>
      </c>
      <c r="F1317" s="85" t="s">
        <v>865</v>
      </c>
      <c r="G1317" s="85" t="s">
        <v>891</v>
      </c>
      <c r="H1317" s="32" t="s">
        <v>2831</v>
      </c>
      <c r="I1317" s="85">
        <v>38.92</v>
      </c>
      <c r="J1317" s="85">
        <v>-76.150000000000006</v>
      </c>
      <c r="K1317" s="85">
        <v>5</v>
      </c>
      <c r="N1317" s="85">
        <v>1275</v>
      </c>
      <c r="Q1317" s="86">
        <v>8</v>
      </c>
      <c r="R1317" s="86" t="s">
        <v>1869</v>
      </c>
      <c r="S1317" s="86" t="s">
        <v>866</v>
      </c>
      <c r="T1317" s="86" t="s">
        <v>1993</v>
      </c>
      <c r="U1317" s="86" t="s">
        <v>1414</v>
      </c>
      <c r="V1317" s="86" t="s">
        <v>1731</v>
      </c>
      <c r="W1317" s="86" t="s">
        <v>1393</v>
      </c>
      <c r="X1317" s="86" t="s">
        <v>1421</v>
      </c>
      <c r="Y1317" s="85">
        <v>1.5</v>
      </c>
      <c r="Z1317" s="347"/>
      <c r="AA1317" s="347"/>
      <c r="AB1317" s="85" t="s">
        <v>451</v>
      </c>
      <c r="AF1317" s="85" t="s">
        <v>1351</v>
      </c>
      <c r="AG1317" s="85" t="s">
        <v>132</v>
      </c>
      <c r="AH1317" s="138" t="s">
        <v>132</v>
      </c>
      <c r="AI1317" s="85" t="s">
        <v>133</v>
      </c>
      <c r="AJ1317" s="140" t="s">
        <v>133</v>
      </c>
      <c r="AN1317" s="85" t="s">
        <v>157</v>
      </c>
      <c r="AO1317" s="85" t="s">
        <v>157</v>
      </c>
      <c r="AP1317" s="85" t="s">
        <v>178</v>
      </c>
      <c r="AQ1317" s="85" t="s">
        <v>893</v>
      </c>
      <c r="AR1317" s="85" t="s">
        <v>893</v>
      </c>
      <c r="AS1317" s="85" t="s">
        <v>178</v>
      </c>
      <c r="AT1317" s="85" t="s">
        <v>120</v>
      </c>
      <c r="AU1317" s="85">
        <v>4</v>
      </c>
      <c r="AW1317" s="85" t="s">
        <v>336</v>
      </c>
      <c r="AY1317" s="85">
        <v>3645</v>
      </c>
      <c r="AZ1317" s="85">
        <f>AY1317/59.2</f>
        <v>61.570945945945944</v>
      </c>
      <c r="BM1317" s="422"/>
      <c r="BN1317" s="422"/>
      <c r="BR1317" s="422"/>
      <c r="BS1317" s="422"/>
      <c r="BW1317" s="85">
        <v>0.24</v>
      </c>
      <c r="BX1317" s="85">
        <v>0.24</v>
      </c>
      <c r="CA1317" s="85" t="s">
        <v>1683</v>
      </c>
    </row>
    <row r="1318" spans="1:251" s="39" customFormat="1" x14ac:dyDescent="0.25">
      <c r="A1318" s="39">
        <v>60</v>
      </c>
      <c r="B1318" s="39" t="s">
        <v>896</v>
      </c>
      <c r="C1318" s="39" t="s">
        <v>897</v>
      </c>
      <c r="D1318" s="39">
        <v>2012</v>
      </c>
      <c r="E1318" s="39">
        <v>2005</v>
      </c>
      <c r="F1318" s="39" t="s">
        <v>152</v>
      </c>
      <c r="G1318" s="39" t="s">
        <v>898</v>
      </c>
      <c r="H1318" s="32" t="s">
        <v>2831</v>
      </c>
      <c r="I1318" s="39">
        <f t="shared" ref="I1318:I1325" si="238">38+37/60</f>
        <v>38.616666666666667</v>
      </c>
      <c r="J1318" s="39">
        <f t="shared" ref="J1318:J1325" si="239">-76-44/60</f>
        <v>-76.733333333333334</v>
      </c>
      <c r="K1318" s="39">
        <v>25.4</v>
      </c>
      <c r="Q1318" s="70" t="s">
        <v>1940</v>
      </c>
      <c r="R1318" s="70" t="s">
        <v>1926</v>
      </c>
      <c r="S1318" s="70" t="s">
        <v>866</v>
      </c>
      <c r="T1318" s="70" t="s">
        <v>1995</v>
      </c>
      <c r="U1318" s="70" t="s">
        <v>1392</v>
      </c>
      <c r="V1318" s="70" t="s">
        <v>1726</v>
      </c>
      <c r="W1318" s="70" t="s">
        <v>1392</v>
      </c>
      <c r="X1318" s="70" t="s">
        <v>1392</v>
      </c>
      <c r="Y1318" s="39">
        <v>1.37</v>
      </c>
      <c r="Z1318" s="340"/>
      <c r="AA1318" s="340"/>
      <c r="AB1318" s="39" t="s">
        <v>451</v>
      </c>
      <c r="AF1318" s="39" t="s">
        <v>1352</v>
      </c>
      <c r="AG1318" s="39" t="s">
        <v>132</v>
      </c>
      <c r="AH1318" s="138" t="s">
        <v>132</v>
      </c>
      <c r="AI1318" s="39" t="s">
        <v>133</v>
      </c>
      <c r="AJ1318" s="141" t="s">
        <v>133</v>
      </c>
      <c r="AN1318" s="39" t="s">
        <v>157</v>
      </c>
      <c r="AO1318" s="39" t="s">
        <v>157</v>
      </c>
      <c r="AP1318" s="39" t="s">
        <v>178</v>
      </c>
      <c r="AQ1318" s="39" t="s">
        <v>900</v>
      </c>
      <c r="AR1318" s="39">
        <v>0</v>
      </c>
      <c r="AS1318" s="39" t="s">
        <v>503</v>
      </c>
      <c r="AT1318" s="39" t="s">
        <v>161</v>
      </c>
      <c r="AU1318" s="39">
        <v>4</v>
      </c>
      <c r="AW1318" s="39" t="s">
        <v>142</v>
      </c>
      <c r="BB1318" s="39" t="s">
        <v>901</v>
      </c>
      <c r="BH1318" s="39">
        <v>7997</v>
      </c>
      <c r="BI1318" s="39">
        <v>7827</v>
      </c>
      <c r="BM1318" s="415">
        <v>1.41</v>
      </c>
      <c r="BN1318" s="415">
        <v>1.427</v>
      </c>
      <c r="BR1318" s="415">
        <v>0.186</v>
      </c>
      <c r="BS1318" s="415">
        <v>0.20899999999999999</v>
      </c>
      <c r="BV1318" s="39" t="s">
        <v>907</v>
      </c>
      <c r="DF1318" s="39">
        <v>44.55</v>
      </c>
      <c r="DG1318" s="39">
        <v>59.59</v>
      </c>
      <c r="DJ1318" s="39" t="s">
        <v>904</v>
      </c>
      <c r="DK1318" s="39">
        <v>5.94</v>
      </c>
      <c r="DL1318" s="39">
        <v>4.67</v>
      </c>
      <c r="DO1318" s="39" t="s">
        <v>915</v>
      </c>
      <c r="DU1318" s="39">
        <f>0.868*3600</f>
        <v>3124.8</v>
      </c>
      <c r="DV1318" s="39">
        <f>2.3*3600</f>
        <v>8280</v>
      </c>
      <c r="DY1318" s="39" t="s">
        <v>909</v>
      </c>
      <c r="DZ1318" s="39">
        <f>0.013*360</f>
        <v>4.68</v>
      </c>
      <c r="EA1318" s="39">
        <f>0.013*360</f>
        <v>4.68</v>
      </c>
      <c r="ED1318" s="39" t="s">
        <v>914</v>
      </c>
      <c r="IQ1318"/>
    </row>
    <row r="1319" spans="1:251" s="39" customFormat="1" x14ac:dyDescent="0.25">
      <c r="A1319" s="39">
        <v>60</v>
      </c>
      <c r="B1319" s="39" t="s">
        <v>896</v>
      </c>
      <c r="C1319" s="39" t="s">
        <v>897</v>
      </c>
      <c r="D1319" s="39">
        <v>2012</v>
      </c>
      <c r="E1319" s="39">
        <v>2005</v>
      </c>
      <c r="F1319" s="39" t="s">
        <v>152</v>
      </c>
      <c r="G1319" s="39" t="s">
        <v>898</v>
      </c>
      <c r="H1319" s="32" t="s">
        <v>2831</v>
      </c>
      <c r="I1319" s="39">
        <f t="shared" si="238"/>
        <v>38.616666666666667</v>
      </c>
      <c r="J1319" s="39">
        <f t="shared" si="239"/>
        <v>-76.733333333333334</v>
      </c>
      <c r="K1319" s="39">
        <v>25.4</v>
      </c>
      <c r="Q1319" s="70" t="s">
        <v>1940</v>
      </c>
      <c r="R1319" s="70" t="s">
        <v>1926</v>
      </c>
      <c r="S1319" s="70" t="s">
        <v>866</v>
      </c>
      <c r="T1319" s="70" t="s">
        <v>1996</v>
      </c>
      <c r="U1319" s="70" t="s">
        <v>1392</v>
      </c>
      <c r="V1319" s="70" t="s">
        <v>1726</v>
      </c>
      <c r="W1319" s="70" t="s">
        <v>1392</v>
      </c>
      <c r="X1319" s="70" t="s">
        <v>1392</v>
      </c>
      <c r="Y1319" s="39">
        <v>1.37</v>
      </c>
      <c r="Z1319" s="340"/>
      <c r="AA1319" s="340"/>
      <c r="AB1319" s="39" t="s">
        <v>451</v>
      </c>
      <c r="AF1319" s="39" t="s">
        <v>1352</v>
      </c>
      <c r="AG1319" s="39" t="s">
        <v>132</v>
      </c>
      <c r="AH1319" s="138" t="s">
        <v>132</v>
      </c>
      <c r="AI1319" s="39" t="s">
        <v>133</v>
      </c>
      <c r="AJ1319" s="141" t="s">
        <v>133</v>
      </c>
      <c r="AN1319" s="39" t="s">
        <v>157</v>
      </c>
      <c r="AO1319" s="39" t="s">
        <v>157</v>
      </c>
      <c r="AP1319" s="39" t="s">
        <v>178</v>
      </c>
      <c r="AQ1319" s="39" t="s">
        <v>900</v>
      </c>
      <c r="AR1319" s="39">
        <v>0</v>
      </c>
      <c r="AS1319" s="39" t="s">
        <v>503</v>
      </c>
      <c r="AT1319" s="39" t="s">
        <v>161</v>
      </c>
      <c r="AU1319" s="39">
        <v>4</v>
      </c>
      <c r="AW1319" s="39" t="s">
        <v>142</v>
      </c>
      <c r="BB1319" s="39" t="s">
        <v>902</v>
      </c>
      <c r="BH1319" s="39">
        <v>7997</v>
      </c>
      <c r="BI1319" s="39">
        <v>7827</v>
      </c>
      <c r="BM1319" s="415">
        <v>1.41</v>
      </c>
      <c r="BN1319" s="415">
        <v>1.427</v>
      </c>
      <c r="BR1319" s="415">
        <v>0.186</v>
      </c>
      <c r="BS1319" s="415">
        <v>0.193</v>
      </c>
      <c r="BV1319" s="39" t="s">
        <v>907</v>
      </c>
      <c r="DF1319" s="39">
        <v>24.64</v>
      </c>
      <c r="DG1319" s="39">
        <v>35.22</v>
      </c>
      <c r="DJ1319" s="39" t="s">
        <v>904</v>
      </c>
      <c r="DK1319" s="39">
        <v>1.76</v>
      </c>
      <c r="DL1319" s="39">
        <v>10.68</v>
      </c>
      <c r="DO1319" s="39" t="s">
        <v>915</v>
      </c>
      <c r="DU1319" s="39">
        <f>0.3*3600</f>
        <v>1080</v>
      </c>
      <c r="DV1319" s="39">
        <f>0.307*3600</f>
        <v>1105.2</v>
      </c>
      <c r="DY1319" s="39" t="s">
        <v>909</v>
      </c>
      <c r="DZ1319" s="39">
        <f>0.0084*360</f>
        <v>3.024</v>
      </c>
      <c r="EA1319" s="39">
        <f>0.0044*360</f>
        <v>1.5840000000000001</v>
      </c>
      <c r="ED1319" s="39" t="s">
        <v>914</v>
      </c>
      <c r="IQ1319"/>
    </row>
    <row r="1320" spans="1:251" s="39" customFormat="1" x14ac:dyDescent="0.25">
      <c r="A1320" s="39">
        <v>60</v>
      </c>
      <c r="B1320" s="39" t="s">
        <v>896</v>
      </c>
      <c r="C1320" s="39" t="s">
        <v>897</v>
      </c>
      <c r="D1320" s="39">
        <v>2012</v>
      </c>
      <c r="E1320" s="39">
        <v>2006</v>
      </c>
      <c r="F1320" s="39" t="s">
        <v>152</v>
      </c>
      <c r="G1320" s="39" t="s">
        <v>898</v>
      </c>
      <c r="H1320" s="32" t="s">
        <v>2831</v>
      </c>
      <c r="I1320" s="39">
        <f t="shared" si="238"/>
        <v>38.616666666666667</v>
      </c>
      <c r="J1320" s="39">
        <f t="shared" si="239"/>
        <v>-76.733333333333334</v>
      </c>
      <c r="K1320" s="39">
        <v>25.4</v>
      </c>
      <c r="Q1320" s="70" t="s">
        <v>1926</v>
      </c>
      <c r="R1320" s="70" t="s">
        <v>1926</v>
      </c>
      <c r="S1320" s="70" t="s">
        <v>866</v>
      </c>
      <c r="T1320" s="70" t="s">
        <v>1996</v>
      </c>
      <c r="U1320" s="70" t="s">
        <v>1392</v>
      </c>
      <c r="V1320" s="70" t="s">
        <v>1726</v>
      </c>
      <c r="W1320" s="70" t="s">
        <v>1392</v>
      </c>
      <c r="X1320" s="70" t="s">
        <v>1392</v>
      </c>
      <c r="Y1320" s="39">
        <v>1.37</v>
      </c>
      <c r="Z1320" s="340"/>
      <c r="AA1320" s="340"/>
      <c r="AB1320" s="39" t="s">
        <v>451</v>
      </c>
      <c r="AF1320" s="39" t="s">
        <v>1352</v>
      </c>
      <c r="AG1320" s="39" t="s">
        <v>132</v>
      </c>
      <c r="AH1320" s="138" t="s">
        <v>132</v>
      </c>
      <c r="AI1320" s="39" t="s">
        <v>133</v>
      </c>
      <c r="AJ1320" s="141" t="s">
        <v>133</v>
      </c>
      <c r="AN1320" s="39" t="s">
        <v>157</v>
      </c>
      <c r="AO1320" s="39" t="s">
        <v>157</v>
      </c>
      <c r="AP1320" s="39" t="s">
        <v>178</v>
      </c>
      <c r="AQ1320" s="39" t="s">
        <v>900</v>
      </c>
      <c r="AR1320" s="39">
        <v>0</v>
      </c>
      <c r="AS1320" s="39" t="s">
        <v>503</v>
      </c>
      <c r="AT1320" s="39" t="s">
        <v>161</v>
      </c>
      <c r="AU1320" s="39">
        <v>4</v>
      </c>
      <c r="AW1320" s="39" t="s">
        <v>142</v>
      </c>
      <c r="BB1320" s="39" t="s">
        <v>901</v>
      </c>
      <c r="BH1320" s="39">
        <v>7997</v>
      </c>
      <c r="BI1320" s="39">
        <v>7827</v>
      </c>
      <c r="BM1320" s="415">
        <v>1.4</v>
      </c>
      <c r="BN1320" s="415">
        <v>1.258</v>
      </c>
      <c r="BR1320" s="415">
        <v>0.17599999999999999</v>
      </c>
      <c r="BS1320" s="415">
        <v>0.185</v>
      </c>
      <c r="BV1320" s="39" t="s">
        <v>907</v>
      </c>
      <c r="DF1320" s="39">
        <v>42.71</v>
      </c>
      <c r="DG1320" s="39">
        <v>60.16</v>
      </c>
      <c r="DJ1320" s="39" t="s">
        <v>904</v>
      </c>
      <c r="DK1320" s="39">
        <v>2.87</v>
      </c>
      <c r="DL1320" s="39">
        <v>3.99</v>
      </c>
      <c r="DO1320" s="39" t="s">
        <v>915</v>
      </c>
      <c r="DU1320" s="39">
        <f>0.023*3600</f>
        <v>82.8</v>
      </c>
      <c r="DV1320" s="39">
        <f>0.0833*3600</f>
        <v>299.88</v>
      </c>
      <c r="DY1320" s="39" t="s">
        <v>909</v>
      </c>
      <c r="DZ1320" s="39">
        <f>0.00037*360</f>
        <v>0.13319999999999999</v>
      </c>
      <c r="EA1320" s="39">
        <f>0.0023*360</f>
        <v>0.82799999999999996</v>
      </c>
      <c r="ED1320" s="39" t="s">
        <v>914</v>
      </c>
      <c r="IQ1320"/>
    </row>
    <row r="1321" spans="1:251" s="39" customFormat="1" x14ac:dyDescent="0.25">
      <c r="A1321" s="39">
        <v>60</v>
      </c>
      <c r="B1321" s="39" t="s">
        <v>896</v>
      </c>
      <c r="C1321" s="39" t="s">
        <v>897</v>
      </c>
      <c r="D1321" s="39">
        <v>2012</v>
      </c>
      <c r="E1321" s="39">
        <v>2006</v>
      </c>
      <c r="F1321" s="39" t="s">
        <v>152</v>
      </c>
      <c r="G1321" s="39" t="s">
        <v>898</v>
      </c>
      <c r="H1321" s="32" t="s">
        <v>2831</v>
      </c>
      <c r="I1321" s="39">
        <f t="shared" si="238"/>
        <v>38.616666666666667</v>
      </c>
      <c r="J1321" s="39">
        <f t="shared" si="239"/>
        <v>-76.733333333333334</v>
      </c>
      <c r="K1321" s="39">
        <v>25.4</v>
      </c>
      <c r="Q1321" s="70" t="s">
        <v>1926</v>
      </c>
      <c r="R1321" s="70" t="s">
        <v>1926</v>
      </c>
      <c r="S1321" s="70" t="s">
        <v>866</v>
      </c>
      <c r="T1321" s="70" t="s">
        <v>1996</v>
      </c>
      <c r="U1321" s="70" t="s">
        <v>1392</v>
      </c>
      <c r="V1321" s="70" t="s">
        <v>1726</v>
      </c>
      <c r="W1321" s="70" t="s">
        <v>1392</v>
      </c>
      <c r="X1321" s="70" t="s">
        <v>1392</v>
      </c>
      <c r="Y1321" s="39">
        <v>1.37</v>
      </c>
      <c r="Z1321" s="340"/>
      <c r="AA1321" s="340"/>
      <c r="AB1321" s="39" t="s">
        <v>451</v>
      </c>
      <c r="AF1321" s="39" t="s">
        <v>1352</v>
      </c>
      <c r="AG1321" s="39" t="s">
        <v>132</v>
      </c>
      <c r="AH1321" s="138" t="s">
        <v>132</v>
      </c>
      <c r="AI1321" s="39" t="s">
        <v>133</v>
      </c>
      <c r="AJ1321" s="141" t="s">
        <v>133</v>
      </c>
      <c r="AN1321" s="39" t="s">
        <v>157</v>
      </c>
      <c r="AO1321" s="39" t="s">
        <v>157</v>
      </c>
      <c r="AP1321" s="39" t="s">
        <v>178</v>
      </c>
      <c r="AQ1321" s="39" t="s">
        <v>900</v>
      </c>
      <c r="AR1321" s="39">
        <v>0</v>
      </c>
      <c r="AS1321" s="39" t="s">
        <v>503</v>
      </c>
      <c r="AT1321" s="39" t="s">
        <v>161</v>
      </c>
      <c r="AU1321" s="39">
        <v>4</v>
      </c>
      <c r="AW1321" s="39" t="s">
        <v>142</v>
      </c>
      <c r="BB1321" s="39" t="s">
        <v>902</v>
      </c>
      <c r="BH1321" s="39">
        <v>7997</v>
      </c>
      <c r="BI1321" s="39">
        <v>7827</v>
      </c>
      <c r="BM1321" s="415">
        <v>1.4</v>
      </c>
      <c r="BN1321" s="415">
        <v>1.258</v>
      </c>
      <c r="BR1321" s="415">
        <v>0.188</v>
      </c>
      <c r="BS1321" s="415">
        <v>0.184</v>
      </c>
      <c r="BV1321" s="39" t="s">
        <v>907</v>
      </c>
      <c r="DF1321" s="39">
        <v>33.700000000000003</v>
      </c>
      <c r="DG1321" s="39">
        <v>48.75</v>
      </c>
      <c r="DJ1321" s="39" t="s">
        <v>904</v>
      </c>
      <c r="DK1321" s="39">
        <v>1.28</v>
      </c>
      <c r="DL1321" s="39">
        <v>4.7</v>
      </c>
      <c r="DO1321" s="39" t="s">
        <v>915</v>
      </c>
      <c r="IQ1321"/>
    </row>
    <row r="1322" spans="1:251" s="90" customFormat="1" x14ac:dyDescent="0.25">
      <c r="A1322" s="90">
        <v>60</v>
      </c>
      <c r="B1322" s="90" t="s">
        <v>896</v>
      </c>
      <c r="C1322" s="90" t="s">
        <v>897</v>
      </c>
      <c r="D1322" s="90">
        <v>2012</v>
      </c>
      <c r="E1322" s="90">
        <v>2005</v>
      </c>
      <c r="F1322" s="90" t="s">
        <v>152</v>
      </c>
      <c r="G1322" s="90" t="s">
        <v>898</v>
      </c>
      <c r="H1322" s="32" t="s">
        <v>2831</v>
      </c>
      <c r="I1322" s="90">
        <f t="shared" si="238"/>
        <v>38.616666666666667</v>
      </c>
      <c r="J1322" s="90">
        <f t="shared" si="239"/>
        <v>-76.733333333333334</v>
      </c>
      <c r="K1322" s="90">
        <v>25.4</v>
      </c>
      <c r="Q1322" s="91" t="s">
        <v>1940</v>
      </c>
      <c r="R1322" s="91" t="s">
        <v>1926</v>
      </c>
      <c r="S1322" s="91" t="s">
        <v>866</v>
      </c>
      <c r="T1322" s="91" t="s">
        <v>1996</v>
      </c>
      <c r="U1322" s="91" t="s">
        <v>1392</v>
      </c>
      <c r="V1322" s="70" t="s">
        <v>1726</v>
      </c>
      <c r="W1322" s="91" t="s">
        <v>1392</v>
      </c>
      <c r="X1322" s="91" t="s">
        <v>1392</v>
      </c>
      <c r="Y1322" s="90">
        <v>1.37</v>
      </c>
      <c r="Z1322" s="348"/>
      <c r="AA1322" s="348"/>
      <c r="AB1322" s="90" t="s">
        <v>451</v>
      </c>
      <c r="AF1322" s="39" t="s">
        <v>1352</v>
      </c>
      <c r="AG1322" s="90" t="s">
        <v>132</v>
      </c>
      <c r="AH1322" s="138" t="s">
        <v>132</v>
      </c>
      <c r="AI1322" s="90" t="s">
        <v>133</v>
      </c>
      <c r="AJ1322" s="144" t="s">
        <v>133</v>
      </c>
      <c r="AN1322" s="90" t="s">
        <v>157</v>
      </c>
      <c r="AO1322" s="90" t="s">
        <v>157</v>
      </c>
      <c r="AP1322" s="90" t="s">
        <v>178</v>
      </c>
      <c r="AQ1322" s="90" t="s">
        <v>900</v>
      </c>
      <c r="AR1322" s="90">
        <v>0</v>
      </c>
      <c r="AS1322" s="90" t="s">
        <v>503</v>
      </c>
      <c r="AT1322" s="90" t="s">
        <v>161</v>
      </c>
      <c r="AU1322" s="90">
        <v>4</v>
      </c>
      <c r="AW1322" s="90" t="s">
        <v>142</v>
      </c>
      <c r="BB1322" s="90" t="s">
        <v>901</v>
      </c>
      <c r="BH1322" s="39">
        <v>7997</v>
      </c>
      <c r="BI1322" s="39">
        <v>7827</v>
      </c>
      <c r="BM1322" s="423">
        <v>1.41</v>
      </c>
      <c r="BN1322" s="423">
        <v>1.381</v>
      </c>
      <c r="BR1322" s="423">
        <f>44.12/100</f>
        <v>0.44119999999999998</v>
      </c>
      <c r="BS1322" s="423">
        <f>48.28/100</f>
        <v>0.48280000000000001</v>
      </c>
      <c r="BV1322" s="90" t="s">
        <v>1153</v>
      </c>
      <c r="DF1322" s="90">
        <v>41.91</v>
      </c>
      <c r="DG1322" s="90">
        <v>60.18</v>
      </c>
      <c r="DJ1322" s="90" t="s">
        <v>903</v>
      </c>
      <c r="DU1322" s="90">
        <v>5040</v>
      </c>
      <c r="DV1322" s="90">
        <f>4.02*3600</f>
        <v>14471.999999999998</v>
      </c>
      <c r="DY1322" s="90" t="s">
        <v>910</v>
      </c>
      <c r="DZ1322" s="90">
        <f>0.064*360</f>
        <v>23.04</v>
      </c>
      <c r="EA1322" s="90">
        <f>0.175*360</f>
        <v>62.999999999999993</v>
      </c>
      <c r="ED1322" s="90" t="s">
        <v>914</v>
      </c>
      <c r="IO1322" s="90" t="s">
        <v>908</v>
      </c>
    </row>
    <row r="1323" spans="1:251" s="90" customFormat="1" x14ac:dyDescent="0.25">
      <c r="A1323" s="90">
        <v>60</v>
      </c>
      <c r="B1323" s="90" t="s">
        <v>896</v>
      </c>
      <c r="C1323" s="90" t="s">
        <v>897</v>
      </c>
      <c r="D1323" s="90">
        <v>2012</v>
      </c>
      <c r="E1323" s="90">
        <v>2005</v>
      </c>
      <c r="F1323" s="90" t="s">
        <v>152</v>
      </c>
      <c r="G1323" s="90" t="s">
        <v>898</v>
      </c>
      <c r="H1323" s="32" t="s">
        <v>2831</v>
      </c>
      <c r="I1323" s="90">
        <f t="shared" si="238"/>
        <v>38.616666666666667</v>
      </c>
      <c r="J1323" s="90">
        <f t="shared" si="239"/>
        <v>-76.733333333333334</v>
      </c>
      <c r="K1323" s="90">
        <v>25.4</v>
      </c>
      <c r="Q1323" s="91" t="s">
        <v>1940</v>
      </c>
      <c r="R1323" s="91" t="s">
        <v>1926</v>
      </c>
      <c r="S1323" s="91" t="s">
        <v>866</v>
      </c>
      <c r="T1323" s="91" t="s">
        <v>1996</v>
      </c>
      <c r="U1323" s="91" t="s">
        <v>1392</v>
      </c>
      <c r="V1323" s="70" t="s">
        <v>1726</v>
      </c>
      <c r="W1323" s="91" t="s">
        <v>1392</v>
      </c>
      <c r="X1323" s="91" t="s">
        <v>1392</v>
      </c>
      <c r="Y1323" s="90">
        <v>1.37</v>
      </c>
      <c r="Z1323" s="348"/>
      <c r="AA1323" s="348"/>
      <c r="AB1323" s="90" t="s">
        <v>451</v>
      </c>
      <c r="AF1323" s="39" t="s">
        <v>1352</v>
      </c>
      <c r="AG1323" s="90" t="s">
        <v>132</v>
      </c>
      <c r="AH1323" s="138" t="s">
        <v>132</v>
      </c>
      <c r="AI1323" s="90" t="s">
        <v>133</v>
      </c>
      <c r="AJ1323" s="144" t="s">
        <v>133</v>
      </c>
      <c r="AN1323" s="90" t="s">
        <v>157</v>
      </c>
      <c r="AO1323" s="90" t="s">
        <v>157</v>
      </c>
      <c r="AP1323" s="90" t="s">
        <v>178</v>
      </c>
      <c r="AQ1323" s="90" t="s">
        <v>900</v>
      </c>
      <c r="AR1323" s="90">
        <v>0</v>
      </c>
      <c r="AS1323" s="90" t="s">
        <v>503</v>
      </c>
      <c r="AT1323" s="90" t="s">
        <v>161</v>
      </c>
      <c r="AU1323" s="90">
        <v>4</v>
      </c>
      <c r="AW1323" s="90" t="s">
        <v>142</v>
      </c>
      <c r="BB1323" s="90" t="s">
        <v>902</v>
      </c>
      <c r="BH1323" s="39">
        <v>7997</v>
      </c>
      <c r="BI1323" s="39">
        <v>7827</v>
      </c>
      <c r="BM1323" s="423">
        <v>1.41</v>
      </c>
      <c r="BN1323" s="423">
        <v>1.381</v>
      </c>
      <c r="BR1323" s="423">
        <f>42.86/100</f>
        <v>0.42859999999999998</v>
      </c>
      <c r="BS1323" s="423">
        <f>55.85/100</f>
        <v>0.5585</v>
      </c>
      <c r="BV1323" s="90" t="s">
        <v>1153</v>
      </c>
      <c r="DF1323" s="90">
        <v>34.14</v>
      </c>
      <c r="DG1323" s="90">
        <v>47.17</v>
      </c>
      <c r="DJ1323" s="90" t="s">
        <v>903</v>
      </c>
      <c r="DU1323" s="90">
        <f>0.185*3600</f>
        <v>666</v>
      </c>
      <c r="DV1323" s="90">
        <f>0.093*3600</f>
        <v>334.8</v>
      </c>
      <c r="DY1323" s="90" t="s">
        <v>910</v>
      </c>
      <c r="DZ1323" s="90">
        <f>0.0067*360</f>
        <v>2.4119999999999999</v>
      </c>
      <c r="EA1323" s="90">
        <f>0.0031*360</f>
        <v>1.1159999999999999</v>
      </c>
      <c r="ED1323" s="90" t="s">
        <v>914</v>
      </c>
      <c r="IO1323" s="90" t="s">
        <v>908</v>
      </c>
    </row>
    <row r="1324" spans="1:251" s="90" customFormat="1" x14ac:dyDescent="0.25">
      <c r="A1324" s="90">
        <v>60</v>
      </c>
      <c r="B1324" s="90" t="s">
        <v>896</v>
      </c>
      <c r="C1324" s="90" t="s">
        <v>897</v>
      </c>
      <c r="D1324" s="90">
        <v>2012</v>
      </c>
      <c r="E1324" s="90">
        <v>2006</v>
      </c>
      <c r="F1324" s="90" t="s">
        <v>152</v>
      </c>
      <c r="G1324" s="90" t="s">
        <v>898</v>
      </c>
      <c r="H1324" s="32" t="s">
        <v>2831</v>
      </c>
      <c r="I1324" s="90">
        <f t="shared" si="238"/>
        <v>38.616666666666667</v>
      </c>
      <c r="J1324" s="90">
        <f t="shared" si="239"/>
        <v>-76.733333333333334</v>
      </c>
      <c r="K1324" s="90">
        <v>25.4</v>
      </c>
      <c r="Q1324" s="91" t="s">
        <v>1926</v>
      </c>
      <c r="R1324" s="91" t="s">
        <v>1926</v>
      </c>
      <c r="S1324" s="91" t="s">
        <v>866</v>
      </c>
      <c r="T1324" s="91" t="s">
        <v>1996</v>
      </c>
      <c r="U1324" s="91" t="s">
        <v>1392</v>
      </c>
      <c r="V1324" s="70" t="s">
        <v>1726</v>
      </c>
      <c r="W1324" s="91" t="s">
        <v>1392</v>
      </c>
      <c r="X1324" s="91" t="s">
        <v>1392</v>
      </c>
      <c r="Y1324" s="90">
        <v>1.37</v>
      </c>
      <c r="Z1324" s="348"/>
      <c r="AA1324" s="348"/>
      <c r="AB1324" s="90" t="s">
        <v>451</v>
      </c>
      <c r="AF1324" s="39" t="s">
        <v>1352</v>
      </c>
      <c r="AG1324" s="90" t="s">
        <v>132</v>
      </c>
      <c r="AH1324" s="138" t="s">
        <v>132</v>
      </c>
      <c r="AI1324" s="90" t="s">
        <v>133</v>
      </c>
      <c r="AJ1324" s="144" t="s">
        <v>133</v>
      </c>
      <c r="AN1324" s="90" t="s">
        <v>157</v>
      </c>
      <c r="AO1324" s="90" t="s">
        <v>157</v>
      </c>
      <c r="AP1324" s="90" t="s">
        <v>178</v>
      </c>
      <c r="AQ1324" s="90" t="s">
        <v>900</v>
      </c>
      <c r="AR1324" s="90">
        <v>0</v>
      </c>
      <c r="AS1324" s="90" t="s">
        <v>503</v>
      </c>
      <c r="AT1324" s="90" t="s">
        <v>161</v>
      </c>
      <c r="AU1324" s="90">
        <v>4</v>
      </c>
      <c r="AW1324" s="90" t="s">
        <v>142</v>
      </c>
      <c r="BB1324" s="90" t="s">
        <v>901</v>
      </c>
      <c r="BH1324" s="39">
        <v>7997</v>
      </c>
      <c r="BI1324" s="39">
        <v>7827</v>
      </c>
      <c r="BM1324" s="423">
        <v>1.405</v>
      </c>
      <c r="BN1324" s="423">
        <v>1.2649999999999999</v>
      </c>
      <c r="BR1324" s="423">
        <f>37.2/100</f>
        <v>0.37200000000000005</v>
      </c>
      <c r="BS1324" s="423">
        <f>39.15/100</f>
        <v>0.39149999999999996</v>
      </c>
      <c r="BV1324" s="90" t="s">
        <v>1153</v>
      </c>
      <c r="DF1324" s="90">
        <v>64.34</v>
      </c>
      <c r="DG1324" s="90">
        <v>78.959999999999994</v>
      </c>
      <c r="DJ1324" s="90" t="s">
        <v>903</v>
      </c>
      <c r="DU1324" s="90">
        <f>0.317*3600</f>
        <v>1141.2</v>
      </c>
      <c r="DV1324" s="90">
        <f>1.78*3600</f>
        <v>6408</v>
      </c>
      <c r="DY1324" s="90" t="s">
        <v>910</v>
      </c>
      <c r="DZ1324" s="90">
        <f>0.017*360</f>
        <v>6.12</v>
      </c>
      <c r="EA1324" s="90">
        <f>0.763*360</f>
        <v>274.68</v>
      </c>
      <c r="ED1324" s="90" t="s">
        <v>914</v>
      </c>
      <c r="IO1324" s="90" t="s">
        <v>908</v>
      </c>
    </row>
    <row r="1325" spans="1:251" s="90" customFormat="1" x14ac:dyDescent="0.25">
      <c r="A1325" s="90">
        <v>60</v>
      </c>
      <c r="B1325" s="90" t="s">
        <v>896</v>
      </c>
      <c r="C1325" s="90" t="s">
        <v>897</v>
      </c>
      <c r="D1325" s="90">
        <v>2012</v>
      </c>
      <c r="E1325" s="90">
        <v>2006</v>
      </c>
      <c r="F1325" s="90" t="s">
        <v>152</v>
      </c>
      <c r="G1325" s="90" t="s">
        <v>898</v>
      </c>
      <c r="H1325" s="32" t="s">
        <v>2831</v>
      </c>
      <c r="I1325" s="90">
        <f t="shared" si="238"/>
        <v>38.616666666666667</v>
      </c>
      <c r="J1325" s="90">
        <f t="shared" si="239"/>
        <v>-76.733333333333334</v>
      </c>
      <c r="K1325" s="90">
        <v>25.4</v>
      </c>
      <c r="Q1325" s="91" t="s">
        <v>1926</v>
      </c>
      <c r="R1325" s="91" t="s">
        <v>1926</v>
      </c>
      <c r="S1325" s="91" t="s">
        <v>866</v>
      </c>
      <c r="T1325" s="91" t="s">
        <v>1996</v>
      </c>
      <c r="U1325" s="91" t="s">
        <v>1392</v>
      </c>
      <c r="V1325" s="70" t="s">
        <v>1726</v>
      </c>
      <c r="W1325" s="91" t="s">
        <v>1392</v>
      </c>
      <c r="X1325" s="91" t="s">
        <v>1392</v>
      </c>
      <c r="Y1325" s="90">
        <v>1.37</v>
      </c>
      <c r="Z1325" s="348"/>
      <c r="AA1325" s="348"/>
      <c r="AB1325" s="90" t="s">
        <v>451</v>
      </c>
      <c r="AF1325" s="39" t="s">
        <v>1352</v>
      </c>
      <c r="AG1325" s="90" t="s">
        <v>132</v>
      </c>
      <c r="AH1325" s="138" t="s">
        <v>132</v>
      </c>
      <c r="AI1325" s="90" t="s">
        <v>133</v>
      </c>
      <c r="AJ1325" s="144" t="s">
        <v>133</v>
      </c>
      <c r="AN1325" s="90" t="s">
        <v>157</v>
      </c>
      <c r="AO1325" s="90" t="s">
        <v>157</v>
      </c>
      <c r="AP1325" s="90" t="s">
        <v>178</v>
      </c>
      <c r="AQ1325" s="90" t="s">
        <v>900</v>
      </c>
      <c r="AR1325" s="90">
        <v>0</v>
      </c>
      <c r="AS1325" s="90" t="s">
        <v>503</v>
      </c>
      <c r="AT1325" s="90" t="s">
        <v>161</v>
      </c>
      <c r="AU1325" s="90">
        <v>4</v>
      </c>
      <c r="AW1325" s="90" t="s">
        <v>142</v>
      </c>
      <c r="BB1325" s="90" t="s">
        <v>902</v>
      </c>
      <c r="BH1325" s="39">
        <v>7997</v>
      </c>
      <c r="BI1325" s="39">
        <v>7827</v>
      </c>
      <c r="BM1325" s="423">
        <v>1.405</v>
      </c>
      <c r="BN1325" s="423">
        <v>1.2649999999999999</v>
      </c>
      <c r="BR1325" s="423">
        <f>42.32/100</f>
        <v>0.42320000000000002</v>
      </c>
      <c r="BS1325" s="423">
        <f>45.49/100</f>
        <v>0.45490000000000003</v>
      </c>
      <c r="BV1325" s="90" t="s">
        <v>1153</v>
      </c>
      <c r="DF1325" s="90">
        <v>51.72</v>
      </c>
      <c r="DG1325" s="90">
        <v>63.54</v>
      </c>
      <c r="DJ1325" s="90" t="s">
        <v>903</v>
      </c>
      <c r="IO1325" s="90" t="s">
        <v>908</v>
      </c>
    </row>
    <row r="1326" spans="1:251" s="28" customFormat="1" x14ac:dyDescent="0.25">
      <c r="A1326" s="28">
        <v>60</v>
      </c>
      <c r="B1326" s="28" t="s">
        <v>896</v>
      </c>
      <c r="C1326" s="28" t="s">
        <v>897</v>
      </c>
      <c r="D1326" s="28">
        <v>2012</v>
      </c>
      <c r="E1326" s="28">
        <v>2005</v>
      </c>
      <c r="F1326" s="28" t="s">
        <v>152</v>
      </c>
      <c r="G1326" s="28" t="s">
        <v>899</v>
      </c>
      <c r="H1326" s="32" t="s">
        <v>2831</v>
      </c>
      <c r="I1326" s="28">
        <f t="shared" ref="I1326:I1331" si="240">39+14/60</f>
        <v>39.233333333333334</v>
      </c>
      <c r="J1326" s="28">
        <f t="shared" ref="J1326:J1331" si="241">-76-55/60</f>
        <v>-76.916666666666671</v>
      </c>
      <c r="K1326" s="28">
        <v>109.2</v>
      </c>
      <c r="Q1326" s="46" t="s">
        <v>1940</v>
      </c>
      <c r="R1326" s="46" t="s">
        <v>1926</v>
      </c>
      <c r="S1326" s="46" t="s">
        <v>866</v>
      </c>
      <c r="T1326" s="46" t="s">
        <v>1997</v>
      </c>
      <c r="U1326" s="46" t="s">
        <v>1392</v>
      </c>
      <c r="V1326" s="46" t="s">
        <v>1726</v>
      </c>
      <c r="W1326" s="46" t="s">
        <v>1392</v>
      </c>
      <c r="X1326" s="46" t="s">
        <v>1392</v>
      </c>
      <c r="Y1326" s="28">
        <v>1.21</v>
      </c>
      <c r="Z1326" s="326"/>
      <c r="AA1326" s="326"/>
      <c r="AB1326" s="28" t="s">
        <v>451</v>
      </c>
      <c r="AF1326" s="28" t="s">
        <v>1352</v>
      </c>
      <c r="AG1326" s="28" t="s">
        <v>132</v>
      </c>
      <c r="AH1326" s="138" t="s">
        <v>132</v>
      </c>
      <c r="AI1326" s="28" t="s">
        <v>133</v>
      </c>
      <c r="AJ1326" s="141" t="s">
        <v>133</v>
      </c>
      <c r="AN1326" s="28" t="s">
        <v>157</v>
      </c>
      <c r="AO1326" s="28" t="s">
        <v>157</v>
      </c>
      <c r="AP1326" s="28" t="s">
        <v>178</v>
      </c>
      <c r="AQ1326" s="28" t="s">
        <v>900</v>
      </c>
      <c r="AR1326" s="28">
        <v>0</v>
      </c>
      <c r="AS1326" s="28" t="s">
        <v>503</v>
      </c>
      <c r="AT1326" s="28" t="s">
        <v>161</v>
      </c>
      <c r="AU1326" s="28">
        <v>4</v>
      </c>
      <c r="AW1326" s="28" t="s">
        <v>142</v>
      </c>
      <c r="BB1326" s="28" t="s">
        <v>901</v>
      </c>
      <c r="BH1326" s="28">
        <v>7997</v>
      </c>
      <c r="BI1326" s="28">
        <v>7827</v>
      </c>
      <c r="BM1326" s="401">
        <v>1.208</v>
      </c>
      <c r="BN1326" s="401">
        <v>1.22</v>
      </c>
      <c r="BR1326" s="401">
        <v>0.23400000000000001</v>
      </c>
      <c r="BS1326" s="401">
        <v>0.25</v>
      </c>
      <c r="BV1326" s="28" t="s">
        <v>907</v>
      </c>
      <c r="DF1326" s="28">
        <v>55.21</v>
      </c>
      <c r="DG1326" s="28">
        <v>66.87</v>
      </c>
      <c r="DJ1326" s="28" t="s">
        <v>904</v>
      </c>
      <c r="DK1326" s="28">
        <v>7.05</v>
      </c>
      <c r="DL1326" s="28">
        <v>4.03</v>
      </c>
      <c r="DO1326" s="28" t="s">
        <v>915</v>
      </c>
      <c r="DU1326" s="28">
        <f>0.87*3600</f>
        <v>3132</v>
      </c>
      <c r="DV1326" s="28">
        <f>2.3*3600</f>
        <v>8280</v>
      </c>
      <c r="DY1326" s="28" t="s">
        <v>911</v>
      </c>
      <c r="DZ1326" s="28">
        <f>0.083*360</f>
        <v>29.880000000000003</v>
      </c>
      <c r="EA1326" s="28">
        <f>0.0097*360</f>
        <v>3.492</v>
      </c>
      <c r="ED1326" s="28" t="s">
        <v>914</v>
      </c>
    </row>
    <row r="1327" spans="1:251" s="28" customFormat="1" x14ac:dyDescent="0.25">
      <c r="A1327" s="28">
        <v>60</v>
      </c>
      <c r="B1327" s="28" t="s">
        <v>896</v>
      </c>
      <c r="C1327" s="28" t="s">
        <v>897</v>
      </c>
      <c r="D1327" s="28">
        <v>2012</v>
      </c>
      <c r="E1327" s="28">
        <v>2005</v>
      </c>
      <c r="F1327" s="28" t="s">
        <v>152</v>
      </c>
      <c r="G1327" s="28" t="s">
        <v>899</v>
      </c>
      <c r="H1327" s="32" t="s">
        <v>2831</v>
      </c>
      <c r="I1327" s="28">
        <f t="shared" si="240"/>
        <v>39.233333333333334</v>
      </c>
      <c r="J1327" s="28">
        <f t="shared" si="241"/>
        <v>-76.916666666666671</v>
      </c>
      <c r="K1327" s="28">
        <v>109.2</v>
      </c>
      <c r="Q1327" s="46" t="s">
        <v>1940</v>
      </c>
      <c r="R1327" s="46" t="s">
        <v>1926</v>
      </c>
      <c r="S1327" s="46" t="s">
        <v>866</v>
      </c>
      <c r="T1327" s="46" t="s">
        <v>1997</v>
      </c>
      <c r="U1327" s="46" t="s">
        <v>1392</v>
      </c>
      <c r="V1327" s="46" t="s">
        <v>1726</v>
      </c>
      <c r="W1327" s="46" t="s">
        <v>1392</v>
      </c>
      <c r="X1327" s="46" t="s">
        <v>1392</v>
      </c>
      <c r="Y1327" s="28">
        <v>1.21</v>
      </c>
      <c r="Z1327" s="326"/>
      <c r="AA1327" s="326"/>
      <c r="AB1327" s="28" t="s">
        <v>451</v>
      </c>
      <c r="AF1327" s="28" t="s">
        <v>1352</v>
      </c>
      <c r="AG1327" s="28" t="s">
        <v>132</v>
      </c>
      <c r="AH1327" s="138" t="s">
        <v>132</v>
      </c>
      <c r="AI1327" s="28" t="s">
        <v>133</v>
      </c>
      <c r="AJ1327" s="141" t="s">
        <v>133</v>
      </c>
      <c r="AN1327" s="28" t="s">
        <v>157</v>
      </c>
      <c r="AO1327" s="28" t="s">
        <v>157</v>
      </c>
      <c r="AP1327" s="28" t="s">
        <v>178</v>
      </c>
      <c r="AQ1327" s="28" t="s">
        <v>900</v>
      </c>
      <c r="AR1327" s="28">
        <v>0</v>
      </c>
      <c r="AS1327" s="28" t="s">
        <v>503</v>
      </c>
      <c r="AT1327" s="28" t="s">
        <v>161</v>
      </c>
      <c r="AU1327" s="28">
        <v>4</v>
      </c>
      <c r="AW1327" s="28" t="s">
        <v>142</v>
      </c>
      <c r="BB1327" s="28" t="s">
        <v>902</v>
      </c>
      <c r="BH1327" s="28">
        <v>7997</v>
      </c>
      <c r="BI1327" s="28">
        <v>7827</v>
      </c>
      <c r="BM1327" s="401">
        <v>1.208</v>
      </c>
      <c r="BN1327" s="401">
        <v>1.22</v>
      </c>
      <c r="BR1327" s="401">
        <v>0.23799999999999999</v>
      </c>
      <c r="BS1327" s="401">
        <v>0.25</v>
      </c>
      <c r="BV1327" s="28" t="s">
        <v>907</v>
      </c>
      <c r="DF1327" s="28">
        <v>24.64</v>
      </c>
      <c r="DG1327" s="28">
        <v>33.200000000000003</v>
      </c>
      <c r="DJ1327" s="28" t="s">
        <v>904</v>
      </c>
      <c r="DK1327" s="28">
        <v>2.64</v>
      </c>
      <c r="DL1327" s="28">
        <v>9.4600000000000009</v>
      </c>
      <c r="DO1327" s="28" t="s">
        <v>915</v>
      </c>
      <c r="DU1327" s="28">
        <f>2.32*3600</f>
        <v>8352</v>
      </c>
      <c r="DV1327" s="28">
        <f>4.5*3600</f>
        <v>16200</v>
      </c>
      <c r="DY1327" s="28" t="s">
        <v>911</v>
      </c>
      <c r="DZ1327" s="28">
        <f>0.109*360</f>
        <v>39.24</v>
      </c>
      <c r="EA1327" s="28">
        <f>0.119*360</f>
        <v>42.839999999999996</v>
      </c>
      <c r="ED1327" s="28" t="s">
        <v>914</v>
      </c>
    </row>
    <row r="1328" spans="1:251" s="28" customFormat="1" x14ac:dyDescent="0.25">
      <c r="A1328" s="28">
        <v>60</v>
      </c>
      <c r="B1328" s="28" t="s">
        <v>896</v>
      </c>
      <c r="C1328" s="28" t="s">
        <v>897</v>
      </c>
      <c r="D1328" s="28">
        <v>2012</v>
      </c>
      <c r="E1328" s="28">
        <v>2006</v>
      </c>
      <c r="F1328" s="28" t="s">
        <v>152</v>
      </c>
      <c r="G1328" s="28" t="s">
        <v>899</v>
      </c>
      <c r="H1328" s="32" t="s">
        <v>2831</v>
      </c>
      <c r="I1328" s="28">
        <f t="shared" si="240"/>
        <v>39.233333333333334</v>
      </c>
      <c r="J1328" s="28">
        <f t="shared" si="241"/>
        <v>-76.916666666666671</v>
      </c>
      <c r="K1328" s="28">
        <v>109.2</v>
      </c>
      <c r="Q1328" s="46" t="s">
        <v>1926</v>
      </c>
      <c r="R1328" s="46" t="s">
        <v>1926</v>
      </c>
      <c r="S1328" s="46" t="s">
        <v>866</v>
      </c>
      <c r="T1328" s="46" t="s">
        <v>1997</v>
      </c>
      <c r="U1328" s="46" t="s">
        <v>1392</v>
      </c>
      <c r="V1328" s="46" t="s">
        <v>1726</v>
      </c>
      <c r="W1328" s="46" t="s">
        <v>1392</v>
      </c>
      <c r="X1328" s="46" t="s">
        <v>1392</v>
      </c>
      <c r="Y1328" s="28">
        <v>1.21</v>
      </c>
      <c r="Z1328" s="326"/>
      <c r="AA1328" s="326"/>
      <c r="AB1328" s="28" t="s">
        <v>451</v>
      </c>
      <c r="AF1328" s="28" t="s">
        <v>1352</v>
      </c>
      <c r="AG1328" s="28" t="s">
        <v>132</v>
      </c>
      <c r="AH1328" s="138" t="s">
        <v>132</v>
      </c>
      <c r="AI1328" s="28" t="s">
        <v>133</v>
      </c>
      <c r="AJ1328" s="141" t="s">
        <v>133</v>
      </c>
      <c r="AN1328" s="28" t="s">
        <v>157</v>
      </c>
      <c r="AO1328" s="28" t="s">
        <v>157</v>
      </c>
      <c r="AP1328" s="28" t="s">
        <v>178</v>
      </c>
      <c r="AQ1328" s="28" t="s">
        <v>900</v>
      </c>
      <c r="AR1328" s="28">
        <v>0</v>
      </c>
      <c r="AS1328" s="28" t="s">
        <v>503</v>
      </c>
      <c r="AT1328" s="28" t="s">
        <v>161</v>
      </c>
      <c r="AU1328" s="28">
        <v>4</v>
      </c>
      <c r="AW1328" s="28" t="s">
        <v>142</v>
      </c>
      <c r="BB1328" s="28" t="s">
        <v>901</v>
      </c>
      <c r="BH1328" s="28">
        <v>7997</v>
      </c>
      <c r="BI1328" s="28">
        <v>7827</v>
      </c>
      <c r="BM1328" s="401">
        <v>1.206</v>
      </c>
      <c r="BN1328" s="401">
        <v>1.1599999999999999</v>
      </c>
      <c r="BR1328" s="401">
        <v>0.23499999999999999</v>
      </c>
      <c r="BS1328" s="401">
        <v>0.23499999999999999</v>
      </c>
      <c r="BV1328" s="28" t="s">
        <v>907</v>
      </c>
      <c r="DF1328" s="28">
        <v>39.31</v>
      </c>
      <c r="DG1328" s="28">
        <v>44.1</v>
      </c>
      <c r="DJ1328" s="28" t="s">
        <v>904</v>
      </c>
      <c r="DK1328" s="28">
        <v>7.02</v>
      </c>
      <c r="DL1328" s="28">
        <v>3.42</v>
      </c>
      <c r="DO1328" s="28" t="s">
        <v>915</v>
      </c>
    </row>
    <row r="1329" spans="1:249" s="92" customFormat="1" x14ac:dyDescent="0.25">
      <c r="A1329" s="92">
        <v>60</v>
      </c>
      <c r="B1329" s="92" t="s">
        <v>896</v>
      </c>
      <c r="C1329" s="92" t="s">
        <v>897</v>
      </c>
      <c r="D1329" s="92">
        <v>2012</v>
      </c>
      <c r="E1329" s="92">
        <v>2005</v>
      </c>
      <c r="F1329" s="92" t="s">
        <v>152</v>
      </c>
      <c r="G1329" s="92" t="s">
        <v>899</v>
      </c>
      <c r="H1329" s="32" t="s">
        <v>2831</v>
      </c>
      <c r="I1329" s="92">
        <f t="shared" si="240"/>
        <v>39.233333333333334</v>
      </c>
      <c r="J1329" s="92">
        <f t="shared" si="241"/>
        <v>-76.916666666666671</v>
      </c>
      <c r="K1329" s="92">
        <v>109.2</v>
      </c>
      <c r="Q1329" s="93" t="s">
        <v>1940</v>
      </c>
      <c r="R1329" s="93" t="s">
        <v>1926</v>
      </c>
      <c r="S1329" s="93" t="s">
        <v>866</v>
      </c>
      <c r="T1329" s="93" t="s">
        <v>1997</v>
      </c>
      <c r="U1329" s="93" t="s">
        <v>1392</v>
      </c>
      <c r="V1329" s="46" t="s">
        <v>1726</v>
      </c>
      <c r="W1329" s="93" t="s">
        <v>1392</v>
      </c>
      <c r="X1329" s="93" t="s">
        <v>1392</v>
      </c>
      <c r="Y1329" s="92">
        <v>1.21</v>
      </c>
      <c r="Z1329" s="349"/>
      <c r="AA1329" s="349"/>
      <c r="AB1329" s="92" t="s">
        <v>451</v>
      </c>
      <c r="AF1329" s="92" t="s">
        <v>1352</v>
      </c>
      <c r="AG1329" s="92" t="s">
        <v>132</v>
      </c>
      <c r="AH1329" s="138" t="s">
        <v>132</v>
      </c>
      <c r="AI1329" s="92" t="s">
        <v>133</v>
      </c>
      <c r="AJ1329" s="144" t="s">
        <v>133</v>
      </c>
      <c r="AN1329" s="92" t="s">
        <v>157</v>
      </c>
      <c r="AO1329" s="92" t="s">
        <v>157</v>
      </c>
      <c r="AP1329" s="92" t="s">
        <v>178</v>
      </c>
      <c r="AQ1329" s="92" t="s">
        <v>900</v>
      </c>
      <c r="AR1329" s="92">
        <v>0</v>
      </c>
      <c r="AS1329" s="92" t="s">
        <v>503</v>
      </c>
      <c r="AT1329" s="92" t="s">
        <v>161</v>
      </c>
      <c r="AU1329" s="92">
        <v>4</v>
      </c>
      <c r="AW1329" s="92" t="s">
        <v>142</v>
      </c>
      <c r="BB1329" s="92" t="s">
        <v>901</v>
      </c>
      <c r="BH1329" s="92">
        <v>7997</v>
      </c>
      <c r="BI1329" s="92">
        <v>7827</v>
      </c>
      <c r="BM1329" s="424">
        <v>1.2050000000000001</v>
      </c>
      <c r="BN1329" s="424">
        <v>1.22</v>
      </c>
      <c r="BR1329" s="424">
        <f>43.19/100</f>
        <v>0.43189999999999995</v>
      </c>
      <c r="BS1329" s="424">
        <f>44.5/100</f>
        <v>0.44500000000000001</v>
      </c>
      <c r="BV1329" s="92" t="s">
        <v>1153</v>
      </c>
      <c r="DF1329" s="92">
        <v>73.38</v>
      </c>
      <c r="DG1329" s="92">
        <v>80.430000000000007</v>
      </c>
      <c r="DJ1329" s="92" t="s">
        <v>903</v>
      </c>
      <c r="IO1329" s="92" t="s">
        <v>908</v>
      </c>
    </row>
    <row r="1330" spans="1:249" s="92" customFormat="1" x14ac:dyDescent="0.25">
      <c r="A1330" s="92">
        <v>60</v>
      </c>
      <c r="B1330" s="92" t="s">
        <v>896</v>
      </c>
      <c r="C1330" s="92" t="s">
        <v>897</v>
      </c>
      <c r="D1330" s="92">
        <v>2012</v>
      </c>
      <c r="E1330" s="92">
        <v>2005</v>
      </c>
      <c r="F1330" s="92" t="s">
        <v>152</v>
      </c>
      <c r="G1330" s="92" t="s">
        <v>899</v>
      </c>
      <c r="H1330" s="32" t="s">
        <v>2831</v>
      </c>
      <c r="I1330" s="92">
        <f t="shared" si="240"/>
        <v>39.233333333333334</v>
      </c>
      <c r="J1330" s="92">
        <f t="shared" si="241"/>
        <v>-76.916666666666671</v>
      </c>
      <c r="K1330" s="92">
        <v>109.2</v>
      </c>
      <c r="Q1330" s="93" t="s">
        <v>1940</v>
      </c>
      <c r="R1330" s="93" t="s">
        <v>1926</v>
      </c>
      <c r="S1330" s="93" t="s">
        <v>866</v>
      </c>
      <c r="T1330" s="93" t="s">
        <v>1997</v>
      </c>
      <c r="U1330" s="93" t="s">
        <v>1392</v>
      </c>
      <c r="V1330" s="46" t="s">
        <v>1726</v>
      </c>
      <c r="W1330" s="93" t="s">
        <v>1392</v>
      </c>
      <c r="X1330" s="93" t="s">
        <v>1392</v>
      </c>
      <c r="Y1330" s="92">
        <v>1.21</v>
      </c>
      <c r="Z1330" s="349"/>
      <c r="AA1330" s="349"/>
      <c r="AB1330" s="92" t="s">
        <v>451</v>
      </c>
      <c r="AF1330" s="92" t="s">
        <v>1352</v>
      </c>
      <c r="AG1330" s="92" t="s">
        <v>132</v>
      </c>
      <c r="AH1330" s="138" t="s">
        <v>132</v>
      </c>
      <c r="AI1330" s="92" t="s">
        <v>133</v>
      </c>
      <c r="AJ1330" s="144" t="s">
        <v>133</v>
      </c>
      <c r="AN1330" s="92" t="s">
        <v>157</v>
      </c>
      <c r="AO1330" s="92" t="s">
        <v>157</v>
      </c>
      <c r="AP1330" s="92" t="s">
        <v>178</v>
      </c>
      <c r="AQ1330" s="92" t="s">
        <v>900</v>
      </c>
      <c r="AR1330" s="92">
        <v>0</v>
      </c>
      <c r="AS1330" s="92" t="s">
        <v>503</v>
      </c>
      <c r="AT1330" s="92" t="s">
        <v>161</v>
      </c>
      <c r="AU1330" s="92">
        <v>4</v>
      </c>
      <c r="AW1330" s="92" t="s">
        <v>142</v>
      </c>
      <c r="BB1330" s="92" t="s">
        <v>902</v>
      </c>
      <c r="BH1330" s="92">
        <v>7997</v>
      </c>
      <c r="BI1330" s="92">
        <v>7827</v>
      </c>
      <c r="BM1330" s="424">
        <v>1.2050000000000001</v>
      </c>
      <c r="BN1330" s="424">
        <v>1.22</v>
      </c>
      <c r="BR1330" s="424">
        <f>48.69/100</f>
        <v>0.4869</v>
      </c>
      <c r="BS1330" s="424">
        <f>51.31/100</f>
        <v>0.5131</v>
      </c>
      <c r="BV1330" s="92" t="s">
        <v>1153</v>
      </c>
      <c r="DF1330" s="92">
        <v>51.65</v>
      </c>
      <c r="DG1330" s="92">
        <v>59.7</v>
      </c>
      <c r="DJ1330" s="92" t="s">
        <v>903</v>
      </c>
      <c r="IO1330" s="92" t="s">
        <v>908</v>
      </c>
    </row>
    <row r="1331" spans="1:249" s="92" customFormat="1" x14ac:dyDescent="0.25">
      <c r="A1331" s="92">
        <v>60</v>
      </c>
      <c r="B1331" s="92" t="s">
        <v>896</v>
      </c>
      <c r="C1331" s="92" t="s">
        <v>897</v>
      </c>
      <c r="D1331" s="92">
        <v>2012</v>
      </c>
      <c r="E1331" s="92">
        <v>2006</v>
      </c>
      <c r="F1331" s="92" t="s">
        <v>152</v>
      </c>
      <c r="G1331" s="92" t="s">
        <v>899</v>
      </c>
      <c r="H1331" s="32" t="s">
        <v>2831</v>
      </c>
      <c r="I1331" s="92">
        <f t="shared" si="240"/>
        <v>39.233333333333334</v>
      </c>
      <c r="J1331" s="92">
        <f t="shared" si="241"/>
        <v>-76.916666666666671</v>
      </c>
      <c r="K1331" s="92">
        <v>109.2</v>
      </c>
      <c r="Q1331" s="93" t="s">
        <v>1926</v>
      </c>
      <c r="R1331" s="93" t="s">
        <v>1926</v>
      </c>
      <c r="S1331" s="93" t="s">
        <v>866</v>
      </c>
      <c r="T1331" s="93" t="s">
        <v>1997</v>
      </c>
      <c r="U1331" s="93" t="s">
        <v>1392</v>
      </c>
      <c r="V1331" s="46" t="s">
        <v>1726</v>
      </c>
      <c r="W1331" s="93" t="s">
        <v>1392</v>
      </c>
      <c r="X1331" s="93" t="s">
        <v>1392</v>
      </c>
      <c r="Y1331" s="92">
        <v>1.21</v>
      </c>
      <c r="Z1331" s="349"/>
      <c r="AA1331" s="349"/>
      <c r="AB1331" s="92" t="s">
        <v>451</v>
      </c>
      <c r="AF1331" s="92" t="s">
        <v>1352</v>
      </c>
      <c r="AG1331" s="92" t="s">
        <v>132</v>
      </c>
      <c r="AH1331" s="138" t="s">
        <v>132</v>
      </c>
      <c r="AI1331" s="92" t="s">
        <v>133</v>
      </c>
      <c r="AJ1331" s="144" t="s">
        <v>133</v>
      </c>
      <c r="AN1331" s="92" t="s">
        <v>157</v>
      </c>
      <c r="AO1331" s="92" t="s">
        <v>157</v>
      </c>
      <c r="AP1331" s="92" t="s">
        <v>178</v>
      </c>
      <c r="AQ1331" s="92" t="s">
        <v>900</v>
      </c>
      <c r="AR1331" s="92">
        <v>0</v>
      </c>
      <c r="AS1331" s="92" t="s">
        <v>503</v>
      </c>
      <c r="AT1331" s="92" t="s">
        <v>161</v>
      </c>
      <c r="AU1331" s="92">
        <v>4</v>
      </c>
      <c r="AW1331" s="92" t="s">
        <v>142</v>
      </c>
      <c r="BB1331" s="92" t="s">
        <v>901</v>
      </c>
      <c r="BH1331" s="92">
        <v>7997</v>
      </c>
      <c r="BI1331" s="92">
        <v>7827</v>
      </c>
      <c r="BM1331" s="424">
        <v>1.2050000000000001</v>
      </c>
      <c r="BN1331" s="424">
        <v>1.22</v>
      </c>
      <c r="BR1331" s="424">
        <f>40.67/100</f>
        <v>0.40670000000000001</v>
      </c>
      <c r="BS1331" s="424">
        <f>46.42/100</f>
        <v>0.4642</v>
      </c>
      <c r="BV1331" s="92" t="s">
        <v>1153</v>
      </c>
      <c r="DF1331" s="92">
        <v>64.8</v>
      </c>
      <c r="DG1331" s="92">
        <v>68.16</v>
      </c>
      <c r="DJ1331" s="92" t="s">
        <v>903</v>
      </c>
      <c r="IO1331" s="92" t="s">
        <v>908</v>
      </c>
    </row>
    <row r="1332" spans="1:249" s="40" customFormat="1" x14ac:dyDescent="0.25">
      <c r="A1332" s="40">
        <v>61</v>
      </c>
      <c r="B1332" s="40" t="s">
        <v>921</v>
      </c>
      <c r="C1332" s="40" t="s">
        <v>922</v>
      </c>
      <c r="D1332" s="40">
        <v>2003</v>
      </c>
      <c r="E1332" s="40">
        <v>2000</v>
      </c>
      <c r="F1332" s="40" t="s">
        <v>923</v>
      </c>
      <c r="G1332" s="40" t="s">
        <v>924</v>
      </c>
      <c r="H1332" s="32" t="s">
        <v>2831</v>
      </c>
      <c r="I1332" s="40">
        <v>38.74</v>
      </c>
      <c r="J1332" s="40">
        <v>-87.49</v>
      </c>
      <c r="K1332" s="40">
        <v>130</v>
      </c>
      <c r="N1332" s="40">
        <v>143.9</v>
      </c>
      <c r="Q1332" s="71">
        <v>1</v>
      </c>
      <c r="R1332" s="71" t="s">
        <v>1735</v>
      </c>
      <c r="S1332" s="71" t="s">
        <v>866</v>
      </c>
      <c r="T1332" s="71" t="s">
        <v>928</v>
      </c>
      <c r="U1332" s="71" t="s">
        <v>1386</v>
      </c>
      <c r="V1332" s="71" t="s">
        <v>1724</v>
      </c>
      <c r="W1332" s="71" t="s">
        <v>1386</v>
      </c>
      <c r="X1332" s="71" t="s">
        <v>1386</v>
      </c>
      <c r="Y1332" s="40">
        <v>1.44</v>
      </c>
      <c r="Z1332" s="341"/>
      <c r="AA1332" s="341"/>
      <c r="AB1332" s="40" t="s">
        <v>451</v>
      </c>
      <c r="AF1332" s="40" t="s">
        <v>1328</v>
      </c>
      <c r="AG1332" s="40" t="s">
        <v>1531</v>
      </c>
      <c r="AH1332" s="138" t="s">
        <v>1585</v>
      </c>
      <c r="AI1332" s="40" t="s">
        <v>159</v>
      </c>
      <c r="AJ1332" s="140" t="s">
        <v>1615</v>
      </c>
      <c r="AK1332" s="40" t="s">
        <v>944</v>
      </c>
      <c r="AL1332" s="40" t="s">
        <v>944</v>
      </c>
      <c r="AM1332" s="40" t="s">
        <v>178</v>
      </c>
      <c r="AN1332" s="40" t="s">
        <v>232</v>
      </c>
      <c r="AO1332" s="40" t="s">
        <v>232</v>
      </c>
      <c r="AP1332" s="40" t="s">
        <v>178</v>
      </c>
      <c r="AT1332" s="40" t="s">
        <v>161</v>
      </c>
      <c r="AU1332" s="40">
        <v>4</v>
      </c>
      <c r="AW1332" s="40" t="s">
        <v>142</v>
      </c>
      <c r="AY1332" s="40">
        <v>1027</v>
      </c>
      <c r="BA1332" s="40" t="s">
        <v>926</v>
      </c>
      <c r="BM1332" s="416">
        <v>1.4</v>
      </c>
      <c r="BN1332" s="416">
        <v>1.36</v>
      </c>
      <c r="BR1332" s="416"/>
      <c r="BS1332" s="416"/>
      <c r="DF1332" s="40">
        <v>1.65</v>
      </c>
      <c r="DG1332" s="40">
        <v>1.95</v>
      </c>
      <c r="DJ1332" s="40" t="s">
        <v>932</v>
      </c>
      <c r="DK1332" s="40">
        <v>49.1</v>
      </c>
      <c r="DL1332" s="40">
        <v>51.25</v>
      </c>
      <c r="DO1332" s="40" t="s">
        <v>930</v>
      </c>
      <c r="DP1332" s="40">
        <v>4.931E-2</v>
      </c>
      <c r="DQ1332" s="40">
        <v>4.897E-2</v>
      </c>
      <c r="DT1332" s="40" t="s">
        <v>945</v>
      </c>
      <c r="DU1332" s="40">
        <v>12.6</v>
      </c>
      <c r="DV1332" s="40">
        <v>17.399999999999999</v>
      </c>
      <c r="DY1332" s="40" t="s">
        <v>933</v>
      </c>
      <c r="DZ1332" s="40">
        <v>75</v>
      </c>
      <c r="EA1332" s="40">
        <v>150.6</v>
      </c>
      <c r="EY1332" s="40">
        <f>30/1.44</f>
        <v>20.833333333333336</v>
      </c>
      <c r="EZ1332" s="40">
        <f>33.4/1.44</f>
        <v>23.194444444444443</v>
      </c>
      <c r="FC1332" s="40" t="s">
        <v>935</v>
      </c>
      <c r="IO1332" s="40" t="s">
        <v>943</v>
      </c>
    </row>
    <row r="1333" spans="1:249" s="40" customFormat="1" x14ac:dyDescent="0.25">
      <c r="A1333" s="40">
        <v>61</v>
      </c>
      <c r="B1333" s="40" t="s">
        <v>921</v>
      </c>
      <c r="C1333" s="40" t="s">
        <v>922</v>
      </c>
      <c r="D1333" s="40">
        <v>2003</v>
      </c>
      <c r="E1333" s="40">
        <v>2000</v>
      </c>
      <c r="F1333" s="40" t="s">
        <v>923</v>
      </c>
      <c r="G1333" s="40" t="s">
        <v>924</v>
      </c>
      <c r="H1333" s="32" t="s">
        <v>2831</v>
      </c>
      <c r="I1333" s="40">
        <v>38.74</v>
      </c>
      <c r="J1333" s="40">
        <v>-87.49</v>
      </c>
      <c r="K1333" s="40">
        <v>130</v>
      </c>
      <c r="N1333" s="40">
        <v>143.9</v>
      </c>
      <c r="Q1333" s="71">
        <v>1</v>
      </c>
      <c r="R1333" s="71" t="s">
        <v>1735</v>
      </c>
      <c r="S1333" s="71" t="s">
        <v>866</v>
      </c>
      <c r="T1333" s="71" t="s">
        <v>928</v>
      </c>
      <c r="U1333" s="71" t="s">
        <v>1386</v>
      </c>
      <c r="V1333" s="71" t="s">
        <v>1724</v>
      </c>
      <c r="W1333" s="71" t="s">
        <v>1386</v>
      </c>
      <c r="X1333" s="71" t="s">
        <v>1386</v>
      </c>
      <c r="Y1333" s="40">
        <v>1.44</v>
      </c>
      <c r="Z1333" s="341"/>
      <c r="AA1333" s="341"/>
      <c r="AB1333" s="40" t="s">
        <v>451</v>
      </c>
      <c r="AF1333" s="40" t="s">
        <v>1328</v>
      </c>
      <c r="AG1333" s="40" t="s">
        <v>1531</v>
      </c>
      <c r="AH1333" s="138" t="s">
        <v>1585</v>
      </c>
      <c r="AI1333" s="40" t="s">
        <v>133</v>
      </c>
      <c r="AJ1333" s="140" t="s">
        <v>1615</v>
      </c>
      <c r="AK1333" s="40" t="s">
        <v>944</v>
      </c>
      <c r="AL1333" s="40" t="s">
        <v>944</v>
      </c>
      <c r="AM1333" s="40" t="s">
        <v>178</v>
      </c>
      <c r="AN1333" s="40" t="s">
        <v>232</v>
      </c>
      <c r="AO1333" s="40" t="s">
        <v>232</v>
      </c>
      <c r="AP1333" s="40" t="s">
        <v>178</v>
      </c>
      <c r="AT1333" s="40" t="s">
        <v>161</v>
      </c>
      <c r="AU1333" s="40">
        <v>4</v>
      </c>
      <c r="AW1333" s="40" t="s">
        <v>142</v>
      </c>
      <c r="AY1333" s="40">
        <v>895</v>
      </c>
      <c r="BA1333" s="40" t="s">
        <v>927</v>
      </c>
      <c r="BM1333" s="416">
        <v>1.4</v>
      </c>
      <c r="BN1333" s="416">
        <v>1.34</v>
      </c>
      <c r="BR1333" s="416"/>
      <c r="BS1333" s="416"/>
      <c r="DF1333" s="40">
        <v>1.65</v>
      </c>
      <c r="DG1333" s="40">
        <v>2.59</v>
      </c>
      <c r="DJ1333" s="40" t="s">
        <v>932</v>
      </c>
      <c r="DK1333" s="40">
        <v>49.1</v>
      </c>
      <c r="DL1333" s="40">
        <v>50.33</v>
      </c>
      <c r="DO1333" s="40" t="s">
        <v>930</v>
      </c>
      <c r="DP1333" s="40">
        <v>4.623E-2</v>
      </c>
      <c r="DQ1333" s="40">
        <v>4.3950000000000003E-2</v>
      </c>
      <c r="DT1333" s="40" t="s">
        <v>945</v>
      </c>
      <c r="DZ1333" s="40">
        <v>75</v>
      </c>
      <c r="EA1333" s="40">
        <v>117</v>
      </c>
      <c r="EY1333" s="40">
        <f>30/1.44</f>
        <v>20.833333333333336</v>
      </c>
      <c r="EZ1333" s="40">
        <f>34.1/1.44</f>
        <v>23.680555555555557</v>
      </c>
      <c r="FC1333" s="40" t="s">
        <v>935</v>
      </c>
      <c r="IO1333" s="40" t="s">
        <v>943</v>
      </c>
    </row>
    <row r="1334" spans="1:249" s="40" customFormat="1" x14ac:dyDescent="0.25">
      <c r="A1334" s="40">
        <v>61</v>
      </c>
      <c r="B1334" s="40" t="s">
        <v>921</v>
      </c>
      <c r="C1334" s="40" t="s">
        <v>922</v>
      </c>
      <c r="D1334" s="40">
        <v>2003</v>
      </c>
      <c r="E1334" s="40">
        <v>2000</v>
      </c>
      <c r="F1334" s="40" t="s">
        <v>923</v>
      </c>
      <c r="G1334" s="40" t="s">
        <v>924</v>
      </c>
      <c r="H1334" s="32" t="s">
        <v>2831</v>
      </c>
      <c r="I1334" s="40">
        <v>38.74</v>
      </c>
      <c r="J1334" s="40">
        <v>-87.49</v>
      </c>
      <c r="K1334" s="40">
        <v>130</v>
      </c>
      <c r="N1334" s="40">
        <v>143.9</v>
      </c>
      <c r="Q1334" s="71">
        <v>1</v>
      </c>
      <c r="R1334" s="71" t="s">
        <v>1735</v>
      </c>
      <c r="S1334" s="71" t="s">
        <v>866</v>
      </c>
      <c r="T1334" s="71" t="s">
        <v>928</v>
      </c>
      <c r="U1334" s="71" t="s">
        <v>1386</v>
      </c>
      <c r="V1334" s="71" t="s">
        <v>1724</v>
      </c>
      <c r="W1334" s="71" t="s">
        <v>1386</v>
      </c>
      <c r="X1334" s="71" t="s">
        <v>1386</v>
      </c>
      <c r="Y1334" s="40">
        <v>1.44</v>
      </c>
      <c r="Z1334" s="341"/>
      <c r="AA1334" s="341"/>
      <c r="AB1334" s="40" t="s">
        <v>451</v>
      </c>
      <c r="AF1334" s="40" t="s">
        <v>1328</v>
      </c>
      <c r="AG1334" s="40" t="s">
        <v>1531</v>
      </c>
      <c r="AH1334" s="138" t="s">
        <v>1585</v>
      </c>
      <c r="AI1334" s="40" t="s">
        <v>159</v>
      </c>
      <c r="AJ1334" s="140" t="s">
        <v>1615</v>
      </c>
      <c r="AK1334" s="40" t="s">
        <v>944</v>
      </c>
      <c r="AL1334" s="40" t="s">
        <v>944</v>
      </c>
      <c r="AM1334" s="40" t="s">
        <v>178</v>
      </c>
      <c r="AN1334" s="40" t="s">
        <v>157</v>
      </c>
      <c r="AO1334" s="40" t="s">
        <v>157</v>
      </c>
      <c r="AP1334" s="40" t="s">
        <v>178</v>
      </c>
      <c r="AT1334" s="40" t="s">
        <v>161</v>
      </c>
      <c r="AU1334" s="40">
        <v>4</v>
      </c>
      <c r="AW1334" s="40" t="s">
        <v>142</v>
      </c>
      <c r="AY1334" s="40">
        <v>418</v>
      </c>
      <c r="BA1334" s="40" t="s">
        <v>926</v>
      </c>
      <c r="BM1334" s="416">
        <v>1.55</v>
      </c>
      <c r="BN1334" s="416">
        <v>1.5</v>
      </c>
      <c r="BR1334" s="416"/>
      <c r="BS1334" s="416"/>
      <c r="DF1334" s="40">
        <v>1.48</v>
      </c>
      <c r="DG1334" s="40">
        <v>2.08</v>
      </c>
      <c r="DJ1334" s="40" t="s">
        <v>932</v>
      </c>
      <c r="DK1334" s="40">
        <v>41.26</v>
      </c>
      <c r="DL1334" s="40">
        <v>42.24</v>
      </c>
      <c r="DO1334" s="40" t="s">
        <v>930</v>
      </c>
      <c r="DP1334" s="40">
        <v>4.931E-2</v>
      </c>
      <c r="DQ1334" s="40">
        <v>6.1400000000000003E-2</v>
      </c>
      <c r="DT1334" s="40" t="s">
        <v>945</v>
      </c>
      <c r="DU1334" s="40">
        <v>18</v>
      </c>
      <c r="DV1334" s="40">
        <v>21.6</v>
      </c>
      <c r="DY1334" s="40" t="s">
        <v>933</v>
      </c>
      <c r="EY1334" s="40">
        <f>33.9/1.44</f>
        <v>23.541666666666668</v>
      </c>
      <c r="EZ1334" s="40">
        <f>36/1.44</f>
        <v>25</v>
      </c>
      <c r="FC1334" s="40" t="s">
        <v>935</v>
      </c>
      <c r="IO1334" s="40" t="s">
        <v>943</v>
      </c>
    </row>
    <row r="1335" spans="1:249" s="40" customFormat="1" x14ac:dyDescent="0.25">
      <c r="A1335" s="40">
        <v>61</v>
      </c>
      <c r="B1335" s="40" t="s">
        <v>921</v>
      </c>
      <c r="C1335" s="40" t="s">
        <v>922</v>
      </c>
      <c r="D1335" s="40">
        <v>2003</v>
      </c>
      <c r="E1335" s="40">
        <v>2000</v>
      </c>
      <c r="F1335" s="40" t="s">
        <v>923</v>
      </c>
      <c r="G1335" s="40" t="s">
        <v>924</v>
      </c>
      <c r="H1335" s="32" t="s">
        <v>2831</v>
      </c>
      <c r="I1335" s="40">
        <v>38.74</v>
      </c>
      <c r="J1335" s="40">
        <v>-87.49</v>
      </c>
      <c r="K1335" s="40">
        <v>130</v>
      </c>
      <c r="N1335" s="40">
        <v>143.9</v>
      </c>
      <c r="Q1335" s="71">
        <v>1</v>
      </c>
      <c r="R1335" s="71" t="s">
        <v>1735</v>
      </c>
      <c r="S1335" s="71" t="s">
        <v>866</v>
      </c>
      <c r="T1335" s="71" t="s">
        <v>928</v>
      </c>
      <c r="U1335" s="71" t="s">
        <v>1386</v>
      </c>
      <c r="V1335" s="71" t="s">
        <v>1724</v>
      </c>
      <c r="W1335" s="71" t="s">
        <v>1386</v>
      </c>
      <c r="X1335" s="71" t="s">
        <v>1386</v>
      </c>
      <c r="Y1335" s="40">
        <v>1.44</v>
      </c>
      <c r="Z1335" s="341"/>
      <c r="AA1335" s="341"/>
      <c r="AB1335" s="40" t="s">
        <v>451</v>
      </c>
      <c r="AF1335" s="40" t="s">
        <v>1328</v>
      </c>
      <c r="AG1335" s="40" t="s">
        <v>1531</v>
      </c>
      <c r="AH1335" s="138" t="s">
        <v>1585</v>
      </c>
      <c r="AI1335" s="40" t="s">
        <v>133</v>
      </c>
      <c r="AJ1335" s="140" t="s">
        <v>1615</v>
      </c>
      <c r="AK1335" s="40" t="s">
        <v>944</v>
      </c>
      <c r="AL1335" s="40" t="s">
        <v>944</v>
      </c>
      <c r="AM1335" s="40" t="s">
        <v>178</v>
      </c>
      <c r="AN1335" s="40" t="s">
        <v>157</v>
      </c>
      <c r="AO1335" s="40" t="s">
        <v>157</v>
      </c>
      <c r="AP1335" s="40" t="s">
        <v>178</v>
      </c>
      <c r="AT1335" s="40" t="s">
        <v>161</v>
      </c>
      <c r="AU1335" s="40">
        <v>4</v>
      </c>
      <c r="AW1335" s="40" t="s">
        <v>142</v>
      </c>
      <c r="AY1335" s="40">
        <v>743</v>
      </c>
      <c r="BA1335" s="40" t="s">
        <v>927</v>
      </c>
      <c r="BM1335" s="416">
        <v>1.55</v>
      </c>
      <c r="BN1335" s="416">
        <v>1.48</v>
      </c>
      <c r="BR1335" s="416"/>
      <c r="BS1335" s="416"/>
      <c r="DF1335" s="40">
        <v>1.48</v>
      </c>
      <c r="DG1335" s="40">
        <v>2.7</v>
      </c>
      <c r="DJ1335" s="40" t="s">
        <v>932</v>
      </c>
      <c r="DK1335" s="40">
        <v>41.26</v>
      </c>
      <c r="DL1335" s="40">
        <v>41.55</v>
      </c>
      <c r="DO1335" s="40" t="s">
        <v>930</v>
      </c>
      <c r="DP1335" s="40">
        <v>4.623E-2</v>
      </c>
      <c r="DQ1335" s="40">
        <v>4.1669999999999999E-2</v>
      </c>
      <c r="DT1335" s="40" t="s">
        <v>945</v>
      </c>
      <c r="EY1335" s="40">
        <f>33.9/1.44</f>
        <v>23.541666666666668</v>
      </c>
      <c r="EZ1335" s="40">
        <f>37.7/1.44</f>
        <v>26.180555555555557</v>
      </c>
      <c r="FC1335" s="40" t="s">
        <v>935</v>
      </c>
      <c r="IO1335" s="40" t="s">
        <v>943</v>
      </c>
    </row>
    <row r="1336" spans="1:249" s="40" customFormat="1" x14ac:dyDescent="0.25">
      <c r="A1336" s="40">
        <v>61</v>
      </c>
      <c r="B1336" s="40" t="s">
        <v>921</v>
      </c>
      <c r="C1336" s="40" t="s">
        <v>922</v>
      </c>
      <c r="D1336" s="40">
        <v>2003</v>
      </c>
      <c r="E1336" s="40">
        <v>2000</v>
      </c>
      <c r="F1336" s="40" t="s">
        <v>923</v>
      </c>
      <c r="G1336" s="40" t="s">
        <v>924</v>
      </c>
      <c r="H1336" s="32" t="s">
        <v>2831</v>
      </c>
      <c r="I1336" s="40">
        <v>38.74</v>
      </c>
      <c r="J1336" s="40">
        <v>-87.49</v>
      </c>
      <c r="K1336" s="40">
        <v>130</v>
      </c>
      <c r="N1336" s="40">
        <v>143.9</v>
      </c>
      <c r="Q1336" s="71">
        <v>1</v>
      </c>
      <c r="R1336" s="71" t="s">
        <v>1735</v>
      </c>
      <c r="S1336" s="71" t="s">
        <v>866</v>
      </c>
      <c r="T1336" s="71" t="s">
        <v>929</v>
      </c>
      <c r="U1336" s="71" t="s">
        <v>1386</v>
      </c>
      <c r="V1336" s="71" t="s">
        <v>1724</v>
      </c>
      <c r="W1336" s="71" t="s">
        <v>1386</v>
      </c>
      <c r="X1336" s="71" t="s">
        <v>1386</v>
      </c>
      <c r="Y1336" s="40">
        <v>1.44</v>
      </c>
      <c r="Z1336" s="341"/>
      <c r="AA1336" s="341"/>
      <c r="AB1336" s="40" t="s">
        <v>451</v>
      </c>
      <c r="AF1336" s="40" t="s">
        <v>1328</v>
      </c>
      <c r="AG1336" s="40" t="s">
        <v>1531</v>
      </c>
      <c r="AH1336" s="138" t="s">
        <v>1585</v>
      </c>
      <c r="AI1336" s="40" t="s">
        <v>159</v>
      </c>
      <c r="AJ1336" s="140" t="s">
        <v>1615</v>
      </c>
      <c r="AK1336" s="40" t="s">
        <v>944</v>
      </c>
      <c r="AL1336" s="40" t="s">
        <v>944</v>
      </c>
      <c r="AM1336" s="40" t="s">
        <v>178</v>
      </c>
      <c r="AN1336" s="40" t="s">
        <v>232</v>
      </c>
      <c r="AO1336" s="40" t="s">
        <v>232</v>
      </c>
      <c r="AP1336" s="40" t="s">
        <v>178</v>
      </c>
      <c r="AT1336" s="40" t="s">
        <v>161</v>
      </c>
      <c r="AU1336" s="40">
        <v>4</v>
      </c>
      <c r="AW1336" s="40" t="s">
        <v>142</v>
      </c>
      <c r="AY1336" s="40">
        <v>3096</v>
      </c>
      <c r="BA1336" s="40" t="s">
        <v>926</v>
      </c>
      <c r="BM1336" s="416">
        <v>1.35</v>
      </c>
      <c r="BN1336" s="416">
        <v>1.29</v>
      </c>
      <c r="BR1336" s="416"/>
      <c r="BS1336" s="416"/>
      <c r="DF1336" s="40">
        <v>2.38</v>
      </c>
      <c r="DG1336" s="40">
        <v>2.5</v>
      </c>
      <c r="DJ1336" s="40" t="s">
        <v>932</v>
      </c>
      <c r="DK1336" s="40">
        <v>13.93</v>
      </c>
      <c r="DL1336" s="40">
        <v>15.24</v>
      </c>
      <c r="DO1336" s="40" t="s">
        <v>931</v>
      </c>
      <c r="DZ1336" s="40">
        <v>58.2</v>
      </c>
      <c r="EA1336" s="40">
        <v>22.2</v>
      </c>
      <c r="EY1336" s="40">
        <f>26.5/1.44</f>
        <v>18.402777777777779</v>
      </c>
      <c r="EZ1336" s="40">
        <f>29.1/1.44</f>
        <v>20.208333333333336</v>
      </c>
      <c r="FC1336" s="40" t="s">
        <v>936</v>
      </c>
      <c r="IO1336" s="40" t="s">
        <v>943</v>
      </c>
    </row>
    <row r="1337" spans="1:249" s="40" customFormat="1" x14ac:dyDescent="0.25">
      <c r="A1337" s="40">
        <v>61</v>
      </c>
      <c r="B1337" s="40" t="s">
        <v>921</v>
      </c>
      <c r="C1337" s="40" t="s">
        <v>922</v>
      </c>
      <c r="D1337" s="40">
        <v>2003</v>
      </c>
      <c r="E1337" s="40">
        <v>2000</v>
      </c>
      <c r="F1337" s="40" t="s">
        <v>923</v>
      </c>
      <c r="G1337" s="40" t="s">
        <v>924</v>
      </c>
      <c r="H1337" s="32" t="s">
        <v>2831</v>
      </c>
      <c r="I1337" s="40">
        <v>38.74</v>
      </c>
      <c r="J1337" s="40">
        <v>-87.49</v>
      </c>
      <c r="K1337" s="40">
        <v>130</v>
      </c>
      <c r="N1337" s="40">
        <v>143.9</v>
      </c>
      <c r="Q1337" s="71">
        <v>1</v>
      </c>
      <c r="R1337" s="71" t="s">
        <v>1735</v>
      </c>
      <c r="S1337" s="71" t="s">
        <v>866</v>
      </c>
      <c r="T1337" s="71" t="s">
        <v>929</v>
      </c>
      <c r="U1337" s="71" t="s">
        <v>1386</v>
      </c>
      <c r="V1337" s="71" t="s">
        <v>1724</v>
      </c>
      <c r="W1337" s="71" t="s">
        <v>1386</v>
      </c>
      <c r="X1337" s="71" t="s">
        <v>1386</v>
      </c>
      <c r="Y1337" s="40">
        <v>1.44</v>
      </c>
      <c r="Z1337" s="341"/>
      <c r="AA1337" s="341"/>
      <c r="AB1337" s="40" t="s">
        <v>451</v>
      </c>
      <c r="AF1337" s="40" t="s">
        <v>1328</v>
      </c>
      <c r="AG1337" s="40" t="s">
        <v>1531</v>
      </c>
      <c r="AH1337" s="138" t="s">
        <v>1585</v>
      </c>
      <c r="AI1337" s="40" t="s">
        <v>133</v>
      </c>
      <c r="AJ1337" s="140" t="s">
        <v>1615</v>
      </c>
      <c r="AK1337" s="40" t="s">
        <v>944</v>
      </c>
      <c r="AL1337" s="40" t="s">
        <v>944</v>
      </c>
      <c r="AM1337" s="40" t="s">
        <v>178</v>
      </c>
      <c r="AN1337" s="40" t="s">
        <v>232</v>
      </c>
      <c r="AO1337" s="40" t="s">
        <v>232</v>
      </c>
      <c r="AP1337" s="40" t="s">
        <v>178</v>
      </c>
      <c r="AT1337" s="40" t="s">
        <v>161</v>
      </c>
      <c r="AU1337" s="40">
        <v>4</v>
      </c>
      <c r="AW1337" s="40" t="s">
        <v>142</v>
      </c>
      <c r="AY1337" s="40">
        <v>3047</v>
      </c>
      <c r="BA1337" s="40" t="s">
        <v>927</v>
      </c>
      <c r="BM1337" s="416">
        <v>1.35</v>
      </c>
      <c r="BN1337" s="416">
        <v>1.32</v>
      </c>
      <c r="BR1337" s="416"/>
      <c r="BS1337" s="416"/>
      <c r="DF1337" s="40">
        <v>2.38</v>
      </c>
      <c r="DG1337" s="40">
        <v>3.24</v>
      </c>
      <c r="DJ1337" s="40" t="s">
        <v>932</v>
      </c>
      <c r="DK1337" s="40">
        <v>13.93</v>
      </c>
      <c r="DL1337" s="40">
        <v>13</v>
      </c>
      <c r="DO1337" s="40" t="s">
        <v>931</v>
      </c>
      <c r="DZ1337" s="40">
        <v>58.2</v>
      </c>
      <c r="EA1337" s="40">
        <v>40.799999999999997</v>
      </c>
      <c r="EY1337" s="40">
        <f>26.5/1.44</f>
        <v>18.402777777777779</v>
      </c>
      <c r="EZ1337" s="40">
        <f>29.5/1.44</f>
        <v>20.486111111111111</v>
      </c>
      <c r="FC1337" s="40" t="s">
        <v>936</v>
      </c>
      <c r="IO1337" s="40" t="s">
        <v>943</v>
      </c>
    </row>
    <row r="1338" spans="1:249" s="40" customFormat="1" x14ac:dyDescent="0.25">
      <c r="A1338" s="40">
        <v>61</v>
      </c>
      <c r="B1338" s="40" t="s">
        <v>921</v>
      </c>
      <c r="C1338" s="40" t="s">
        <v>922</v>
      </c>
      <c r="D1338" s="40">
        <v>2003</v>
      </c>
      <c r="E1338" s="40">
        <v>2000</v>
      </c>
      <c r="F1338" s="40" t="s">
        <v>923</v>
      </c>
      <c r="G1338" s="40" t="s">
        <v>924</v>
      </c>
      <c r="H1338" s="32" t="s">
        <v>2831</v>
      </c>
      <c r="I1338" s="40">
        <v>38.74</v>
      </c>
      <c r="J1338" s="40">
        <v>-87.49</v>
      </c>
      <c r="K1338" s="40">
        <v>130</v>
      </c>
      <c r="N1338" s="40">
        <v>143.9</v>
      </c>
      <c r="Q1338" s="71">
        <v>1</v>
      </c>
      <c r="R1338" s="71" t="s">
        <v>1735</v>
      </c>
      <c r="S1338" s="71" t="s">
        <v>866</v>
      </c>
      <c r="T1338" s="71" t="s">
        <v>929</v>
      </c>
      <c r="U1338" s="71" t="s">
        <v>1386</v>
      </c>
      <c r="V1338" s="71" t="s">
        <v>1724</v>
      </c>
      <c r="W1338" s="71" t="s">
        <v>1386</v>
      </c>
      <c r="X1338" s="71" t="s">
        <v>1386</v>
      </c>
      <c r="Y1338" s="40">
        <v>1.44</v>
      </c>
      <c r="Z1338" s="341"/>
      <c r="AA1338" s="341"/>
      <c r="AB1338" s="40" t="s">
        <v>451</v>
      </c>
      <c r="AF1338" s="40" t="s">
        <v>1328</v>
      </c>
      <c r="AG1338" s="40" t="s">
        <v>1531</v>
      </c>
      <c r="AH1338" s="138" t="s">
        <v>1585</v>
      </c>
      <c r="AI1338" s="40" t="s">
        <v>159</v>
      </c>
      <c r="AJ1338" s="140" t="s">
        <v>1615</v>
      </c>
      <c r="AK1338" s="40" t="s">
        <v>944</v>
      </c>
      <c r="AL1338" s="40" t="s">
        <v>944</v>
      </c>
      <c r="AM1338" s="40" t="s">
        <v>178</v>
      </c>
      <c r="AN1338" s="40" t="s">
        <v>157</v>
      </c>
      <c r="AO1338" s="40" t="s">
        <v>157</v>
      </c>
      <c r="AP1338" s="40" t="s">
        <v>178</v>
      </c>
      <c r="AT1338" s="40" t="s">
        <v>161</v>
      </c>
      <c r="AU1338" s="40">
        <v>4</v>
      </c>
      <c r="AW1338" s="40" t="s">
        <v>142</v>
      </c>
      <c r="AY1338" s="40">
        <v>1823</v>
      </c>
      <c r="BA1338" s="40" t="s">
        <v>926</v>
      </c>
      <c r="BM1338" s="416">
        <v>1.56</v>
      </c>
      <c r="BN1338" s="416">
        <v>1.53</v>
      </c>
      <c r="BR1338" s="416"/>
      <c r="BS1338" s="416"/>
      <c r="DF1338" s="40">
        <v>2.4500000000000002</v>
      </c>
      <c r="DG1338" s="40">
        <v>2.63</v>
      </c>
      <c r="DJ1338" s="40" t="s">
        <v>932</v>
      </c>
      <c r="DK1338" s="40">
        <v>5.62</v>
      </c>
      <c r="DL1338" s="40">
        <v>5.0599999999999996</v>
      </c>
      <c r="DO1338" s="40" t="s">
        <v>931</v>
      </c>
      <c r="EY1338" s="40">
        <f>38.2/1.44</f>
        <v>26.527777777777782</v>
      </c>
      <c r="EZ1338" s="40">
        <f>35.2/1.44</f>
        <v>24.444444444444446</v>
      </c>
      <c r="FC1338" s="40" t="s">
        <v>936</v>
      </c>
      <c r="IO1338" s="40" t="s">
        <v>943</v>
      </c>
    </row>
    <row r="1339" spans="1:249" s="40" customFormat="1" x14ac:dyDescent="0.25">
      <c r="A1339" s="40">
        <v>61</v>
      </c>
      <c r="B1339" s="40" t="s">
        <v>921</v>
      </c>
      <c r="C1339" s="40" t="s">
        <v>922</v>
      </c>
      <c r="D1339" s="40">
        <v>2003</v>
      </c>
      <c r="E1339" s="40">
        <v>2000</v>
      </c>
      <c r="F1339" s="40" t="s">
        <v>923</v>
      </c>
      <c r="G1339" s="40" t="s">
        <v>924</v>
      </c>
      <c r="H1339" s="32" t="s">
        <v>2831</v>
      </c>
      <c r="I1339" s="40">
        <v>38.74</v>
      </c>
      <c r="J1339" s="40">
        <v>-87.49</v>
      </c>
      <c r="K1339" s="40">
        <v>130</v>
      </c>
      <c r="N1339" s="40">
        <v>143.9</v>
      </c>
      <c r="Q1339" s="71">
        <v>1</v>
      </c>
      <c r="R1339" s="71" t="s">
        <v>1735</v>
      </c>
      <c r="S1339" s="71" t="s">
        <v>866</v>
      </c>
      <c r="T1339" s="71" t="s">
        <v>929</v>
      </c>
      <c r="U1339" s="71" t="s">
        <v>1386</v>
      </c>
      <c r="V1339" s="71" t="s">
        <v>1724</v>
      </c>
      <c r="W1339" s="71" t="s">
        <v>1386</v>
      </c>
      <c r="X1339" s="71" t="s">
        <v>1386</v>
      </c>
      <c r="Y1339" s="40">
        <v>1.44</v>
      </c>
      <c r="Z1339" s="341"/>
      <c r="AA1339" s="341"/>
      <c r="AB1339" s="40" t="s">
        <v>451</v>
      </c>
      <c r="AF1339" s="40" t="s">
        <v>1328</v>
      </c>
      <c r="AG1339" s="40" t="s">
        <v>1531</v>
      </c>
      <c r="AH1339" s="138" t="s">
        <v>1585</v>
      </c>
      <c r="AI1339" s="40" t="s">
        <v>133</v>
      </c>
      <c r="AJ1339" s="140" t="s">
        <v>1615</v>
      </c>
      <c r="AK1339" s="40" t="s">
        <v>944</v>
      </c>
      <c r="AL1339" s="40" t="s">
        <v>944</v>
      </c>
      <c r="AM1339" s="40" t="s">
        <v>178</v>
      </c>
      <c r="AN1339" s="40" t="s">
        <v>157</v>
      </c>
      <c r="AO1339" s="40" t="s">
        <v>157</v>
      </c>
      <c r="AP1339" s="40" t="s">
        <v>178</v>
      </c>
      <c r="AT1339" s="40" t="s">
        <v>161</v>
      </c>
      <c r="AU1339" s="40">
        <v>4</v>
      </c>
      <c r="AW1339" s="40" t="s">
        <v>142</v>
      </c>
      <c r="AY1339" s="40">
        <v>2494</v>
      </c>
      <c r="BA1339" s="40" t="s">
        <v>927</v>
      </c>
      <c r="BM1339" s="416">
        <v>1.56</v>
      </c>
      <c r="BN1339" s="416">
        <v>1.55</v>
      </c>
      <c r="BR1339" s="416"/>
      <c r="BS1339" s="416"/>
      <c r="DF1339" s="40">
        <v>2.4500000000000002</v>
      </c>
      <c r="DG1339" s="40">
        <v>3.07</v>
      </c>
      <c r="DJ1339" s="40" t="s">
        <v>932</v>
      </c>
      <c r="DK1339" s="40">
        <v>5.62</v>
      </c>
      <c r="DL1339" s="40">
        <v>4.72</v>
      </c>
      <c r="DO1339" s="40" t="s">
        <v>931</v>
      </c>
      <c r="EY1339" s="40">
        <f>38.2/1.44</f>
        <v>26.527777777777782</v>
      </c>
      <c r="EZ1339" s="40">
        <f>36.7/1.44</f>
        <v>25.486111111111114</v>
      </c>
      <c r="FC1339" s="40" t="s">
        <v>936</v>
      </c>
      <c r="IO1339" s="40" t="s">
        <v>943</v>
      </c>
    </row>
    <row r="1340" spans="1:249" s="79" customFormat="1" x14ac:dyDescent="0.25">
      <c r="A1340" s="79">
        <v>61</v>
      </c>
      <c r="B1340" s="79" t="s">
        <v>921</v>
      </c>
      <c r="C1340" s="79" t="s">
        <v>922</v>
      </c>
      <c r="D1340" s="79">
        <v>2003</v>
      </c>
      <c r="E1340" s="79">
        <v>2000</v>
      </c>
      <c r="F1340" s="79" t="s">
        <v>923</v>
      </c>
      <c r="G1340" s="79" t="s">
        <v>925</v>
      </c>
      <c r="H1340" s="32" t="s">
        <v>2831</v>
      </c>
      <c r="I1340" s="79">
        <v>40.299999999999997</v>
      </c>
      <c r="J1340" s="79">
        <v>-86.9</v>
      </c>
      <c r="K1340" s="79">
        <v>221</v>
      </c>
      <c r="N1340" s="40">
        <v>934</v>
      </c>
      <c r="Q1340" s="80">
        <v>1</v>
      </c>
      <c r="R1340" s="80" t="s">
        <v>1735</v>
      </c>
      <c r="S1340" s="80" t="s">
        <v>866</v>
      </c>
      <c r="T1340" s="80" t="s">
        <v>928</v>
      </c>
      <c r="U1340" s="80" t="s">
        <v>1386</v>
      </c>
      <c r="V1340" s="71" t="s">
        <v>1724</v>
      </c>
      <c r="W1340" s="80" t="s">
        <v>1386</v>
      </c>
      <c r="X1340" s="80" t="s">
        <v>1386</v>
      </c>
      <c r="Y1340" s="79">
        <v>1.42</v>
      </c>
      <c r="Z1340" s="342"/>
      <c r="AA1340" s="342"/>
      <c r="AB1340" s="40" t="s">
        <v>451</v>
      </c>
      <c r="AF1340" s="40" t="s">
        <v>1328</v>
      </c>
      <c r="AG1340" s="79" t="s">
        <v>1531</v>
      </c>
      <c r="AH1340" s="138" t="s">
        <v>1585</v>
      </c>
      <c r="AI1340" s="79" t="s">
        <v>159</v>
      </c>
      <c r="AJ1340" s="140" t="s">
        <v>1615</v>
      </c>
      <c r="AK1340" s="40" t="s">
        <v>944</v>
      </c>
      <c r="AL1340" s="40" t="s">
        <v>944</v>
      </c>
      <c r="AM1340" s="40" t="s">
        <v>178</v>
      </c>
      <c r="AN1340" s="79" t="s">
        <v>232</v>
      </c>
      <c r="AO1340" s="79" t="s">
        <v>232</v>
      </c>
      <c r="AP1340" s="79" t="s">
        <v>178</v>
      </c>
      <c r="AT1340" s="79" t="s">
        <v>161</v>
      </c>
      <c r="AU1340" s="79">
        <v>4</v>
      </c>
      <c r="AW1340" s="79" t="s">
        <v>142</v>
      </c>
      <c r="AY1340" s="79">
        <v>337</v>
      </c>
      <c r="BA1340" s="79" t="s">
        <v>926</v>
      </c>
      <c r="BE1340" s="40"/>
      <c r="BF1340" s="40"/>
      <c r="BG1340" s="40"/>
      <c r="BM1340" s="417">
        <v>1.21</v>
      </c>
      <c r="BN1340" s="417">
        <v>1.21</v>
      </c>
      <c r="BR1340" s="417"/>
      <c r="BS1340" s="417"/>
      <c r="DF1340" s="79">
        <v>0.88</v>
      </c>
      <c r="DG1340" s="79">
        <v>1.38</v>
      </c>
      <c r="DJ1340" s="79" t="s">
        <v>932</v>
      </c>
      <c r="DK1340" s="79">
        <v>50.67</v>
      </c>
      <c r="DL1340" s="79">
        <v>52.25</v>
      </c>
      <c r="DO1340" s="79" t="s">
        <v>930</v>
      </c>
      <c r="DT1340" s="40"/>
      <c r="DU1340" s="79">
        <v>39</v>
      </c>
      <c r="DV1340" s="79">
        <v>50.4</v>
      </c>
      <c r="DY1340" s="40" t="s">
        <v>933</v>
      </c>
      <c r="DZ1340" s="79">
        <v>15.2</v>
      </c>
      <c r="EA1340" s="79">
        <v>106</v>
      </c>
      <c r="EY1340" s="79">
        <f>22.3/1.42</f>
        <v>15.704225352112678</v>
      </c>
      <c r="EZ1340" s="79">
        <f>22.4/1.42</f>
        <v>15.774647887323944</v>
      </c>
      <c r="FC1340" s="79" t="s">
        <v>935</v>
      </c>
      <c r="IO1340" s="40" t="s">
        <v>943</v>
      </c>
    </row>
    <row r="1341" spans="1:249" s="79" customFormat="1" x14ac:dyDescent="0.25">
      <c r="A1341" s="79">
        <v>61</v>
      </c>
      <c r="B1341" s="79" t="s">
        <v>921</v>
      </c>
      <c r="C1341" s="79" t="s">
        <v>922</v>
      </c>
      <c r="D1341" s="79">
        <v>2003</v>
      </c>
      <c r="E1341" s="79">
        <v>2000</v>
      </c>
      <c r="F1341" s="79" t="s">
        <v>923</v>
      </c>
      <c r="G1341" s="79" t="s">
        <v>925</v>
      </c>
      <c r="H1341" s="32" t="s">
        <v>2831</v>
      </c>
      <c r="I1341" s="79">
        <v>40.299999999999997</v>
      </c>
      <c r="J1341" s="79">
        <v>-86.9</v>
      </c>
      <c r="K1341" s="79">
        <v>221</v>
      </c>
      <c r="N1341" s="40">
        <v>934</v>
      </c>
      <c r="Q1341" s="80">
        <v>1</v>
      </c>
      <c r="R1341" s="80" t="s">
        <v>1735</v>
      </c>
      <c r="S1341" s="80" t="s">
        <v>866</v>
      </c>
      <c r="T1341" s="80" t="s">
        <v>928</v>
      </c>
      <c r="U1341" s="80" t="s">
        <v>1386</v>
      </c>
      <c r="V1341" s="71" t="s">
        <v>1724</v>
      </c>
      <c r="W1341" s="80" t="s">
        <v>1386</v>
      </c>
      <c r="X1341" s="80" t="s">
        <v>1386</v>
      </c>
      <c r="Y1341" s="79">
        <v>1.42</v>
      </c>
      <c r="Z1341" s="342"/>
      <c r="AA1341" s="342"/>
      <c r="AB1341" s="40" t="s">
        <v>451</v>
      </c>
      <c r="AF1341" s="40" t="s">
        <v>1328</v>
      </c>
      <c r="AG1341" s="79" t="s">
        <v>1531</v>
      </c>
      <c r="AH1341" s="138" t="s">
        <v>1585</v>
      </c>
      <c r="AI1341" s="79" t="s">
        <v>133</v>
      </c>
      <c r="AJ1341" s="140" t="s">
        <v>1615</v>
      </c>
      <c r="AK1341" s="40" t="s">
        <v>944</v>
      </c>
      <c r="AL1341" s="40" t="s">
        <v>944</v>
      </c>
      <c r="AM1341" s="40" t="s">
        <v>178</v>
      </c>
      <c r="AN1341" s="79" t="s">
        <v>232</v>
      </c>
      <c r="AO1341" s="79" t="s">
        <v>232</v>
      </c>
      <c r="AP1341" s="79" t="s">
        <v>178</v>
      </c>
      <c r="AT1341" s="79" t="s">
        <v>161</v>
      </c>
      <c r="AU1341" s="79">
        <v>4</v>
      </c>
      <c r="AW1341" s="79" t="s">
        <v>142</v>
      </c>
      <c r="AY1341" s="79">
        <v>718</v>
      </c>
      <c r="BA1341" s="79" t="s">
        <v>927</v>
      </c>
      <c r="BE1341" s="40"/>
      <c r="BF1341" s="40"/>
      <c r="BG1341" s="40"/>
      <c r="BM1341" s="417">
        <v>1.21</v>
      </c>
      <c r="BN1341" s="417">
        <v>1.21</v>
      </c>
      <c r="BR1341" s="417"/>
      <c r="BS1341" s="417"/>
      <c r="DF1341" s="79">
        <v>0.88</v>
      </c>
      <c r="DG1341" s="79">
        <v>1.22</v>
      </c>
      <c r="DJ1341" s="79" t="s">
        <v>932</v>
      </c>
      <c r="DK1341" s="79">
        <v>50.67</v>
      </c>
      <c r="DL1341" s="79">
        <v>50.97</v>
      </c>
      <c r="DO1341" s="79" t="s">
        <v>930</v>
      </c>
      <c r="DT1341" s="40"/>
      <c r="DY1341" s="40"/>
      <c r="DZ1341" s="79">
        <v>15.2</v>
      </c>
      <c r="EA1341" s="79">
        <v>6.5</v>
      </c>
      <c r="EY1341" s="79">
        <f>22.3/1.42</f>
        <v>15.704225352112678</v>
      </c>
      <c r="EZ1341" s="79">
        <f>24.2/1.42</f>
        <v>17.04225352112676</v>
      </c>
      <c r="FC1341" s="79" t="s">
        <v>935</v>
      </c>
      <c r="IO1341" s="40" t="s">
        <v>943</v>
      </c>
    </row>
    <row r="1342" spans="1:249" s="79" customFormat="1" x14ac:dyDescent="0.25">
      <c r="A1342" s="79">
        <v>61</v>
      </c>
      <c r="B1342" s="79" t="s">
        <v>921</v>
      </c>
      <c r="C1342" s="79" t="s">
        <v>922</v>
      </c>
      <c r="D1342" s="79">
        <v>2003</v>
      </c>
      <c r="E1342" s="79">
        <v>2000</v>
      </c>
      <c r="F1342" s="79" t="s">
        <v>923</v>
      </c>
      <c r="G1342" s="79" t="s">
        <v>925</v>
      </c>
      <c r="H1342" s="32" t="s">
        <v>2831</v>
      </c>
      <c r="I1342" s="79">
        <v>40.299999999999997</v>
      </c>
      <c r="J1342" s="79">
        <v>-86.9</v>
      </c>
      <c r="K1342" s="79">
        <v>221</v>
      </c>
      <c r="N1342" s="40">
        <v>934</v>
      </c>
      <c r="Q1342" s="80">
        <v>1</v>
      </c>
      <c r="R1342" s="80" t="s">
        <v>1735</v>
      </c>
      <c r="S1342" s="80" t="s">
        <v>866</v>
      </c>
      <c r="T1342" s="80" t="s">
        <v>928</v>
      </c>
      <c r="U1342" s="80" t="s">
        <v>1386</v>
      </c>
      <c r="V1342" s="71" t="s">
        <v>1724</v>
      </c>
      <c r="W1342" s="80" t="s">
        <v>1386</v>
      </c>
      <c r="X1342" s="80" t="s">
        <v>1386</v>
      </c>
      <c r="Y1342" s="79">
        <v>1.42</v>
      </c>
      <c r="Z1342" s="342"/>
      <c r="AA1342" s="342"/>
      <c r="AB1342" s="40" t="s">
        <v>451</v>
      </c>
      <c r="AF1342" s="40" t="s">
        <v>1328</v>
      </c>
      <c r="AG1342" s="79" t="s">
        <v>1531</v>
      </c>
      <c r="AH1342" s="138" t="s">
        <v>1585</v>
      </c>
      <c r="AI1342" s="79" t="s">
        <v>159</v>
      </c>
      <c r="AJ1342" s="140" t="s">
        <v>1615</v>
      </c>
      <c r="AK1342" s="40" t="s">
        <v>944</v>
      </c>
      <c r="AL1342" s="40" t="s">
        <v>944</v>
      </c>
      <c r="AM1342" s="40" t="s">
        <v>178</v>
      </c>
      <c r="AN1342" s="79" t="s">
        <v>157</v>
      </c>
      <c r="AO1342" s="79" t="s">
        <v>157</v>
      </c>
      <c r="AP1342" s="79" t="s">
        <v>178</v>
      </c>
      <c r="AT1342" s="79" t="s">
        <v>161</v>
      </c>
      <c r="AU1342" s="79">
        <v>4</v>
      </c>
      <c r="AW1342" s="79" t="s">
        <v>142</v>
      </c>
      <c r="AY1342" s="79">
        <v>175</v>
      </c>
      <c r="BA1342" s="79" t="s">
        <v>926</v>
      </c>
      <c r="BE1342" s="40"/>
      <c r="BF1342" s="40"/>
      <c r="BG1342" s="40"/>
      <c r="BM1342" s="417">
        <v>1.31</v>
      </c>
      <c r="BN1342" s="417">
        <v>1.38</v>
      </c>
      <c r="BR1342" s="417"/>
      <c r="BS1342" s="417"/>
      <c r="DF1342" s="79">
        <v>1.0900000000000001</v>
      </c>
      <c r="DG1342" s="79">
        <v>1.25</v>
      </c>
      <c r="DJ1342" s="79" t="s">
        <v>932</v>
      </c>
      <c r="DK1342" s="79">
        <v>43.68</v>
      </c>
      <c r="DL1342" s="79">
        <v>41.8</v>
      </c>
      <c r="DO1342" s="79" t="s">
        <v>930</v>
      </c>
      <c r="DT1342" s="40"/>
      <c r="DU1342" s="79">
        <v>62.400000000000006</v>
      </c>
      <c r="DV1342" s="79">
        <v>57</v>
      </c>
      <c r="DY1342" s="40" t="s">
        <v>933</v>
      </c>
      <c r="EY1342" s="79">
        <f>24.5/1.42</f>
        <v>17.253521126760564</v>
      </c>
      <c r="EZ1342" s="79">
        <f>27.4/1.42</f>
        <v>19.295774647887324</v>
      </c>
      <c r="FC1342" s="79" t="s">
        <v>935</v>
      </c>
      <c r="IO1342" s="40" t="s">
        <v>943</v>
      </c>
    </row>
    <row r="1343" spans="1:249" s="79" customFormat="1" x14ac:dyDescent="0.25">
      <c r="A1343" s="79">
        <v>61</v>
      </c>
      <c r="B1343" s="79" t="s">
        <v>921</v>
      </c>
      <c r="C1343" s="79" t="s">
        <v>922</v>
      </c>
      <c r="D1343" s="79">
        <v>2003</v>
      </c>
      <c r="E1343" s="79">
        <v>2000</v>
      </c>
      <c r="F1343" s="79" t="s">
        <v>923</v>
      </c>
      <c r="G1343" s="79" t="s">
        <v>925</v>
      </c>
      <c r="H1343" s="32" t="s">
        <v>2831</v>
      </c>
      <c r="I1343" s="79">
        <v>40.299999999999997</v>
      </c>
      <c r="J1343" s="79">
        <v>-86.9</v>
      </c>
      <c r="K1343" s="79">
        <v>221</v>
      </c>
      <c r="N1343" s="40">
        <v>934</v>
      </c>
      <c r="Q1343" s="80">
        <v>1</v>
      </c>
      <c r="R1343" s="80" t="s">
        <v>1735</v>
      </c>
      <c r="S1343" s="80" t="s">
        <v>866</v>
      </c>
      <c r="T1343" s="80" t="s">
        <v>928</v>
      </c>
      <c r="U1343" s="80" t="s">
        <v>1386</v>
      </c>
      <c r="V1343" s="71" t="s">
        <v>1724</v>
      </c>
      <c r="W1343" s="80" t="s">
        <v>1386</v>
      </c>
      <c r="X1343" s="80" t="s">
        <v>1386</v>
      </c>
      <c r="Y1343" s="79">
        <v>1.42</v>
      </c>
      <c r="Z1343" s="342"/>
      <c r="AA1343" s="342"/>
      <c r="AB1343" s="40" t="s">
        <v>451</v>
      </c>
      <c r="AF1343" s="40" t="s">
        <v>1328</v>
      </c>
      <c r="AG1343" s="79" t="s">
        <v>1531</v>
      </c>
      <c r="AH1343" s="138" t="s">
        <v>1585</v>
      </c>
      <c r="AI1343" s="79" t="s">
        <v>133</v>
      </c>
      <c r="AJ1343" s="140" t="s">
        <v>1615</v>
      </c>
      <c r="AK1343" s="40" t="s">
        <v>944</v>
      </c>
      <c r="AL1343" s="40" t="s">
        <v>944</v>
      </c>
      <c r="AM1343" s="40" t="s">
        <v>178</v>
      </c>
      <c r="AN1343" s="79" t="s">
        <v>157</v>
      </c>
      <c r="AO1343" s="79" t="s">
        <v>157</v>
      </c>
      <c r="AP1343" s="79" t="s">
        <v>178</v>
      </c>
      <c r="AT1343" s="79" t="s">
        <v>161</v>
      </c>
      <c r="AU1343" s="79">
        <v>4</v>
      </c>
      <c r="AW1343" s="79" t="s">
        <v>142</v>
      </c>
      <c r="AY1343" s="79">
        <v>411</v>
      </c>
      <c r="BA1343" s="79" t="s">
        <v>927</v>
      </c>
      <c r="BE1343" s="40"/>
      <c r="BF1343" s="40"/>
      <c r="BG1343" s="40"/>
      <c r="BM1343" s="417">
        <v>1.31</v>
      </c>
      <c r="BN1343" s="417">
        <v>1.34</v>
      </c>
      <c r="BR1343" s="417"/>
      <c r="BS1343" s="417"/>
      <c r="DF1343" s="79">
        <v>1.0900000000000001</v>
      </c>
      <c r="DG1343" s="79">
        <v>1.32</v>
      </c>
      <c r="DJ1343" s="79" t="s">
        <v>932</v>
      </c>
      <c r="DK1343" s="79">
        <v>43.68</v>
      </c>
      <c r="DL1343" s="79">
        <v>41.93</v>
      </c>
      <c r="DO1343" s="79" t="s">
        <v>930</v>
      </c>
      <c r="EY1343" s="79">
        <f>24.5/1.42</f>
        <v>17.253521126760564</v>
      </c>
      <c r="EZ1343" s="79">
        <f>29/1.42</f>
        <v>20.422535211267608</v>
      </c>
      <c r="FC1343" s="79" t="s">
        <v>935</v>
      </c>
      <c r="IO1343" s="40" t="s">
        <v>943</v>
      </c>
    </row>
    <row r="1344" spans="1:249" s="79" customFormat="1" x14ac:dyDescent="0.25">
      <c r="A1344" s="79">
        <v>61</v>
      </c>
      <c r="B1344" s="79" t="s">
        <v>921</v>
      </c>
      <c r="C1344" s="79" t="s">
        <v>922</v>
      </c>
      <c r="D1344" s="79">
        <v>2003</v>
      </c>
      <c r="E1344" s="79">
        <v>2000</v>
      </c>
      <c r="F1344" s="79" t="s">
        <v>923</v>
      </c>
      <c r="G1344" s="79" t="s">
        <v>925</v>
      </c>
      <c r="H1344" s="32" t="s">
        <v>2831</v>
      </c>
      <c r="I1344" s="79">
        <v>40.299999999999997</v>
      </c>
      <c r="J1344" s="79">
        <v>-86.9</v>
      </c>
      <c r="K1344" s="79">
        <v>221</v>
      </c>
      <c r="N1344" s="40">
        <v>934</v>
      </c>
      <c r="Q1344" s="80">
        <v>1</v>
      </c>
      <c r="R1344" s="80" t="s">
        <v>1735</v>
      </c>
      <c r="S1344" s="80" t="s">
        <v>866</v>
      </c>
      <c r="T1344" s="80" t="s">
        <v>929</v>
      </c>
      <c r="U1344" s="80" t="s">
        <v>1386</v>
      </c>
      <c r="V1344" s="71" t="s">
        <v>1724</v>
      </c>
      <c r="W1344" s="80" t="s">
        <v>1386</v>
      </c>
      <c r="X1344" s="80" t="s">
        <v>1386</v>
      </c>
      <c r="Y1344" s="79">
        <v>1.42</v>
      </c>
      <c r="Z1344" s="342"/>
      <c r="AA1344" s="342"/>
      <c r="AB1344" s="40" t="s">
        <v>451</v>
      </c>
      <c r="AF1344" s="40" t="s">
        <v>1328</v>
      </c>
      <c r="AG1344" s="79" t="s">
        <v>1531</v>
      </c>
      <c r="AH1344" s="138" t="s">
        <v>1585</v>
      </c>
      <c r="AI1344" s="79" t="s">
        <v>159</v>
      </c>
      <c r="AJ1344" s="140" t="s">
        <v>1615</v>
      </c>
      <c r="AK1344" s="40" t="s">
        <v>944</v>
      </c>
      <c r="AL1344" s="40" t="s">
        <v>944</v>
      </c>
      <c r="AM1344" s="40" t="s">
        <v>178</v>
      </c>
      <c r="AN1344" s="79" t="s">
        <v>232</v>
      </c>
      <c r="AO1344" s="79" t="s">
        <v>232</v>
      </c>
      <c r="AP1344" s="79" t="s">
        <v>178</v>
      </c>
      <c r="AT1344" s="79" t="s">
        <v>161</v>
      </c>
      <c r="AU1344" s="79">
        <v>4</v>
      </c>
      <c r="AW1344" s="79" t="s">
        <v>142</v>
      </c>
      <c r="AY1344" s="79">
        <v>965</v>
      </c>
      <c r="BA1344" s="79" t="s">
        <v>926</v>
      </c>
      <c r="BE1344" s="40"/>
      <c r="BF1344" s="40"/>
      <c r="BG1344" s="40"/>
      <c r="BM1344" s="417">
        <v>1.31</v>
      </c>
      <c r="BN1344" s="417">
        <v>1.27</v>
      </c>
      <c r="BR1344" s="417"/>
      <c r="BS1344" s="417"/>
      <c r="DF1344" s="79">
        <v>1.88</v>
      </c>
      <c r="DG1344" s="79">
        <v>2.4</v>
      </c>
      <c r="DJ1344" s="79" t="s">
        <v>932</v>
      </c>
      <c r="DK1344" s="79">
        <v>16.95</v>
      </c>
      <c r="DL1344" s="79">
        <v>20.34</v>
      </c>
      <c r="DO1344" s="79" t="s">
        <v>930</v>
      </c>
      <c r="DZ1344" s="79">
        <v>14.1</v>
      </c>
      <c r="EA1344" s="79">
        <v>5.6</v>
      </c>
      <c r="EY1344" s="79">
        <f>24.1/1.42</f>
        <v>16.971830985915496</v>
      </c>
      <c r="EZ1344" s="79">
        <f>24.1/1.42</f>
        <v>16.971830985915496</v>
      </c>
      <c r="FC1344" s="79" t="s">
        <v>936</v>
      </c>
      <c r="IO1344" s="40" t="s">
        <v>943</v>
      </c>
    </row>
    <row r="1345" spans="1:249" s="79" customFormat="1" x14ac:dyDescent="0.25">
      <c r="A1345" s="79">
        <v>61</v>
      </c>
      <c r="B1345" s="79" t="s">
        <v>921</v>
      </c>
      <c r="C1345" s="79" t="s">
        <v>922</v>
      </c>
      <c r="D1345" s="79">
        <v>2003</v>
      </c>
      <c r="E1345" s="79">
        <v>2000</v>
      </c>
      <c r="F1345" s="79" t="s">
        <v>923</v>
      </c>
      <c r="G1345" s="79" t="s">
        <v>925</v>
      </c>
      <c r="H1345" s="32" t="s">
        <v>2831</v>
      </c>
      <c r="I1345" s="79">
        <v>40.299999999999997</v>
      </c>
      <c r="J1345" s="79">
        <v>-86.9</v>
      </c>
      <c r="K1345" s="79">
        <v>221</v>
      </c>
      <c r="N1345" s="40">
        <v>934</v>
      </c>
      <c r="Q1345" s="80">
        <v>1</v>
      </c>
      <c r="R1345" s="80" t="s">
        <v>1735</v>
      </c>
      <c r="S1345" s="80" t="s">
        <v>866</v>
      </c>
      <c r="T1345" s="80" t="s">
        <v>929</v>
      </c>
      <c r="U1345" s="80" t="s">
        <v>1386</v>
      </c>
      <c r="V1345" s="71" t="s">
        <v>1724</v>
      </c>
      <c r="W1345" s="80" t="s">
        <v>1386</v>
      </c>
      <c r="X1345" s="80" t="s">
        <v>1386</v>
      </c>
      <c r="Y1345" s="79">
        <v>1.42</v>
      </c>
      <c r="Z1345" s="342"/>
      <c r="AA1345" s="342"/>
      <c r="AB1345" s="40" t="s">
        <v>451</v>
      </c>
      <c r="AF1345" s="40" t="s">
        <v>1328</v>
      </c>
      <c r="AG1345" s="79" t="s">
        <v>1531</v>
      </c>
      <c r="AH1345" s="138" t="s">
        <v>1585</v>
      </c>
      <c r="AI1345" s="79" t="s">
        <v>133</v>
      </c>
      <c r="AJ1345" s="140" t="s">
        <v>1615</v>
      </c>
      <c r="AK1345" s="40" t="s">
        <v>944</v>
      </c>
      <c r="AL1345" s="40" t="s">
        <v>944</v>
      </c>
      <c r="AM1345" s="40" t="s">
        <v>178</v>
      </c>
      <c r="AN1345" s="79" t="s">
        <v>232</v>
      </c>
      <c r="AO1345" s="79" t="s">
        <v>232</v>
      </c>
      <c r="AP1345" s="79" t="s">
        <v>178</v>
      </c>
      <c r="AT1345" s="79" t="s">
        <v>161</v>
      </c>
      <c r="AU1345" s="79">
        <v>4</v>
      </c>
      <c r="AW1345" s="79" t="s">
        <v>142</v>
      </c>
      <c r="AY1345" s="79">
        <v>1672</v>
      </c>
      <c r="BA1345" s="79" t="s">
        <v>927</v>
      </c>
      <c r="BE1345" s="40"/>
      <c r="BF1345" s="40"/>
      <c r="BG1345" s="40"/>
      <c r="BM1345" s="417">
        <v>1.31</v>
      </c>
      <c r="BN1345" s="417">
        <v>1.3</v>
      </c>
      <c r="BR1345" s="417"/>
      <c r="BS1345" s="417"/>
      <c r="DF1345" s="79">
        <v>1.88</v>
      </c>
      <c r="DG1345" s="79">
        <v>2.2799999999999998</v>
      </c>
      <c r="DJ1345" s="79" t="s">
        <v>932</v>
      </c>
      <c r="DK1345" s="79">
        <v>16.95</v>
      </c>
      <c r="DL1345" s="79">
        <v>17.91</v>
      </c>
      <c r="DO1345" s="79" t="s">
        <v>930</v>
      </c>
      <c r="DZ1345" s="79">
        <v>14.1</v>
      </c>
      <c r="EA1345" s="79">
        <v>5.8</v>
      </c>
      <c r="EY1345" s="79">
        <f>24.1/1.42</f>
        <v>16.971830985915496</v>
      </c>
      <c r="EZ1345" s="79">
        <f>27/1.42</f>
        <v>19.014084507042256</v>
      </c>
      <c r="FC1345" s="79" t="s">
        <v>936</v>
      </c>
      <c r="IO1345" s="40" t="s">
        <v>943</v>
      </c>
    </row>
    <row r="1346" spans="1:249" s="79" customFormat="1" x14ac:dyDescent="0.25">
      <c r="A1346" s="79">
        <v>61</v>
      </c>
      <c r="B1346" s="79" t="s">
        <v>921</v>
      </c>
      <c r="C1346" s="79" t="s">
        <v>922</v>
      </c>
      <c r="D1346" s="79">
        <v>2003</v>
      </c>
      <c r="E1346" s="79">
        <v>2000</v>
      </c>
      <c r="F1346" s="79" t="s">
        <v>923</v>
      </c>
      <c r="G1346" s="79" t="s">
        <v>925</v>
      </c>
      <c r="H1346" s="32" t="s">
        <v>2831</v>
      </c>
      <c r="I1346" s="79">
        <v>40.299999999999997</v>
      </c>
      <c r="J1346" s="79">
        <v>-86.9</v>
      </c>
      <c r="K1346" s="79">
        <v>221</v>
      </c>
      <c r="N1346" s="40">
        <v>934</v>
      </c>
      <c r="Q1346" s="80">
        <v>1</v>
      </c>
      <c r="R1346" s="80" t="s">
        <v>1735</v>
      </c>
      <c r="S1346" s="80" t="s">
        <v>866</v>
      </c>
      <c r="T1346" s="80" t="s">
        <v>929</v>
      </c>
      <c r="U1346" s="80" t="s">
        <v>1386</v>
      </c>
      <c r="V1346" s="71" t="s">
        <v>1724</v>
      </c>
      <c r="W1346" s="80" t="s">
        <v>1386</v>
      </c>
      <c r="X1346" s="80" t="s">
        <v>1386</v>
      </c>
      <c r="Y1346" s="79">
        <v>1.42</v>
      </c>
      <c r="Z1346" s="342"/>
      <c r="AA1346" s="342"/>
      <c r="AB1346" s="40" t="s">
        <v>451</v>
      </c>
      <c r="AF1346" s="40" t="s">
        <v>1328</v>
      </c>
      <c r="AG1346" s="79" t="s">
        <v>1531</v>
      </c>
      <c r="AH1346" s="138" t="s">
        <v>1585</v>
      </c>
      <c r="AI1346" s="79" t="s">
        <v>159</v>
      </c>
      <c r="AJ1346" s="140" t="s">
        <v>1615</v>
      </c>
      <c r="AK1346" s="40" t="s">
        <v>944</v>
      </c>
      <c r="AL1346" s="40" t="s">
        <v>944</v>
      </c>
      <c r="AM1346" s="40" t="s">
        <v>178</v>
      </c>
      <c r="AN1346" s="79" t="s">
        <v>157</v>
      </c>
      <c r="AO1346" s="79" t="s">
        <v>157</v>
      </c>
      <c r="AP1346" s="79" t="s">
        <v>178</v>
      </c>
      <c r="AT1346" s="79" t="s">
        <v>161</v>
      </c>
      <c r="AU1346" s="79">
        <v>4</v>
      </c>
      <c r="AW1346" s="79" t="s">
        <v>142</v>
      </c>
      <c r="AY1346" s="79">
        <v>568</v>
      </c>
      <c r="BA1346" s="79" t="s">
        <v>926</v>
      </c>
      <c r="BE1346" s="40"/>
      <c r="BF1346" s="40"/>
      <c r="BG1346" s="40"/>
      <c r="BM1346" s="417">
        <v>1.49</v>
      </c>
      <c r="BN1346" s="417">
        <v>1.54</v>
      </c>
      <c r="BR1346" s="417"/>
      <c r="BS1346" s="417"/>
      <c r="DF1346" s="79">
        <v>1.73</v>
      </c>
      <c r="DG1346" s="79">
        <v>2.11</v>
      </c>
      <c r="DJ1346" s="79" t="s">
        <v>932</v>
      </c>
      <c r="DK1346" s="79">
        <v>10.64</v>
      </c>
      <c r="DL1346" s="79">
        <v>7.78</v>
      </c>
      <c r="DO1346" s="79" t="s">
        <v>930</v>
      </c>
      <c r="EY1346" s="79">
        <f>26.6/1.42</f>
        <v>18.732394366197184</v>
      </c>
      <c r="EZ1346" s="79">
        <f>28.1/1.42</f>
        <v>19.7887323943662</v>
      </c>
      <c r="FC1346" s="79" t="s">
        <v>936</v>
      </c>
      <c r="IO1346" s="40" t="s">
        <v>943</v>
      </c>
    </row>
    <row r="1347" spans="1:249" s="79" customFormat="1" x14ac:dyDescent="0.25">
      <c r="A1347" s="79">
        <v>61</v>
      </c>
      <c r="B1347" s="79" t="s">
        <v>921</v>
      </c>
      <c r="C1347" s="79" t="s">
        <v>922</v>
      </c>
      <c r="D1347" s="79">
        <v>2003</v>
      </c>
      <c r="E1347" s="79">
        <v>2000</v>
      </c>
      <c r="F1347" s="79" t="s">
        <v>923</v>
      </c>
      <c r="G1347" s="79" t="s">
        <v>925</v>
      </c>
      <c r="H1347" s="32" t="s">
        <v>2831</v>
      </c>
      <c r="I1347" s="79">
        <v>40.299999999999997</v>
      </c>
      <c r="J1347" s="79">
        <v>-86.9</v>
      </c>
      <c r="K1347" s="79">
        <v>221</v>
      </c>
      <c r="N1347" s="40">
        <v>934</v>
      </c>
      <c r="Q1347" s="80">
        <v>1</v>
      </c>
      <c r="R1347" s="80" t="s">
        <v>1735</v>
      </c>
      <c r="S1347" s="80" t="s">
        <v>866</v>
      </c>
      <c r="T1347" s="80" t="s">
        <v>929</v>
      </c>
      <c r="U1347" s="80" t="s">
        <v>1386</v>
      </c>
      <c r="V1347" s="71" t="s">
        <v>1724</v>
      </c>
      <c r="W1347" s="80" t="s">
        <v>1386</v>
      </c>
      <c r="X1347" s="80" t="s">
        <v>1386</v>
      </c>
      <c r="Y1347" s="79">
        <v>1.42</v>
      </c>
      <c r="Z1347" s="342"/>
      <c r="AA1347" s="342"/>
      <c r="AB1347" s="40" t="s">
        <v>451</v>
      </c>
      <c r="AF1347" s="40" t="s">
        <v>1328</v>
      </c>
      <c r="AG1347" s="79" t="s">
        <v>1531</v>
      </c>
      <c r="AH1347" s="138" t="s">
        <v>1585</v>
      </c>
      <c r="AI1347" s="79" t="s">
        <v>133</v>
      </c>
      <c r="AJ1347" s="140" t="s">
        <v>1615</v>
      </c>
      <c r="AK1347" s="40" t="s">
        <v>944</v>
      </c>
      <c r="AL1347" s="40" t="s">
        <v>944</v>
      </c>
      <c r="AM1347" s="40" t="s">
        <v>178</v>
      </c>
      <c r="AN1347" s="79" t="s">
        <v>157</v>
      </c>
      <c r="AO1347" s="79" t="s">
        <v>157</v>
      </c>
      <c r="AP1347" s="79" t="s">
        <v>178</v>
      </c>
      <c r="AT1347" s="79" t="s">
        <v>161</v>
      </c>
      <c r="AU1347" s="79">
        <v>4</v>
      </c>
      <c r="AW1347" s="79" t="s">
        <v>142</v>
      </c>
      <c r="AY1347" s="79">
        <v>1160</v>
      </c>
      <c r="BA1347" s="79" t="s">
        <v>927</v>
      </c>
      <c r="BE1347" s="40"/>
      <c r="BF1347" s="40"/>
      <c r="BG1347" s="40"/>
      <c r="BM1347" s="417">
        <v>1.49</v>
      </c>
      <c r="BN1347" s="417">
        <v>1.54</v>
      </c>
      <c r="BR1347" s="417"/>
      <c r="BS1347" s="417"/>
      <c r="DF1347" s="79">
        <v>1.73</v>
      </c>
      <c r="DG1347" s="79">
        <v>1.93</v>
      </c>
      <c r="DJ1347" s="79" t="s">
        <v>932</v>
      </c>
      <c r="DK1347" s="79">
        <v>10.64</v>
      </c>
      <c r="DL1347" s="79">
        <v>7</v>
      </c>
      <c r="DO1347" s="79" t="s">
        <v>930</v>
      </c>
      <c r="EY1347" s="79">
        <f>26.6/1.42</f>
        <v>18.732394366197184</v>
      </c>
      <c r="EZ1347" s="79">
        <f>29.3/1.42</f>
        <v>20.633802816901412</v>
      </c>
      <c r="FC1347" s="79" t="s">
        <v>936</v>
      </c>
      <c r="IO1347" s="40" t="s">
        <v>943</v>
      </c>
    </row>
    <row r="1348" spans="1:249" s="24" customFormat="1" x14ac:dyDescent="0.25">
      <c r="A1348" s="24">
        <v>61</v>
      </c>
      <c r="B1348" s="24" t="s">
        <v>921</v>
      </c>
      <c r="C1348" s="24" t="s">
        <v>922</v>
      </c>
      <c r="D1348" s="24">
        <v>2003</v>
      </c>
      <c r="E1348" s="24">
        <v>2001</v>
      </c>
      <c r="F1348" s="24" t="s">
        <v>923</v>
      </c>
      <c r="G1348" s="24" t="s">
        <v>924</v>
      </c>
      <c r="H1348" s="32" t="s">
        <v>2831</v>
      </c>
      <c r="I1348" s="24">
        <v>38.74</v>
      </c>
      <c r="J1348" s="24">
        <v>-87.49</v>
      </c>
      <c r="K1348" s="24">
        <v>130</v>
      </c>
      <c r="N1348" s="24">
        <v>1272</v>
      </c>
      <c r="Q1348" s="42">
        <v>2</v>
      </c>
      <c r="R1348" s="42" t="s">
        <v>1735</v>
      </c>
      <c r="S1348" s="42" t="s">
        <v>866</v>
      </c>
      <c r="T1348" s="42" t="s">
        <v>928</v>
      </c>
      <c r="U1348" s="42" t="s">
        <v>1386</v>
      </c>
      <c r="V1348" s="42" t="s">
        <v>1724</v>
      </c>
      <c r="W1348" s="42" t="s">
        <v>1386</v>
      </c>
      <c r="X1348" s="42" t="s">
        <v>1386</v>
      </c>
      <c r="Y1348" s="24">
        <v>1.44</v>
      </c>
      <c r="Z1348" s="321"/>
      <c r="AA1348" s="321"/>
      <c r="AB1348" s="24" t="s">
        <v>451</v>
      </c>
      <c r="AF1348" s="24" t="s">
        <v>1328</v>
      </c>
      <c r="AG1348" s="24" t="s">
        <v>1531</v>
      </c>
      <c r="AH1348" s="138" t="s">
        <v>1585</v>
      </c>
      <c r="AI1348" s="24" t="s">
        <v>159</v>
      </c>
      <c r="AJ1348" s="140" t="s">
        <v>1615</v>
      </c>
      <c r="AK1348" s="24" t="s">
        <v>944</v>
      </c>
      <c r="AL1348" s="24" t="s">
        <v>944</v>
      </c>
      <c r="AM1348" s="24" t="s">
        <v>178</v>
      </c>
      <c r="AN1348" s="24" t="s">
        <v>232</v>
      </c>
      <c r="AO1348" s="24" t="s">
        <v>232</v>
      </c>
      <c r="AP1348" s="24" t="s">
        <v>178</v>
      </c>
      <c r="AT1348" s="24" t="s">
        <v>161</v>
      </c>
      <c r="AU1348" s="24">
        <v>4</v>
      </c>
      <c r="AW1348" s="24" t="s">
        <v>142</v>
      </c>
      <c r="BA1348" s="24" t="s">
        <v>926</v>
      </c>
      <c r="BM1348" s="395">
        <v>1.41</v>
      </c>
      <c r="BN1348" s="395">
        <v>1.39</v>
      </c>
      <c r="BR1348" s="395"/>
      <c r="BS1348" s="395"/>
      <c r="DF1348" s="24">
        <v>2.2400000000000002</v>
      </c>
      <c r="DG1348" s="24">
        <v>2.97</v>
      </c>
      <c r="DJ1348" s="24" t="s">
        <v>932</v>
      </c>
      <c r="DK1348" s="24">
        <v>46.87</v>
      </c>
      <c r="DL1348" s="24">
        <v>50.08</v>
      </c>
      <c r="DO1348" s="24" t="s">
        <v>930</v>
      </c>
      <c r="DP1348" s="24">
        <v>1.32</v>
      </c>
      <c r="DQ1348" s="24">
        <v>1.2</v>
      </c>
      <c r="DT1348" s="24" t="s">
        <v>945</v>
      </c>
      <c r="ET1348" s="24">
        <v>19.5</v>
      </c>
      <c r="EU1348" s="24">
        <v>18.7</v>
      </c>
      <c r="IO1348" s="24" t="s">
        <v>943</v>
      </c>
    </row>
    <row r="1349" spans="1:249" s="24" customFormat="1" x14ac:dyDescent="0.25">
      <c r="A1349" s="24">
        <v>61</v>
      </c>
      <c r="B1349" s="24" t="s">
        <v>921</v>
      </c>
      <c r="C1349" s="24" t="s">
        <v>922</v>
      </c>
      <c r="D1349" s="24">
        <v>2003</v>
      </c>
      <c r="E1349" s="24">
        <v>2001</v>
      </c>
      <c r="F1349" s="24" t="s">
        <v>923</v>
      </c>
      <c r="G1349" s="24" t="s">
        <v>924</v>
      </c>
      <c r="H1349" s="32" t="s">
        <v>2831</v>
      </c>
      <c r="I1349" s="24">
        <v>38.74</v>
      </c>
      <c r="J1349" s="24">
        <v>-87.49</v>
      </c>
      <c r="K1349" s="24">
        <v>130</v>
      </c>
      <c r="N1349" s="24">
        <v>1272</v>
      </c>
      <c r="Q1349" s="42">
        <v>2</v>
      </c>
      <c r="R1349" s="42" t="s">
        <v>1735</v>
      </c>
      <c r="S1349" s="42" t="s">
        <v>866</v>
      </c>
      <c r="T1349" s="42" t="s">
        <v>928</v>
      </c>
      <c r="U1349" s="42" t="s">
        <v>1386</v>
      </c>
      <c r="V1349" s="42" t="s">
        <v>1724</v>
      </c>
      <c r="W1349" s="42" t="s">
        <v>1386</v>
      </c>
      <c r="X1349" s="42" t="s">
        <v>1386</v>
      </c>
      <c r="Y1349" s="24">
        <v>1.44</v>
      </c>
      <c r="Z1349" s="321"/>
      <c r="AA1349" s="321"/>
      <c r="AB1349" s="24" t="s">
        <v>451</v>
      </c>
      <c r="AF1349" s="24" t="s">
        <v>1328</v>
      </c>
      <c r="AG1349" s="24" t="s">
        <v>1531</v>
      </c>
      <c r="AH1349" s="138" t="s">
        <v>1585</v>
      </c>
      <c r="AI1349" s="24" t="s">
        <v>133</v>
      </c>
      <c r="AJ1349" s="140" t="s">
        <v>1615</v>
      </c>
      <c r="AK1349" s="24" t="s">
        <v>944</v>
      </c>
      <c r="AL1349" s="24" t="s">
        <v>944</v>
      </c>
      <c r="AM1349" s="24" t="s">
        <v>178</v>
      </c>
      <c r="AN1349" s="24" t="s">
        <v>232</v>
      </c>
      <c r="AO1349" s="24" t="s">
        <v>232</v>
      </c>
      <c r="AP1349" s="24" t="s">
        <v>178</v>
      </c>
      <c r="AT1349" s="24" t="s">
        <v>161</v>
      </c>
      <c r="AU1349" s="24">
        <v>4</v>
      </c>
      <c r="AW1349" s="24" t="s">
        <v>142</v>
      </c>
      <c r="BA1349" s="24" t="s">
        <v>927</v>
      </c>
      <c r="BM1349" s="395">
        <v>1.41</v>
      </c>
      <c r="BN1349" s="395">
        <v>1.37</v>
      </c>
      <c r="BR1349" s="395"/>
      <c r="BS1349" s="395"/>
      <c r="DF1349" s="24">
        <v>2.2400000000000002</v>
      </c>
      <c r="DG1349" s="24">
        <v>3.53</v>
      </c>
      <c r="DJ1349" s="24" t="s">
        <v>932</v>
      </c>
      <c r="DK1349" s="24">
        <v>46.87</v>
      </c>
      <c r="DL1349" s="24">
        <v>50.6</v>
      </c>
      <c r="DO1349" s="24" t="s">
        <v>930</v>
      </c>
      <c r="DP1349" s="24">
        <v>1.32</v>
      </c>
      <c r="DQ1349" s="24">
        <v>1.41</v>
      </c>
      <c r="DT1349" s="24" t="s">
        <v>945</v>
      </c>
      <c r="ET1349" s="24">
        <v>19.5</v>
      </c>
      <c r="EU1349" s="24">
        <v>17.600000000000001</v>
      </c>
      <c r="IO1349" s="24" t="s">
        <v>943</v>
      </c>
    </row>
    <row r="1350" spans="1:249" s="24" customFormat="1" x14ac:dyDescent="0.25">
      <c r="A1350" s="24">
        <v>61</v>
      </c>
      <c r="B1350" s="24" t="s">
        <v>921</v>
      </c>
      <c r="C1350" s="24" t="s">
        <v>922</v>
      </c>
      <c r="D1350" s="24">
        <v>2003</v>
      </c>
      <c r="E1350" s="24">
        <v>2001</v>
      </c>
      <c r="F1350" s="24" t="s">
        <v>923</v>
      </c>
      <c r="G1350" s="24" t="s">
        <v>924</v>
      </c>
      <c r="H1350" s="32" t="s">
        <v>2831</v>
      </c>
      <c r="I1350" s="24">
        <v>38.74</v>
      </c>
      <c r="J1350" s="24">
        <v>-87.49</v>
      </c>
      <c r="K1350" s="24">
        <v>130</v>
      </c>
      <c r="N1350" s="24">
        <v>1272</v>
      </c>
      <c r="Q1350" s="42">
        <v>2</v>
      </c>
      <c r="R1350" s="42" t="s">
        <v>1735</v>
      </c>
      <c r="S1350" s="42" t="s">
        <v>866</v>
      </c>
      <c r="T1350" s="42" t="s">
        <v>928</v>
      </c>
      <c r="U1350" s="42" t="s">
        <v>1386</v>
      </c>
      <c r="V1350" s="42" t="s">
        <v>1724</v>
      </c>
      <c r="W1350" s="42" t="s">
        <v>1386</v>
      </c>
      <c r="X1350" s="42" t="s">
        <v>1386</v>
      </c>
      <c r="Y1350" s="24">
        <v>1.44</v>
      </c>
      <c r="Z1350" s="321"/>
      <c r="AA1350" s="321"/>
      <c r="AB1350" s="24" t="s">
        <v>451</v>
      </c>
      <c r="AF1350" s="24" t="s">
        <v>1328</v>
      </c>
      <c r="AG1350" s="24" t="s">
        <v>1531</v>
      </c>
      <c r="AH1350" s="138" t="s">
        <v>1585</v>
      </c>
      <c r="AI1350" s="24" t="s">
        <v>159</v>
      </c>
      <c r="AJ1350" s="140" t="s">
        <v>1615</v>
      </c>
      <c r="AK1350" s="24" t="s">
        <v>944</v>
      </c>
      <c r="AL1350" s="24" t="s">
        <v>944</v>
      </c>
      <c r="AM1350" s="24" t="s">
        <v>178</v>
      </c>
      <c r="AN1350" s="24" t="s">
        <v>157</v>
      </c>
      <c r="AO1350" s="24" t="s">
        <v>157</v>
      </c>
      <c r="AP1350" s="24" t="s">
        <v>178</v>
      </c>
      <c r="AT1350" s="24" t="s">
        <v>161</v>
      </c>
      <c r="AU1350" s="24">
        <v>4</v>
      </c>
      <c r="AW1350" s="24" t="s">
        <v>142</v>
      </c>
      <c r="BA1350" s="24" t="s">
        <v>926</v>
      </c>
      <c r="BM1350" s="395">
        <v>1.49</v>
      </c>
      <c r="BN1350" s="395">
        <v>1.49</v>
      </c>
      <c r="BR1350" s="395"/>
      <c r="BS1350" s="395"/>
      <c r="DF1350" s="24">
        <v>2.21</v>
      </c>
      <c r="DG1350" s="24">
        <v>2.87</v>
      </c>
      <c r="DJ1350" s="24" t="s">
        <v>932</v>
      </c>
      <c r="DK1350" s="24">
        <v>42.81</v>
      </c>
      <c r="DL1350" s="24">
        <v>41.5</v>
      </c>
      <c r="DO1350" s="24" t="s">
        <v>930</v>
      </c>
      <c r="DP1350" s="24">
        <v>1.23</v>
      </c>
      <c r="DQ1350" s="24">
        <v>1.1000000000000001</v>
      </c>
      <c r="DT1350" s="24" t="s">
        <v>945</v>
      </c>
      <c r="ET1350" s="24">
        <v>17.899999999999999</v>
      </c>
      <c r="EU1350" s="24">
        <v>16.3</v>
      </c>
      <c r="IO1350" s="24" t="s">
        <v>943</v>
      </c>
    </row>
    <row r="1351" spans="1:249" s="24" customFormat="1" x14ac:dyDescent="0.25">
      <c r="A1351" s="24">
        <v>61</v>
      </c>
      <c r="B1351" s="24" t="s">
        <v>921</v>
      </c>
      <c r="C1351" s="24" t="s">
        <v>922</v>
      </c>
      <c r="D1351" s="24">
        <v>2003</v>
      </c>
      <c r="E1351" s="24">
        <v>2001</v>
      </c>
      <c r="F1351" s="24" t="s">
        <v>923</v>
      </c>
      <c r="G1351" s="24" t="s">
        <v>924</v>
      </c>
      <c r="H1351" s="32" t="s">
        <v>2831</v>
      </c>
      <c r="I1351" s="24">
        <v>38.74</v>
      </c>
      <c r="J1351" s="24">
        <v>-87.49</v>
      </c>
      <c r="K1351" s="24">
        <v>130</v>
      </c>
      <c r="N1351" s="24">
        <v>1272</v>
      </c>
      <c r="Q1351" s="42">
        <v>2</v>
      </c>
      <c r="R1351" s="42" t="s">
        <v>1735</v>
      </c>
      <c r="S1351" s="42" t="s">
        <v>866</v>
      </c>
      <c r="T1351" s="42" t="s">
        <v>928</v>
      </c>
      <c r="U1351" s="42" t="s">
        <v>1386</v>
      </c>
      <c r="V1351" s="42" t="s">
        <v>1724</v>
      </c>
      <c r="W1351" s="42" t="s">
        <v>1386</v>
      </c>
      <c r="X1351" s="42" t="s">
        <v>1386</v>
      </c>
      <c r="Y1351" s="24">
        <v>1.44</v>
      </c>
      <c r="Z1351" s="321"/>
      <c r="AA1351" s="321"/>
      <c r="AB1351" s="24" t="s">
        <v>451</v>
      </c>
      <c r="AF1351" s="24" t="s">
        <v>1328</v>
      </c>
      <c r="AG1351" s="24" t="s">
        <v>1531</v>
      </c>
      <c r="AH1351" s="138" t="s">
        <v>1585</v>
      </c>
      <c r="AI1351" s="24" t="s">
        <v>133</v>
      </c>
      <c r="AJ1351" s="140" t="s">
        <v>1615</v>
      </c>
      <c r="AK1351" s="24" t="s">
        <v>944</v>
      </c>
      <c r="AL1351" s="24" t="s">
        <v>944</v>
      </c>
      <c r="AM1351" s="24" t="s">
        <v>178</v>
      </c>
      <c r="AN1351" s="24" t="s">
        <v>157</v>
      </c>
      <c r="AO1351" s="24" t="s">
        <v>157</v>
      </c>
      <c r="AP1351" s="24" t="s">
        <v>178</v>
      </c>
      <c r="AT1351" s="24" t="s">
        <v>161</v>
      </c>
      <c r="AU1351" s="24">
        <v>4</v>
      </c>
      <c r="AW1351" s="24" t="s">
        <v>142</v>
      </c>
      <c r="BA1351" s="24" t="s">
        <v>927</v>
      </c>
      <c r="BM1351" s="395">
        <v>1.49</v>
      </c>
      <c r="BN1351" s="395">
        <v>1.46</v>
      </c>
      <c r="BR1351" s="395"/>
      <c r="BS1351" s="395"/>
      <c r="DF1351" s="24">
        <v>2.21</v>
      </c>
      <c r="DG1351" s="24">
        <v>3.17</v>
      </c>
      <c r="DJ1351" s="24" t="s">
        <v>932</v>
      </c>
      <c r="DK1351" s="24">
        <v>42.81</v>
      </c>
      <c r="DL1351" s="24">
        <v>40.31</v>
      </c>
      <c r="DO1351" s="24" t="s">
        <v>930</v>
      </c>
      <c r="DP1351" s="24">
        <v>1.23</v>
      </c>
      <c r="DQ1351" s="24">
        <v>1.1299999999999999</v>
      </c>
      <c r="DT1351" s="24" t="s">
        <v>945</v>
      </c>
      <c r="ET1351" s="24">
        <v>17.899999999999999</v>
      </c>
      <c r="EU1351" s="24">
        <v>15.5</v>
      </c>
      <c r="IO1351" s="24" t="s">
        <v>943</v>
      </c>
    </row>
    <row r="1352" spans="1:249" s="24" customFormat="1" x14ac:dyDescent="0.25">
      <c r="A1352" s="24">
        <v>61</v>
      </c>
      <c r="B1352" s="24" t="s">
        <v>921</v>
      </c>
      <c r="C1352" s="24" t="s">
        <v>922</v>
      </c>
      <c r="D1352" s="24">
        <v>2003</v>
      </c>
      <c r="E1352" s="24">
        <v>2001</v>
      </c>
      <c r="F1352" s="24" t="s">
        <v>923</v>
      </c>
      <c r="G1352" s="24" t="s">
        <v>924</v>
      </c>
      <c r="H1352" s="32" t="s">
        <v>2831</v>
      </c>
      <c r="I1352" s="24">
        <v>38.74</v>
      </c>
      <c r="J1352" s="24">
        <v>-87.49</v>
      </c>
      <c r="K1352" s="24">
        <v>130</v>
      </c>
      <c r="N1352" s="24">
        <v>1272</v>
      </c>
      <c r="Q1352" s="42">
        <v>2</v>
      </c>
      <c r="R1352" s="42" t="s">
        <v>1735</v>
      </c>
      <c r="S1352" s="42" t="s">
        <v>866</v>
      </c>
      <c r="T1352" s="42" t="s">
        <v>929</v>
      </c>
      <c r="U1352" s="42" t="s">
        <v>1386</v>
      </c>
      <c r="V1352" s="42" t="s">
        <v>1724</v>
      </c>
      <c r="W1352" s="42" t="s">
        <v>1386</v>
      </c>
      <c r="X1352" s="42" t="s">
        <v>1386</v>
      </c>
      <c r="Y1352" s="24">
        <v>1.44</v>
      </c>
      <c r="Z1352" s="321"/>
      <c r="AA1352" s="321"/>
      <c r="AB1352" s="24" t="s">
        <v>451</v>
      </c>
      <c r="AF1352" s="24" t="s">
        <v>1328</v>
      </c>
      <c r="AG1352" s="24" t="s">
        <v>1531</v>
      </c>
      <c r="AH1352" s="138" t="s">
        <v>1585</v>
      </c>
      <c r="AI1352" s="24" t="s">
        <v>159</v>
      </c>
      <c r="AJ1352" s="140" t="s">
        <v>1615</v>
      </c>
      <c r="AK1352" s="24" t="s">
        <v>944</v>
      </c>
      <c r="AL1352" s="24" t="s">
        <v>944</v>
      </c>
      <c r="AM1352" s="24" t="s">
        <v>178</v>
      </c>
      <c r="AN1352" s="24" t="s">
        <v>232</v>
      </c>
      <c r="AO1352" s="24" t="s">
        <v>232</v>
      </c>
      <c r="AP1352" s="24" t="s">
        <v>178</v>
      </c>
      <c r="AT1352" s="24" t="s">
        <v>161</v>
      </c>
      <c r="AU1352" s="24">
        <v>4</v>
      </c>
      <c r="AW1352" s="24" t="s">
        <v>142</v>
      </c>
      <c r="AY1352" s="24">
        <v>679</v>
      </c>
      <c r="BA1352" s="24" t="s">
        <v>926</v>
      </c>
      <c r="BM1352" s="395">
        <v>1.41</v>
      </c>
      <c r="BN1352" s="395">
        <v>1.32</v>
      </c>
      <c r="BR1352" s="395"/>
      <c r="BS1352" s="395"/>
      <c r="DF1352" s="24">
        <v>3.03</v>
      </c>
      <c r="DG1352" s="24">
        <v>3.29</v>
      </c>
      <c r="DJ1352" s="24" t="s">
        <v>932</v>
      </c>
      <c r="DK1352" s="24">
        <v>11.49</v>
      </c>
      <c r="DL1352" s="24">
        <v>15.23</v>
      </c>
      <c r="DO1352" s="24" t="s">
        <v>930</v>
      </c>
      <c r="DP1352" s="24">
        <v>1.43</v>
      </c>
      <c r="DQ1352" s="24">
        <v>1.31</v>
      </c>
      <c r="DT1352" s="24" t="s">
        <v>945</v>
      </c>
      <c r="DZ1352" s="24">
        <v>42</v>
      </c>
      <c r="EA1352" s="24">
        <v>119.4</v>
      </c>
      <c r="EY1352" s="24">
        <f>21.2/1.42</f>
        <v>14.929577464788732</v>
      </c>
      <c r="EZ1352" s="24">
        <f>23.9/1.42</f>
        <v>16.830985915492956</v>
      </c>
      <c r="FC1352" s="95" t="s">
        <v>937</v>
      </c>
      <c r="IO1352" s="24" t="s">
        <v>943</v>
      </c>
    </row>
    <row r="1353" spans="1:249" s="24" customFormat="1" x14ac:dyDescent="0.25">
      <c r="A1353" s="24">
        <v>61</v>
      </c>
      <c r="B1353" s="24" t="s">
        <v>921</v>
      </c>
      <c r="C1353" s="24" t="s">
        <v>922</v>
      </c>
      <c r="D1353" s="24">
        <v>2003</v>
      </c>
      <c r="E1353" s="24">
        <v>2001</v>
      </c>
      <c r="F1353" s="24" t="s">
        <v>923</v>
      </c>
      <c r="G1353" s="24" t="s">
        <v>924</v>
      </c>
      <c r="H1353" s="32" t="s">
        <v>2831</v>
      </c>
      <c r="I1353" s="24">
        <v>38.74</v>
      </c>
      <c r="J1353" s="24">
        <v>-87.49</v>
      </c>
      <c r="K1353" s="24">
        <v>130</v>
      </c>
      <c r="N1353" s="24">
        <v>1272</v>
      </c>
      <c r="Q1353" s="42">
        <v>2</v>
      </c>
      <c r="R1353" s="42" t="s">
        <v>1735</v>
      </c>
      <c r="S1353" s="42" t="s">
        <v>866</v>
      </c>
      <c r="T1353" s="42" t="s">
        <v>929</v>
      </c>
      <c r="U1353" s="42" t="s">
        <v>1386</v>
      </c>
      <c r="V1353" s="42" t="s">
        <v>1724</v>
      </c>
      <c r="W1353" s="42" t="s">
        <v>1386</v>
      </c>
      <c r="X1353" s="42" t="s">
        <v>1386</v>
      </c>
      <c r="Y1353" s="24">
        <v>1.44</v>
      </c>
      <c r="Z1353" s="321"/>
      <c r="AA1353" s="321"/>
      <c r="AB1353" s="24" t="s">
        <v>451</v>
      </c>
      <c r="AF1353" s="24" t="s">
        <v>1328</v>
      </c>
      <c r="AG1353" s="24" t="s">
        <v>1531</v>
      </c>
      <c r="AH1353" s="138" t="s">
        <v>1585</v>
      </c>
      <c r="AI1353" s="24" t="s">
        <v>133</v>
      </c>
      <c r="AJ1353" s="140" t="s">
        <v>1615</v>
      </c>
      <c r="AK1353" s="24" t="s">
        <v>944</v>
      </c>
      <c r="AL1353" s="24" t="s">
        <v>944</v>
      </c>
      <c r="AM1353" s="24" t="s">
        <v>178</v>
      </c>
      <c r="AN1353" s="24" t="s">
        <v>232</v>
      </c>
      <c r="AO1353" s="24" t="s">
        <v>232</v>
      </c>
      <c r="AP1353" s="24" t="s">
        <v>178</v>
      </c>
      <c r="AT1353" s="24" t="s">
        <v>161</v>
      </c>
      <c r="AU1353" s="24">
        <v>4</v>
      </c>
      <c r="AW1353" s="24" t="s">
        <v>142</v>
      </c>
      <c r="AY1353" s="24">
        <v>1426</v>
      </c>
      <c r="BA1353" s="24" t="s">
        <v>927</v>
      </c>
      <c r="BM1353" s="395">
        <v>1.41</v>
      </c>
      <c r="BN1353" s="395">
        <v>1.31</v>
      </c>
      <c r="BR1353" s="395"/>
      <c r="BS1353" s="395"/>
      <c r="DF1353" s="24">
        <v>3.02</v>
      </c>
      <c r="DG1353" s="24">
        <v>3.41</v>
      </c>
      <c r="DJ1353" s="24" t="s">
        <v>932</v>
      </c>
      <c r="DK1353" s="24">
        <v>11.49</v>
      </c>
      <c r="DL1353" s="24">
        <v>14.61</v>
      </c>
      <c r="DO1353" s="24" t="s">
        <v>930</v>
      </c>
      <c r="DP1353" s="24">
        <v>1.43</v>
      </c>
      <c r="DQ1353" s="24">
        <v>1.47</v>
      </c>
      <c r="DT1353" s="24" t="s">
        <v>945</v>
      </c>
      <c r="DZ1353" s="24">
        <v>42</v>
      </c>
      <c r="EA1353" s="24">
        <v>37.200000000000003</v>
      </c>
      <c r="EY1353" s="24">
        <f>21.2/1.42</f>
        <v>14.929577464788732</v>
      </c>
      <c r="EZ1353" s="24">
        <f>22.3/1.42</f>
        <v>15.704225352112678</v>
      </c>
      <c r="FC1353" s="95" t="s">
        <v>937</v>
      </c>
      <c r="IO1353" s="24" t="s">
        <v>943</v>
      </c>
    </row>
    <row r="1354" spans="1:249" s="24" customFormat="1" x14ac:dyDescent="0.25">
      <c r="A1354" s="24">
        <v>61</v>
      </c>
      <c r="B1354" s="24" t="s">
        <v>921</v>
      </c>
      <c r="C1354" s="24" t="s">
        <v>922</v>
      </c>
      <c r="D1354" s="24">
        <v>2003</v>
      </c>
      <c r="E1354" s="24">
        <v>2001</v>
      </c>
      <c r="F1354" s="24" t="s">
        <v>923</v>
      </c>
      <c r="G1354" s="24" t="s">
        <v>924</v>
      </c>
      <c r="H1354" s="32" t="s">
        <v>2831</v>
      </c>
      <c r="I1354" s="24">
        <v>38.74</v>
      </c>
      <c r="J1354" s="24">
        <v>-87.49</v>
      </c>
      <c r="K1354" s="24">
        <v>130</v>
      </c>
      <c r="N1354" s="24">
        <v>1272</v>
      </c>
      <c r="Q1354" s="42">
        <v>2</v>
      </c>
      <c r="R1354" s="42" t="s">
        <v>1735</v>
      </c>
      <c r="S1354" s="42" t="s">
        <v>866</v>
      </c>
      <c r="T1354" s="42" t="s">
        <v>929</v>
      </c>
      <c r="U1354" s="42" t="s">
        <v>1386</v>
      </c>
      <c r="V1354" s="42" t="s">
        <v>1724</v>
      </c>
      <c r="W1354" s="42" t="s">
        <v>1386</v>
      </c>
      <c r="X1354" s="42" t="s">
        <v>1386</v>
      </c>
      <c r="Y1354" s="24">
        <v>1.44</v>
      </c>
      <c r="Z1354" s="321"/>
      <c r="AA1354" s="321"/>
      <c r="AB1354" s="24" t="s">
        <v>451</v>
      </c>
      <c r="AF1354" s="24" t="s">
        <v>1328</v>
      </c>
      <c r="AG1354" s="24" t="s">
        <v>1531</v>
      </c>
      <c r="AH1354" s="138" t="s">
        <v>1585</v>
      </c>
      <c r="AI1354" s="24" t="s">
        <v>159</v>
      </c>
      <c r="AJ1354" s="140" t="s">
        <v>1615</v>
      </c>
      <c r="AK1354" s="24" t="s">
        <v>944</v>
      </c>
      <c r="AL1354" s="24" t="s">
        <v>944</v>
      </c>
      <c r="AM1354" s="24" t="s">
        <v>178</v>
      </c>
      <c r="AN1354" s="24" t="s">
        <v>157</v>
      </c>
      <c r="AO1354" s="24" t="s">
        <v>157</v>
      </c>
      <c r="AP1354" s="24" t="s">
        <v>178</v>
      </c>
      <c r="AT1354" s="24" t="s">
        <v>161</v>
      </c>
      <c r="AU1354" s="24">
        <v>4</v>
      </c>
      <c r="AW1354" s="24" t="s">
        <v>142</v>
      </c>
      <c r="AY1354" s="24">
        <v>418</v>
      </c>
      <c r="BA1354" s="24" t="s">
        <v>926</v>
      </c>
      <c r="BM1354" s="395">
        <v>1.52</v>
      </c>
      <c r="BN1354" s="395">
        <v>1.55</v>
      </c>
      <c r="BR1354" s="395"/>
      <c r="BS1354" s="395"/>
      <c r="DF1354" s="24">
        <v>2.57</v>
      </c>
      <c r="DG1354" s="24">
        <v>3.14</v>
      </c>
      <c r="DJ1354" s="24" t="s">
        <v>932</v>
      </c>
      <c r="DK1354" s="24">
        <v>7.79</v>
      </c>
      <c r="DL1354" s="24">
        <v>5.93</v>
      </c>
      <c r="DO1354" s="24" t="s">
        <v>930</v>
      </c>
      <c r="DP1354" s="24">
        <v>1.4</v>
      </c>
      <c r="DQ1354" s="24">
        <v>1.34</v>
      </c>
      <c r="DT1354" s="24" t="s">
        <v>945</v>
      </c>
      <c r="EY1354" s="24">
        <f>27.2/1.42</f>
        <v>19.154929577464788</v>
      </c>
      <c r="EZ1354" s="24">
        <f>32.8/1.42</f>
        <v>23.098591549295772</v>
      </c>
      <c r="FC1354" s="95" t="s">
        <v>937</v>
      </c>
      <c r="IO1354" s="24" t="s">
        <v>943</v>
      </c>
    </row>
    <row r="1355" spans="1:249" s="24" customFormat="1" x14ac:dyDescent="0.25">
      <c r="A1355" s="24">
        <v>61</v>
      </c>
      <c r="B1355" s="24" t="s">
        <v>921</v>
      </c>
      <c r="C1355" s="24" t="s">
        <v>922</v>
      </c>
      <c r="D1355" s="24">
        <v>2003</v>
      </c>
      <c r="E1355" s="24">
        <v>2001</v>
      </c>
      <c r="F1355" s="24" t="s">
        <v>923</v>
      </c>
      <c r="G1355" s="24" t="s">
        <v>924</v>
      </c>
      <c r="H1355" s="32" t="s">
        <v>2831</v>
      </c>
      <c r="I1355" s="24">
        <v>38.74</v>
      </c>
      <c r="J1355" s="24">
        <v>-87.49</v>
      </c>
      <c r="K1355" s="24">
        <v>130</v>
      </c>
      <c r="N1355" s="24">
        <v>1272</v>
      </c>
      <c r="Q1355" s="42">
        <v>2</v>
      </c>
      <c r="R1355" s="42" t="s">
        <v>1735</v>
      </c>
      <c r="S1355" s="42" t="s">
        <v>866</v>
      </c>
      <c r="T1355" s="42" t="s">
        <v>929</v>
      </c>
      <c r="U1355" s="42" t="s">
        <v>1386</v>
      </c>
      <c r="V1355" s="42" t="s">
        <v>1724</v>
      </c>
      <c r="W1355" s="42" t="s">
        <v>1386</v>
      </c>
      <c r="X1355" s="42" t="s">
        <v>1386</v>
      </c>
      <c r="Y1355" s="24">
        <v>1.44</v>
      </c>
      <c r="Z1355" s="321"/>
      <c r="AA1355" s="321"/>
      <c r="AB1355" s="24" t="s">
        <v>451</v>
      </c>
      <c r="AF1355" s="24" t="s">
        <v>1328</v>
      </c>
      <c r="AG1355" s="24" t="s">
        <v>1531</v>
      </c>
      <c r="AH1355" s="138" t="s">
        <v>1585</v>
      </c>
      <c r="AI1355" s="24" t="s">
        <v>133</v>
      </c>
      <c r="AJ1355" s="140" t="s">
        <v>1615</v>
      </c>
      <c r="AK1355" s="24" t="s">
        <v>944</v>
      </c>
      <c r="AL1355" s="24" t="s">
        <v>944</v>
      </c>
      <c r="AM1355" s="24" t="s">
        <v>178</v>
      </c>
      <c r="AN1355" s="24" t="s">
        <v>157</v>
      </c>
      <c r="AO1355" s="24" t="s">
        <v>157</v>
      </c>
      <c r="AP1355" s="24" t="s">
        <v>178</v>
      </c>
      <c r="AT1355" s="24" t="s">
        <v>161</v>
      </c>
      <c r="AU1355" s="24">
        <v>4</v>
      </c>
      <c r="AW1355" s="24" t="s">
        <v>142</v>
      </c>
      <c r="AY1355" s="24">
        <v>1048</v>
      </c>
      <c r="BA1355" s="24" t="s">
        <v>927</v>
      </c>
      <c r="BM1355" s="395">
        <v>1.52</v>
      </c>
      <c r="BN1355" s="395">
        <v>1.58</v>
      </c>
      <c r="BR1355" s="395"/>
      <c r="BS1355" s="395"/>
      <c r="DF1355" s="24">
        <v>2.57</v>
      </c>
      <c r="DG1355" s="24">
        <v>3.51</v>
      </c>
      <c r="DJ1355" s="24" t="s">
        <v>932</v>
      </c>
      <c r="DK1355" s="24">
        <v>7.79</v>
      </c>
      <c r="DL1355" s="24">
        <v>4.62</v>
      </c>
      <c r="DO1355" s="24" t="s">
        <v>930</v>
      </c>
      <c r="DP1355" s="24">
        <v>1.4</v>
      </c>
      <c r="DQ1355" s="24">
        <v>1.4</v>
      </c>
      <c r="DT1355" s="24" t="s">
        <v>945</v>
      </c>
      <c r="EY1355" s="24">
        <f>27.2/1.42</f>
        <v>19.154929577464788</v>
      </c>
      <c r="EZ1355" s="24">
        <f>28.5/1.42</f>
        <v>20.070422535211268</v>
      </c>
      <c r="FC1355" s="95" t="s">
        <v>937</v>
      </c>
      <c r="IO1355" s="24" t="s">
        <v>943</v>
      </c>
    </row>
    <row r="1356" spans="1:249" s="72" customFormat="1" x14ac:dyDescent="0.25">
      <c r="A1356" s="72">
        <v>61</v>
      </c>
      <c r="B1356" s="72" t="s">
        <v>921</v>
      </c>
      <c r="C1356" s="72" t="s">
        <v>922</v>
      </c>
      <c r="D1356" s="72">
        <v>2003</v>
      </c>
      <c r="E1356" s="72">
        <v>2001</v>
      </c>
      <c r="F1356" s="72" t="s">
        <v>923</v>
      </c>
      <c r="G1356" s="72" t="s">
        <v>925</v>
      </c>
      <c r="H1356" s="32" t="s">
        <v>2831</v>
      </c>
      <c r="I1356" s="72">
        <v>40.299999999999997</v>
      </c>
      <c r="J1356" s="72">
        <v>-86.9</v>
      </c>
      <c r="K1356" s="72">
        <v>221</v>
      </c>
      <c r="N1356" s="24">
        <v>910</v>
      </c>
      <c r="Q1356" s="73">
        <v>2</v>
      </c>
      <c r="R1356" s="42" t="s">
        <v>1735</v>
      </c>
      <c r="S1356" s="73" t="s">
        <v>866</v>
      </c>
      <c r="T1356" s="73" t="s">
        <v>928</v>
      </c>
      <c r="U1356" s="73" t="s">
        <v>1386</v>
      </c>
      <c r="V1356" s="42" t="s">
        <v>1724</v>
      </c>
      <c r="W1356" s="73" t="s">
        <v>1386</v>
      </c>
      <c r="X1356" s="73" t="s">
        <v>1386</v>
      </c>
      <c r="Y1356" s="72">
        <v>1.42</v>
      </c>
      <c r="Z1356" s="338"/>
      <c r="AA1356" s="338"/>
      <c r="AB1356" s="72" t="s">
        <v>451</v>
      </c>
      <c r="AF1356" s="72" t="s">
        <v>1328</v>
      </c>
      <c r="AG1356" s="72" t="s">
        <v>1531</v>
      </c>
      <c r="AH1356" s="138" t="s">
        <v>1585</v>
      </c>
      <c r="AI1356" s="72" t="s">
        <v>159</v>
      </c>
      <c r="AJ1356" s="140" t="s">
        <v>1615</v>
      </c>
      <c r="AK1356" s="72" t="s">
        <v>944</v>
      </c>
      <c r="AL1356" s="72" t="s">
        <v>944</v>
      </c>
      <c r="AM1356" s="72" t="s">
        <v>178</v>
      </c>
      <c r="AN1356" s="72" t="s">
        <v>232</v>
      </c>
      <c r="AO1356" s="72" t="s">
        <v>232</v>
      </c>
      <c r="AP1356" s="72" t="s">
        <v>178</v>
      </c>
      <c r="AT1356" s="72" t="s">
        <v>161</v>
      </c>
      <c r="AU1356" s="72">
        <v>4</v>
      </c>
      <c r="AW1356" s="72" t="s">
        <v>142</v>
      </c>
      <c r="BA1356" s="72" t="s">
        <v>926</v>
      </c>
      <c r="BM1356" s="413"/>
      <c r="BN1356" s="413"/>
      <c r="BR1356" s="413"/>
      <c r="BS1356" s="413"/>
      <c r="DK1356" s="72">
        <v>49.51</v>
      </c>
      <c r="DL1356" s="72">
        <v>49.51</v>
      </c>
      <c r="DO1356" s="72" t="s">
        <v>930</v>
      </c>
      <c r="DP1356" s="72">
        <v>1.43</v>
      </c>
      <c r="DQ1356" s="72">
        <v>1.78</v>
      </c>
      <c r="DT1356" s="24" t="s">
        <v>945</v>
      </c>
      <c r="DZ1356" s="72">
        <v>81.599999999999994</v>
      </c>
      <c r="EA1356" s="72">
        <v>84.6</v>
      </c>
      <c r="ET1356" s="72">
        <v>23</v>
      </c>
      <c r="EU1356" s="72">
        <v>22.1</v>
      </c>
      <c r="EY1356" s="72">
        <f>13.9/1.42</f>
        <v>9.7887323943661979</v>
      </c>
      <c r="EZ1356" s="72">
        <f>19.6/1.42</f>
        <v>13.802816901408452</v>
      </c>
      <c r="FC1356" s="95" t="s">
        <v>938</v>
      </c>
      <c r="IO1356" s="72" t="s">
        <v>943</v>
      </c>
    </row>
    <row r="1357" spans="1:249" s="72" customFormat="1" x14ac:dyDescent="0.25">
      <c r="A1357" s="72">
        <v>61</v>
      </c>
      <c r="B1357" s="72" t="s">
        <v>921</v>
      </c>
      <c r="C1357" s="72" t="s">
        <v>922</v>
      </c>
      <c r="D1357" s="72">
        <v>2003</v>
      </c>
      <c r="E1357" s="72">
        <v>2001</v>
      </c>
      <c r="F1357" s="72" t="s">
        <v>923</v>
      </c>
      <c r="G1357" s="72" t="s">
        <v>925</v>
      </c>
      <c r="H1357" s="32" t="s">
        <v>2831</v>
      </c>
      <c r="I1357" s="72">
        <v>40.299999999999997</v>
      </c>
      <c r="J1357" s="72">
        <v>-86.9</v>
      </c>
      <c r="K1357" s="72">
        <v>221</v>
      </c>
      <c r="N1357" s="24">
        <v>910</v>
      </c>
      <c r="Q1357" s="73">
        <v>2</v>
      </c>
      <c r="R1357" s="42" t="s">
        <v>1735</v>
      </c>
      <c r="S1357" s="73" t="s">
        <v>866</v>
      </c>
      <c r="T1357" s="73" t="s">
        <v>928</v>
      </c>
      <c r="U1357" s="73" t="s">
        <v>1386</v>
      </c>
      <c r="V1357" s="42" t="s">
        <v>1724</v>
      </c>
      <c r="W1357" s="73" t="s">
        <v>1386</v>
      </c>
      <c r="X1357" s="73" t="s">
        <v>1386</v>
      </c>
      <c r="Y1357" s="72">
        <v>1.42</v>
      </c>
      <c r="Z1357" s="338"/>
      <c r="AA1357" s="338"/>
      <c r="AB1357" s="72" t="s">
        <v>451</v>
      </c>
      <c r="AF1357" s="72" t="s">
        <v>1328</v>
      </c>
      <c r="AG1357" s="72" t="s">
        <v>1531</v>
      </c>
      <c r="AH1357" s="138" t="s">
        <v>1585</v>
      </c>
      <c r="AI1357" s="72" t="s">
        <v>133</v>
      </c>
      <c r="AJ1357" s="140" t="s">
        <v>1615</v>
      </c>
      <c r="AK1357" s="72" t="s">
        <v>944</v>
      </c>
      <c r="AL1357" s="72" t="s">
        <v>944</v>
      </c>
      <c r="AM1357" s="72" t="s">
        <v>178</v>
      </c>
      <c r="AN1357" s="72" t="s">
        <v>232</v>
      </c>
      <c r="AO1357" s="72" t="s">
        <v>232</v>
      </c>
      <c r="AP1357" s="72" t="s">
        <v>178</v>
      </c>
      <c r="AT1357" s="72" t="s">
        <v>161</v>
      </c>
      <c r="AU1357" s="72">
        <v>4</v>
      </c>
      <c r="AW1357" s="72" t="s">
        <v>142</v>
      </c>
      <c r="BA1357" s="72" t="s">
        <v>927</v>
      </c>
      <c r="BM1357" s="413"/>
      <c r="BN1357" s="413"/>
      <c r="BR1357" s="413"/>
      <c r="BS1357" s="413"/>
      <c r="DK1357" s="72">
        <v>49.51</v>
      </c>
      <c r="DL1357" s="72">
        <v>50.2</v>
      </c>
      <c r="DO1357" s="72" t="s">
        <v>930</v>
      </c>
      <c r="DP1357" s="72">
        <v>1.43</v>
      </c>
      <c r="DQ1357" s="72">
        <v>1.93</v>
      </c>
      <c r="DT1357" s="24" t="s">
        <v>945</v>
      </c>
      <c r="DZ1357" s="72">
        <v>81.599999999999994</v>
      </c>
      <c r="EA1357" s="72">
        <v>98.4</v>
      </c>
      <c r="ET1357" s="72">
        <v>23</v>
      </c>
      <c r="EU1357" s="72">
        <v>21.7</v>
      </c>
      <c r="EY1357" s="72">
        <f>13.9/1.42</f>
        <v>9.7887323943661979</v>
      </c>
      <c r="EZ1357" s="72">
        <f>12.8/1.42</f>
        <v>9.0140845070422539</v>
      </c>
      <c r="FC1357" s="95" t="s">
        <v>938</v>
      </c>
      <c r="IO1357" s="72" t="s">
        <v>943</v>
      </c>
    </row>
    <row r="1358" spans="1:249" s="72" customFormat="1" x14ac:dyDescent="0.25">
      <c r="A1358" s="72">
        <v>61</v>
      </c>
      <c r="B1358" s="72" t="s">
        <v>921</v>
      </c>
      <c r="C1358" s="72" t="s">
        <v>922</v>
      </c>
      <c r="D1358" s="72">
        <v>2003</v>
      </c>
      <c r="E1358" s="72">
        <v>2001</v>
      </c>
      <c r="F1358" s="72" t="s">
        <v>923</v>
      </c>
      <c r="G1358" s="72" t="s">
        <v>925</v>
      </c>
      <c r="H1358" s="32" t="s">
        <v>2831</v>
      </c>
      <c r="I1358" s="72">
        <v>40.299999999999997</v>
      </c>
      <c r="J1358" s="72">
        <v>-86.9</v>
      </c>
      <c r="K1358" s="72">
        <v>221</v>
      </c>
      <c r="N1358" s="24">
        <v>910</v>
      </c>
      <c r="Q1358" s="73">
        <v>2</v>
      </c>
      <c r="R1358" s="42" t="s">
        <v>1735</v>
      </c>
      <c r="S1358" s="73" t="s">
        <v>866</v>
      </c>
      <c r="T1358" s="73" t="s">
        <v>928</v>
      </c>
      <c r="U1358" s="73" t="s">
        <v>1386</v>
      </c>
      <c r="V1358" s="42" t="s">
        <v>1724</v>
      </c>
      <c r="W1358" s="73" t="s">
        <v>1386</v>
      </c>
      <c r="X1358" s="73" t="s">
        <v>1386</v>
      </c>
      <c r="Y1358" s="72">
        <v>1.42</v>
      </c>
      <c r="Z1358" s="338"/>
      <c r="AA1358" s="338"/>
      <c r="AB1358" s="72" t="s">
        <v>451</v>
      </c>
      <c r="AF1358" s="72" t="s">
        <v>1328</v>
      </c>
      <c r="AG1358" s="72" t="s">
        <v>1531</v>
      </c>
      <c r="AH1358" s="138" t="s">
        <v>1585</v>
      </c>
      <c r="AI1358" s="72" t="s">
        <v>159</v>
      </c>
      <c r="AJ1358" s="140" t="s">
        <v>1615</v>
      </c>
      <c r="AK1358" s="72" t="s">
        <v>944</v>
      </c>
      <c r="AL1358" s="72" t="s">
        <v>944</v>
      </c>
      <c r="AM1358" s="72" t="s">
        <v>178</v>
      </c>
      <c r="AN1358" s="72" t="s">
        <v>157</v>
      </c>
      <c r="AO1358" s="72" t="s">
        <v>157</v>
      </c>
      <c r="AP1358" s="72" t="s">
        <v>178</v>
      </c>
      <c r="AT1358" s="72" t="s">
        <v>161</v>
      </c>
      <c r="AU1358" s="72">
        <v>4</v>
      </c>
      <c r="AW1358" s="72" t="s">
        <v>142</v>
      </c>
      <c r="BA1358" s="72" t="s">
        <v>926</v>
      </c>
      <c r="BM1358" s="413"/>
      <c r="BN1358" s="413"/>
      <c r="BR1358" s="413"/>
      <c r="BS1358" s="413"/>
      <c r="DK1358" s="72">
        <v>40.6</v>
      </c>
      <c r="DL1358" s="72">
        <v>43.77</v>
      </c>
      <c r="DO1358" s="72" t="s">
        <v>930</v>
      </c>
      <c r="DP1358" s="72">
        <v>1.79</v>
      </c>
      <c r="DQ1358" s="72">
        <v>2.14</v>
      </c>
      <c r="DT1358" s="24" t="s">
        <v>945</v>
      </c>
      <c r="ET1358" s="72">
        <v>22.1</v>
      </c>
      <c r="EU1358" s="72">
        <v>21</v>
      </c>
      <c r="EY1358" s="72">
        <f>17.2/1.42</f>
        <v>12.112676056338028</v>
      </c>
      <c r="EZ1358" s="72">
        <f>28.9/1.42</f>
        <v>20.35211267605634</v>
      </c>
      <c r="FC1358" s="95" t="s">
        <v>938</v>
      </c>
      <c r="IO1358" s="72" t="s">
        <v>943</v>
      </c>
    </row>
    <row r="1359" spans="1:249" s="72" customFormat="1" x14ac:dyDescent="0.25">
      <c r="A1359" s="72">
        <v>61</v>
      </c>
      <c r="B1359" s="72" t="s">
        <v>921</v>
      </c>
      <c r="C1359" s="72" t="s">
        <v>922</v>
      </c>
      <c r="D1359" s="72">
        <v>2003</v>
      </c>
      <c r="E1359" s="72">
        <v>2001</v>
      </c>
      <c r="F1359" s="72" t="s">
        <v>923</v>
      </c>
      <c r="G1359" s="72" t="s">
        <v>925</v>
      </c>
      <c r="H1359" s="32" t="s">
        <v>2831</v>
      </c>
      <c r="I1359" s="72">
        <v>40.299999999999997</v>
      </c>
      <c r="J1359" s="72">
        <v>-86.9</v>
      </c>
      <c r="K1359" s="72">
        <v>221</v>
      </c>
      <c r="N1359" s="24">
        <v>910</v>
      </c>
      <c r="Q1359" s="73">
        <v>2</v>
      </c>
      <c r="R1359" s="42" t="s">
        <v>1735</v>
      </c>
      <c r="S1359" s="73" t="s">
        <v>866</v>
      </c>
      <c r="T1359" s="73" t="s">
        <v>928</v>
      </c>
      <c r="U1359" s="73" t="s">
        <v>1386</v>
      </c>
      <c r="V1359" s="42" t="s">
        <v>1724</v>
      </c>
      <c r="W1359" s="73" t="s">
        <v>1386</v>
      </c>
      <c r="X1359" s="73" t="s">
        <v>1386</v>
      </c>
      <c r="Y1359" s="72">
        <v>1.42</v>
      </c>
      <c r="Z1359" s="338"/>
      <c r="AA1359" s="338"/>
      <c r="AB1359" s="72" t="s">
        <v>451</v>
      </c>
      <c r="AF1359" s="72" t="s">
        <v>1328</v>
      </c>
      <c r="AG1359" s="72" t="s">
        <v>1531</v>
      </c>
      <c r="AH1359" s="138" t="s">
        <v>1585</v>
      </c>
      <c r="AI1359" s="72" t="s">
        <v>133</v>
      </c>
      <c r="AJ1359" s="140" t="s">
        <v>1615</v>
      </c>
      <c r="AK1359" s="72" t="s">
        <v>944</v>
      </c>
      <c r="AL1359" s="72" t="s">
        <v>944</v>
      </c>
      <c r="AM1359" s="72" t="s">
        <v>178</v>
      </c>
      <c r="AN1359" s="72" t="s">
        <v>157</v>
      </c>
      <c r="AO1359" s="72" t="s">
        <v>157</v>
      </c>
      <c r="AP1359" s="72" t="s">
        <v>178</v>
      </c>
      <c r="AT1359" s="72" t="s">
        <v>161</v>
      </c>
      <c r="AU1359" s="72">
        <v>4</v>
      </c>
      <c r="AW1359" s="72" t="s">
        <v>142</v>
      </c>
      <c r="BA1359" s="72" t="s">
        <v>927</v>
      </c>
      <c r="BM1359" s="413"/>
      <c r="BN1359" s="413"/>
      <c r="BR1359" s="413"/>
      <c r="BS1359" s="413"/>
      <c r="DK1359" s="72">
        <v>40.6</v>
      </c>
      <c r="DL1359" s="72">
        <v>42.64</v>
      </c>
      <c r="DO1359" s="72" t="s">
        <v>930</v>
      </c>
      <c r="DP1359" s="72">
        <v>1.79</v>
      </c>
      <c r="DQ1359" s="72">
        <v>1.57</v>
      </c>
      <c r="DT1359" s="24" t="s">
        <v>945</v>
      </c>
      <c r="ET1359" s="72">
        <v>22.1</v>
      </c>
      <c r="EU1359" s="72">
        <v>21</v>
      </c>
      <c r="EY1359" s="72">
        <f>17.2/1.43</f>
        <v>12.027972027972028</v>
      </c>
      <c r="EZ1359" s="72">
        <f>17.9/1.42</f>
        <v>12.6056338028169</v>
      </c>
      <c r="FC1359" s="95" t="s">
        <v>938</v>
      </c>
      <c r="IO1359" s="72" t="s">
        <v>943</v>
      </c>
    </row>
    <row r="1360" spans="1:249" s="72" customFormat="1" x14ac:dyDescent="0.25">
      <c r="A1360" s="72">
        <v>61</v>
      </c>
      <c r="B1360" s="72" t="s">
        <v>921</v>
      </c>
      <c r="C1360" s="72" t="s">
        <v>922</v>
      </c>
      <c r="D1360" s="72">
        <v>2003</v>
      </c>
      <c r="E1360" s="72">
        <v>2001</v>
      </c>
      <c r="F1360" s="72" t="s">
        <v>923</v>
      </c>
      <c r="G1360" s="72" t="s">
        <v>925</v>
      </c>
      <c r="H1360" s="32" t="s">
        <v>2831</v>
      </c>
      <c r="I1360" s="72">
        <v>40.299999999999997</v>
      </c>
      <c r="J1360" s="72">
        <v>-86.9</v>
      </c>
      <c r="K1360" s="72">
        <v>221</v>
      </c>
      <c r="N1360" s="24">
        <v>910</v>
      </c>
      <c r="Q1360" s="73">
        <v>2</v>
      </c>
      <c r="R1360" s="42" t="s">
        <v>1735</v>
      </c>
      <c r="S1360" s="73" t="s">
        <v>866</v>
      </c>
      <c r="T1360" s="73" t="s">
        <v>929</v>
      </c>
      <c r="U1360" s="73" t="s">
        <v>1386</v>
      </c>
      <c r="V1360" s="42" t="s">
        <v>1724</v>
      </c>
      <c r="W1360" s="73" t="s">
        <v>1386</v>
      </c>
      <c r="X1360" s="73" t="s">
        <v>1386</v>
      </c>
      <c r="Y1360" s="72">
        <v>1.42</v>
      </c>
      <c r="Z1360" s="338"/>
      <c r="AA1360" s="338"/>
      <c r="AB1360" s="72" t="s">
        <v>451</v>
      </c>
      <c r="AF1360" s="72" t="s">
        <v>1328</v>
      </c>
      <c r="AG1360" s="72" t="s">
        <v>1531</v>
      </c>
      <c r="AH1360" s="138" t="s">
        <v>1585</v>
      </c>
      <c r="AI1360" s="72" t="s">
        <v>159</v>
      </c>
      <c r="AJ1360" s="140" t="s">
        <v>1615</v>
      </c>
      <c r="AK1360" s="72" t="s">
        <v>944</v>
      </c>
      <c r="AL1360" s="72" t="s">
        <v>944</v>
      </c>
      <c r="AM1360" s="72" t="s">
        <v>178</v>
      </c>
      <c r="AN1360" s="72" t="s">
        <v>232</v>
      </c>
      <c r="AO1360" s="72" t="s">
        <v>232</v>
      </c>
      <c r="AP1360" s="72" t="s">
        <v>178</v>
      </c>
      <c r="AT1360" s="72" t="s">
        <v>161</v>
      </c>
      <c r="AU1360" s="72">
        <v>4</v>
      </c>
      <c r="AW1360" s="72" t="s">
        <v>142</v>
      </c>
      <c r="AY1360" s="72">
        <v>740</v>
      </c>
      <c r="BA1360" s="72" t="s">
        <v>926</v>
      </c>
      <c r="BM1360" s="413">
        <v>1.34</v>
      </c>
      <c r="BN1360" s="413">
        <v>1.34</v>
      </c>
      <c r="BR1360" s="413"/>
      <c r="BS1360" s="413"/>
      <c r="DK1360" s="72">
        <v>17.28</v>
      </c>
      <c r="DL1360" s="72">
        <v>14.66</v>
      </c>
      <c r="DO1360" s="72" t="s">
        <v>930</v>
      </c>
      <c r="DP1360" s="72">
        <v>1.83</v>
      </c>
      <c r="DQ1360" s="72">
        <v>2.25</v>
      </c>
      <c r="DT1360" s="24" t="s">
        <v>945</v>
      </c>
      <c r="DZ1360" s="72">
        <v>72.599999999999994</v>
      </c>
      <c r="EA1360" s="72">
        <v>61.8</v>
      </c>
      <c r="ET1360" s="72">
        <v>29.9</v>
      </c>
      <c r="EU1360" s="72">
        <v>28.2</v>
      </c>
      <c r="EY1360" s="72">
        <f>24/1.42</f>
        <v>16.901408450704228</v>
      </c>
      <c r="EZ1360" s="72">
        <f>24.4/1.42</f>
        <v>17.183098591549296</v>
      </c>
      <c r="FC1360" s="95" t="s">
        <v>939</v>
      </c>
      <c r="IO1360" s="72" t="s">
        <v>943</v>
      </c>
    </row>
    <row r="1361" spans="1:249" s="72" customFormat="1" x14ac:dyDescent="0.25">
      <c r="A1361" s="72">
        <v>61</v>
      </c>
      <c r="B1361" s="72" t="s">
        <v>921</v>
      </c>
      <c r="C1361" s="72" t="s">
        <v>922</v>
      </c>
      <c r="D1361" s="72">
        <v>2003</v>
      </c>
      <c r="E1361" s="72">
        <v>2001</v>
      </c>
      <c r="F1361" s="72" t="s">
        <v>923</v>
      </c>
      <c r="G1361" s="72" t="s">
        <v>925</v>
      </c>
      <c r="H1361" s="32" t="s">
        <v>2831</v>
      </c>
      <c r="I1361" s="72">
        <v>40.299999999999997</v>
      </c>
      <c r="J1361" s="72">
        <v>-86.9</v>
      </c>
      <c r="K1361" s="72">
        <v>221</v>
      </c>
      <c r="N1361" s="24">
        <v>910</v>
      </c>
      <c r="Q1361" s="73">
        <v>2</v>
      </c>
      <c r="R1361" s="42" t="s">
        <v>1735</v>
      </c>
      <c r="S1361" s="73" t="s">
        <v>866</v>
      </c>
      <c r="T1361" s="73" t="s">
        <v>929</v>
      </c>
      <c r="U1361" s="73" t="s">
        <v>1386</v>
      </c>
      <c r="V1361" s="42" t="s">
        <v>1724</v>
      </c>
      <c r="W1361" s="73" t="s">
        <v>1386</v>
      </c>
      <c r="X1361" s="73" t="s">
        <v>1386</v>
      </c>
      <c r="Y1361" s="72">
        <v>1.42</v>
      </c>
      <c r="Z1361" s="338"/>
      <c r="AA1361" s="338"/>
      <c r="AB1361" s="72" t="s">
        <v>451</v>
      </c>
      <c r="AF1361" s="72" t="s">
        <v>1328</v>
      </c>
      <c r="AG1361" s="72" t="s">
        <v>1531</v>
      </c>
      <c r="AH1361" s="138" t="s">
        <v>1585</v>
      </c>
      <c r="AI1361" s="72" t="s">
        <v>133</v>
      </c>
      <c r="AJ1361" s="140" t="s">
        <v>1615</v>
      </c>
      <c r="AK1361" s="72" t="s">
        <v>944</v>
      </c>
      <c r="AL1361" s="72" t="s">
        <v>944</v>
      </c>
      <c r="AM1361" s="72" t="s">
        <v>178</v>
      </c>
      <c r="AN1361" s="72" t="s">
        <v>232</v>
      </c>
      <c r="AO1361" s="72" t="s">
        <v>232</v>
      </c>
      <c r="AP1361" s="72" t="s">
        <v>178</v>
      </c>
      <c r="AT1361" s="72" t="s">
        <v>161</v>
      </c>
      <c r="AU1361" s="72">
        <v>4</v>
      </c>
      <c r="AW1361" s="72" t="s">
        <v>142</v>
      </c>
      <c r="AY1361" s="72">
        <v>1624</v>
      </c>
      <c r="BA1361" s="72" t="s">
        <v>927</v>
      </c>
      <c r="BM1361" s="413">
        <v>1.34</v>
      </c>
      <c r="BN1361" s="413">
        <v>1.32</v>
      </c>
      <c r="BR1361" s="413"/>
      <c r="BS1361" s="413"/>
      <c r="DK1361" s="72">
        <v>17.28</v>
      </c>
      <c r="DL1361" s="72">
        <v>12.91</v>
      </c>
      <c r="DO1361" s="72" t="s">
        <v>930</v>
      </c>
      <c r="DP1361" s="72">
        <v>1.83</v>
      </c>
      <c r="DQ1361" s="72">
        <v>2.8</v>
      </c>
      <c r="DT1361" s="24" t="s">
        <v>945</v>
      </c>
      <c r="DZ1361" s="72">
        <v>72.599999999999994</v>
      </c>
      <c r="EA1361" s="72">
        <v>71.400000000000006</v>
      </c>
      <c r="ET1361" s="72">
        <v>29.6</v>
      </c>
      <c r="EU1361" s="72">
        <v>28.2</v>
      </c>
      <c r="EY1361" s="72">
        <f>24/1.42</f>
        <v>16.901408450704228</v>
      </c>
      <c r="EZ1361" s="72">
        <f>24/1.42</f>
        <v>16.901408450704228</v>
      </c>
      <c r="FC1361" s="95" t="s">
        <v>939</v>
      </c>
      <c r="IO1361" s="72" t="s">
        <v>943</v>
      </c>
    </row>
    <row r="1362" spans="1:249" s="72" customFormat="1" x14ac:dyDescent="0.25">
      <c r="A1362" s="72">
        <v>61</v>
      </c>
      <c r="B1362" s="72" t="s">
        <v>921</v>
      </c>
      <c r="C1362" s="72" t="s">
        <v>922</v>
      </c>
      <c r="D1362" s="72">
        <v>2003</v>
      </c>
      <c r="E1362" s="72">
        <v>2001</v>
      </c>
      <c r="F1362" s="72" t="s">
        <v>923</v>
      </c>
      <c r="G1362" s="72" t="s">
        <v>925</v>
      </c>
      <c r="H1362" s="32" t="s">
        <v>2831</v>
      </c>
      <c r="I1362" s="72">
        <v>40.299999999999997</v>
      </c>
      <c r="J1362" s="72">
        <v>-86.9</v>
      </c>
      <c r="K1362" s="72">
        <v>221</v>
      </c>
      <c r="N1362" s="24">
        <v>910</v>
      </c>
      <c r="Q1362" s="73">
        <v>2</v>
      </c>
      <c r="R1362" s="42" t="s">
        <v>1735</v>
      </c>
      <c r="S1362" s="73" t="s">
        <v>866</v>
      </c>
      <c r="T1362" s="73" t="s">
        <v>929</v>
      </c>
      <c r="U1362" s="73" t="s">
        <v>1386</v>
      </c>
      <c r="V1362" s="42" t="s">
        <v>1724</v>
      </c>
      <c r="W1362" s="73" t="s">
        <v>1386</v>
      </c>
      <c r="X1362" s="73" t="s">
        <v>1386</v>
      </c>
      <c r="Y1362" s="72">
        <v>1.42</v>
      </c>
      <c r="Z1362" s="338"/>
      <c r="AA1362" s="338"/>
      <c r="AB1362" s="72" t="s">
        <v>451</v>
      </c>
      <c r="AF1362" s="72" t="s">
        <v>1328</v>
      </c>
      <c r="AG1362" s="72" t="s">
        <v>1531</v>
      </c>
      <c r="AH1362" s="138" t="s">
        <v>1585</v>
      </c>
      <c r="AI1362" s="72" t="s">
        <v>159</v>
      </c>
      <c r="AJ1362" s="140" t="s">
        <v>1615</v>
      </c>
      <c r="AK1362" s="72" t="s">
        <v>944</v>
      </c>
      <c r="AL1362" s="72" t="s">
        <v>944</v>
      </c>
      <c r="AM1362" s="72" t="s">
        <v>178</v>
      </c>
      <c r="AN1362" s="72" t="s">
        <v>157</v>
      </c>
      <c r="AO1362" s="72" t="s">
        <v>157</v>
      </c>
      <c r="AP1362" s="72" t="s">
        <v>178</v>
      </c>
      <c r="AT1362" s="72" t="s">
        <v>161</v>
      </c>
      <c r="AU1362" s="72">
        <v>4</v>
      </c>
      <c r="AW1362" s="72" t="s">
        <v>142</v>
      </c>
      <c r="AY1362" s="72">
        <v>413</v>
      </c>
      <c r="BA1362" s="72" t="s">
        <v>926</v>
      </c>
      <c r="BM1362" s="413">
        <v>1.57</v>
      </c>
      <c r="BN1362" s="413">
        <v>1.49</v>
      </c>
      <c r="BR1362" s="413"/>
      <c r="BS1362" s="413"/>
      <c r="DK1362" s="72">
        <v>5.5</v>
      </c>
      <c r="DL1362" s="72">
        <v>6.06</v>
      </c>
      <c r="DO1362" s="72" t="s">
        <v>930</v>
      </c>
      <c r="DP1362" s="72">
        <v>2</v>
      </c>
      <c r="DQ1362" s="72">
        <v>2.2200000000000002</v>
      </c>
      <c r="DT1362" s="24" t="s">
        <v>945</v>
      </c>
      <c r="ET1362" s="72">
        <v>28.6</v>
      </c>
      <c r="EU1362" s="72">
        <v>27.8</v>
      </c>
      <c r="EY1362" s="72">
        <f>29.9/1.42</f>
        <v>21.056338028169016</v>
      </c>
      <c r="EZ1362" s="72">
        <f>30.7/1.42</f>
        <v>21.619718309859156</v>
      </c>
      <c r="FC1362" s="95" t="s">
        <v>939</v>
      </c>
      <c r="IO1362" s="72" t="s">
        <v>943</v>
      </c>
    </row>
    <row r="1363" spans="1:249" s="72" customFormat="1" x14ac:dyDescent="0.25">
      <c r="A1363" s="72">
        <v>61</v>
      </c>
      <c r="B1363" s="72" t="s">
        <v>921</v>
      </c>
      <c r="C1363" s="72" t="s">
        <v>922</v>
      </c>
      <c r="D1363" s="72">
        <v>2003</v>
      </c>
      <c r="E1363" s="72">
        <v>2001</v>
      </c>
      <c r="F1363" s="72" t="s">
        <v>923</v>
      </c>
      <c r="G1363" s="72" t="s">
        <v>925</v>
      </c>
      <c r="H1363" s="32" t="s">
        <v>2831</v>
      </c>
      <c r="I1363" s="72">
        <v>40.299999999999997</v>
      </c>
      <c r="J1363" s="72">
        <v>-86.9</v>
      </c>
      <c r="K1363" s="72">
        <v>221</v>
      </c>
      <c r="N1363" s="24">
        <v>910</v>
      </c>
      <c r="Q1363" s="73">
        <v>2</v>
      </c>
      <c r="R1363" s="42" t="s">
        <v>1735</v>
      </c>
      <c r="S1363" s="73" t="s">
        <v>866</v>
      </c>
      <c r="T1363" s="73" t="s">
        <v>929</v>
      </c>
      <c r="U1363" s="73" t="s">
        <v>1386</v>
      </c>
      <c r="V1363" s="42" t="s">
        <v>1724</v>
      </c>
      <c r="W1363" s="73" t="s">
        <v>1386</v>
      </c>
      <c r="X1363" s="73" t="s">
        <v>1386</v>
      </c>
      <c r="Y1363" s="72">
        <v>1.42</v>
      </c>
      <c r="Z1363" s="338"/>
      <c r="AA1363" s="338"/>
      <c r="AB1363" s="72" t="s">
        <v>451</v>
      </c>
      <c r="AF1363" s="72" t="s">
        <v>1328</v>
      </c>
      <c r="AG1363" s="72" t="s">
        <v>1531</v>
      </c>
      <c r="AH1363" s="138" t="s">
        <v>1585</v>
      </c>
      <c r="AI1363" s="72" t="s">
        <v>133</v>
      </c>
      <c r="AJ1363" s="140" t="s">
        <v>1615</v>
      </c>
      <c r="AK1363" s="72" t="s">
        <v>944</v>
      </c>
      <c r="AL1363" s="72" t="s">
        <v>944</v>
      </c>
      <c r="AM1363" s="72" t="s">
        <v>178</v>
      </c>
      <c r="AN1363" s="72" t="s">
        <v>157</v>
      </c>
      <c r="AO1363" s="72" t="s">
        <v>157</v>
      </c>
      <c r="AP1363" s="72" t="s">
        <v>178</v>
      </c>
      <c r="AT1363" s="72" t="s">
        <v>161</v>
      </c>
      <c r="AU1363" s="72">
        <v>4</v>
      </c>
      <c r="AW1363" s="72" t="s">
        <v>142</v>
      </c>
      <c r="AY1363" s="72">
        <v>1509</v>
      </c>
      <c r="BA1363" s="72" t="s">
        <v>927</v>
      </c>
      <c r="BM1363" s="413">
        <v>1.57</v>
      </c>
      <c r="BN1363" s="413">
        <v>1.52</v>
      </c>
      <c r="BR1363" s="413"/>
      <c r="BS1363" s="413"/>
      <c r="DK1363" s="72">
        <v>5.5</v>
      </c>
      <c r="DL1363" s="72">
        <v>5.55</v>
      </c>
      <c r="DO1363" s="72" t="s">
        <v>930</v>
      </c>
      <c r="DP1363" s="72">
        <v>2</v>
      </c>
      <c r="DQ1363" s="72">
        <v>1.72</v>
      </c>
      <c r="DT1363" s="24" t="s">
        <v>945</v>
      </c>
      <c r="ET1363" s="72">
        <v>28.6</v>
      </c>
      <c r="EU1363" s="72">
        <v>28</v>
      </c>
      <c r="EY1363" s="72">
        <f>29.9/1.42</f>
        <v>21.056338028169016</v>
      </c>
      <c r="EZ1363" s="72">
        <f>34.4/1.42</f>
        <v>24.225352112676056</v>
      </c>
      <c r="FC1363" s="95" t="s">
        <v>939</v>
      </c>
      <c r="IO1363" s="72" t="s">
        <v>943</v>
      </c>
    </row>
    <row r="1364" spans="1:249" s="32" customFormat="1" x14ac:dyDescent="0.25">
      <c r="A1364" s="32">
        <v>61</v>
      </c>
      <c r="B1364" s="32" t="s">
        <v>921</v>
      </c>
      <c r="C1364" s="32" t="s">
        <v>922</v>
      </c>
      <c r="D1364" s="32">
        <v>2003</v>
      </c>
      <c r="E1364" s="32">
        <v>2002</v>
      </c>
      <c r="F1364" s="32" t="s">
        <v>923</v>
      </c>
      <c r="G1364" s="32" t="s">
        <v>924</v>
      </c>
      <c r="H1364" s="32" t="s">
        <v>2831</v>
      </c>
      <c r="I1364" s="32">
        <v>38.74</v>
      </c>
      <c r="J1364" s="32">
        <v>-87.49</v>
      </c>
      <c r="K1364" s="32">
        <v>130</v>
      </c>
      <c r="N1364" s="32">
        <v>1420</v>
      </c>
      <c r="Q1364" s="44">
        <v>3</v>
      </c>
      <c r="R1364" s="44" t="s">
        <v>1735</v>
      </c>
      <c r="S1364" s="44" t="s">
        <v>866</v>
      </c>
      <c r="T1364" s="44" t="s">
        <v>928</v>
      </c>
      <c r="U1364" s="44" t="s">
        <v>1386</v>
      </c>
      <c r="V1364" s="44" t="s">
        <v>1724</v>
      </c>
      <c r="W1364" s="44" t="s">
        <v>1386</v>
      </c>
      <c r="X1364" s="44" t="s">
        <v>1386</v>
      </c>
      <c r="Y1364" s="32">
        <v>1.44</v>
      </c>
      <c r="Z1364" s="323"/>
      <c r="AA1364" s="323"/>
      <c r="AB1364" s="32" t="s">
        <v>451</v>
      </c>
      <c r="AF1364" s="32" t="s">
        <v>1328</v>
      </c>
      <c r="AG1364" s="32" t="s">
        <v>1531</v>
      </c>
      <c r="AH1364" s="138" t="s">
        <v>1585</v>
      </c>
      <c r="AI1364" s="32" t="s">
        <v>159</v>
      </c>
      <c r="AJ1364" s="140" t="s">
        <v>1615</v>
      </c>
      <c r="AK1364" s="32" t="s">
        <v>944</v>
      </c>
      <c r="AL1364" s="32" t="s">
        <v>944</v>
      </c>
      <c r="AM1364" s="32" t="s">
        <v>178</v>
      </c>
      <c r="AN1364" s="32" t="s">
        <v>232</v>
      </c>
      <c r="AO1364" s="32" t="s">
        <v>232</v>
      </c>
      <c r="AP1364" s="32" t="s">
        <v>178</v>
      </c>
      <c r="AT1364" s="32" t="s">
        <v>161</v>
      </c>
      <c r="AU1364" s="32">
        <v>4</v>
      </c>
      <c r="AW1364" s="32" t="s">
        <v>142</v>
      </c>
      <c r="BA1364" s="32" t="s">
        <v>926</v>
      </c>
      <c r="BM1364" s="397">
        <v>1.42</v>
      </c>
      <c r="BN1364" s="397">
        <v>1.37</v>
      </c>
      <c r="BR1364" s="397"/>
      <c r="BS1364" s="397"/>
      <c r="DF1364" s="32">
        <v>2.8</v>
      </c>
      <c r="DG1364" s="32">
        <v>2.98</v>
      </c>
      <c r="DJ1364" s="32" t="s">
        <v>932</v>
      </c>
      <c r="DP1364" s="32">
        <v>1.36</v>
      </c>
      <c r="DQ1364" s="32">
        <v>1.04</v>
      </c>
      <c r="DT1364" s="32" t="s">
        <v>945</v>
      </c>
      <c r="ET1364" s="32">
        <v>13.1</v>
      </c>
      <c r="EU1364" s="32">
        <v>12.4</v>
      </c>
      <c r="EY1364" s="32">
        <f>32.9/1.42</f>
        <v>23.169014084507044</v>
      </c>
      <c r="EZ1364" s="32">
        <f>33.6/1.42</f>
        <v>23.661971830985916</v>
      </c>
      <c r="FC1364" s="32" t="s">
        <v>937</v>
      </c>
      <c r="IO1364" s="32" t="s">
        <v>943</v>
      </c>
    </row>
    <row r="1365" spans="1:249" s="32" customFormat="1" x14ac:dyDescent="0.25">
      <c r="A1365" s="32">
        <v>61</v>
      </c>
      <c r="B1365" s="32" t="s">
        <v>921</v>
      </c>
      <c r="C1365" s="32" t="s">
        <v>922</v>
      </c>
      <c r="D1365" s="32">
        <v>2003</v>
      </c>
      <c r="E1365" s="32">
        <v>2002</v>
      </c>
      <c r="F1365" s="32" t="s">
        <v>923</v>
      </c>
      <c r="G1365" s="32" t="s">
        <v>924</v>
      </c>
      <c r="H1365" s="32" t="s">
        <v>2831</v>
      </c>
      <c r="I1365" s="32">
        <v>38.74</v>
      </c>
      <c r="J1365" s="32">
        <v>-87.49</v>
      </c>
      <c r="K1365" s="32">
        <v>130</v>
      </c>
      <c r="N1365" s="32">
        <v>1420</v>
      </c>
      <c r="Q1365" s="44">
        <v>3</v>
      </c>
      <c r="R1365" s="44" t="s">
        <v>1735</v>
      </c>
      <c r="S1365" s="44" t="s">
        <v>866</v>
      </c>
      <c r="T1365" s="44" t="s">
        <v>928</v>
      </c>
      <c r="U1365" s="44" t="s">
        <v>1386</v>
      </c>
      <c r="V1365" s="44" t="s">
        <v>1724</v>
      </c>
      <c r="W1365" s="44" t="s">
        <v>1386</v>
      </c>
      <c r="X1365" s="44" t="s">
        <v>1386</v>
      </c>
      <c r="Y1365" s="32">
        <v>1.44</v>
      </c>
      <c r="Z1365" s="323"/>
      <c r="AA1365" s="323"/>
      <c r="AB1365" s="32" t="s">
        <v>451</v>
      </c>
      <c r="AF1365" s="32" t="s">
        <v>1328</v>
      </c>
      <c r="AG1365" s="32" t="s">
        <v>1531</v>
      </c>
      <c r="AH1365" s="138" t="s">
        <v>1585</v>
      </c>
      <c r="AI1365" s="32" t="s">
        <v>133</v>
      </c>
      <c r="AJ1365" s="140" t="s">
        <v>1615</v>
      </c>
      <c r="AK1365" s="32" t="s">
        <v>944</v>
      </c>
      <c r="AL1365" s="32" t="s">
        <v>944</v>
      </c>
      <c r="AM1365" s="32" t="s">
        <v>178</v>
      </c>
      <c r="AN1365" s="32" t="s">
        <v>232</v>
      </c>
      <c r="AO1365" s="32" t="s">
        <v>232</v>
      </c>
      <c r="AP1365" s="32" t="s">
        <v>178</v>
      </c>
      <c r="AT1365" s="32" t="s">
        <v>161</v>
      </c>
      <c r="AU1365" s="32">
        <v>4</v>
      </c>
      <c r="AW1365" s="32" t="s">
        <v>142</v>
      </c>
      <c r="BA1365" s="32" t="s">
        <v>927</v>
      </c>
      <c r="BM1365" s="397">
        <v>1.42</v>
      </c>
      <c r="BN1365" s="397">
        <v>1.35</v>
      </c>
      <c r="BR1365" s="397"/>
      <c r="BS1365" s="397"/>
      <c r="DF1365" s="32">
        <v>2.8</v>
      </c>
      <c r="DG1365" s="32">
        <v>3.41</v>
      </c>
      <c r="DJ1365" s="32" t="s">
        <v>932</v>
      </c>
      <c r="DP1365" s="32">
        <v>1.36</v>
      </c>
      <c r="DQ1365" s="32">
        <v>1.31</v>
      </c>
      <c r="DT1365" s="32" t="s">
        <v>945</v>
      </c>
      <c r="ET1365" s="32">
        <v>13.1</v>
      </c>
      <c r="EU1365" s="32">
        <v>12.2</v>
      </c>
      <c r="EY1365" s="32">
        <f>32.9/1.42</f>
        <v>23.169014084507044</v>
      </c>
      <c r="EZ1365" s="32">
        <f>36.3/1.42</f>
        <v>25.56338028169014</v>
      </c>
      <c r="FC1365" s="32" t="s">
        <v>937</v>
      </c>
      <c r="IO1365" s="32" t="s">
        <v>943</v>
      </c>
    </row>
    <row r="1366" spans="1:249" s="32" customFormat="1" x14ac:dyDescent="0.25">
      <c r="A1366" s="32">
        <v>61</v>
      </c>
      <c r="B1366" s="32" t="s">
        <v>921</v>
      </c>
      <c r="C1366" s="32" t="s">
        <v>922</v>
      </c>
      <c r="D1366" s="32">
        <v>2003</v>
      </c>
      <c r="E1366" s="32">
        <v>2002</v>
      </c>
      <c r="F1366" s="32" t="s">
        <v>923</v>
      </c>
      <c r="G1366" s="32" t="s">
        <v>924</v>
      </c>
      <c r="H1366" s="32" t="s">
        <v>2831</v>
      </c>
      <c r="I1366" s="32">
        <v>38.74</v>
      </c>
      <c r="J1366" s="32">
        <v>-87.49</v>
      </c>
      <c r="K1366" s="32">
        <v>130</v>
      </c>
      <c r="N1366" s="32">
        <v>1420</v>
      </c>
      <c r="Q1366" s="44">
        <v>3</v>
      </c>
      <c r="R1366" s="44" t="s">
        <v>1735</v>
      </c>
      <c r="S1366" s="44" t="s">
        <v>866</v>
      </c>
      <c r="T1366" s="44" t="s">
        <v>928</v>
      </c>
      <c r="U1366" s="44" t="s">
        <v>1386</v>
      </c>
      <c r="V1366" s="44" t="s">
        <v>1724</v>
      </c>
      <c r="W1366" s="44" t="s">
        <v>1386</v>
      </c>
      <c r="X1366" s="44" t="s">
        <v>1386</v>
      </c>
      <c r="Y1366" s="32">
        <v>1.44</v>
      </c>
      <c r="Z1366" s="323"/>
      <c r="AA1366" s="323"/>
      <c r="AB1366" s="32" t="s">
        <v>451</v>
      </c>
      <c r="AF1366" s="32" t="s">
        <v>1328</v>
      </c>
      <c r="AG1366" s="32" t="s">
        <v>1531</v>
      </c>
      <c r="AH1366" s="138" t="s">
        <v>1585</v>
      </c>
      <c r="AI1366" s="32" t="s">
        <v>159</v>
      </c>
      <c r="AJ1366" s="140" t="s">
        <v>1615</v>
      </c>
      <c r="AK1366" s="32" t="s">
        <v>944</v>
      </c>
      <c r="AL1366" s="32" t="s">
        <v>944</v>
      </c>
      <c r="AM1366" s="32" t="s">
        <v>178</v>
      </c>
      <c r="AN1366" s="32" t="s">
        <v>157</v>
      </c>
      <c r="AO1366" s="32" t="s">
        <v>157</v>
      </c>
      <c r="AP1366" s="32" t="s">
        <v>178</v>
      </c>
      <c r="AT1366" s="32" t="s">
        <v>161</v>
      </c>
      <c r="AU1366" s="32">
        <v>4</v>
      </c>
      <c r="AW1366" s="32" t="s">
        <v>142</v>
      </c>
      <c r="BA1366" s="32" t="s">
        <v>926</v>
      </c>
      <c r="BM1366" s="397">
        <v>1.51</v>
      </c>
      <c r="BN1366" s="397">
        <v>1.49</v>
      </c>
      <c r="BR1366" s="397"/>
      <c r="BS1366" s="397"/>
      <c r="DF1366" s="32">
        <v>3</v>
      </c>
      <c r="DG1366" s="32">
        <v>2.86</v>
      </c>
      <c r="DJ1366" s="32" t="s">
        <v>932</v>
      </c>
      <c r="DK1366" s="32">
        <v>39.57</v>
      </c>
      <c r="DL1366" s="32">
        <v>41.08</v>
      </c>
      <c r="DO1366" s="32" t="s">
        <v>930</v>
      </c>
      <c r="DP1366" s="32">
        <v>2.5099999999999998</v>
      </c>
      <c r="DQ1366" s="32">
        <v>2.69</v>
      </c>
      <c r="DT1366" s="32" t="s">
        <v>945</v>
      </c>
      <c r="ET1366" s="32">
        <v>12.9</v>
      </c>
      <c r="EU1366" s="32">
        <v>12.3</v>
      </c>
      <c r="EY1366" s="32">
        <f>32.2/1.42</f>
        <v>22.676056338028172</v>
      </c>
      <c r="EZ1366" s="32">
        <f>33.3/1.42</f>
        <v>23.450704225352112</v>
      </c>
      <c r="FC1366" s="32" t="s">
        <v>937</v>
      </c>
      <c r="IO1366" s="32" t="s">
        <v>943</v>
      </c>
    </row>
    <row r="1367" spans="1:249" s="32" customFormat="1" x14ac:dyDescent="0.25">
      <c r="A1367" s="32">
        <v>61</v>
      </c>
      <c r="B1367" s="32" t="s">
        <v>921</v>
      </c>
      <c r="C1367" s="32" t="s">
        <v>922</v>
      </c>
      <c r="D1367" s="32">
        <v>2003</v>
      </c>
      <c r="E1367" s="32">
        <v>2002</v>
      </c>
      <c r="F1367" s="32" t="s">
        <v>923</v>
      </c>
      <c r="G1367" s="32" t="s">
        <v>924</v>
      </c>
      <c r="H1367" s="32" t="s">
        <v>2831</v>
      </c>
      <c r="I1367" s="32">
        <v>38.74</v>
      </c>
      <c r="J1367" s="32">
        <v>-87.49</v>
      </c>
      <c r="K1367" s="32">
        <v>130</v>
      </c>
      <c r="N1367" s="32">
        <v>1420</v>
      </c>
      <c r="Q1367" s="44">
        <v>3</v>
      </c>
      <c r="R1367" s="44" t="s">
        <v>1735</v>
      </c>
      <c r="S1367" s="44" t="s">
        <v>866</v>
      </c>
      <c r="T1367" s="44" t="s">
        <v>928</v>
      </c>
      <c r="U1367" s="44" t="s">
        <v>1386</v>
      </c>
      <c r="V1367" s="44" t="s">
        <v>1724</v>
      </c>
      <c r="W1367" s="44" t="s">
        <v>1386</v>
      </c>
      <c r="X1367" s="44" t="s">
        <v>1386</v>
      </c>
      <c r="Y1367" s="32">
        <v>1.44</v>
      </c>
      <c r="Z1367" s="323"/>
      <c r="AA1367" s="323"/>
      <c r="AB1367" s="32" t="s">
        <v>451</v>
      </c>
      <c r="AF1367" s="32" t="s">
        <v>1328</v>
      </c>
      <c r="AG1367" s="32" t="s">
        <v>1531</v>
      </c>
      <c r="AH1367" s="138" t="s">
        <v>1585</v>
      </c>
      <c r="AI1367" s="32" t="s">
        <v>133</v>
      </c>
      <c r="AJ1367" s="140" t="s">
        <v>1615</v>
      </c>
      <c r="AK1367" s="32" t="s">
        <v>944</v>
      </c>
      <c r="AL1367" s="32" t="s">
        <v>944</v>
      </c>
      <c r="AM1367" s="32" t="s">
        <v>178</v>
      </c>
      <c r="AN1367" s="32" t="s">
        <v>157</v>
      </c>
      <c r="AO1367" s="32" t="s">
        <v>157</v>
      </c>
      <c r="AP1367" s="32" t="s">
        <v>178</v>
      </c>
      <c r="AT1367" s="32" t="s">
        <v>161</v>
      </c>
      <c r="AU1367" s="32">
        <v>4</v>
      </c>
      <c r="AW1367" s="32" t="s">
        <v>142</v>
      </c>
      <c r="BA1367" s="32" t="s">
        <v>927</v>
      </c>
      <c r="BM1367" s="397">
        <v>1.51</v>
      </c>
      <c r="BN1367" s="397">
        <v>1.46</v>
      </c>
      <c r="BR1367" s="397"/>
      <c r="BS1367" s="397"/>
      <c r="DF1367" s="32">
        <v>3</v>
      </c>
      <c r="DG1367" s="32">
        <v>3.22</v>
      </c>
      <c r="DJ1367" s="32" t="s">
        <v>932</v>
      </c>
      <c r="DK1367" s="32">
        <v>39.57</v>
      </c>
      <c r="DL1367" s="32">
        <v>39.049999999999997</v>
      </c>
      <c r="DO1367" s="32" t="s">
        <v>930</v>
      </c>
      <c r="DP1367" s="32">
        <v>2.5099999999999998</v>
      </c>
      <c r="DQ1367" s="32">
        <v>2.4</v>
      </c>
      <c r="DT1367" s="32" t="s">
        <v>945</v>
      </c>
      <c r="ET1367" s="32">
        <v>12.9</v>
      </c>
      <c r="EU1367" s="32">
        <v>12.3</v>
      </c>
      <c r="EY1367" s="32">
        <f>32.2/1.42</f>
        <v>22.676056338028172</v>
      </c>
      <c r="EZ1367" s="32">
        <f>34.8/1.42</f>
        <v>24.507042253521124</v>
      </c>
      <c r="FC1367" s="32" t="s">
        <v>937</v>
      </c>
      <c r="IO1367" s="32" t="s">
        <v>943</v>
      </c>
    </row>
    <row r="1368" spans="1:249" s="32" customFormat="1" x14ac:dyDescent="0.25">
      <c r="A1368" s="32">
        <v>61</v>
      </c>
      <c r="B1368" s="32" t="s">
        <v>921</v>
      </c>
      <c r="C1368" s="32" t="s">
        <v>922</v>
      </c>
      <c r="D1368" s="32">
        <v>2003</v>
      </c>
      <c r="E1368" s="32">
        <v>2002</v>
      </c>
      <c r="F1368" s="32" t="s">
        <v>923</v>
      </c>
      <c r="G1368" s="32" t="s">
        <v>924</v>
      </c>
      <c r="H1368" s="32" t="s">
        <v>2831</v>
      </c>
      <c r="I1368" s="32">
        <v>38.74</v>
      </c>
      <c r="J1368" s="32">
        <v>-87.49</v>
      </c>
      <c r="K1368" s="32">
        <v>130</v>
      </c>
      <c r="N1368" s="32">
        <v>1420</v>
      </c>
      <c r="Q1368" s="44">
        <v>3</v>
      </c>
      <c r="R1368" s="44" t="s">
        <v>1735</v>
      </c>
      <c r="S1368" s="44" t="s">
        <v>866</v>
      </c>
      <c r="T1368" s="44" t="s">
        <v>929</v>
      </c>
      <c r="U1368" s="44" t="s">
        <v>1386</v>
      </c>
      <c r="V1368" s="44" t="s">
        <v>1724</v>
      </c>
      <c r="W1368" s="44" t="s">
        <v>1386</v>
      </c>
      <c r="X1368" s="44" t="s">
        <v>1386</v>
      </c>
      <c r="Y1368" s="32">
        <v>1.44</v>
      </c>
      <c r="Z1368" s="323"/>
      <c r="AA1368" s="323"/>
      <c r="AB1368" s="32" t="s">
        <v>451</v>
      </c>
      <c r="AF1368" s="32" t="s">
        <v>1328</v>
      </c>
      <c r="AG1368" s="32" t="s">
        <v>1531</v>
      </c>
      <c r="AH1368" s="138" t="s">
        <v>1585</v>
      </c>
      <c r="AI1368" s="32" t="s">
        <v>159</v>
      </c>
      <c r="AJ1368" s="140" t="s">
        <v>1615</v>
      </c>
      <c r="AK1368" s="32" t="s">
        <v>944</v>
      </c>
      <c r="AL1368" s="32" t="s">
        <v>944</v>
      </c>
      <c r="AM1368" s="32" t="s">
        <v>178</v>
      </c>
      <c r="AN1368" s="32" t="s">
        <v>232</v>
      </c>
      <c r="AO1368" s="32" t="s">
        <v>232</v>
      </c>
      <c r="AP1368" s="32" t="s">
        <v>178</v>
      </c>
      <c r="AT1368" s="32" t="s">
        <v>161</v>
      </c>
      <c r="AU1368" s="32">
        <v>4</v>
      </c>
      <c r="AW1368" s="32" t="s">
        <v>142</v>
      </c>
      <c r="AY1368" s="32">
        <v>927</v>
      </c>
      <c r="BA1368" s="32" t="s">
        <v>926</v>
      </c>
      <c r="BM1368" s="397"/>
      <c r="BN1368" s="397"/>
      <c r="BR1368" s="397"/>
      <c r="BS1368" s="397"/>
      <c r="DF1368" s="32">
        <v>3.37</v>
      </c>
      <c r="DG1368" s="32">
        <v>3.21</v>
      </c>
      <c r="DJ1368" s="32" t="s">
        <v>932</v>
      </c>
      <c r="DP1368" s="32">
        <v>2.1</v>
      </c>
      <c r="DQ1368" s="32">
        <v>1.95</v>
      </c>
      <c r="DT1368" s="32" t="s">
        <v>945</v>
      </c>
      <c r="ET1368" s="32">
        <v>18.100000000000001</v>
      </c>
      <c r="EU1368" s="32">
        <v>17.2</v>
      </c>
      <c r="EY1368" s="32">
        <f>32.7/1.42</f>
        <v>23.028169014084511</v>
      </c>
      <c r="EZ1368" s="32">
        <f>34.2/1.42</f>
        <v>24.084507042253524</v>
      </c>
      <c r="FC1368" s="32" t="s">
        <v>940</v>
      </c>
      <c r="IO1368" s="32" t="s">
        <v>943</v>
      </c>
    </row>
    <row r="1369" spans="1:249" s="32" customFormat="1" x14ac:dyDescent="0.25">
      <c r="A1369" s="32">
        <v>61</v>
      </c>
      <c r="B1369" s="32" t="s">
        <v>921</v>
      </c>
      <c r="C1369" s="32" t="s">
        <v>922</v>
      </c>
      <c r="D1369" s="32">
        <v>2003</v>
      </c>
      <c r="E1369" s="32">
        <v>2002</v>
      </c>
      <c r="F1369" s="32" t="s">
        <v>923</v>
      </c>
      <c r="G1369" s="32" t="s">
        <v>924</v>
      </c>
      <c r="H1369" s="32" t="s">
        <v>2831</v>
      </c>
      <c r="I1369" s="32">
        <v>38.74</v>
      </c>
      <c r="J1369" s="32">
        <v>-87.49</v>
      </c>
      <c r="K1369" s="32">
        <v>130</v>
      </c>
      <c r="N1369" s="32">
        <v>1420</v>
      </c>
      <c r="Q1369" s="44">
        <v>3</v>
      </c>
      <c r="R1369" s="44" t="s">
        <v>1735</v>
      </c>
      <c r="S1369" s="44" t="s">
        <v>866</v>
      </c>
      <c r="T1369" s="44" t="s">
        <v>929</v>
      </c>
      <c r="U1369" s="44" t="s">
        <v>1386</v>
      </c>
      <c r="V1369" s="44" t="s">
        <v>1724</v>
      </c>
      <c r="W1369" s="44" t="s">
        <v>1386</v>
      </c>
      <c r="X1369" s="44" t="s">
        <v>1386</v>
      </c>
      <c r="Y1369" s="32">
        <v>1.44</v>
      </c>
      <c r="Z1369" s="323"/>
      <c r="AA1369" s="323"/>
      <c r="AB1369" s="32" t="s">
        <v>451</v>
      </c>
      <c r="AF1369" s="32" t="s">
        <v>1328</v>
      </c>
      <c r="AG1369" s="32" t="s">
        <v>1531</v>
      </c>
      <c r="AH1369" s="138" t="s">
        <v>1585</v>
      </c>
      <c r="AI1369" s="32" t="s">
        <v>133</v>
      </c>
      <c r="AJ1369" s="140" t="s">
        <v>1615</v>
      </c>
      <c r="AK1369" s="32" t="s">
        <v>944</v>
      </c>
      <c r="AL1369" s="32" t="s">
        <v>944</v>
      </c>
      <c r="AM1369" s="32" t="s">
        <v>178</v>
      </c>
      <c r="AN1369" s="32" t="s">
        <v>232</v>
      </c>
      <c r="AO1369" s="32" t="s">
        <v>232</v>
      </c>
      <c r="AP1369" s="32" t="s">
        <v>178</v>
      </c>
      <c r="AT1369" s="32" t="s">
        <v>161</v>
      </c>
      <c r="AU1369" s="32">
        <v>4</v>
      </c>
      <c r="AW1369" s="32" t="s">
        <v>142</v>
      </c>
      <c r="AY1369" s="32">
        <v>1515</v>
      </c>
      <c r="BA1369" s="32" t="s">
        <v>927</v>
      </c>
      <c r="BM1369" s="397"/>
      <c r="BN1369" s="397"/>
      <c r="BR1369" s="397"/>
      <c r="BS1369" s="397"/>
      <c r="DF1369" s="32">
        <v>3.37</v>
      </c>
      <c r="DG1369" s="32">
        <v>3.61</v>
      </c>
      <c r="DJ1369" s="32" t="s">
        <v>932</v>
      </c>
      <c r="DP1369" s="32">
        <v>2.1</v>
      </c>
      <c r="DQ1369" s="32">
        <v>2.27</v>
      </c>
      <c r="DT1369" s="32" t="s">
        <v>945</v>
      </c>
      <c r="ET1369" s="32">
        <v>18.100000000000001</v>
      </c>
      <c r="EU1369" s="32">
        <v>16</v>
      </c>
      <c r="EY1369" s="32">
        <f>32.7/1.42</f>
        <v>23.028169014084511</v>
      </c>
      <c r="EZ1369" s="32">
        <f>36.6/1.42</f>
        <v>25.774647887323948</v>
      </c>
      <c r="FC1369" s="32" t="s">
        <v>940</v>
      </c>
      <c r="IO1369" s="32" t="s">
        <v>943</v>
      </c>
    </row>
    <row r="1370" spans="1:249" s="32" customFormat="1" x14ac:dyDescent="0.25">
      <c r="A1370" s="32">
        <v>61</v>
      </c>
      <c r="B1370" s="32" t="s">
        <v>921</v>
      </c>
      <c r="C1370" s="32" t="s">
        <v>922</v>
      </c>
      <c r="D1370" s="32">
        <v>2003</v>
      </c>
      <c r="E1370" s="32">
        <v>2002</v>
      </c>
      <c r="F1370" s="32" t="s">
        <v>923</v>
      </c>
      <c r="G1370" s="32" t="s">
        <v>924</v>
      </c>
      <c r="H1370" s="32" t="s">
        <v>2831</v>
      </c>
      <c r="I1370" s="32">
        <v>38.74</v>
      </c>
      <c r="J1370" s="32">
        <v>-87.49</v>
      </c>
      <c r="K1370" s="32">
        <v>130</v>
      </c>
      <c r="N1370" s="32">
        <v>1420</v>
      </c>
      <c r="Q1370" s="44">
        <v>3</v>
      </c>
      <c r="R1370" s="44" t="s">
        <v>1735</v>
      </c>
      <c r="S1370" s="44" t="s">
        <v>866</v>
      </c>
      <c r="T1370" s="44" t="s">
        <v>929</v>
      </c>
      <c r="U1370" s="44" t="s">
        <v>1386</v>
      </c>
      <c r="V1370" s="44" t="s">
        <v>1724</v>
      </c>
      <c r="W1370" s="44" t="s">
        <v>1386</v>
      </c>
      <c r="X1370" s="44" t="s">
        <v>1386</v>
      </c>
      <c r="Y1370" s="32">
        <v>1.44</v>
      </c>
      <c r="Z1370" s="323"/>
      <c r="AA1370" s="323"/>
      <c r="AB1370" s="32" t="s">
        <v>451</v>
      </c>
      <c r="AF1370" s="32" t="s">
        <v>1328</v>
      </c>
      <c r="AG1370" s="32" t="s">
        <v>1531</v>
      </c>
      <c r="AH1370" s="138" t="s">
        <v>1585</v>
      </c>
      <c r="AI1370" s="32" t="s">
        <v>159</v>
      </c>
      <c r="AJ1370" s="140" t="s">
        <v>1615</v>
      </c>
      <c r="AK1370" s="32" t="s">
        <v>944</v>
      </c>
      <c r="AL1370" s="32" t="s">
        <v>944</v>
      </c>
      <c r="AM1370" s="32" t="s">
        <v>178</v>
      </c>
      <c r="AN1370" s="32" t="s">
        <v>157</v>
      </c>
      <c r="AO1370" s="32" t="s">
        <v>157</v>
      </c>
      <c r="AP1370" s="32" t="s">
        <v>178</v>
      </c>
      <c r="AT1370" s="32" t="s">
        <v>161</v>
      </c>
      <c r="AU1370" s="32">
        <v>4</v>
      </c>
      <c r="AW1370" s="32" t="s">
        <v>142</v>
      </c>
      <c r="AY1370" s="32">
        <v>1233</v>
      </c>
      <c r="BA1370" s="32" t="s">
        <v>926</v>
      </c>
      <c r="BM1370" s="397">
        <v>1.6</v>
      </c>
      <c r="BN1370" s="397">
        <v>1.56</v>
      </c>
      <c r="BR1370" s="397"/>
      <c r="BS1370" s="397"/>
      <c r="DF1370" s="32">
        <v>3.17</v>
      </c>
      <c r="DG1370" s="32">
        <v>3.15</v>
      </c>
      <c r="DJ1370" s="32" t="s">
        <v>932</v>
      </c>
      <c r="DK1370" s="32">
        <v>7.22</v>
      </c>
      <c r="DL1370" s="32">
        <v>8.42</v>
      </c>
      <c r="DO1370" s="32" t="s">
        <v>930</v>
      </c>
      <c r="DP1370" s="32">
        <v>2.66</v>
      </c>
      <c r="DQ1370" s="32">
        <v>2.76</v>
      </c>
      <c r="DT1370" s="32" t="s">
        <v>945</v>
      </c>
      <c r="ET1370" s="32">
        <v>18.100000000000001</v>
      </c>
      <c r="EU1370" s="32">
        <v>17</v>
      </c>
      <c r="EY1370" s="32">
        <f>30.3/1.42</f>
        <v>21.338028169014088</v>
      </c>
      <c r="EZ1370" s="32">
        <f>32.1/1.42</f>
        <v>22.605633802816904</v>
      </c>
      <c r="FC1370" s="32" t="s">
        <v>940</v>
      </c>
      <c r="IO1370" s="32" t="s">
        <v>943</v>
      </c>
    </row>
    <row r="1371" spans="1:249" s="32" customFormat="1" x14ac:dyDescent="0.25">
      <c r="A1371" s="32">
        <v>61</v>
      </c>
      <c r="B1371" s="32" t="s">
        <v>921</v>
      </c>
      <c r="C1371" s="32" t="s">
        <v>922</v>
      </c>
      <c r="D1371" s="32">
        <v>2003</v>
      </c>
      <c r="E1371" s="32">
        <v>2002</v>
      </c>
      <c r="F1371" s="32" t="s">
        <v>923</v>
      </c>
      <c r="G1371" s="32" t="s">
        <v>924</v>
      </c>
      <c r="H1371" s="32" t="s">
        <v>2831</v>
      </c>
      <c r="I1371" s="32">
        <v>38.74</v>
      </c>
      <c r="J1371" s="32">
        <v>-87.49</v>
      </c>
      <c r="K1371" s="32">
        <v>130</v>
      </c>
      <c r="N1371" s="32">
        <v>1420</v>
      </c>
      <c r="Q1371" s="44">
        <v>3</v>
      </c>
      <c r="R1371" s="44" t="s">
        <v>1735</v>
      </c>
      <c r="S1371" s="44" t="s">
        <v>866</v>
      </c>
      <c r="T1371" s="44" t="s">
        <v>929</v>
      </c>
      <c r="U1371" s="44" t="s">
        <v>1386</v>
      </c>
      <c r="V1371" s="44" t="s">
        <v>1724</v>
      </c>
      <c r="W1371" s="44" t="s">
        <v>1386</v>
      </c>
      <c r="X1371" s="44" t="s">
        <v>1386</v>
      </c>
      <c r="Y1371" s="32">
        <v>1.44</v>
      </c>
      <c r="Z1371" s="323"/>
      <c r="AA1371" s="323"/>
      <c r="AB1371" s="32" t="s">
        <v>451</v>
      </c>
      <c r="AF1371" s="32" t="s">
        <v>1328</v>
      </c>
      <c r="AG1371" s="32" t="s">
        <v>1531</v>
      </c>
      <c r="AH1371" s="138" t="s">
        <v>1585</v>
      </c>
      <c r="AI1371" s="32" t="s">
        <v>133</v>
      </c>
      <c r="AJ1371" s="140" t="s">
        <v>1615</v>
      </c>
      <c r="AK1371" s="32" t="s">
        <v>944</v>
      </c>
      <c r="AL1371" s="32" t="s">
        <v>944</v>
      </c>
      <c r="AM1371" s="32" t="s">
        <v>178</v>
      </c>
      <c r="AN1371" s="32" t="s">
        <v>157</v>
      </c>
      <c r="AO1371" s="32" t="s">
        <v>157</v>
      </c>
      <c r="AP1371" s="32" t="s">
        <v>178</v>
      </c>
      <c r="AT1371" s="32" t="s">
        <v>161</v>
      </c>
      <c r="AU1371" s="32">
        <v>4</v>
      </c>
      <c r="AW1371" s="32" t="s">
        <v>142</v>
      </c>
      <c r="AY1371" s="32">
        <v>1381</v>
      </c>
      <c r="BA1371" s="32" t="s">
        <v>927</v>
      </c>
      <c r="BM1371" s="397">
        <v>1.6</v>
      </c>
      <c r="BN1371" s="397">
        <v>1.6</v>
      </c>
      <c r="BR1371" s="397"/>
      <c r="BS1371" s="397"/>
      <c r="DF1371" s="32">
        <v>3.17</v>
      </c>
      <c r="DG1371" s="32">
        <v>3.29</v>
      </c>
      <c r="DJ1371" s="32" t="s">
        <v>932</v>
      </c>
      <c r="DK1371" s="32">
        <v>7.22</v>
      </c>
      <c r="DL1371" s="32">
        <v>6.85</v>
      </c>
      <c r="DO1371" s="32" t="s">
        <v>930</v>
      </c>
      <c r="DP1371" s="32">
        <v>2.66</v>
      </c>
      <c r="DQ1371" s="32">
        <v>2.5499999999999998</v>
      </c>
      <c r="DT1371" s="32" t="s">
        <v>945</v>
      </c>
      <c r="ET1371" s="32">
        <v>18.100000000000001</v>
      </c>
      <c r="EU1371" s="32">
        <v>16.2</v>
      </c>
      <c r="EY1371" s="32">
        <f>30.3/1.42</f>
        <v>21.338028169014088</v>
      </c>
      <c r="EZ1371" s="32">
        <f>34.5/1.42</f>
        <v>24.295774647887324</v>
      </c>
      <c r="FC1371" s="32" t="s">
        <v>940</v>
      </c>
      <c r="IO1371" s="32" t="s">
        <v>943</v>
      </c>
    </row>
    <row r="1372" spans="1:249" s="81" customFormat="1" x14ac:dyDescent="0.25">
      <c r="A1372" s="81">
        <v>61</v>
      </c>
      <c r="B1372" s="81" t="s">
        <v>921</v>
      </c>
      <c r="C1372" s="81" t="s">
        <v>922</v>
      </c>
      <c r="D1372" s="81">
        <v>2003</v>
      </c>
      <c r="E1372" s="81">
        <v>2002</v>
      </c>
      <c r="F1372" s="81" t="s">
        <v>923</v>
      </c>
      <c r="G1372" s="81" t="s">
        <v>925</v>
      </c>
      <c r="H1372" s="32" t="s">
        <v>2831</v>
      </c>
      <c r="I1372" s="81">
        <v>40.299999999999997</v>
      </c>
      <c r="J1372" s="81">
        <v>-86.9</v>
      </c>
      <c r="K1372" s="81">
        <v>221</v>
      </c>
      <c r="N1372" s="32">
        <v>1118</v>
      </c>
      <c r="Q1372" s="82">
        <v>3</v>
      </c>
      <c r="R1372" s="82" t="s">
        <v>1735</v>
      </c>
      <c r="S1372" s="82" t="s">
        <v>866</v>
      </c>
      <c r="T1372" s="82" t="s">
        <v>928</v>
      </c>
      <c r="U1372" s="82" t="s">
        <v>1386</v>
      </c>
      <c r="V1372" s="44" t="s">
        <v>1724</v>
      </c>
      <c r="W1372" s="82" t="s">
        <v>1386</v>
      </c>
      <c r="X1372" s="82" t="s">
        <v>1386</v>
      </c>
      <c r="Y1372" s="81">
        <v>1.42</v>
      </c>
      <c r="Z1372" s="344"/>
      <c r="AA1372" s="344"/>
      <c r="AB1372" s="81" t="s">
        <v>451</v>
      </c>
      <c r="AF1372" s="81" t="s">
        <v>1328</v>
      </c>
      <c r="AG1372" s="81" t="s">
        <v>1531</v>
      </c>
      <c r="AH1372" s="138" t="s">
        <v>1585</v>
      </c>
      <c r="AI1372" s="81" t="s">
        <v>159</v>
      </c>
      <c r="AJ1372" s="140" t="s">
        <v>1615</v>
      </c>
      <c r="AK1372" s="81" t="s">
        <v>944</v>
      </c>
      <c r="AL1372" s="81" t="s">
        <v>944</v>
      </c>
      <c r="AM1372" s="81" t="s">
        <v>178</v>
      </c>
      <c r="AN1372" s="81" t="s">
        <v>232</v>
      </c>
      <c r="AO1372" s="81" t="s">
        <v>232</v>
      </c>
      <c r="AP1372" s="81" t="s">
        <v>178</v>
      </c>
      <c r="AT1372" s="81" t="s">
        <v>161</v>
      </c>
      <c r="AU1372" s="81">
        <v>4</v>
      </c>
      <c r="AW1372" s="81" t="s">
        <v>142</v>
      </c>
      <c r="BA1372" s="81" t="s">
        <v>926</v>
      </c>
      <c r="BM1372" s="419">
        <v>1.38</v>
      </c>
      <c r="BN1372" s="419">
        <v>1.35</v>
      </c>
      <c r="BR1372" s="419"/>
      <c r="BS1372" s="419"/>
      <c r="DF1372" s="81">
        <v>1.9</v>
      </c>
      <c r="DG1372" s="81">
        <v>2.12</v>
      </c>
      <c r="DJ1372" s="81" t="s">
        <v>932</v>
      </c>
      <c r="DK1372" s="81">
        <v>43.26</v>
      </c>
      <c r="DL1372" s="81">
        <v>43.03</v>
      </c>
      <c r="DO1372" s="81" t="s">
        <v>930</v>
      </c>
      <c r="DP1372" s="81">
        <v>1.52</v>
      </c>
      <c r="DQ1372" s="81">
        <v>1.52</v>
      </c>
      <c r="DT1372" s="81" t="s">
        <v>945</v>
      </c>
      <c r="ET1372" s="81">
        <v>17.5</v>
      </c>
      <c r="EU1372" s="81">
        <v>17.600000000000001</v>
      </c>
      <c r="EY1372" s="81">
        <f>35.4/1.42</f>
        <v>24.929577464788732</v>
      </c>
      <c r="EZ1372" s="81">
        <f>33/1.42</f>
        <v>23.239436619718312</v>
      </c>
      <c r="FC1372" s="81" t="s">
        <v>941</v>
      </c>
      <c r="IO1372" s="81" t="s">
        <v>943</v>
      </c>
    </row>
    <row r="1373" spans="1:249" s="81" customFormat="1" x14ac:dyDescent="0.25">
      <c r="A1373" s="81">
        <v>61</v>
      </c>
      <c r="B1373" s="81" t="s">
        <v>921</v>
      </c>
      <c r="C1373" s="81" t="s">
        <v>922</v>
      </c>
      <c r="D1373" s="81">
        <v>2003</v>
      </c>
      <c r="E1373" s="81">
        <v>2002</v>
      </c>
      <c r="F1373" s="81" t="s">
        <v>923</v>
      </c>
      <c r="G1373" s="81" t="s">
        <v>925</v>
      </c>
      <c r="H1373" s="32" t="s">
        <v>2831</v>
      </c>
      <c r="I1373" s="81">
        <v>40.299999999999997</v>
      </c>
      <c r="J1373" s="81">
        <v>-86.9</v>
      </c>
      <c r="K1373" s="81">
        <v>221</v>
      </c>
      <c r="N1373" s="32">
        <v>1118</v>
      </c>
      <c r="Q1373" s="82">
        <v>3</v>
      </c>
      <c r="R1373" s="82" t="s">
        <v>1735</v>
      </c>
      <c r="S1373" s="82" t="s">
        <v>866</v>
      </c>
      <c r="T1373" s="82" t="s">
        <v>928</v>
      </c>
      <c r="U1373" s="82" t="s">
        <v>1386</v>
      </c>
      <c r="V1373" s="44" t="s">
        <v>1724</v>
      </c>
      <c r="W1373" s="82" t="s">
        <v>1386</v>
      </c>
      <c r="X1373" s="82" t="s">
        <v>1386</v>
      </c>
      <c r="Y1373" s="81">
        <v>1.42</v>
      </c>
      <c r="Z1373" s="344"/>
      <c r="AA1373" s="344"/>
      <c r="AB1373" s="81" t="s">
        <v>451</v>
      </c>
      <c r="AF1373" s="81" t="s">
        <v>1328</v>
      </c>
      <c r="AG1373" s="81" t="s">
        <v>1531</v>
      </c>
      <c r="AH1373" s="138" t="s">
        <v>1585</v>
      </c>
      <c r="AI1373" s="81" t="s">
        <v>133</v>
      </c>
      <c r="AJ1373" s="140" t="s">
        <v>1615</v>
      </c>
      <c r="AK1373" s="81" t="s">
        <v>944</v>
      </c>
      <c r="AL1373" s="81" t="s">
        <v>944</v>
      </c>
      <c r="AM1373" s="81" t="s">
        <v>178</v>
      </c>
      <c r="AN1373" s="81" t="s">
        <v>232</v>
      </c>
      <c r="AO1373" s="81" t="s">
        <v>232</v>
      </c>
      <c r="AP1373" s="81" t="s">
        <v>178</v>
      </c>
      <c r="AT1373" s="81" t="s">
        <v>161</v>
      </c>
      <c r="AU1373" s="81">
        <v>4</v>
      </c>
      <c r="AW1373" s="81" t="s">
        <v>142</v>
      </c>
      <c r="BA1373" s="81" t="s">
        <v>927</v>
      </c>
      <c r="BM1373" s="419">
        <v>1.38</v>
      </c>
      <c r="BN1373" s="419">
        <v>1.39</v>
      </c>
      <c r="BR1373" s="419"/>
      <c r="BS1373" s="419"/>
      <c r="DF1373" s="81">
        <v>1.9</v>
      </c>
      <c r="DG1373" s="81">
        <v>2.39</v>
      </c>
      <c r="DJ1373" s="81" t="s">
        <v>932</v>
      </c>
      <c r="DK1373" s="81">
        <v>43.26</v>
      </c>
      <c r="DL1373" s="81">
        <v>46.55</v>
      </c>
      <c r="DO1373" s="81" t="s">
        <v>930</v>
      </c>
      <c r="DP1373" s="81">
        <v>1.52</v>
      </c>
      <c r="DQ1373" s="81">
        <v>1.29</v>
      </c>
      <c r="DT1373" s="81" t="s">
        <v>945</v>
      </c>
      <c r="ET1373" s="81">
        <v>17.5</v>
      </c>
      <c r="EU1373" s="81">
        <v>17.100000000000001</v>
      </c>
      <c r="EY1373" s="81">
        <f>35.4/1.42</f>
        <v>24.929577464788732</v>
      </c>
      <c r="EZ1373" s="81">
        <f>36.9/1.42</f>
        <v>25.985915492957748</v>
      </c>
      <c r="FC1373" s="81" t="s">
        <v>941</v>
      </c>
      <c r="IO1373" s="81" t="s">
        <v>943</v>
      </c>
    </row>
    <row r="1374" spans="1:249" s="81" customFormat="1" x14ac:dyDescent="0.25">
      <c r="A1374" s="81">
        <v>61</v>
      </c>
      <c r="B1374" s="81" t="s">
        <v>921</v>
      </c>
      <c r="C1374" s="81" t="s">
        <v>922</v>
      </c>
      <c r="D1374" s="81">
        <v>2003</v>
      </c>
      <c r="E1374" s="81">
        <v>2002</v>
      </c>
      <c r="F1374" s="81" t="s">
        <v>923</v>
      </c>
      <c r="G1374" s="81" t="s">
        <v>925</v>
      </c>
      <c r="H1374" s="32" t="s">
        <v>2831</v>
      </c>
      <c r="I1374" s="81">
        <v>40.299999999999997</v>
      </c>
      <c r="J1374" s="81">
        <v>-86.9</v>
      </c>
      <c r="K1374" s="81">
        <v>221</v>
      </c>
      <c r="N1374" s="32">
        <v>1118</v>
      </c>
      <c r="Q1374" s="82">
        <v>3</v>
      </c>
      <c r="R1374" s="82" t="s">
        <v>1735</v>
      </c>
      <c r="S1374" s="82" t="s">
        <v>866</v>
      </c>
      <c r="T1374" s="82" t="s">
        <v>928</v>
      </c>
      <c r="U1374" s="82" t="s">
        <v>1386</v>
      </c>
      <c r="V1374" s="44" t="s">
        <v>1724</v>
      </c>
      <c r="W1374" s="82" t="s">
        <v>1386</v>
      </c>
      <c r="X1374" s="82" t="s">
        <v>1386</v>
      </c>
      <c r="Y1374" s="81">
        <v>1.42</v>
      </c>
      <c r="Z1374" s="344"/>
      <c r="AA1374" s="344"/>
      <c r="AB1374" s="81" t="s">
        <v>451</v>
      </c>
      <c r="AF1374" s="81" t="s">
        <v>1328</v>
      </c>
      <c r="AG1374" s="81" t="s">
        <v>1531</v>
      </c>
      <c r="AH1374" s="138" t="s">
        <v>1585</v>
      </c>
      <c r="AI1374" s="81" t="s">
        <v>159</v>
      </c>
      <c r="AJ1374" s="140" t="s">
        <v>1615</v>
      </c>
      <c r="AK1374" s="81" t="s">
        <v>944</v>
      </c>
      <c r="AL1374" s="81" t="s">
        <v>944</v>
      </c>
      <c r="AM1374" s="81" t="s">
        <v>178</v>
      </c>
      <c r="AN1374" s="81" t="s">
        <v>157</v>
      </c>
      <c r="AO1374" s="81" t="s">
        <v>157</v>
      </c>
      <c r="AP1374" s="81" t="s">
        <v>178</v>
      </c>
      <c r="AT1374" s="81" t="s">
        <v>161</v>
      </c>
      <c r="AU1374" s="81">
        <v>4</v>
      </c>
      <c r="AW1374" s="81" t="s">
        <v>142</v>
      </c>
      <c r="BA1374" s="81" t="s">
        <v>926</v>
      </c>
      <c r="BM1374" s="419">
        <v>1.52</v>
      </c>
      <c r="BN1374" s="419">
        <v>1.49</v>
      </c>
      <c r="BR1374" s="419"/>
      <c r="BS1374" s="419"/>
      <c r="DF1374" s="81">
        <v>1.63</v>
      </c>
      <c r="DG1374" s="81">
        <v>1.72</v>
      </c>
      <c r="DJ1374" s="81" t="s">
        <v>932</v>
      </c>
      <c r="DK1374" s="81">
        <v>38.43</v>
      </c>
      <c r="DL1374" s="81">
        <v>39.76</v>
      </c>
      <c r="DO1374" s="81" t="s">
        <v>930</v>
      </c>
      <c r="DP1374" s="81">
        <v>3.12</v>
      </c>
      <c r="DQ1374" s="81">
        <v>2.86</v>
      </c>
      <c r="DT1374" s="81" t="s">
        <v>945</v>
      </c>
      <c r="ET1374" s="81">
        <v>17.600000000000001</v>
      </c>
      <c r="EU1374" s="81">
        <v>16.600000000000001</v>
      </c>
      <c r="EY1374" s="81">
        <f>34.3/1.42</f>
        <v>24.154929577464788</v>
      </c>
      <c r="EZ1374" s="81">
        <f>34.4/1.42</f>
        <v>24.225352112676056</v>
      </c>
      <c r="FC1374" s="81" t="s">
        <v>941</v>
      </c>
      <c r="IO1374" s="81" t="s">
        <v>943</v>
      </c>
    </row>
    <row r="1375" spans="1:249" s="81" customFormat="1" x14ac:dyDescent="0.25">
      <c r="A1375" s="81">
        <v>61</v>
      </c>
      <c r="B1375" s="81" t="s">
        <v>921</v>
      </c>
      <c r="C1375" s="81" t="s">
        <v>922</v>
      </c>
      <c r="D1375" s="81">
        <v>2003</v>
      </c>
      <c r="E1375" s="81">
        <v>2002</v>
      </c>
      <c r="F1375" s="81" t="s">
        <v>923</v>
      </c>
      <c r="G1375" s="81" t="s">
        <v>925</v>
      </c>
      <c r="H1375" s="32" t="s">
        <v>2831</v>
      </c>
      <c r="I1375" s="81">
        <v>40.299999999999997</v>
      </c>
      <c r="J1375" s="81">
        <v>-86.9</v>
      </c>
      <c r="K1375" s="81">
        <v>221</v>
      </c>
      <c r="N1375" s="32">
        <v>1118</v>
      </c>
      <c r="Q1375" s="82">
        <v>3</v>
      </c>
      <c r="R1375" s="82" t="s">
        <v>1735</v>
      </c>
      <c r="S1375" s="82" t="s">
        <v>866</v>
      </c>
      <c r="T1375" s="82" t="s">
        <v>928</v>
      </c>
      <c r="U1375" s="82" t="s">
        <v>1386</v>
      </c>
      <c r="V1375" s="44" t="s">
        <v>1724</v>
      </c>
      <c r="W1375" s="82" t="s">
        <v>1386</v>
      </c>
      <c r="X1375" s="82" t="s">
        <v>1386</v>
      </c>
      <c r="Y1375" s="81">
        <v>1.42</v>
      </c>
      <c r="Z1375" s="344"/>
      <c r="AA1375" s="344"/>
      <c r="AB1375" s="81" t="s">
        <v>451</v>
      </c>
      <c r="AF1375" s="81" t="s">
        <v>1328</v>
      </c>
      <c r="AG1375" s="81" t="s">
        <v>1531</v>
      </c>
      <c r="AH1375" s="138" t="s">
        <v>1585</v>
      </c>
      <c r="AI1375" s="81" t="s">
        <v>133</v>
      </c>
      <c r="AJ1375" s="140" t="s">
        <v>1615</v>
      </c>
      <c r="AK1375" s="81" t="s">
        <v>944</v>
      </c>
      <c r="AL1375" s="81" t="s">
        <v>944</v>
      </c>
      <c r="AM1375" s="81" t="s">
        <v>178</v>
      </c>
      <c r="AN1375" s="81" t="s">
        <v>157</v>
      </c>
      <c r="AO1375" s="81" t="s">
        <v>157</v>
      </c>
      <c r="AP1375" s="81" t="s">
        <v>178</v>
      </c>
      <c r="AT1375" s="81" t="s">
        <v>161</v>
      </c>
      <c r="AU1375" s="81">
        <v>4</v>
      </c>
      <c r="AW1375" s="81" t="s">
        <v>142</v>
      </c>
      <c r="BA1375" s="81" t="s">
        <v>927</v>
      </c>
      <c r="BM1375" s="419">
        <v>1.52</v>
      </c>
      <c r="BN1375" s="419">
        <v>1.56</v>
      </c>
      <c r="BR1375" s="419"/>
      <c r="BS1375" s="419"/>
      <c r="DF1375" s="81">
        <v>1.63</v>
      </c>
      <c r="DG1375" s="81">
        <v>2.61</v>
      </c>
      <c r="DJ1375" s="81" t="s">
        <v>932</v>
      </c>
      <c r="DK1375" s="81">
        <v>38.43</v>
      </c>
      <c r="DL1375" s="81">
        <v>39.090000000000003</v>
      </c>
      <c r="DO1375" s="81" t="s">
        <v>930</v>
      </c>
      <c r="DP1375" s="81">
        <v>3.12</v>
      </c>
      <c r="DQ1375" s="81">
        <v>2.36</v>
      </c>
      <c r="DT1375" s="81" t="s">
        <v>945</v>
      </c>
      <c r="ET1375" s="81">
        <v>17.600000000000001</v>
      </c>
      <c r="EU1375" s="81">
        <v>15.7</v>
      </c>
      <c r="EY1375" s="81">
        <f>34.3/1.42</f>
        <v>24.154929577464788</v>
      </c>
      <c r="EZ1375" s="81">
        <f>35.9/1.42</f>
        <v>25.281690140845072</v>
      </c>
      <c r="FC1375" s="81" t="s">
        <v>941</v>
      </c>
      <c r="IO1375" s="81" t="s">
        <v>943</v>
      </c>
    </row>
    <row r="1376" spans="1:249" s="81" customFormat="1" x14ac:dyDescent="0.25">
      <c r="A1376" s="81">
        <v>61</v>
      </c>
      <c r="B1376" s="81" t="s">
        <v>921</v>
      </c>
      <c r="C1376" s="81" t="s">
        <v>922</v>
      </c>
      <c r="D1376" s="81">
        <v>2003</v>
      </c>
      <c r="E1376" s="81">
        <v>2002</v>
      </c>
      <c r="F1376" s="81" t="s">
        <v>923</v>
      </c>
      <c r="G1376" s="81" t="s">
        <v>925</v>
      </c>
      <c r="H1376" s="32" t="s">
        <v>2831</v>
      </c>
      <c r="I1376" s="81">
        <v>40.299999999999997</v>
      </c>
      <c r="J1376" s="81">
        <v>-86.9</v>
      </c>
      <c r="K1376" s="81">
        <v>221</v>
      </c>
      <c r="N1376" s="32">
        <v>1118</v>
      </c>
      <c r="Q1376" s="82">
        <v>3</v>
      </c>
      <c r="R1376" s="82" t="s">
        <v>1735</v>
      </c>
      <c r="S1376" s="82" t="s">
        <v>866</v>
      </c>
      <c r="T1376" s="82" t="s">
        <v>929</v>
      </c>
      <c r="U1376" s="82" t="s">
        <v>1386</v>
      </c>
      <c r="V1376" s="44" t="s">
        <v>1724</v>
      </c>
      <c r="W1376" s="82" t="s">
        <v>1386</v>
      </c>
      <c r="X1376" s="82" t="s">
        <v>1386</v>
      </c>
      <c r="Y1376" s="81">
        <v>1.42</v>
      </c>
      <c r="Z1376" s="344"/>
      <c r="AA1376" s="344"/>
      <c r="AB1376" s="81" t="s">
        <v>451</v>
      </c>
      <c r="AF1376" s="81" t="s">
        <v>1328</v>
      </c>
      <c r="AG1376" s="81" t="s">
        <v>1531</v>
      </c>
      <c r="AH1376" s="138" t="s">
        <v>1585</v>
      </c>
      <c r="AI1376" s="81" t="s">
        <v>159</v>
      </c>
      <c r="AJ1376" s="140" t="s">
        <v>1615</v>
      </c>
      <c r="AK1376" s="81" t="s">
        <v>944</v>
      </c>
      <c r="AL1376" s="81" t="s">
        <v>944</v>
      </c>
      <c r="AM1376" s="81" t="s">
        <v>178</v>
      </c>
      <c r="AN1376" s="81" t="s">
        <v>232</v>
      </c>
      <c r="AO1376" s="81" t="s">
        <v>232</v>
      </c>
      <c r="AP1376" s="81" t="s">
        <v>178</v>
      </c>
      <c r="AT1376" s="81" t="s">
        <v>161</v>
      </c>
      <c r="AU1376" s="81">
        <v>4</v>
      </c>
      <c r="AW1376" s="81" t="s">
        <v>142</v>
      </c>
      <c r="AY1376" s="81">
        <v>1543</v>
      </c>
      <c r="BA1376" s="81" t="s">
        <v>926</v>
      </c>
      <c r="BM1376" s="419">
        <v>1.5</v>
      </c>
      <c r="BN1376" s="419">
        <v>1.51</v>
      </c>
      <c r="BR1376" s="419"/>
      <c r="BS1376" s="419"/>
      <c r="DF1376" s="81">
        <v>2.74</v>
      </c>
      <c r="DG1376" s="81">
        <v>2.83</v>
      </c>
      <c r="DJ1376" s="81" t="s">
        <v>932</v>
      </c>
      <c r="DK1376" s="81">
        <v>13.76</v>
      </c>
      <c r="DL1376" s="81">
        <v>14.1</v>
      </c>
      <c r="DO1376" s="81" t="s">
        <v>930</v>
      </c>
      <c r="DP1376" s="81">
        <v>2.08</v>
      </c>
      <c r="DQ1376" s="81">
        <v>2.19</v>
      </c>
      <c r="DT1376" s="81" t="s">
        <v>945</v>
      </c>
      <c r="ET1376" s="81">
        <v>22.1</v>
      </c>
      <c r="EU1376" s="81">
        <v>21.3</v>
      </c>
      <c r="EY1376" s="81">
        <f>24.8/1.42</f>
        <v>17.464788732394368</v>
      </c>
      <c r="EZ1376" s="81">
        <f>26.3/1.42</f>
        <v>18.52112676056338</v>
      </c>
      <c r="FC1376" s="81" t="s">
        <v>942</v>
      </c>
      <c r="IO1376" s="81" t="s">
        <v>943</v>
      </c>
    </row>
    <row r="1377" spans="1:251" s="81" customFormat="1" x14ac:dyDescent="0.25">
      <c r="A1377" s="81">
        <v>61</v>
      </c>
      <c r="B1377" s="81" t="s">
        <v>921</v>
      </c>
      <c r="C1377" s="81" t="s">
        <v>922</v>
      </c>
      <c r="D1377" s="81">
        <v>2003</v>
      </c>
      <c r="E1377" s="81">
        <v>2002</v>
      </c>
      <c r="F1377" s="81" t="s">
        <v>923</v>
      </c>
      <c r="G1377" s="81" t="s">
        <v>925</v>
      </c>
      <c r="H1377" s="32" t="s">
        <v>2831</v>
      </c>
      <c r="I1377" s="81">
        <v>40.299999999999997</v>
      </c>
      <c r="J1377" s="81">
        <v>-86.9</v>
      </c>
      <c r="K1377" s="81">
        <v>221</v>
      </c>
      <c r="N1377" s="32">
        <v>1118</v>
      </c>
      <c r="Q1377" s="82">
        <v>3</v>
      </c>
      <c r="R1377" s="82" t="s">
        <v>1735</v>
      </c>
      <c r="S1377" s="82" t="s">
        <v>866</v>
      </c>
      <c r="T1377" s="82" t="s">
        <v>929</v>
      </c>
      <c r="U1377" s="82" t="s">
        <v>1386</v>
      </c>
      <c r="V1377" s="44" t="s">
        <v>1724</v>
      </c>
      <c r="W1377" s="82" t="s">
        <v>1386</v>
      </c>
      <c r="X1377" s="82" t="s">
        <v>1386</v>
      </c>
      <c r="Y1377" s="81">
        <v>1.42</v>
      </c>
      <c r="Z1377" s="344"/>
      <c r="AA1377" s="344"/>
      <c r="AB1377" s="81" t="s">
        <v>451</v>
      </c>
      <c r="AF1377" s="81" t="s">
        <v>1328</v>
      </c>
      <c r="AG1377" s="81" t="s">
        <v>1531</v>
      </c>
      <c r="AH1377" s="138" t="s">
        <v>1585</v>
      </c>
      <c r="AI1377" s="81" t="s">
        <v>133</v>
      </c>
      <c r="AJ1377" s="140" t="s">
        <v>1615</v>
      </c>
      <c r="AK1377" s="81" t="s">
        <v>944</v>
      </c>
      <c r="AL1377" s="81" t="s">
        <v>944</v>
      </c>
      <c r="AM1377" s="81" t="s">
        <v>178</v>
      </c>
      <c r="AN1377" s="81" t="s">
        <v>232</v>
      </c>
      <c r="AO1377" s="81" t="s">
        <v>232</v>
      </c>
      <c r="AP1377" s="81" t="s">
        <v>178</v>
      </c>
      <c r="AT1377" s="81" t="s">
        <v>161</v>
      </c>
      <c r="AU1377" s="81">
        <v>4</v>
      </c>
      <c r="AW1377" s="81" t="s">
        <v>142</v>
      </c>
      <c r="AY1377" s="81">
        <v>2513</v>
      </c>
      <c r="BA1377" s="81" t="s">
        <v>927</v>
      </c>
      <c r="BM1377" s="419">
        <v>1.5</v>
      </c>
      <c r="BN1377" s="419">
        <v>1.42</v>
      </c>
      <c r="BR1377" s="419"/>
      <c r="BS1377" s="419"/>
      <c r="DF1377" s="81">
        <v>2.74</v>
      </c>
      <c r="DG1377" s="81">
        <v>3.14</v>
      </c>
      <c r="DJ1377" s="81" t="s">
        <v>932</v>
      </c>
      <c r="DK1377" s="81">
        <v>13.76</v>
      </c>
      <c r="DL1377" s="81">
        <v>17.18</v>
      </c>
      <c r="DO1377" s="81" t="s">
        <v>930</v>
      </c>
      <c r="DP1377" s="81">
        <v>2.08</v>
      </c>
      <c r="DQ1377" s="81">
        <v>2</v>
      </c>
      <c r="DT1377" s="81" t="s">
        <v>945</v>
      </c>
      <c r="ET1377" s="81">
        <v>22.1</v>
      </c>
      <c r="EU1377" s="81">
        <v>18.899999999999999</v>
      </c>
      <c r="EY1377" s="81">
        <f>24.8/1.42</f>
        <v>17.464788732394368</v>
      </c>
      <c r="EZ1377" s="81">
        <f>29/1.42</f>
        <v>20.422535211267608</v>
      </c>
      <c r="FC1377" s="81" t="s">
        <v>942</v>
      </c>
      <c r="IO1377" s="81" t="s">
        <v>943</v>
      </c>
    </row>
    <row r="1378" spans="1:251" s="81" customFormat="1" x14ac:dyDescent="0.25">
      <c r="A1378" s="81">
        <v>61</v>
      </c>
      <c r="B1378" s="81" t="s">
        <v>921</v>
      </c>
      <c r="C1378" s="81" t="s">
        <v>922</v>
      </c>
      <c r="D1378" s="81">
        <v>2003</v>
      </c>
      <c r="E1378" s="81">
        <v>2002</v>
      </c>
      <c r="F1378" s="81" t="s">
        <v>923</v>
      </c>
      <c r="G1378" s="81" t="s">
        <v>925</v>
      </c>
      <c r="H1378" s="32" t="s">
        <v>2831</v>
      </c>
      <c r="I1378" s="81">
        <v>40.299999999999997</v>
      </c>
      <c r="J1378" s="81">
        <v>-86.9</v>
      </c>
      <c r="K1378" s="81">
        <v>221</v>
      </c>
      <c r="N1378" s="32">
        <v>1118</v>
      </c>
      <c r="Q1378" s="82">
        <v>3</v>
      </c>
      <c r="R1378" s="82" t="s">
        <v>1735</v>
      </c>
      <c r="S1378" s="82" t="s">
        <v>866</v>
      </c>
      <c r="T1378" s="82" t="s">
        <v>929</v>
      </c>
      <c r="U1378" s="82" t="s">
        <v>1386</v>
      </c>
      <c r="V1378" s="44" t="s">
        <v>1724</v>
      </c>
      <c r="W1378" s="82" t="s">
        <v>1386</v>
      </c>
      <c r="X1378" s="82" t="s">
        <v>1386</v>
      </c>
      <c r="Y1378" s="81">
        <v>1.42</v>
      </c>
      <c r="Z1378" s="344"/>
      <c r="AA1378" s="344"/>
      <c r="AB1378" s="81" t="s">
        <v>451</v>
      </c>
      <c r="AF1378" s="81" t="s">
        <v>1328</v>
      </c>
      <c r="AG1378" s="81" t="s">
        <v>1531</v>
      </c>
      <c r="AH1378" s="138" t="s">
        <v>1585</v>
      </c>
      <c r="AI1378" s="81" t="s">
        <v>159</v>
      </c>
      <c r="AJ1378" s="140" t="s">
        <v>1615</v>
      </c>
      <c r="AK1378" s="81" t="s">
        <v>944</v>
      </c>
      <c r="AL1378" s="81" t="s">
        <v>944</v>
      </c>
      <c r="AM1378" s="81" t="s">
        <v>178</v>
      </c>
      <c r="AN1378" s="81" t="s">
        <v>157</v>
      </c>
      <c r="AO1378" s="81" t="s">
        <v>157</v>
      </c>
      <c r="AP1378" s="81" t="s">
        <v>178</v>
      </c>
      <c r="AT1378" s="81" t="s">
        <v>161</v>
      </c>
      <c r="AU1378" s="81">
        <v>4</v>
      </c>
      <c r="AW1378" s="81" t="s">
        <v>142</v>
      </c>
      <c r="AY1378" s="81">
        <v>2096</v>
      </c>
      <c r="BA1378" s="81" t="s">
        <v>926</v>
      </c>
      <c r="BM1378" s="419">
        <v>1.63</v>
      </c>
      <c r="BN1378" s="419">
        <v>1.6</v>
      </c>
      <c r="BR1378" s="419"/>
      <c r="BS1378" s="419"/>
      <c r="DF1378" s="81">
        <v>3.15</v>
      </c>
      <c r="DG1378" s="81">
        <v>2.79</v>
      </c>
      <c r="DJ1378" s="81" t="s">
        <v>932</v>
      </c>
      <c r="DK1378" s="81">
        <v>9.2899999999999991</v>
      </c>
      <c r="DL1378" s="81">
        <v>10.32</v>
      </c>
      <c r="DO1378" s="81" t="s">
        <v>930</v>
      </c>
      <c r="DP1378" s="81">
        <v>2.91</v>
      </c>
      <c r="DQ1378" s="81">
        <v>2.64</v>
      </c>
      <c r="DT1378" s="81" t="s">
        <v>945</v>
      </c>
      <c r="ET1378" s="81">
        <v>22.1</v>
      </c>
      <c r="EU1378" s="81">
        <v>20.6</v>
      </c>
      <c r="EY1378" s="81">
        <f>23.5/1.42</f>
        <v>16.549295774647888</v>
      </c>
      <c r="EZ1378" s="81">
        <f>24.5/1.42</f>
        <v>17.253521126760564</v>
      </c>
      <c r="FC1378" s="81" t="s">
        <v>942</v>
      </c>
      <c r="IO1378" s="81" t="s">
        <v>943</v>
      </c>
    </row>
    <row r="1379" spans="1:251" s="81" customFormat="1" x14ac:dyDescent="0.25">
      <c r="A1379" s="81">
        <v>61</v>
      </c>
      <c r="B1379" s="81" t="s">
        <v>921</v>
      </c>
      <c r="C1379" s="81" t="s">
        <v>922</v>
      </c>
      <c r="D1379" s="81">
        <v>2003</v>
      </c>
      <c r="E1379" s="81">
        <v>2002</v>
      </c>
      <c r="F1379" s="81" t="s">
        <v>923</v>
      </c>
      <c r="G1379" s="81" t="s">
        <v>925</v>
      </c>
      <c r="H1379" s="32" t="s">
        <v>2831</v>
      </c>
      <c r="I1379" s="81">
        <v>40.299999999999997</v>
      </c>
      <c r="J1379" s="81">
        <v>-86.9</v>
      </c>
      <c r="K1379" s="81">
        <v>221</v>
      </c>
      <c r="N1379" s="32">
        <v>1118</v>
      </c>
      <c r="Q1379" s="82">
        <v>3</v>
      </c>
      <c r="R1379" s="82" t="s">
        <v>1735</v>
      </c>
      <c r="S1379" s="82" t="s">
        <v>866</v>
      </c>
      <c r="T1379" s="82" t="s">
        <v>929</v>
      </c>
      <c r="U1379" s="82" t="s">
        <v>1386</v>
      </c>
      <c r="V1379" s="44" t="s">
        <v>1724</v>
      </c>
      <c r="W1379" s="82" t="s">
        <v>1386</v>
      </c>
      <c r="X1379" s="82" t="s">
        <v>1386</v>
      </c>
      <c r="Y1379" s="81">
        <v>1.42</v>
      </c>
      <c r="Z1379" s="344"/>
      <c r="AA1379" s="344"/>
      <c r="AB1379" s="81" t="s">
        <v>451</v>
      </c>
      <c r="AF1379" s="81" t="s">
        <v>1328</v>
      </c>
      <c r="AG1379" s="81" t="s">
        <v>1531</v>
      </c>
      <c r="AH1379" s="138" t="s">
        <v>1585</v>
      </c>
      <c r="AI1379" s="81" t="s">
        <v>133</v>
      </c>
      <c r="AJ1379" s="140" t="s">
        <v>1615</v>
      </c>
      <c r="AK1379" s="81" t="s">
        <v>944</v>
      </c>
      <c r="AL1379" s="81" t="s">
        <v>944</v>
      </c>
      <c r="AM1379" s="81" t="s">
        <v>178</v>
      </c>
      <c r="AN1379" s="81" t="s">
        <v>157</v>
      </c>
      <c r="AO1379" s="81" t="s">
        <v>157</v>
      </c>
      <c r="AP1379" s="81" t="s">
        <v>178</v>
      </c>
      <c r="AT1379" s="81" t="s">
        <v>161</v>
      </c>
      <c r="AU1379" s="81">
        <v>4</v>
      </c>
      <c r="AW1379" s="81" t="s">
        <v>142</v>
      </c>
      <c r="AY1379" s="81">
        <v>2833</v>
      </c>
      <c r="BA1379" s="81" t="s">
        <v>927</v>
      </c>
      <c r="BM1379" s="419">
        <v>1.63</v>
      </c>
      <c r="BN1379" s="419">
        <v>1.61</v>
      </c>
      <c r="BR1379" s="419"/>
      <c r="BS1379" s="419"/>
      <c r="DF1379" s="81">
        <v>3.15</v>
      </c>
      <c r="DG1379" s="81">
        <v>3.09</v>
      </c>
      <c r="DJ1379" s="81" t="s">
        <v>932</v>
      </c>
      <c r="DK1379" s="81">
        <v>9.2899999999999991</v>
      </c>
      <c r="DL1379" s="81">
        <v>8.94</v>
      </c>
      <c r="DO1379" s="81" t="s">
        <v>930</v>
      </c>
      <c r="DP1379" s="81">
        <v>2.91</v>
      </c>
      <c r="DQ1379" s="81">
        <v>2.36</v>
      </c>
      <c r="DT1379" s="81" t="s">
        <v>945</v>
      </c>
      <c r="ET1379" s="81">
        <v>22.1</v>
      </c>
      <c r="EU1379" s="81">
        <v>19.399999999999999</v>
      </c>
      <c r="EY1379" s="81">
        <f>23.5/1.42</f>
        <v>16.549295774647888</v>
      </c>
      <c r="EZ1379" s="81">
        <f>26.7/1.42</f>
        <v>18.802816901408452</v>
      </c>
      <c r="FC1379" s="81" t="s">
        <v>942</v>
      </c>
      <c r="IO1379" s="81" t="s">
        <v>943</v>
      </c>
    </row>
    <row r="1380" spans="1:251" s="28" customFormat="1" x14ac:dyDescent="0.25">
      <c r="A1380" s="28">
        <v>62</v>
      </c>
      <c r="B1380" s="28" t="s">
        <v>946</v>
      </c>
      <c r="C1380" s="28" t="s">
        <v>947</v>
      </c>
      <c r="D1380" s="28">
        <v>2004</v>
      </c>
      <c r="E1380" s="28">
        <v>1998</v>
      </c>
      <c r="F1380" s="28" t="s">
        <v>948</v>
      </c>
      <c r="G1380" s="28" t="s">
        <v>949</v>
      </c>
      <c r="H1380" s="32" t="s">
        <v>2831</v>
      </c>
      <c r="I1380" s="28">
        <v>44.24</v>
      </c>
      <c r="J1380" s="28">
        <v>-95.31</v>
      </c>
      <c r="K1380" s="28">
        <v>344.5</v>
      </c>
      <c r="O1380" s="28">
        <v>670</v>
      </c>
      <c r="Q1380" s="46">
        <v>1</v>
      </c>
      <c r="R1380" s="28">
        <v>5</v>
      </c>
      <c r="S1380" s="46" t="s">
        <v>1999</v>
      </c>
      <c r="T1380" s="46" t="s">
        <v>1998</v>
      </c>
      <c r="U1380" s="46" t="s">
        <v>1415</v>
      </c>
      <c r="V1380" s="46" t="s">
        <v>1736</v>
      </c>
      <c r="W1380" s="46" t="s">
        <v>1415</v>
      </c>
      <c r="X1380" s="46" t="s">
        <v>1421</v>
      </c>
      <c r="Z1380" s="326"/>
      <c r="AA1380" s="326"/>
      <c r="AB1380" s="28" t="s">
        <v>673</v>
      </c>
      <c r="AF1380" s="28" t="s">
        <v>1351</v>
      </c>
      <c r="AG1380" s="28" t="s">
        <v>1567</v>
      </c>
      <c r="AH1380" s="138" t="s">
        <v>132</v>
      </c>
      <c r="AI1380" s="28" t="s">
        <v>159</v>
      </c>
      <c r="AJ1380" s="141" t="s">
        <v>1615</v>
      </c>
      <c r="AN1380" s="28" t="s">
        <v>951</v>
      </c>
      <c r="AO1380" s="28" t="s">
        <v>951</v>
      </c>
      <c r="AP1380" s="28" t="s">
        <v>178</v>
      </c>
      <c r="AQ1380" s="28" t="s">
        <v>950</v>
      </c>
      <c r="AR1380" s="28" t="s">
        <v>950</v>
      </c>
      <c r="AS1380" s="28" t="s">
        <v>178</v>
      </c>
      <c r="AT1380" s="28" t="s">
        <v>120</v>
      </c>
      <c r="AU1380" s="28">
        <v>4</v>
      </c>
      <c r="AW1380" s="28" t="s">
        <v>142</v>
      </c>
      <c r="AY1380" s="28">
        <v>1000</v>
      </c>
      <c r="AZ1380" s="28">
        <f>100/2.7</f>
        <v>37.037037037037038</v>
      </c>
      <c r="BM1380" s="401"/>
      <c r="BN1380" s="401"/>
      <c r="BR1380" s="401"/>
      <c r="BS1380" s="401"/>
      <c r="EO1380" s="28">
        <v>29.86</v>
      </c>
      <c r="EP1380" s="28">
        <v>23</v>
      </c>
      <c r="EQ1380" s="28">
        <f>(44.9-29.864)</f>
        <v>15.035999999999998</v>
      </c>
      <c r="ER1380" s="28">
        <f>(30-23)</f>
        <v>7</v>
      </c>
      <c r="ES1380" s="28" t="s">
        <v>1692</v>
      </c>
    </row>
    <row r="1381" spans="1:251" s="28" customFormat="1" x14ac:dyDescent="0.25">
      <c r="A1381" s="28">
        <v>62</v>
      </c>
      <c r="B1381" s="28" t="s">
        <v>946</v>
      </c>
      <c r="C1381" s="28" t="s">
        <v>947</v>
      </c>
      <c r="D1381" s="28">
        <v>2004</v>
      </c>
      <c r="E1381" s="28">
        <v>1998</v>
      </c>
      <c r="F1381" s="28" t="s">
        <v>948</v>
      </c>
      <c r="G1381" s="28" t="s">
        <v>949</v>
      </c>
      <c r="H1381" s="32" t="s">
        <v>2831</v>
      </c>
      <c r="I1381" s="28">
        <v>44.24</v>
      </c>
      <c r="J1381" s="28">
        <v>-95.31</v>
      </c>
      <c r="K1381" s="28">
        <v>344.5</v>
      </c>
      <c r="O1381" s="28">
        <v>670</v>
      </c>
      <c r="Q1381" s="46">
        <v>1</v>
      </c>
      <c r="R1381" s="28">
        <v>5</v>
      </c>
      <c r="S1381" s="46" t="s">
        <v>1999</v>
      </c>
      <c r="T1381" s="46" t="s">
        <v>1998</v>
      </c>
      <c r="U1381" s="46" t="s">
        <v>1415</v>
      </c>
      <c r="V1381" s="46" t="s">
        <v>1736</v>
      </c>
      <c r="W1381" s="46" t="s">
        <v>1415</v>
      </c>
      <c r="X1381" s="46" t="s">
        <v>1421</v>
      </c>
      <c r="Z1381" s="326"/>
      <c r="AA1381" s="326"/>
      <c r="AB1381" s="28" t="s">
        <v>673</v>
      </c>
      <c r="AF1381" s="28" t="s">
        <v>1351</v>
      </c>
      <c r="AG1381" s="28" t="s">
        <v>1567</v>
      </c>
      <c r="AH1381" s="138" t="s">
        <v>132</v>
      </c>
      <c r="AI1381" s="28" t="s">
        <v>133</v>
      </c>
      <c r="AJ1381" s="141" t="s">
        <v>1615</v>
      </c>
      <c r="AN1381" s="28" t="s">
        <v>951</v>
      </c>
      <c r="AO1381" s="28" t="s">
        <v>951</v>
      </c>
      <c r="AP1381" s="28" t="s">
        <v>178</v>
      </c>
      <c r="AQ1381" s="28" t="s">
        <v>950</v>
      </c>
      <c r="AR1381" s="28" t="s">
        <v>950</v>
      </c>
      <c r="AS1381" s="28" t="s">
        <v>178</v>
      </c>
      <c r="AT1381" s="28" t="s">
        <v>120</v>
      </c>
      <c r="AU1381" s="28">
        <v>4</v>
      </c>
      <c r="AW1381" s="28" t="s">
        <v>142</v>
      </c>
      <c r="AY1381" s="28">
        <v>1000</v>
      </c>
      <c r="AZ1381" s="28">
        <f>100/2.7</f>
        <v>37.037037037037038</v>
      </c>
      <c r="BM1381" s="401"/>
      <c r="BN1381" s="401"/>
      <c r="BR1381" s="401"/>
      <c r="BS1381" s="401"/>
      <c r="EO1381" s="28">
        <v>24</v>
      </c>
      <c r="EP1381" s="28">
        <v>24</v>
      </c>
      <c r="EQ1381" s="28">
        <f>(33.9-24)</f>
        <v>9.8999999999999986</v>
      </c>
      <c r="ER1381" s="28">
        <f>(31-24)</f>
        <v>7</v>
      </c>
      <c r="ES1381" s="28" t="s">
        <v>1692</v>
      </c>
    </row>
    <row r="1382" spans="1:251" s="39" customFormat="1" x14ac:dyDescent="0.25">
      <c r="A1382" s="39">
        <v>62</v>
      </c>
      <c r="B1382" s="39" t="s">
        <v>946</v>
      </c>
      <c r="C1382" s="39" t="s">
        <v>947</v>
      </c>
      <c r="D1382" s="39">
        <v>2004</v>
      </c>
      <c r="E1382" s="39">
        <v>1999</v>
      </c>
      <c r="F1382" s="39" t="s">
        <v>948</v>
      </c>
      <c r="G1382" s="39" t="s">
        <v>949</v>
      </c>
      <c r="H1382" s="32" t="s">
        <v>2831</v>
      </c>
      <c r="I1382" s="39">
        <v>44.24</v>
      </c>
      <c r="J1382" s="39">
        <v>-95.31</v>
      </c>
      <c r="K1382" s="39">
        <v>344.5</v>
      </c>
      <c r="O1382" s="39">
        <v>670</v>
      </c>
      <c r="Q1382" s="70">
        <v>2</v>
      </c>
      <c r="R1382" s="70" t="s">
        <v>1729</v>
      </c>
      <c r="S1382" s="70" t="s">
        <v>1999</v>
      </c>
      <c r="T1382" s="70" t="s">
        <v>1998</v>
      </c>
      <c r="U1382" s="70" t="s">
        <v>1415</v>
      </c>
      <c r="V1382" s="46" t="s">
        <v>1736</v>
      </c>
      <c r="W1382" s="46" t="s">
        <v>1415</v>
      </c>
      <c r="X1382" s="46" t="s">
        <v>1421</v>
      </c>
      <c r="Z1382" s="340"/>
      <c r="AA1382" s="340"/>
      <c r="AB1382" s="39" t="s">
        <v>673</v>
      </c>
      <c r="AF1382" s="39" t="s">
        <v>1351</v>
      </c>
      <c r="AG1382" s="39" t="s">
        <v>1567</v>
      </c>
      <c r="AH1382" s="138" t="s">
        <v>132</v>
      </c>
      <c r="AI1382" s="39" t="s">
        <v>159</v>
      </c>
      <c r="AJ1382" s="141" t="s">
        <v>1615</v>
      </c>
      <c r="AN1382" s="39" t="s">
        <v>951</v>
      </c>
      <c r="AO1382" s="39" t="s">
        <v>951</v>
      </c>
      <c r="AP1382" s="39" t="s">
        <v>178</v>
      </c>
      <c r="AQ1382" s="39" t="s">
        <v>950</v>
      </c>
      <c r="AR1382" s="39" t="s">
        <v>950</v>
      </c>
      <c r="AS1382" s="39" t="s">
        <v>178</v>
      </c>
      <c r="AT1382" s="39" t="s">
        <v>120</v>
      </c>
      <c r="AU1382" s="39">
        <v>4</v>
      </c>
      <c r="AW1382" s="39" t="s">
        <v>142</v>
      </c>
      <c r="AY1382" s="39">
        <v>2700</v>
      </c>
      <c r="AZ1382" s="39">
        <f>100/2.5</f>
        <v>40</v>
      </c>
      <c r="BH1382" s="39">
        <v>2700</v>
      </c>
      <c r="BI1382" s="39">
        <v>2700</v>
      </c>
      <c r="BM1382" s="415"/>
      <c r="BN1382" s="415"/>
      <c r="BR1382" s="415"/>
      <c r="BS1382" s="415"/>
      <c r="IQ1382"/>
    </row>
    <row r="1383" spans="1:251" s="39" customFormat="1" x14ac:dyDescent="0.25">
      <c r="A1383" s="39">
        <v>62</v>
      </c>
      <c r="B1383" s="39" t="s">
        <v>946</v>
      </c>
      <c r="C1383" s="39" t="s">
        <v>947</v>
      </c>
      <c r="D1383" s="39">
        <v>2004</v>
      </c>
      <c r="E1383" s="39">
        <v>1999</v>
      </c>
      <c r="F1383" s="39" t="s">
        <v>948</v>
      </c>
      <c r="G1383" s="39" t="s">
        <v>949</v>
      </c>
      <c r="H1383" s="32" t="s">
        <v>2831</v>
      </c>
      <c r="I1383" s="39">
        <v>44.24</v>
      </c>
      <c r="J1383" s="39">
        <v>-95.31</v>
      </c>
      <c r="K1383" s="39">
        <v>344.5</v>
      </c>
      <c r="O1383" s="39">
        <v>670</v>
      </c>
      <c r="Q1383" s="70">
        <v>2</v>
      </c>
      <c r="R1383" s="70" t="s">
        <v>1729</v>
      </c>
      <c r="S1383" s="70" t="s">
        <v>1999</v>
      </c>
      <c r="T1383" s="70" t="s">
        <v>1998</v>
      </c>
      <c r="U1383" s="70" t="s">
        <v>1415</v>
      </c>
      <c r="V1383" s="46" t="s">
        <v>1736</v>
      </c>
      <c r="W1383" s="46" t="s">
        <v>1415</v>
      </c>
      <c r="X1383" s="46" t="s">
        <v>1421</v>
      </c>
      <c r="Z1383" s="340"/>
      <c r="AA1383" s="340"/>
      <c r="AB1383" s="39" t="s">
        <v>673</v>
      </c>
      <c r="AF1383" s="39" t="s">
        <v>1351</v>
      </c>
      <c r="AG1383" s="39" t="s">
        <v>1567</v>
      </c>
      <c r="AH1383" s="138" t="s">
        <v>132</v>
      </c>
      <c r="AI1383" s="39" t="s">
        <v>133</v>
      </c>
      <c r="AJ1383" s="141" t="s">
        <v>1615</v>
      </c>
      <c r="AN1383" s="39" t="s">
        <v>951</v>
      </c>
      <c r="AO1383" s="39" t="s">
        <v>951</v>
      </c>
      <c r="AP1383" s="39" t="s">
        <v>178</v>
      </c>
      <c r="AQ1383" s="39" t="s">
        <v>950</v>
      </c>
      <c r="AR1383" s="39" t="s">
        <v>950</v>
      </c>
      <c r="AS1383" s="39" t="s">
        <v>178</v>
      </c>
      <c r="AT1383" s="39" t="s">
        <v>120</v>
      </c>
      <c r="AU1383" s="39">
        <v>4</v>
      </c>
      <c r="AW1383" s="39" t="s">
        <v>142</v>
      </c>
      <c r="AY1383" s="39">
        <v>2700</v>
      </c>
      <c r="AZ1383" s="39">
        <f>100/2.5</f>
        <v>40</v>
      </c>
      <c r="BH1383" s="39">
        <v>10000</v>
      </c>
      <c r="BI1383" s="39">
        <v>9600</v>
      </c>
      <c r="BM1383" s="415"/>
      <c r="BN1383" s="415"/>
      <c r="BR1383" s="415"/>
      <c r="BS1383" s="415"/>
      <c r="IQ1383"/>
    </row>
    <row r="1384" spans="1:251" s="28" customFormat="1" x14ac:dyDescent="0.25">
      <c r="A1384" s="28">
        <v>62</v>
      </c>
      <c r="B1384" s="28" t="s">
        <v>946</v>
      </c>
      <c r="C1384" s="28" t="s">
        <v>947</v>
      </c>
      <c r="D1384" s="28">
        <v>2004</v>
      </c>
      <c r="E1384" s="28">
        <v>2000</v>
      </c>
      <c r="F1384" s="28" t="s">
        <v>948</v>
      </c>
      <c r="G1384" s="28" t="s">
        <v>949</v>
      </c>
      <c r="H1384" s="32" t="s">
        <v>2831</v>
      </c>
      <c r="I1384" s="28">
        <v>44.24</v>
      </c>
      <c r="J1384" s="28">
        <v>-95.31</v>
      </c>
      <c r="K1384" s="28">
        <v>344.5</v>
      </c>
      <c r="O1384" s="28">
        <v>670</v>
      </c>
      <c r="Q1384" s="46">
        <v>3</v>
      </c>
      <c r="R1384" s="28">
        <v>5</v>
      </c>
      <c r="S1384" s="46" t="s">
        <v>1999</v>
      </c>
      <c r="T1384" s="46" t="s">
        <v>1998</v>
      </c>
      <c r="U1384" s="46" t="s">
        <v>1415</v>
      </c>
      <c r="V1384" s="46" t="s">
        <v>1736</v>
      </c>
      <c r="W1384" s="46" t="s">
        <v>1415</v>
      </c>
      <c r="X1384" s="46" t="s">
        <v>1421</v>
      </c>
      <c r="Z1384" s="326"/>
      <c r="AA1384" s="326"/>
      <c r="AB1384" s="28" t="s">
        <v>673</v>
      </c>
      <c r="AF1384" s="28" t="s">
        <v>1351</v>
      </c>
      <c r="AG1384" s="28" t="s">
        <v>1567</v>
      </c>
      <c r="AH1384" s="138" t="s">
        <v>132</v>
      </c>
      <c r="AI1384" s="28" t="s">
        <v>159</v>
      </c>
      <c r="AJ1384" s="141" t="s">
        <v>1615</v>
      </c>
      <c r="AN1384" s="28" t="s">
        <v>951</v>
      </c>
      <c r="AO1384" s="28" t="s">
        <v>951</v>
      </c>
      <c r="AP1384" s="28" t="s">
        <v>178</v>
      </c>
      <c r="AQ1384" s="28" t="s">
        <v>950</v>
      </c>
      <c r="AR1384" s="28" t="s">
        <v>950</v>
      </c>
      <c r="AS1384" s="28" t="s">
        <v>178</v>
      </c>
      <c r="AT1384" s="28" t="s">
        <v>120</v>
      </c>
      <c r="AU1384" s="28">
        <v>4</v>
      </c>
      <c r="AW1384" s="28" t="s">
        <v>142</v>
      </c>
      <c r="AY1384" s="28">
        <v>1000</v>
      </c>
      <c r="AZ1384" s="28">
        <f>100/2.7</f>
        <v>37.037037037037038</v>
      </c>
      <c r="BH1384" s="28">
        <v>3500</v>
      </c>
      <c r="BI1384" s="28">
        <v>3400</v>
      </c>
      <c r="BM1384" s="401"/>
      <c r="BN1384" s="401"/>
      <c r="BR1384" s="401"/>
      <c r="BS1384" s="401"/>
    </row>
    <row r="1385" spans="1:251" s="28" customFormat="1" x14ac:dyDescent="0.25">
      <c r="A1385" s="28">
        <v>62</v>
      </c>
      <c r="B1385" s="28" t="s">
        <v>946</v>
      </c>
      <c r="C1385" s="28" t="s">
        <v>947</v>
      </c>
      <c r="D1385" s="28">
        <v>2004</v>
      </c>
      <c r="E1385" s="28">
        <v>2000</v>
      </c>
      <c r="F1385" s="28" t="s">
        <v>948</v>
      </c>
      <c r="G1385" s="28" t="s">
        <v>949</v>
      </c>
      <c r="H1385" s="32" t="s">
        <v>2831</v>
      </c>
      <c r="I1385" s="28">
        <v>44.24</v>
      </c>
      <c r="J1385" s="28">
        <v>-95.31</v>
      </c>
      <c r="K1385" s="28">
        <v>344.5</v>
      </c>
      <c r="O1385" s="28">
        <v>670</v>
      </c>
      <c r="Q1385" s="46">
        <v>3</v>
      </c>
      <c r="R1385" s="28">
        <v>5</v>
      </c>
      <c r="S1385" s="46" t="s">
        <v>1999</v>
      </c>
      <c r="T1385" s="46" t="s">
        <v>1998</v>
      </c>
      <c r="U1385" s="46" t="s">
        <v>1415</v>
      </c>
      <c r="V1385" s="46" t="s">
        <v>1736</v>
      </c>
      <c r="W1385" s="46" t="s">
        <v>1415</v>
      </c>
      <c r="X1385" s="46" t="s">
        <v>1421</v>
      </c>
      <c r="Z1385" s="326"/>
      <c r="AA1385" s="326"/>
      <c r="AB1385" s="28" t="s">
        <v>673</v>
      </c>
      <c r="AF1385" s="28" t="s">
        <v>1351</v>
      </c>
      <c r="AG1385" s="28" t="s">
        <v>1567</v>
      </c>
      <c r="AH1385" s="138" t="s">
        <v>132</v>
      </c>
      <c r="AI1385" s="28" t="s">
        <v>133</v>
      </c>
      <c r="AJ1385" s="141" t="s">
        <v>1615</v>
      </c>
      <c r="AN1385" s="28" t="s">
        <v>951</v>
      </c>
      <c r="AO1385" s="28" t="s">
        <v>951</v>
      </c>
      <c r="AP1385" s="28" t="s">
        <v>178</v>
      </c>
      <c r="AQ1385" s="28" t="s">
        <v>950</v>
      </c>
      <c r="AR1385" s="28" t="s">
        <v>950</v>
      </c>
      <c r="AS1385" s="28" t="s">
        <v>178</v>
      </c>
      <c r="AT1385" s="28" t="s">
        <v>120</v>
      </c>
      <c r="AU1385" s="28">
        <v>4</v>
      </c>
      <c r="AW1385" s="28" t="s">
        <v>142</v>
      </c>
      <c r="AY1385" s="28">
        <v>1000</v>
      </c>
      <c r="AZ1385" s="28">
        <f>100/2.7</f>
        <v>37.037037037037038</v>
      </c>
      <c r="BH1385" s="28">
        <v>9800</v>
      </c>
      <c r="BI1385" s="28">
        <v>9700</v>
      </c>
      <c r="BM1385" s="401"/>
      <c r="BN1385" s="401"/>
      <c r="BR1385" s="401"/>
      <c r="BS1385" s="401"/>
    </row>
    <row r="1386" spans="1:251" s="39" customFormat="1" x14ac:dyDescent="0.25">
      <c r="A1386" s="39">
        <v>62</v>
      </c>
      <c r="B1386" s="39" t="s">
        <v>946</v>
      </c>
      <c r="C1386" s="39" t="s">
        <v>947</v>
      </c>
      <c r="D1386" s="39">
        <v>2004</v>
      </c>
      <c r="E1386" s="39">
        <v>2001</v>
      </c>
      <c r="F1386" s="39" t="s">
        <v>948</v>
      </c>
      <c r="G1386" s="39" t="s">
        <v>949</v>
      </c>
      <c r="H1386" s="32" t="s">
        <v>2831</v>
      </c>
      <c r="I1386" s="39">
        <v>44.24</v>
      </c>
      <c r="J1386" s="39">
        <v>-95.31</v>
      </c>
      <c r="K1386" s="39">
        <v>344.5</v>
      </c>
      <c r="O1386" s="39">
        <v>670</v>
      </c>
      <c r="Q1386" s="70">
        <v>4</v>
      </c>
      <c r="R1386" s="70" t="s">
        <v>1729</v>
      </c>
      <c r="S1386" s="70" t="s">
        <v>1999</v>
      </c>
      <c r="T1386" s="70" t="s">
        <v>1998</v>
      </c>
      <c r="U1386" s="70" t="s">
        <v>1415</v>
      </c>
      <c r="V1386" s="46" t="s">
        <v>1736</v>
      </c>
      <c r="W1386" s="46" t="s">
        <v>1415</v>
      </c>
      <c r="X1386" s="46" t="s">
        <v>1421</v>
      </c>
      <c r="Z1386" s="340"/>
      <c r="AA1386" s="340"/>
      <c r="AB1386" s="39" t="s">
        <v>673</v>
      </c>
      <c r="AF1386" s="39" t="s">
        <v>1351</v>
      </c>
      <c r="AG1386" s="39" t="s">
        <v>1567</v>
      </c>
      <c r="AH1386" s="138" t="s">
        <v>132</v>
      </c>
      <c r="AI1386" s="39" t="s">
        <v>159</v>
      </c>
      <c r="AJ1386" s="141" t="s">
        <v>1615</v>
      </c>
      <c r="AN1386" s="39" t="s">
        <v>951</v>
      </c>
      <c r="AO1386" s="39" t="s">
        <v>951</v>
      </c>
      <c r="AP1386" s="39" t="s">
        <v>178</v>
      </c>
      <c r="AQ1386" s="39" t="s">
        <v>950</v>
      </c>
      <c r="AR1386" s="39" t="s">
        <v>950</v>
      </c>
      <c r="AS1386" s="39" t="s">
        <v>178</v>
      </c>
      <c r="AT1386" s="39" t="s">
        <v>120</v>
      </c>
      <c r="AU1386" s="39">
        <v>4</v>
      </c>
      <c r="AW1386" s="39" t="s">
        <v>142</v>
      </c>
      <c r="AY1386" s="39">
        <v>500</v>
      </c>
      <c r="AZ1386" s="39">
        <f>100/3.8</f>
        <v>26.315789473684212</v>
      </c>
      <c r="BH1386" s="39">
        <v>3100</v>
      </c>
      <c r="BI1386" s="39">
        <v>3100</v>
      </c>
      <c r="BM1386" s="415"/>
      <c r="BN1386" s="415"/>
      <c r="BR1386" s="415"/>
      <c r="BS1386" s="415"/>
      <c r="IQ1386"/>
    </row>
    <row r="1387" spans="1:251" s="39" customFormat="1" x14ac:dyDescent="0.25">
      <c r="A1387" s="39">
        <v>62</v>
      </c>
      <c r="B1387" s="39" t="s">
        <v>946</v>
      </c>
      <c r="C1387" s="39" t="s">
        <v>947</v>
      </c>
      <c r="D1387" s="39">
        <v>2004</v>
      </c>
      <c r="E1387" s="39">
        <v>2001</v>
      </c>
      <c r="F1387" s="39" t="s">
        <v>948</v>
      </c>
      <c r="G1387" s="39" t="s">
        <v>949</v>
      </c>
      <c r="H1387" s="32" t="s">
        <v>2831</v>
      </c>
      <c r="I1387" s="39">
        <v>44.24</v>
      </c>
      <c r="J1387" s="39">
        <v>-95.31</v>
      </c>
      <c r="K1387" s="39">
        <v>344.5</v>
      </c>
      <c r="O1387" s="39">
        <v>670</v>
      </c>
      <c r="Q1387" s="70">
        <v>4</v>
      </c>
      <c r="R1387" s="70" t="s">
        <v>1729</v>
      </c>
      <c r="S1387" s="70" t="s">
        <v>1999</v>
      </c>
      <c r="T1387" s="70" t="s">
        <v>1998</v>
      </c>
      <c r="U1387" s="70" t="s">
        <v>1415</v>
      </c>
      <c r="V1387" s="46" t="s">
        <v>1736</v>
      </c>
      <c r="W1387" s="46" t="s">
        <v>1415</v>
      </c>
      <c r="X1387" s="46" t="s">
        <v>1421</v>
      </c>
      <c r="Z1387" s="340"/>
      <c r="AA1387" s="340"/>
      <c r="AB1387" s="39" t="s">
        <v>673</v>
      </c>
      <c r="AF1387" s="39" t="s">
        <v>1351</v>
      </c>
      <c r="AG1387" s="39" t="s">
        <v>1567</v>
      </c>
      <c r="AH1387" s="138" t="s">
        <v>132</v>
      </c>
      <c r="AI1387" s="39" t="s">
        <v>133</v>
      </c>
      <c r="AJ1387" s="141" t="s">
        <v>1615</v>
      </c>
      <c r="AN1387" s="39" t="s">
        <v>951</v>
      </c>
      <c r="AO1387" s="39" t="s">
        <v>951</v>
      </c>
      <c r="AP1387" s="39" t="s">
        <v>178</v>
      </c>
      <c r="AQ1387" s="39" t="s">
        <v>950</v>
      </c>
      <c r="AR1387" s="39" t="s">
        <v>950</v>
      </c>
      <c r="AS1387" s="39" t="s">
        <v>178</v>
      </c>
      <c r="AT1387" s="39" t="s">
        <v>120</v>
      </c>
      <c r="AU1387" s="39">
        <v>4</v>
      </c>
      <c r="AW1387" s="39" t="s">
        <v>142</v>
      </c>
      <c r="AY1387" s="39">
        <v>500</v>
      </c>
      <c r="AZ1387" s="39">
        <f>100/3.8</f>
        <v>26.315789473684212</v>
      </c>
      <c r="BH1387" s="39">
        <v>7400</v>
      </c>
      <c r="BI1387" s="39">
        <v>7600</v>
      </c>
      <c r="BM1387" s="415"/>
      <c r="BN1387" s="415"/>
      <c r="BR1387" s="415"/>
      <c r="BS1387" s="415"/>
      <c r="IQ1387"/>
    </row>
    <row r="1388" spans="1:251" s="32" customFormat="1" x14ac:dyDescent="0.25">
      <c r="A1388" s="32">
        <v>63</v>
      </c>
      <c r="B1388" s="32" t="s">
        <v>952</v>
      </c>
      <c r="C1388" s="32" t="s">
        <v>953</v>
      </c>
      <c r="D1388" s="32">
        <v>1993</v>
      </c>
      <c r="E1388" s="32">
        <v>1989</v>
      </c>
      <c r="F1388" s="32" t="s">
        <v>303</v>
      </c>
      <c r="G1388" s="32" t="s">
        <v>954</v>
      </c>
      <c r="H1388" s="32" t="s">
        <v>2831</v>
      </c>
      <c r="I1388" s="32">
        <v>39.03</v>
      </c>
      <c r="J1388" s="32">
        <v>-76.91</v>
      </c>
      <c r="K1388" s="32">
        <v>34.6</v>
      </c>
      <c r="Q1388" s="44" t="s">
        <v>1856</v>
      </c>
      <c r="R1388" s="32">
        <v>3</v>
      </c>
      <c r="S1388" s="44" t="s">
        <v>2001</v>
      </c>
      <c r="T1388" s="44" t="s">
        <v>2000</v>
      </c>
      <c r="U1388" s="44" t="s">
        <v>1398</v>
      </c>
      <c r="V1388" s="44" t="s">
        <v>1729</v>
      </c>
      <c r="W1388" s="44" t="s">
        <v>1398</v>
      </c>
      <c r="X1388" s="44" t="s">
        <v>1398</v>
      </c>
      <c r="Z1388" s="323"/>
      <c r="AA1388" s="323"/>
      <c r="AB1388" s="32" t="s">
        <v>451</v>
      </c>
      <c r="AF1388" s="32" t="s">
        <v>1353</v>
      </c>
      <c r="AG1388" s="32" t="s">
        <v>244</v>
      </c>
      <c r="AH1388" s="138" t="s">
        <v>578</v>
      </c>
      <c r="AI1388" s="32" t="s">
        <v>1605</v>
      </c>
      <c r="AJ1388" s="140" t="s">
        <v>1605</v>
      </c>
      <c r="AT1388" s="32" t="s">
        <v>955</v>
      </c>
      <c r="AU1388" s="32">
        <v>4</v>
      </c>
      <c r="AW1388" s="32" t="s">
        <v>142</v>
      </c>
      <c r="AY1388" s="32">
        <v>4620</v>
      </c>
      <c r="BA1388" s="32" t="s">
        <v>1160</v>
      </c>
      <c r="BM1388" s="397"/>
      <c r="BN1388" s="397"/>
      <c r="BR1388" s="397"/>
      <c r="BS1388" s="397"/>
      <c r="ET1388" s="32">
        <f>(30.2+20.6)/2</f>
        <v>25.4</v>
      </c>
      <c r="EU1388" s="32">
        <f>(27.6+21.4)/2</f>
        <v>24.5</v>
      </c>
      <c r="IO1388" s="32" t="s">
        <v>967</v>
      </c>
    </row>
    <row r="1389" spans="1:251" s="32" customFormat="1" x14ac:dyDescent="0.25">
      <c r="A1389" s="32">
        <v>63</v>
      </c>
      <c r="B1389" s="32" t="s">
        <v>952</v>
      </c>
      <c r="C1389" s="32" t="s">
        <v>953</v>
      </c>
      <c r="D1389" s="32">
        <v>1993</v>
      </c>
      <c r="E1389" s="32">
        <v>1989</v>
      </c>
      <c r="F1389" s="32" t="s">
        <v>303</v>
      </c>
      <c r="G1389" s="32" t="s">
        <v>954</v>
      </c>
      <c r="H1389" s="32" t="s">
        <v>2831</v>
      </c>
      <c r="I1389" s="32">
        <v>39.03</v>
      </c>
      <c r="J1389" s="32">
        <v>-76.91</v>
      </c>
      <c r="K1389" s="32">
        <v>34.6</v>
      </c>
      <c r="Q1389" s="44" t="s">
        <v>1856</v>
      </c>
      <c r="R1389" s="32">
        <v>3</v>
      </c>
      <c r="S1389" s="44" t="s">
        <v>2001</v>
      </c>
      <c r="T1389" s="44" t="s">
        <v>2000</v>
      </c>
      <c r="U1389" s="44" t="s">
        <v>1398</v>
      </c>
      <c r="V1389" s="44" t="s">
        <v>1729</v>
      </c>
      <c r="W1389" s="44" t="s">
        <v>1398</v>
      </c>
      <c r="X1389" s="44" t="s">
        <v>1398</v>
      </c>
      <c r="Z1389" s="323"/>
      <c r="AA1389" s="323"/>
      <c r="AB1389" s="32" t="s">
        <v>451</v>
      </c>
      <c r="AF1389" s="32" t="s">
        <v>1353</v>
      </c>
      <c r="AG1389" s="32" t="s">
        <v>244</v>
      </c>
      <c r="AH1389" s="138" t="s">
        <v>578</v>
      </c>
      <c r="AI1389" s="32" t="s">
        <v>1605</v>
      </c>
      <c r="AJ1389" s="140" t="s">
        <v>1605</v>
      </c>
      <c r="AT1389" s="32" t="s">
        <v>955</v>
      </c>
      <c r="AU1389" s="32">
        <v>4</v>
      </c>
      <c r="AW1389" s="32" t="s">
        <v>142</v>
      </c>
      <c r="AY1389" s="32">
        <v>9240</v>
      </c>
      <c r="BA1389" s="32" t="s">
        <v>1160</v>
      </c>
      <c r="BM1389" s="397"/>
      <c r="BN1389" s="397"/>
      <c r="BR1389" s="397"/>
      <c r="BS1389" s="397"/>
      <c r="ET1389" s="32">
        <f>(30.2+20.6)/2</f>
        <v>25.4</v>
      </c>
      <c r="EU1389" s="32">
        <f>(26.9+21.1)/2</f>
        <v>24</v>
      </c>
      <c r="IO1389" s="32" t="s">
        <v>967</v>
      </c>
    </row>
    <row r="1390" spans="1:251" s="32" customFormat="1" x14ac:dyDescent="0.25">
      <c r="A1390" s="32">
        <v>63</v>
      </c>
      <c r="B1390" s="32" t="s">
        <v>952</v>
      </c>
      <c r="C1390" s="32" t="s">
        <v>953</v>
      </c>
      <c r="D1390" s="32">
        <v>1993</v>
      </c>
      <c r="E1390" s="32">
        <v>1990</v>
      </c>
      <c r="F1390" s="32" t="s">
        <v>303</v>
      </c>
      <c r="G1390" s="32" t="s">
        <v>954</v>
      </c>
      <c r="H1390" s="32" t="s">
        <v>2831</v>
      </c>
      <c r="I1390" s="32">
        <v>39.03</v>
      </c>
      <c r="J1390" s="32">
        <v>-76.91</v>
      </c>
      <c r="K1390" s="32">
        <v>34.6</v>
      </c>
      <c r="Q1390" s="44" t="s">
        <v>1735</v>
      </c>
      <c r="R1390" s="32">
        <v>3</v>
      </c>
      <c r="S1390" s="44" t="s">
        <v>2001</v>
      </c>
      <c r="T1390" s="44" t="s">
        <v>2000</v>
      </c>
      <c r="U1390" s="44" t="s">
        <v>1398</v>
      </c>
      <c r="V1390" s="44" t="s">
        <v>1729</v>
      </c>
      <c r="W1390" s="44" t="s">
        <v>1398</v>
      </c>
      <c r="X1390" s="44" t="s">
        <v>1398</v>
      </c>
      <c r="Z1390" s="323"/>
      <c r="AA1390" s="323"/>
      <c r="AB1390" s="32" t="s">
        <v>451</v>
      </c>
      <c r="AF1390" s="32" t="s">
        <v>1353</v>
      </c>
      <c r="AG1390" s="32" t="s">
        <v>244</v>
      </c>
      <c r="AH1390" s="138" t="s">
        <v>578</v>
      </c>
      <c r="AI1390" s="32" t="s">
        <v>1605</v>
      </c>
      <c r="AJ1390" s="140" t="s">
        <v>1605</v>
      </c>
      <c r="AT1390" s="32" t="s">
        <v>955</v>
      </c>
      <c r="AU1390" s="32">
        <v>4</v>
      </c>
      <c r="AW1390" s="32" t="s">
        <v>142</v>
      </c>
      <c r="AY1390" s="32">
        <v>3190</v>
      </c>
      <c r="BA1390" s="32" t="s">
        <v>1160</v>
      </c>
      <c r="BM1390" s="397"/>
      <c r="BN1390" s="397"/>
      <c r="BR1390" s="397"/>
      <c r="BS1390" s="397"/>
      <c r="ET1390" s="32">
        <f>(26.3+15.5)/2</f>
        <v>20.9</v>
      </c>
      <c r="EU1390" s="32">
        <f>(23.7+17)/2</f>
        <v>20.350000000000001</v>
      </c>
      <c r="IO1390" s="32" t="s">
        <v>967</v>
      </c>
    </row>
    <row r="1391" spans="1:251" s="32" customFormat="1" x14ac:dyDescent="0.25">
      <c r="A1391" s="32">
        <v>63</v>
      </c>
      <c r="B1391" s="32" t="s">
        <v>952</v>
      </c>
      <c r="C1391" s="32" t="s">
        <v>953</v>
      </c>
      <c r="D1391" s="32">
        <v>1993</v>
      </c>
      <c r="E1391" s="32">
        <v>1990</v>
      </c>
      <c r="F1391" s="32" t="s">
        <v>303</v>
      </c>
      <c r="G1391" s="32" t="s">
        <v>954</v>
      </c>
      <c r="H1391" s="32" t="s">
        <v>2831</v>
      </c>
      <c r="I1391" s="32">
        <v>39.03</v>
      </c>
      <c r="J1391" s="32">
        <v>-76.91</v>
      </c>
      <c r="K1391" s="32">
        <v>34.6</v>
      </c>
      <c r="Q1391" s="44" t="s">
        <v>1735</v>
      </c>
      <c r="R1391" s="32">
        <v>3</v>
      </c>
      <c r="S1391" s="44" t="s">
        <v>2001</v>
      </c>
      <c r="T1391" s="44" t="s">
        <v>2000</v>
      </c>
      <c r="U1391" s="44" t="s">
        <v>1398</v>
      </c>
      <c r="V1391" s="44" t="s">
        <v>1729</v>
      </c>
      <c r="W1391" s="44" t="s">
        <v>1398</v>
      </c>
      <c r="X1391" s="44" t="s">
        <v>1398</v>
      </c>
      <c r="Z1391" s="323"/>
      <c r="AA1391" s="323"/>
      <c r="AB1391" s="32" t="s">
        <v>451</v>
      </c>
      <c r="AF1391" s="32" t="s">
        <v>1353</v>
      </c>
      <c r="AG1391" s="32" t="s">
        <v>244</v>
      </c>
      <c r="AH1391" s="138" t="s">
        <v>578</v>
      </c>
      <c r="AI1391" s="32" t="s">
        <v>1605</v>
      </c>
      <c r="AJ1391" s="140" t="s">
        <v>1605</v>
      </c>
      <c r="AT1391" s="32" t="s">
        <v>955</v>
      </c>
      <c r="AU1391" s="32">
        <v>4</v>
      </c>
      <c r="AW1391" s="32" t="s">
        <v>142</v>
      </c>
      <c r="AY1391" s="32">
        <v>6380</v>
      </c>
      <c r="BA1391" s="32" t="s">
        <v>1160</v>
      </c>
      <c r="BM1391" s="397"/>
      <c r="BN1391" s="397"/>
      <c r="BR1391" s="397"/>
      <c r="BS1391" s="397"/>
      <c r="ET1391" s="32">
        <f>(26.3+15.5)/2</f>
        <v>20.9</v>
      </c>
      <c r="EU1391" s="32">
        <f>(23.6+16.3)/2</f>
        <v>19.950000000000003</v>
      </c>
      <c r="IO1391" s="32" t="s">
        <v>967</v>
      </c>
    </row>
    <row r="1392" spans="1:251" s="24" customFormat="1" x14ac:dyDescent="0.25">
      <c r="A1392" s="24">
        <v>63</v>
      </c>
      <c r="B1392" s="24" t="s">
        <v>952</v>
      </c>
      <c r="C1392" s="24" t="s">
        <v>953</v>
      </c>
      <c r="D1392" s="24">
        <v>1993</v>
      </c>
      <c r="E1392" s="24">
        <v>1989</v>
      </c>
      <c r="F1392" s="24" t="s">
        <v>303</v>
      </c>
      <c r="G1392" s="24" t="s">
        <v>970</v>
      </c>
      <c r="H1392" s="32" t="s">
        <v>2831</v>
      </c>
      <c r="I1392" s="24">
        <v>42.44</v>
      </c>
      <c r="J1392" s="24">
        <v>-76.52</v>
      </c>
      <c r="K1392" s="24">
        <v>188.1</v>
      </c>
      <c r="Q1392" s="42" t="s">
        <v>1856</v>
      </c>
      <c r="R1392" s="24">
        <v>3</v>
      </c>
      <c r="S1392" s="42" t="s">
        <v>2002</v>
      </c>
      <c r="T1392" s="42" t="s">
        <v>2000</v>
      </c>
      <c r="U1392" s="42" t="s">
        <v>1398</v>
      </c>
      <c r="V1392" s="42" t="s">
        <v>1729</v>
      </c>
      <c r="W1392" s="42" t="s">
        <v>1398</v>
      </c>
      <c r="X1392" s="42" t="s">
        <v>1398</v>
      </c>
      <c r="Z1392" s="321"/>
      <c r="AA1392" s="321"/>
      <c r="AB1392" s="24" t="s">
        <v>451</v>
      </c>
      <c r="AF1392" s="24" t="s">
        <v>1353</v>
      </c>
      <c r="AG1392" s="24" t="s">
        <v>244</v>
      </c>
      <c r="AH1392" s="138" t="s">
        <v>578</v>
      </c>
      <c r="AI1392" s="24" t="s">
        <v>1605</v>
      </c>
      <c r="AJ1392" s="140" t="s">
        <v>1605</v>
      </c>
      <c r="AT1392" s="24" t="s">
        <v>955</v>
      </c>
      <c r="AU1392" s="24">
        <v>6</v>
      </c>
      <c r="AW1392" s="24" t="s">
        <v>142</v>
      </c>
      <c r="BA1392" s="24" t="s">
        <v>1159</v>
      </c>
      <c r="BB1392" s="24" t="s">
        <v>956</v>
      </c>
      <c r="BM1392" s="395"/>
      <c r="BN1392" s="395"/>
      <c r="BR1392" s="395"/>
      <c r="BS1392" s="395"/>
      <c r="EY1392" s="24">
        <v>22.57</v>
      </c>
      <c r="EZ1392" s="24">
        <v>25.324999999999999</v>
      </c>
      <c r="IO1392" s="24" t="s">
        <v>967</v>
      </c>
    </row>
    <row r="1393" spans="1:249" s="24" customFormat="1" x14ac:dyDescent="0.25">
      <c r="A1393" s="24">
        <v>63</v>
      </c>
      <c r="B1393" s="24" t="s">
        <v>952</v>
      </c>
      <c r="C1393" s="24" t="s">
        <v>953</v>
      </c>
      <c r="D1393" s="24">
        <v>1993</v>
      </c>
      <c r="E1393" s="24">
        <v>1989</v>
      </c>
      <c r="F1393" s="24" t="s">
        <v>303</v>
      </c>
      <c r="G1393" s="24" t="s">
        <v>970</v>
      </c>
      <c r="H1393" s="32" t="s">
        <v>2831</v>
      </c>
      <c r="I1393" s="24">
        <v>42.44</v>
      </c>
      <c r="J1393" s="24">
        <v>-76.52</v>
      </c>
      <c r="K1393" s="24">
        <v>188.1</v>
      </c>
      <c r="Q1393" s="42" t="s">
        <v>1856</v>
      </c>
      <c r="R1393" s="24">
        <v>3</v>
      </c>
      <c r="S1393" s="42" t="s">
        <v>2002</v>
      </c>
      <c r="T1393" s="42" t="s">
        <v>2000</v>
      </c>
      <c r="U1393" s="42" t="s">
        <v>1398</v>
      </c>
      <c r="V1393" s="42" t="s">
        <v>1729</v>
      </c>
      <c r="W1393" s="42" t="s">
        <v>1398</v>
      </c>
      <c r="X1393" s="42" t="s">
        <v>1398</v>
      </c>
      <c r="Z1393" s="321"/>
      <c r="AA1393" s="321"/>
      <c r="AB1393" s="24" t="s">
        <v>451</v>
      </c>
      <c r="AF1393" s="24" t="s">
        <v>1353</v>
      </c>
      <c r="AG1393" s="24" t="s">
        <v>244</v>
      </c>
      <c r="AH1393" s="138" t="s">
        <v>578</v>
      </c>
      <c r="AI1393" s="24" t="s">
        <v>1605</v>
      </c>
      <c r="AJ1393" s="140" t="s">
        <v>1605</v>
      </c>
      <c r="AT1393" s="24" t="s">
        <v>955</v>
      </c>
      <c r="AU1393" s="24">
        <v>6</v>
      </c>
      <c r="AW1393" s="24" t="s">
        <v>142</v>
      </c>
      <c r="BA1393" s="24" t="s">
        <v>1159</v>
      </c>
      <c r="BB1393" s="24" t="s">
        <v>957</v>
      </c>
      <c r="BM1393" s="395"/>
      <c r="BN1393" s="395"/>
      <c r="BR1393" s="395"/>
      <c r="BS1393" s="395"/>
      <c r="EY1393" s="24">
        <v>24.65</v>
      </c>
      <c r="EZ1393" s="24">
        <v>25.1</v>
      </c>
      <c r="IO1393" s="24" t="s">
        <v>967</v>
      </c>
    </row>
    <row r="1394" spans="1:249" s="24" customFormat="1" x14ac:dyDescent="0.25">
      <c r="A1394" s="24">
        <v>63</v>
      </c>
      <c r="B1394" s="24" t="s">
        <v>952</v>
      </c>
      <c r="C1394" s="24" t="s">
        <v>953</v>
      </c>
      <c r="D1394" s="24">
        <v>1993</v>
      </c>
      <c r="E1394" s="24">
        <v>1989</v>
      </c>
      <c r="F1394" s="24" t="s">
        <v>303</v>
      </c>
      <c r="G1394" s="24" t="s">
        <v>970</v>
      </c>
      <c r="H1394" s="32" t="s">
        <v>2831</v>
      </c>
      <c r="I1394" s="24">
        <v>42.44</v>
      </c>
      <c r="J1394" s="24">
        <v>-76.52</v>
      </c>
      <c r="K1394" s="24">
        <v>188.1</v>
      </c>
      <c r="Q1394" s="42" t="s">
        <v>1856</v>
      </c>
      <c r="R1394" s="24">
        <v>3</v>
      </c>
      <c r="S1394" s="42" t="s">
        <v>2002</v>
      </c>
      <c r="T1394" s="42" t="s">
        <v>2000</v>
      </c>
      <c r="U1394" s="42" t="s">
        <v>1398</v>
      </c>
      <c r="V1394" s="42" t="s">
        <v>1729</v>
      </c>
      <c r="W1394" s="42" t="s">
        <v>1398</v>
      </c>
      <c r="X1394" s="42" t="s">
        <v>1398</v>
      </c>
      <c r="Z1394" s="321"/>
      <c r="AA1394" s="321"/>
      <c r="AB1394" s="24" t="s">
        <v>451</v>
      </c>
      <c r="AF1394" s="24" t="s">
        <v>1353</v>
      </c>
      <c r="AG1394" s="24" t="s">
        <v>244</v>
      </c>
      <c r="AH1394" s="138" t="s">
        <v>578</v>
      </c>
      <c r="AI1394" s="24" t="s">
        <v>1605</v>
      </c>
      <c r="AJ1394" s="140" t="s">
        <v>1605</v>
      </c>
      <c r="AT1394" s="24" t="s">
        <v>955</v>
      </c>
      <c r="AU1394" s="24">
        <v>6</v>
      </c>
      <c r="AW1394" s="24" t="s">
        <v>142</v>
      </c>
      <c r="BA1394" s="24" t="s">
        <v>1159</v>
      </c>
      <c r="BB1394" s="24" t="s">
        <v>958</v>
      </c>
      <c r="BM1394" s="395"/>
      <c r="BN1394" s="395"/>
      <c r="BR1394" s="395"/>
      <c r="BS1394" s="395"/>
      <c r="EY1394" s="24">
        <v>21.39</v>
      </c>
      <c r="EZ1394" s="24">
        <v>25.1</v>
      </c>
      <c r="IO1394" s="24" t="s">
        <v>967</v>
      </c>
    </row>
    <row r="1395" spans="1:249" s="24" customFormat="1" x14ac:dyDescent="0.25">
      <c r="A1395" s="24">
        <v>63</v>
      </c>
      <c r="B1395" s="24" t="s">
        <v>952</v>
      </c>
      <c r="C1395" s="24" t="s">
        <v>953</v>
      </c>
      <c r="D1395" s="24">
        <v>1993</v>
      </c>
      <c r="E1395" s="24">
        <v>1989</v>
      </c>
      <c r="F1395" s="24" t="s">
        <v>303</v>
      </c>
      <c r="G1395" s="24" t="s">
        <v>970</v>
      </c>
      <c r="H1395" s="32" t="s">
        <v>2831</v>
      </c>
      <c r="I1395" s="24">
        <v>42.44</v>
      </c>
      <c r="J1395" s="24">
        <v>-76.52</v>
      </c>
      <c r="K1395" s="24">
        <v>188.1</v>
      </c>
      <c r="Q1395" s="42" t="s">
        <v>1856</v>
      </c>
      <c r="R1395" s="24">
        <v>3</v>
      </c>
      <c r="S1395" s="42" t="s">
        <v>2002</v>
      </c>
      <c r="T1395" s="42" t="s">
        <v>2000</v>
      </c>
      <c r="U1395" s="42" t="s">
        <v>1398</v>
      </c>
      <c r="V1395" s="42" t="s">
        <v>1729</v>
      </c>
      <c r="W1395" s="42" t="s">
        <v>1398</v>
      </c>
      <c r="X1395" s="42" t="s">
        <v>1398</v>
      </c>
      <c r="Z1395" s="321"/>
      <c r="AA1395" s="321"/>
      <c r="AB1395" s="24" t="s">
        <v>451</v>
      </c>
      <c r="AF1395" s="24" t="s">
        <v>1353</v>
      </c>
      <c r="AG1395" s="24" t="s">
        <v>244</v>
      </c>
      <c r="AH1395" s="138" t="s">
        <v>578</v>
      </c>
      <c r="AI1395" s="24" t="s">
        <v>1605</v>
      </c>
      <c r="AJ1395" s="140" t="s">
        <v>1605</v>
      </c>
      <c r="AT1395" s="24" t="s">
        <v>955</v>
      </c>
      <c r="AU1395" s="24">
        <v>6</v>
      </c>
      <c r="AW1395" s="24" t="s">
        <v>142</v>
      </c>
      <c r="BA1395" s="24" t="s">
        <v>1159</v>
      </c>
      <c r="BB1395" s="24" t="s">
        <v>959</v>
      </c>
      <c r="BM1395" s="395"/>
      <c r="BN1395" s="395"/>
      <c r="BR1395" s="395"/>
      <c r="BS1395" s="395"/>
      <c r="EY1395" s="24">
        <v>16.59</v>
      </c>
      <c r="EZ1395" s="24">
        <v>25.2</v>
      </c>
      <c r="IO1395" s="24" t="s">
        <v>967</v>
      </c>
    </row>
    <row r="1396" spans="1:249" s="24" customFormat="1" x14ac:dyDescent="0.25">
      <c r="A1396" s="24">
        <v>63</v>
      </c>
      <c r="B1396" s="24" t="s">
        <v>952</v>
      </c>
      <c r="C1396" s="24" t="s">
        <v>953</v>
      </c>
      <c r="D1396" s="24">
        <v>1993</v>
      </c>
      <c r="E1396" s="24">
        <v>1989</v>
      </c>
      <c r="F1396" s="24" t="s">
        <v>303</v>
      </c>
      <c r="G1396" s="24" t="s">
        <v>970</v>
      </c>
      <c r="H1396" s="32" t="s">
        <v>2831</v>
      </c>
      <c r="I1396" s="24">
        <v>42.44</v>
      </c>
      <c r="J1396" s="24">
        <v>-76.52</v>
      </c>
      <c r="K1396" s="24">
        <v>188.1</v>
      </c>
      <c r="Q1396" s="42" t="s">
        <v>1856</v>
      </c>
      <c r="R1396" s="24">
        <v>3</v>
      </c>
      <c r="S1396" s="42" t="s">
        <v>2002</v>
      </c>
      <c r="T1396" s="42" t="s">
        <v>2000</v>
      </c>
      <c r="U1396" s="42" t="s">
        <v>1398</v>
      </c>
      <c r="V1396" s="42" t="s">
        <v>1729</v>
      </c>
      <c r="W1396" s="42" t="s">
        <v>1398</v>
      </c>
      <c r="X1396" s="42" t="s">
        <v>1398</v>
      </c>
      <c r="Z1396" s="321"/>
      <c r="AA1396" s="321"/>
      <c r="AB1396" s="24" t="s">
        <v>451</v>
      </c>
      <c r="AF1396" s="24" t="s">
        <v>1353</v>
      </c>
      <c r="AG1396" s="24" t="s">
        <v>244</v>
      </c>
      <c r="AH1396" s="138" t="s">
        <v>578</v>
      </c>
      <c r="AI1396" s="24" t="s">
        <v>1605</v>
      </c>
      <c r="AJ1396" s="140" t="s">
        <v>1605</v>
      </c>
      <c r="AT1396" s="24" t="s">
        <v>955</v>
      </c>
      <c r="AU1396" s="24">
        <v>6</v>
      </c>
      <c r="AW1396" s="24" t="s">
        <v>142</v>
      </c>
      <c r="BA1396" s="24" t="s">
        <v>1159</v>
      </c>
      <c r="BB1396" s="24" t="s">
        <v>960</v>
      </c>
      <c r="BM1396" s="395"/>
      <c r="BN1396" s="395"/>
      <c r="BR1396" s="395"/>
      <c r="BS1396" s="395"/>
      <c r="EY1396" s="24">
        <v>24.38</v>
      </c>
      <c r="EZ1396" s="24">
        <v>25.3</v>
      </c>
      <c r="IO1396" s="24" t="s">
        <v>967</v>
      </c>
    </row>
    <row r="1397" spans="1:249" s="24" customFormat="1" x14ac:dyDescent="0.25">
      <c r="A1397" s="24">
        <v>63</v>
      </c>
      <c r="B1397" s="24" t="s">
        <v>952</v>
      </c>
      <c r="C1397" s="24" t="s">
        <v>953</v>
      </c>
      <c r="D1397" s="24">
        <v>1993</v>
      </c>
      <c r="E1397" s="24">
        <v>1989</v>
      </c>
      <c r="F1397" s="24" t="s">
        <v>303</v>
      </c>
      <c r="G1397" s="24" t="s">
        <v>970</v>
      </c>
      <c r="H1397" s="32" t="s">
        <v>2831</v>
      </c>
      <c r="I1397" s="24">
        <v>42.44</v>
      </c>
      <c r="J1397" s="24">
        <v>-76.52</v>
      </c>
      <c r="K1397" s="24">
        <v>188.1</v>
      </c>
      <c r="Q1397" s="42" t="s">
        <v>1856</v>
      </c>
      <c r="R1397" s="24">
        <v>3</v>
      </c>
      <c r="S1397" s="42" t="s">
        <v>2002</v>
      </c>
      <c r="T1397" s="42" t="s">
        <v>2000</v>
      </c>
      <c r="U1397" s="42" t="s">
        <v>1398</v>
      </c>
      <c r="V1397" s="42" t="s">
        <v>1729</v>
      </c>
      <c r="W1397" s="42" t="s">
        <v>1398</v>
      </c>
      <c r="X1397" s="42" t="s">
        <v>1398</v>
      </c>
      <c r="Z1397" s="321"/>
      <c r="AA1397" s="321"/>
      <c r="AB1397" s="24" t="s">
        <v>451</v>
      </c>
      <c r="AF1397" s="24" t="s">
        <v>1353</v>
      </c>
      <c r="AG1397" s="24" t="s">
        <v>244</v>
      </c>
      <c r="AH1397" s="138" t="s">
        <v>578</v>
      </c>
      <c r="AI1397" s="24" t="s">
        <v>1605</v>
      </c>
      <c r="AJ1397" s="140" t="s">
        <v>1605</v>
      </c>
      <c r="AT1397" s="24" t="s">
        <v>955</v>
      </c>
      <c r="AU1397" s="24">
        <v>6</v>
      </c>
      <c r="AW1397" s="24" t="s">
        <v>142</v>
      </c>
      <c r="BA1397" s="24" t="s">
        <v>1159</v>
      </c>
      <c r="BB1397" s="24" t="s">
        <v>961</v>
      </c>
      <c r="BM1397" s="395"/>
      <c r="BN1397" s="395"/>
      <c r="BR1397" s="395"/>
      <c r="BS1397" s="395"/>
      <c r="EY1397" s="24">
        <v>20.39</v>
      </c>
      <c r="EZ1397" s="24">
        <v>25.29</v>
      </c>
      <c r="IO1397" s="24" t="s">
        <v>967</v>
      </c>
    </row>
    <row r="1398" spans="1:249" s="24" customFormat="1" x14ac:dyDescent="0.25">
      <c r="A1398" s="24">
        <v>63</v>
      </c>
      <c r="B1398" s="24" t="s">
        <v>952</v>
      </c>
      <c r="C1398" s="24" t="s">
        <v>953</v>
      </c>
      <c r="D1398" s="24">
        <v>1993</v>
      </c>
      <c r="E1398" s="24">
        <v>1989</v>
      </c>
      <c r="F1398" s="24" t="s">
        <v>303</v>
      </c>
      <c r="G1398" s="24" t="s">
        <v>970</v>
      </c>
      <c r="H1398" s="32" t="s">
        <v>2831</v>
      </c>
      <c r="I1398" s="24">
        <v>42.44</v>
      </c>
      <c r="J1398" s="24">
        <v>-76.52</v>
      </c>
      <c r="K1398" s="24">
        <v>188.1</v>
      </c>
      <c r="Q1398" s="42" t="s">
        <v>1856</v>
      </c>
      <c r="R1398" s="24">
        <v>3</v>
      </c>
      <c r="S1398" s="42" t="s">
        <v>2002</v>
      </c>
      <c r="T1398" s="42" t="s">
        <v>2000</v>
      </c>
      <c r="U1398" s="42" t="s">
        <v>1398</v>
      </c>
      <c r="V1398" s="42" t="s">
        <v>1729</v>
      </c>
      <c r="W1398" s="42" t="s">
        <v>1398</v>
      </c>
      <c r="X1398" s="42" t="s">
        <v>1398</v>
      </c>
      <c r="Z1398" s="321"/>
      <c r="AA1398" s="321"/>
      <c r="AB1398" s="24" t="s">
        <v>451</v>
      </c>
      <c r="AF1398" s="24" t="s">
        <v>1353</v>
      </c>
      <c r="AG1398" s="24" t="s">
        <v>244</v>
      </c>
      <c r="AH1398" s="138" t="s">
        <v>578</v>
      </c>
      <c r="AI1398" s="24" t="s">
        <v>1605</v>
      </c>
      <c r="AJ1398" s="140" t="s">
        <v>1605</v>
      </c>
      <c r="AT1398" s="24" t="s">
        <v>955</v>
      </c>
      <c r="AU1398" s="24">
        <v>6</v>
      </c>
      <c r="AW1398" s="24" t="s">
        <v>142</v>
      </c>
      <c r="BA1398" s="24" t="s">
        <v>1159</v>
      </c>
      <c r="BB1398" s="24" t="s">
        <v>962</v>
      </c>
      <c r="BM1398" s="395"/>
      <c r="BN1398" s="395"/>
      <c r="BR1398" s="395"/>
      <c r="BS1398" s="395"/>
      <c r="EY1398" s="24">
        <v>16.23</v>
      </c>
      <c r="EZ1398" s="24">
        <v>25.29</v>
      </c>
      <c r="IO1398" s="24" t="s">
        <v>967</v>
      </c>
    </row>
    <row r="1399" spans="1:249" s="24" customFormat="1" x14ac:dyDescent="0.25">
      <c r="A1399" s="24">
        <v>63</v>
      </c>
      <c r="B1399" s="24" t="s">
        <v>952</v>
      </c>
      <c r="C1399" s="24" t="s">
        <v>953</v>
      </c>
      <c r="D1399" s="24">
        <v>1993</v>
      </c>
      <c r="E1399" s="24">
        <v>1989</v>
      </c>
      <c r="F1399" s="24" t="s">
        <v>303</v>
      </c>
      <c r="G1399" s="24" t="s">
        <v>970</v>
      </c>
      <c r="H1399" s="32" t="s">
        <v>2831</v>
      </c>
      <c r="I1399" s="24">
        <v>42.44</v>
      </c>
      <c r="J1399" s="24">
        <v>-76.52</v>
      </c>
      <c r="K1399" s="24">
        <v>188.1</v>
      </c>
      <c r="Q1399" s="42" t="s">
        <v>1856</v>
      </c>
      <c r="R1399" s="24">
        <v>3</v>
      </c>
      <c r="S1399" s="42" t="s">
        <v>2002</v>
      </c>
      <c r="T1399" s="42" t="s">
        <v>2000</v>
      </c>
      <c r="U1399" s="42" t="s">
        <v>1398</v>
      </c>
      <c r="V1399" s="42" t="s">
        <v>1729</v>
      </c>
      <c r="W1399" s="42" t="s">
        <v>1398</v>
      </c>
      <c r="X1399" s="42" t="s">
        <v>1398</v>
      </c>
      <c r="Z1399" s="321"/>
      <c r="AA1399" s="321"/>
      <c r="AB1399" s="24" t="s">
        <v>451</v>
      </c>
      <c r="AF1399" s="24" t="s">
        <v>1353</v>
      </c>
      <c r="AG1399" s="24" t="s">
        <v>244</v>
      </c>
      <c r="AH1399" s="138" t="s">
        <v>578</v>
      </c>
      <c r="AI1399" s="24" t="s">
        <v>1605</v>
      </c>
      <c r="AJ1399" s="140" t="s">
        <v>1605</v>
      </c>
      <c r="AT1399" s="24" t="s">
        <v>955</v>
      </c>
      <c r="AU1399" s="24">
        <v>6</v>
      </c>
      <c r="AW1399" s="24" t="s">
        <v>142</v>
      </c>
      <c r="BA1399" s="24" t="s">
        <v>1159</v>
      </c>
      <c r="BB1399" s="24" t="s">
        <v>963</v>
      </c>
      <c r="BM1399" s="395"/>
      <c r="BN1399" s="395"/>
      <c r="BR1399" s="395"/>
      <c r="BS1399" s="395"/>
      <c r="EY1399" s="24">
        <v>25.65</v>
      </c>
      <c r="EZ1399" s="24">
        <v>25.65</v>
      </c>
      <c r="IO1399" s="24" t="s">
        <v>967</v>
      </c>
    </row>
    <row r="1400" spans="1:249" s="24" customFormat="1" x14ac:dyDescent="0.25">
      <c r="A1400" s="24">
        <v>63</v>
      </c>
      <c r="B1400" s="24" t="s">
        <v>952</v>
      </c>
      <c r="C1400" s="24" t="s">
        <v>953</v>
      </c>
      <c r="D1400" s="24">
        <v>1993</v>
      </c>
      <c r="E1400" s="24">
        <v>1989</v>
      </c>
      <c r="F1400" s="24" t="s">
        <v>303</v>
      </c>
      <c r="G1400" s="24" t="s">
        <v>970</v>
      </c>
      <c r="H1400" s="32" t="s">
        <v>2831</v>
      </c>
      <c r="I1400" s="24">
        <v>42.44</v>
      </c>
      <c r="J1400" s="24">
        <v>-76.52</v>
      </c>
      <c r="K1400" s="24">
        <v>188.1</v>
      </c>
      <c r="Q1400" s="42" t="s">
        <v>1856</v>
      </c>
      <c r="R1400" s="24">
        <v>3</v>
      </c>
      <c r="S1400" s="42" t="s">
        <v>2002</v>
      </c>
      <c r="T1400" s="42" t="s">
        <v>2000</v>
      </c>
      <c r="U1400" s="42" t="s">
        <v>1398</v>
      </c>
      <c r="V1400" s="42" t="s">
        <v>1729</v>
      </c>
      <c r="W1400" s="42" t="s">
        <v>1398</v>
      </c>
      <c r="X1400" s="42" t="s">
        <v>1398</v>
      </c>
      <c r="Z1400" s="321"/>
      <c r="AA1400" s="321"/>
      <c r="AB1400" s="24" t="s">
        <v>451</v>
      </c>
      <c r="AF1400" s="24" t="s">
        <v>1353</v>
      </c>
      <c r="AG1400" s="24" t="s">
        <v>244</v>
      </c>
      <c r="AH1400" s="138" t="s">
        <v>578</v>
      </c>
      <c r="AI1400" s="24" t="s">
        <v>1605</v>
      </c>
      <c r="AJ1400" s="140" t="s">
        <v>1605</v>
      </c>
      <c r="AT1400" s="24" t="s">
        <v>955</v>
      </c>
      <c r="AU1400" s="24">
        <v>6</v>
      </c>
      <c r="AW1400" s="24" t="s">
        <v>142</v>
      </c>
      <c r="BA1400" s="24" t="s">
        <v>1159</v>
      </c>
      <c r="BB1400" s="24" t="s">
        <v>964</v>
      </c>
      <c r="BM1400" s="395"/>
      <c r="BN1400" s="395"/>
      <c r="BR1400" s="395"/>
      <c r="BS1400" s="395"/>
      <c r="EY1400" s="24">
        <v>18.41</v>
      </c>
      <c r="EZ1400" s="24">
        <v>25.11</v>
      </c>
      <c r="IO1400" s="24" t="s">
        <v>967</v>
      </c>
    </row>
    <row r="1401" spans="1:249" s="24" customFormat="1" x14ac:dyDescent="0.25">
      <c r="A1401" s="24">
        <v>63</v>
      </c>
      <c r="B1401" s="24" t="s">
        <v>952</v>
      </c>
      <c r="C1401" s="24" t="s">
        <v>953</v>
      </c>
      <c r="D1401" s="24">
        <v>1993</v>
      </c>
      <c r="E1401" s="24">
        <v>1989</v>
      </c>
      <c r="F1401" s="24" t="s">
        <v>303</v>
      </c>
      <c r="G1401" s="24" t="s">
        <v>970</v>
      </c>
      <c r="H1401" s="32" t="s">
        <v>2831</v>
      </c>
      <c r="I1401" s="24">
        <v>42.44</v>
      </c>
      <c r="J1401" s="24">
        <v>-76.52</v>
      </c>
      <c r="K1401" s="24">
        <v>188.1</v>
      </c>
      <c r="Q1401" s="42" t="s">
        <v>1856</v>
      </c>
      <c r="R1401" s="24">
        <v>3</v>
      </c>
      <c r="S1401" s="42" t="s">
        <v>2002</v>
      </c>
      <c r="T1401" s="42" t="s">
        <v>2000</v>
      </c>
      <c r="U1401" s="42" t="s">
        <v>1398</v>
      </c>
      <c r="V1401" s="42" t="s">
        <v>1729</v>
      </c>
      <c r="W1401" s="42" t="s">
        <v>1398</v>
      </c>
      <c r="X1401" s="42" t="s">
        <v>1398</v>
      </c>
      <c r="Z1401" s="321"/>
      <c r="AA1401" s="321"/>
      <c r="AB1401" s="24" t="s">
        <v>451</v>
      </c>
      <c r="AF1401" s="24" t="s">
        <v>1353</v>
      </c>
      <c r="AG1401" s="24" t="s">
        <v>244</v>
      </c>
      <c r="AH1401" s="138" t="s">
        <v>578</v>
      </c>
      <c r="AI1401" s="24" t="s">
        <v>1605</v>
      </c>
      <c r="AJ1401" s="140" t="s">
        <v>1605</v>
      </c>
      <c r="AT1401" s="24" t="s">
        <v>955</v>
      </c>
      <c r="AU1401" s="24">
        <v>6</v>
      </c>
      <c r="AW1401" s="24" t="s">
        <v>142</v>
      </c>
      <c r="BA1401" s="24" t="s">
        <v>1159</v>
      </c>
      <c r="BB1401" s="24" t="s">
        <v>965</v>
      </c>
      <c r="BM1401" s="395"/>
      <c r="BN1401" s="395"/>
      <c r="BR1401" s="395"/>
      <c r="BS1401" s="395"/>
      <c r="EY1401" s="24">
        <v>16.059999999999999</v>
      </c>
      <c r="EZ1401" s="24">
        <v>25.1</v>
      </c>
      <c r="IO1401" s="24" t="s">
        <v>967</v>
      </c>
    </row>
    <row r="1402" spans="1:249" s="24" customFormat="1" x14ac:dyDescent="0.25">
      <c r="A1402" s="24">
        <v>63</v>
      </c>
      <c r="B1402" s="24" t="s">
        <v>952</v>
      </c>
      <c r="C1402" s="24" t="s">
        <v>953</v>
      </c>
      <c r="D1402" s="24">
        <v>1993</v>
      </c>
      <c r="E1402" s="24">
        <v>1989</v>
      </c>
      <c r="F1402" s="24" t="s">
        <v>303</v>
      </c>
      <c r="G1402" s="24" t="s">
        <v>970</v>
      </c>
      <c r="H1402" s="32" t="s">
        <v>2831</v>
      </c>
      <c r="I1402" s="24">
        <v>42.44</v>
      </c>
      <c r="J1402" s="24">
        <v>-76.52</v>
      </c>
      <c r="K1402" s="24">
        <v>188.1</v>
      </c>
      <c r="Q1402" s="42" t="s">
        <v>1856</v>
      </c>
      <c r="R1402" s="24">
        <v>3</v>
      </c>
      <c r="S1402" s="42" t="s">
        <v>2002</v>
      </c>
      <c r="T1402" s="42" t="s">
        <v>2000</v>
      </c>
      <c r="U1402" s="42" t="s">
        <v>1398</v>
      </c>
      <c r="V1402" s="42" t="s">
        <v>1729</v>
      </c>
      <c r="W1402" s="42" t="s">
        <v>1398</v>
      </c>
      <c r="X1402" s="42" t="s">
        <v>1398</v>
      </c>
      <c r="Z1402" s="321"/>
      <c r="AA1402" s="321"/>
      <c r="AB1402" s="24" t="s">
        <v>451</v>
      </c>
      <c r="AF1402" s="24" t="s">
        <v>1353</v>
      </c>
      <c r="AG1402" s="24" t="s">
        <v>244</v>
      </c>
      <c r="AH1402" s="138" t="s">
        <v>578</v>
      </c>
      <c r="AI1402" s="24" t="s">
        <v>1605</v>
      </c>
      <c r="AJ1402" s="140" t="s">
        <v>1605</v>
      </c>
      <c r="AT1402" s="24" t="s">
        <v>955</v>
      </c>
      <c r="AU1402" s="24">
        <v>6</v>
      </c>
      <c r="AW1402" s="24" t="s">
        <v>142</v>
      </c>
      <c r="BA1402" s="24" t="s">
        <v>1159</v>
      </c>
      <c r="BB1402" s="24" t="s">
        <v>966</v>
      </c>
      <c r="BM1402" s="395"/>
      <c r="BN1402" s="395"/>
      <c r="BR1402" s="395"/>
      <c r="BS1402" s="395"/>
      <c r="EY1402" s="24">
        <v>25.48</v>
      </c>
      <c r="EZ1402" s="24">
        <v>25.48</v>
      </c>
      <c r="IO1402" s="24" t="s">
        <v>967</v>
      </c>
    </row>
    <row r="1403" spans="1:249" s="32" customFormat="1" x14ac:dyDescent="0.25">
      <c r="A1403" s="32">
        <v>63</v>
      </c>
      <c r="B1403" s="32" t="s">
        <v>952</v>
      </c>
      <c r="C1403" s="32" t="s">
        <v>953</v>
      </c>
      <c r="D1403" s="32">
        <v>1993</v>
      </c>
      <c r="E1403" s="32">
        <v>1989</v>
      </c>
      <c r="F1403" s="32" t="s">
        <v>303</v>
      </c>
      <c r="G1403" s="32" t="s">
        <v>970</v>
      </c>
      <c r="H1403" s="32" t="s">
        <v>2831</v>
      </c>
      <c r="I1403" s="32">
        <v>42.44</v>
      </c>
      <c r="J1403" s="32">
        <v>-76.52</v>
      </c>
      <c r="K1403" s="32">
        <v>188.1</v>
      </c>
      <c r="Q1403" s="44" t="s">
        <v>1856</v>
      </c>
      <c r="R1403" s="32">
        <v>3</v>
      </c>
      <c r="S1403" s="44" t="s">
        <v>2002</v>
      </c>
      <c r="T1403" s="44" t="s">
        <v>2000</v>
      </c>
      <c r="U1403" s="44" t="s">
        <v>1398</v>
      </c>
      <c r="V1403" s="44" t="s">
        <v>1729</v>
      </c>
      <c r="W1403" s="44" t="s">
        <v>1398</v>
      </c>
      <c r="X1403" s="44" t="s">
        <v>1398</v>
      </c>
      <c r="Z1403" s="323"/>
      <c r="AA1403" s="323"/>
      <c r="AB1403" s="32" t="s">
        <v>451</v>
      </c>
      <c r="AF1403" s="32" t="s">
        <v>1353</v>
      </c>
      <c r="AG1403" s="32" t="s">
        <v>132</v>
      </c>
      <c r="AH1403" s="138" t="s">
        <v>132</v>
      </c>
      <c r="AI1403" s="32" t="s">
        <v>1605</v>
      </c>
      <c r="AJ1403" s="140" t="s">
        <v>1605</v>
      </c>
      <c r="AT1403" s="32" t="s">
        <v>955</v>
      </c>
      <c r="AU1403" s="32">
        <v>6</v>
      </c>
      <c r="AW1403" s="32" t="s">
        <v>142</v>
      </c>
      <c r="BA1403" s="32" t="s">
        <v>1159</v>
      </c>
      <c r="BB1403" s="32" t="s">
        <v>956</v>
      </c>
      <c r="BM1403" s="397"/>
      <c r="BN1403" s="397"/>
      <c r="BR1403" s="397"/>
      <c r="BS1403" s="397"/>
      <c r="EY1403" s="32">
        <v>21.14</v>
      </c>
      <c r="EZ1403" s="32">
        <v>25.65</v>
      </c>
      <c r="IO1403" s="32" t="s">
        <v>967</v>
      </c>
    </row>
    <row r="1404" spans="1:249" s="32" customFormat="1" x14ac:dyDescent="0.25">
      <c r="A1404" s="32">
        <v>63</v>
      </c>
      <c r="B1404" s="32" t="s">
        <v>952</v>
      </c>
      <c r="C1404" s="32" t="s">
        <v>953</v>
      </c>
      <c r="D1404" s="32">
        <v>1993</v>
      </c>
      <c r="E1404" s="32">
        <v>1989</v>
      </c>
      <c r="F1404" s="32" t="s">
        <v>303</v>
      </c>
      <c r="G1404" s="32" t="s">
        <v>970</v>
      </c>
      <c r="H1404" s="32" t="s">
        <v>2831</v>
      </c>
      <c r="I1404" s="32">
        <v>42.44</v>
      </c>
      <c r="J1404" s="32">
        <v>-76.52</v>
      </c>
      <c r="K1404" s="32">
        <v>188.1</v>
      </c>
      <c r="Q1404" s="44" t="s">
        <v>1856</v>
      </c>
      <c r="R1404" s="32">
        <v>3</v>
      </c>
      <c r="S1404" s="44" t="s">
        <v>2002</v>
      </c>
      <c r="T1404" s="44" t="s">
        <v>2000</v>
      </c>
      <c r="U1404" s="44" t="s">
        <v>1398</v>
      </c>
      <c r="V1404" s="44" t="s">
        <v>1729</v>
      </c>
      <c r="W1404" s="44" t="s">
        <v>1398</v>
      </c>
      <c r="X1404" s="44" t="s">
        <v>1398</v>
      </c>
      <c r="Z1404" s="323"/>
      <c r="AA1404" s="323"/>
      <c r="AB1404" s="32" t="s">
        <v>451</v>
      </c>
      <c r="AF1404" s="32" t="s">
        <v>1353</v>
      </c>
      <c r="AG1404" s="32" t="s">
        <v>132</v>
      </c>
      <c r="AH1404" s="138" t="s">
        <v>132</v>
      </c>
      <c r="AI1404" s="32" t="s">
        <v>1605</v>
      </c>
      <c r="AJ1404" s="140" t="s">
        <v>1605</v>
      </c>
      <c r="AT1404" s="32" t="s">
        <v>955</v>
      </c>
      <c r="AU1404" s="32">
        <v>6</v>
      </c>
      <c r="AW1404" s="32" t="s">
        <v>142</v>
      </c>
      <c r="BA1404" s="32" t="s">
        <v>1159</v>
      </c>
      <c r="BB1404" s="32" t="s">
        <v>957</v>
      </c>
      <c r="BM1404" s="397"/>
      <c r="BN1404" s="397"/>
      <c r="BR1404" s="397"/>
      <c r="BS1404" s="397"/>
      <c r="EY1404" s="32">
        <v>24.63</v>
      </c>
      <c r="EZ1404" s="32">
        <v>25.6</v>
      </c>
      <c r="IO1404" s="32" t="s">
        <v>967</v>
      </c>
    </row>
    <row r="1405" spans="1:249" s="32" customFormat="1" x14ac:dyDescent="0.25">
      <c r="A1405" s="32">
        <v>63</v>
      </c>
      <c r="B1405" s="32" t="s">
        <v>952</v>
      </c>
      <c r="C1405" s="32" t="s">
        <v>953</v>
      </c>
      <c r="D1405" s="32">
        <v>1993</v>
      </c>
      <c r="E1405" s="32">
        <v>1989</v>
      </c>
      <c r="F1405" s="32" t="s">
        <v>303</v>
      </c>
      <c r="G1405" s="32" t="s">
        <v>970</v>
      </c>
      <c r="H1405" s="32" t="s">
        <v>2831</v>
      </c>
      <c r="I1405" s="32">
        <v>42.44</v>
      </c>
      <c r="J1405" s="32">
        <v>-76.52</v>
      </c>
      <c r="K1405" s="32">
        <v>188.1</v>
      </c>
      <c r="Q1405" s="44" t="s">
        <v>1856</v>
      </c>
      <c r="R1405" s="32">
        <v>3</v>
      </c>
      <c r="S1405" s="44" t="s">
        <v>2002</v>
      </c>
      <c r="T1405" s="44" t="s">
        <v>2000</v>
      </c>
      <c r="U1405" s="44" t="s">
        <v>1398</v>
      </c>
      <c r="V1405" s="44" t="s">
        <v>1729</v>
      </c>
      <c r="W1405" s="44" t="s">
        <v>1398</v>
      </c>
      <c r="X1405" s="44" t="s">
        <v>1398</v>
      </c>
      <c r="Z1405" s="323"/>
      <c r="AA1405" s="323"/>
      <c r="AB1405" s="32" t="s">
        <v>451</v>
      </c>
      <c r="AF1405" s="32" t="s">
        <v>1353</v>
      </c>
      <c r="AG1405" s="32" t="s">
        <v>132</v>
      </c>
      <c r="AH1405" s="138" t="s">
        <v>132</v>
      </c>
      <c r="AI1405" s="32" t="s">
        <v>1605</v>
      </c>
      <c r="AJ1405" s="140" t="s">
        <v>1605</v>
      </c>
      <c r="AT1405" s="32" t="s">
        <v>955</v>
      </c>
      <c r="AU1405" s="32">
        <v>6</v>
      </c>
      <c r="AW1405" s="32" t="s">
        <v>142</v>
      </c>
      <c r="BA1405" s="32" t="s">
        <v>1159</v>
      </c>
      <c r="BB1405" s="32" t="s">
        <v>958</v>
      </c>
      <c r="BM1405" s="397"/>
      <c r="BN1405" s="397"/>
      <c r="BR1405" s="397"/>
      <c r="BS1405" s="397"/>
      <c r="EY1405" s="32">
        <v>23.83</v>
      </c>
      <c r="EZ1405" s="32">
        <v>25.68</v>
      </c>
      <c r="IO1405" s="32" t="s">
        <v>967</v>
      </c>
    </row>
    <row r="1406" spans="1:249" s="32" customFormat="1" x14ac:dyDescent="0.25">
      <c r="A1406" s="32">
        <v>63</v>
      </c>
      <c r="B1406" s="32" t="s">
        <v>952</v>
      </c>
      <c r="C1406" s="32" t="s">
        <v>953</v>
      </c>
      <c r="D1406" s="32">
        <v>1993</v>
      </c>
      <c r="E1406" s="32">
        <v>1989</v>
      </c>
      <c r="F1406" s="32" t="s">
        <v>303</v>
      </c>
      <c r="G1406" s="32" t="s">
        <v>970</v>
      </c>
      <c r="H1406" s="32" t="s">
        <v>2831</v>
      </c>
      <c r="I1406" s="32">
        <v>42.44</v>
      </c>
      <c r="J1406" s="32">
        <v>-76.52</v>
      </c>
      <c r="K1406" s="32">
        <v>188.1</v>
      </c>
      <c r="Q1406" s="44" t="s">
        <v>1856</v>
      </c>
      <c r="R1406" s="32">
        <v>3</v>
      </c>
      <c r="S1406" s="44" t="s">
        <v>2002</v>
      </c>
      <c r="T1406" s="44" t="s">
        <v>2000</v>
      </c>
      <c r="U1406" s="44" t="s">
        <v>1398</v>
      </c>
      <c r="V1406" s="44" t="s">
        <v>1729</v>
      </c>
      <c r="W1406" s="44" t="s">
        <v>1398</v>
      </c>
      <c r="X1406" s="44" t="s">
        <v>1398</v>
      </c>
      <c r="Z1406" s="323"/>
      <c r="AA1406" s="323"/>
      <c r="AB1406" s="32" t="s">
        <v>451</v>
      </c>
      <c r="AF1406" s="32" t="s">
        <v>1353</v>
      </c>
      <c r="AG1406" s="32" t="s">
        <v>132</v>
      </c>
      <c r="AH1406" s="138" t="s">
        <v>132</v>
      </c>
      <c r="AI1406" s="32" t="s">
        <v>1605</v>
      </c>
      <c r="AJ1406" s="140" t="s">
        <v>1605</v>
      </c>
      <c r="AT1406" s="32" t="s">
        <v>955</v>
      </c>
      <c r="AU1406" s="32">
        <v>6</v>
      </c>
      <c r="AW1406" s="32" t="s">
        <v>142</v>
      </c>
      <c r="BA1406" s="32" t="s">
        <v>1159</v>
      </c>
      <c r="BB1406" s="32" t="s">
        <v>959</v>
      </c>
      <c r="BM1406" s="397"/>
      <c r="BN1406" s="397"/>
      <c r="BR1406" s="397"/>
      <c r="BS1406" s="397"/>
      <c r="EY1406" s="32">
        <v>17.64</v>
      </c>
      <c r="EZ1406" s="32">
        <v>25.77</v>
      </c>
      <c r="IO1406" s="32" t="s">
        <v>967</v>
      </c>
    </row>
    <row r="1407" spans="1:249" s="32" customFormat="1" x14ac:dyDescent="0.25">
      <c r="A1407" s="32">
        <v>63</v>
      </c>
      <c r="B1407" s="32" t="s">
        <v>952</v>
      </c>
      <c r="C1407" s="32" t="s">
        <v>953</v>
      </c>
      <c r="D1407" s="32">
        <v>1993</v>
      </c>
      <c r="E1407" s="32">
        <v>1989</v>
      </c>
      <c r="F1407" s="32" t="s">
        <v>303</v>
      </c>
      <c r="G1407" s="32" t="s">
        <v>970</v>
      </c>
      <c r="H1407" s="32" t="s">
        <v>2831</v>
      </c>
      <c r="I1407" s="32">
        <v>42.44</v>
      </c>
      <c r="J1407" s="32">
        <v>-76.52</v>
      </c>
      <c r="K1407" s="32">
        <v>188.1</v>
      </c>
      <c r="Q1407" s="44" t="s">
        <v>1856</v>
      </c>
      <c r="R1407" s="32">
        <v>3</v>
      </c>
      <c r="S1407" s="44" t="s">
        <v>2002</v>
      </c>
      <c r="T1407" s="44" t="s">
        <v>2000</v>
      </c>
      <c r="U1407" s="44" t="s">
        <v>1398</v>
      </c>
      <c r="V1407" s="44" t="s">
        <v>1729</v>
      </c>
      <c r="W1407" s="44" t="s">
        <v>1398</v>
      </c>
      <c r="X1407" s="44" t="s">
        <v>1398</v>
      </c>
      <c r="Z1407" s="323"/>
      <c r="AA1407" s="323"/>
      <c r="AB1407" s="32" t="s">
        <v>451</v>
      </c>
      <c r="AF1407" s="32" t="s">
        <v>1353</v>
      </c>
      <c r="AG1407" s="32" t="s">
        <v>132</v>
      </c>
      <c r="AH1407" s="138" t="s">
        <v>132</v>
      </c>
      <c r="AI1407" s="32" t="s">
        <v>1605</v>
      </c>
      <c r="AJ1407" s="140" t="s">
        <v>1605</v>
      </c>
      <c r="AT1407" s="32" t="s">
        <v>955</v>
      </c>
      <c r="AU1407" s="32">
        <v>6</v>
      </c>
      <c r="AW1407" s="32" t="s">
        <v>142</v>
      </c>
      <c r="BA1407" s="32" t="s">
        <v>1159</v>
      </c>
      <c r="BB1407" s="32" t="s">
        <v>960</v>
      </c>
      <c r="BM1407" s="397"/>
      <c r="BN1407" s="397"/>
      <c r="BR1407" s="397"/>
      <c r="BS1407" s="397"/>
      <c r="EY1407" s="32">
        <v>25.5</v>
      </c>
      <c r="EZ1407" s="32">
        <v>25.5</v>
      </c>
      <c r="IO1407" s="32" t="s">
        <v>967</v>
      </c>
    </row>
    <row r="1408" spans="1:249" s="32" customFormat="1" x14ac:dyDescent="0.25">
      <c r="A1408" s="32">
        <v>63</v>
      </c>
      <c r="B1408" s="32" t="s">
        <v>952</v>
      </c>
      <c r="C1408" s="32" t="s">
        <v>953</v>
      </c>
      <c r="D1408" s="32">
        <v>1993</v>
      </c>
      <c r="E1408" s="32">
        <v>1989</v>
      </c>
      <c r="F1408" s="32" t="s">
        <v>303</v>
      </c>
      <c r="G1408" s="32" t="s">
        <v>970</v>
      </c>
      <c r="H1408" s="32" t="s">
        <v>2831</v>
      </c>
      <c r="I1408" s="32">
        <v>42.44</v>
      </c>
      <c r="J1408" s="32">
        <v>-76.52</v>
      </c>
      <c r="K1408" s="32">
        <v>188.1</v>
      </c>
      <c r="Q1408" s="44" t="s">
        <v>1856</v>
      </c>
      <c r="R1408" s="32">
        <v>3</v>
      </c>
      <c r="S1408" s="44" t="s">
        <v>2002</v>
      </c>
      <c r="T1408" s="44" t="s">
        <v>2000</v>
      </c>
      <c r="U1408" s="44" t="s">
        <v>1398</v>
      </c>
      <c r="V1408" s="44" t="s">
        <v>1729</v>
      </c>
      <c r="W1408" s="44" t="s">
        <v>1398</v>
      </c>
      <c r="X1408" s="44" t="s">
        <v>1398</v>
      </c>
      <c r="Z1408" s="323"/>
      <c r="AA1408" s="323"/>
      <c r="AB1408" s="32" t="s">
        <v>451</v>
      </c>
      <c r="AF1408" s="32" t="s">
        <v>1353</v>
      </c>
      <c r="AG1408" s="32" t="s">
        <v>132</v>
      </c>
      <c r="AH1408" s="138" t="s">
        <v>132</v>
      </c>
      <c r="AI1408" s="32" t="s">
        <v>1605</v>
      </c>
      <c r="AJ1408" s="140" t="s">
        <v>1605</v>
      </c>
      <c r="AT1408" s="32" t="s">
        <v>955</v>
      </c>
      <c r="AU1408" s="32">
        <v>6</v>
      </c>
      <c r="AW1408" s="32" t="s">
        <v>142</v>
      </c>
      <c r="BA1408" s="32" t="s">
        <v>1159</v>
      </c>
      <c r="BB1408" s="32" t="s">
        <v>961</v>
      </c>
      <c r="BM1408" s="397"/>
      <c r="BN1408" s="397"/>
      <c r="BR1408" s="397"/>
      <c r="BS1408" s="397"/>
      <c r="EY1408" s="32">
        <v>22.23</v>
      </c>
      <c r="EZ1408" s="32">
        <v>25.5</v>
      </c>
      <c r="IO1408" s="32" t="s">
        <v>967</v>
      </c>
    </row>
    <row r="1409" spans="1:249" s="32" customFormat="1" x14ac:dyDescent="0.25">
      <c r="A1409" s="32">
        <v>63</v>
      </c>
      <c r="B1409" s="32" t="s">
        <v>952</v>
      </c>
      <c r="C1409" s="32" t="s">
        <v>953</v>
      </c>
      <c r="D1409" s="32">
        <v>1993</v>
      </c>
      <c r="E1409" s="32">
        <v>1989</v>
      </c>
      <c r="F1409" s="32" t="s">
        <v>303</v>
      </c>
      <c r="G1409" s="32" t="s">
        <v>970</v>
      </c>
      <c r="H1409" s="32" t="s">
        <v>2831</v>
      </c>
      <c r="I1409" s="32">
        <v>42.44</v>
      </c>
      <c r="J1409" s="32">
        <v>-76.52</v>
      </c>
      <c r="K1409" s="32">
        <v>188.1</v>
      </c>
      <c r="Q1409" s="44" t="s">
        <v>1856</v>
      </c>
      <c r="R1409" s="32">
        <v>3</v>
      </c>
      <c r="S1409" s="44" t="s">
        <v>2002</v>
      </c>
      <c r="T1409" s="44" t="s">
        <v>2000</v>
      </c>
      <c r="U1409" s="44" t="s">
        <v>1398</v>
      </c>
      <c r="V1409" s="44" t="s">
        <v>1729</v>
      </c>
      <c r="W1409" s="44" t="s">
        <v>1398</v>
      </c>
      <c r="X1409" s="44" t="s">
        <v>1398</v>
      </c>
      <c r="Z1409" s="323"/>
      <c r="AA1409" s="323"/>
      <c r="AB1409" s="32" t="s">
        <v>451</v>
      </c>
      <c r="AF1409" s="32" t="s">
        <v>1353</v>
      </c>
      <c r="AG1409" s="32" t="s">
        <v>132</v>
      </c>
      <c r="AH1409" s="138" t="s">
        <v>132</v>
      </c>
      <c r="AI1409" s="32" t="s">
        <v>1605</v>
      </c>
      <c r="AJ1409" s="140" t="s">
        <v>1605</v>
      </c>
      <c r="AT1409" s="32" t="s">
        <v>955</v>
      </c>
      <c r="AU1409" s="32">
        <v>6</v>
      </c>
      <c r="AW1409" s="32" t="s">
        <v>142</v>
      </c>
      <c r="BA1409" s="32" t="s">
        <v>1159</v>
      </c>
      <c r="BB1409" s="32" t="s">
        <v>962</v>
      </c>
      <c r="BM1409" s="397"/>
      <c r="BN1409" s="397"/>
      <c r="BR1409" s="397"/>
      <c r="BS1409" s="397"/>
      <c r="EY1409" s="32">
        <v>17.45</v>
      </c>
      <c r="EZ1409" s="32">
        <v>25.49</v>
      </c>
      <c r="IO1409" s="32" t="s">
        <v>967</v>
      </c>
    </row>
    <row r="1410" spans="1:249" s="32" customFormat="1" x14ac:dyDescent="0.25">
      <c r="A1410" s="32">
        <v>63</v>
      </c>
      <c r="B1410" s="32" t="s">
        <v>952</v>
      </c>
      <c r="C1410" s="32" t="s">
        <v>953</v>
      </c>
      <c r="D1410" s="32">
        <v>1993</v>
      </c>
      <c r="E1410" s="32">
        <v>1989</v>
      </c>
      <c r="F1410" s="32" t="s">
        <v>303</v>
      </c>
      <c r="G1410" s="32" t="s">
        <v>970</v>
      </c>
      <c r="H1410" s="32" t="s">
        <v>2831</v>
      </c>
      <c r="I1410" s="32">
        <v>42.44</v>
      </c>
      <c r="J1410" s="32">
        <v>-76.52</v>
      </c>
      <c r="K1410" s="32">
        <v>188.1</v>
      </c>
      <c r="Q1410" s="44" t="s">
        <v>1856</v>
      </c>
      <c r="R1410" s="32">
        <v>3</v>
      </c>
      <c r="S1410" s="44" t="s">
        <v>2002</v>
      </c>
      <c r="T1410" s="44" t="s">
        <v>2000</v>
      </c>
      <c r="U1410" s="44" t="s">
        <v>1398</v>
      </c>
      <c r="V1410" s="44" t="s">
        <v>1729</v>
      </c>
      <c r="W1410" s="44" t="s">
        <v>1398</v>
      </c>
      <c r="X1410" s="44" t="s">
        <v>1398</v>
      </c>
      <c r="Z1410" s="323"/>
      <c r="AA1410" s="323"/>
      <c r="AB1410" s="32" t="s">
        <v>451</v>
      </c>
      <c r="AF1410" s="32" t="s">
        <v>1353</v>
      </c>
      <c r="AG1410" s="32" t="s">
        <v>132</v>
      </c>
      <c r="AH1410" s="138" t="s">
        <v>132</v>
      </c>
      <c r="AI1410" s="32" t="s">
        <v>1605</v>
      </c>
      <c r="AJ1410" s="140" t="s">
        <v>1605</v>
      </c>
      <c r="AT1410" s="32" t="s">
        <v>955</v>
      </c>
      <c r="AU1410" s="32">
        <v>6</v>
      </c>
      <c r="AW1410" s="32" t="s">
        <v>142</v>
      </c>
      <c r="BA1410" s="32" t="s">
        <v>1159</v>
      </c>
      <c r="BB1410" s="32" t="s">
        <v>963</v>
      </c>
      <c r="BM1410" s="397"/>
      <c r="BN1410" s="397"/>
      <c r="BR1410" s="397"/>
      <c r="BS1410" s="397"/>
      <c r="EY1410" s="32">
        <v>25.83</v>
      </c>
      <c r="EZ1410" s="32">
        <v>25.83</v>
      </c>
      <c r="IO1410" s="32" t="s">
        <v>967</v>
      </c>
    </row>
    <row r="1411" spans="1:249" s="32" customFormat="1" x14ac:dyDescent="0.25">
      <c r="A1411" s="32">
        <v>63</v>
      </c>
      <c r="B1411" s="32" t="s">
        <v>952</v>
      </c>
      <c r="C1411" s="32" t="s">
        <v>953</v>
      </c>
      <c r="D1411" s="32">
        <v>1993</v>
      </c>
      <c r="E1411" s="32">
        <v>1989</v>
      </c>
      <c r="F1411" s="32" t="s">
        <v>303</v>
      </c>
      <c r="G1411" s="32" t="s">
        <v>970</v>
      </c>
      <c r="H1411" s="32" t="s">
        <v>2831</v>
      </c>
      <c r="I1411" s="32">
        <v>42.44</v>
      </c>
      <c r="J1411" s="32">
        <v>-76.52</v>
      </c>
      <c r="K1411" s="32">
        <v>188.1</v>
      </c>
      <c r="Q1411" s="44" t="s">
        <v>1856</v>
      </c>
      <c r="R1411" s="32">
        <v>3</v>
      </c>
      <c r="S1411" s="44" t="s">
        <v>2002</v>
      </c>
      <c r="T1411" s="44" t="s">
        <v>2000</v>
      </c>
      <c r="U1411" s="44" t="s">
        <v>1398</v>
      </c>
      <c r="V1411" s="44" t="s">
        <v>1729</v>
      </c>
      <c r="W1411" s="44" t="s">
        <v>1398</v>
      </c>
      <c r="X1411" s="44" t="s">
        <v>1398</v>
      </c>
      <c r="Z1411" s="323"/>
      <c r="AA1411" s="323"/>
      <c r="AB1411" s="32" t="s">
        <v>451</v>
      </c>
      <c r="AF1411" s="32" t="s">
        <v>1353</v>
      </c>
      <c r="AG1411" s="32" t="s">
        <v>132</v>
      </c>
      <c r="AH1411" s="138" t="s">
        <v>132</v>
      </c>
      <c r="AI1411" s="32" t="s">
        <v>1605</v>
      </c>
      <c r="AJ1411" s="140" t="s">
        <v>1605</v>
      </c>
      <c r="AT1411" s="32" t="s">
        <v>955</v>
      </c>
      <c r="AU1411" s="32">
        <v>6</v>
      </c>
      <c r="AW1411" s="32" t="s">
        <v>142</v>
      </c>
      <c r="BA1411" s="32" t="s">
        <v>1159</v>
      </c>
      <c r="BB1411" s="32" t="s">
        <v>964</v>
      </c>
      <c r="BM1411" s="397"/>
      <c r="BN1411" s="397"/>
      <c r="BR1411" s="397"/>
      <c r="BS1411" s="397"/>
      <c r="EY1411" s="32">
        <v>19.38</v>
      </c>
      <c r="EZ1411" s="32">
        <v>25.56</v>
      </c>
      <c r="IO1411" s="32" t="s">
        <v>967</v>
      </c>
    </row>
    <row r="1412" spans="1:249" s="32" customFormat="1" x14ac:dyDescent="0.25">
      <c r="A1412" s="32">
        <v>63</v>
      </c>
      <c r="B1412" s="32" t="s">
        <v>952</v>
      </c>
      <c r="C1412" s="32" t="s">
        <v>953</v>
      </c>
      <c r="D1412" s="32">
        <v>1993</v>
      </c>
      <c r="E1412" s="32">
        <v>1989</v>
      </c>
      <c r="F1412" s="32" t="s">
        <v>303</v>
      </c>
      <c r="G1412" s="32" t="s">
        <v>970</v>
      </c>
      <c r="H1412" s="32" t="s">
        <v>2831</v>
      </c>
      <c r="I1412" s="32">
        <v>42.44</v>
      </c>
      <c r="J1412" s="32">
        <v>-76.52</v>
      </c>
      <c r="K1412" s="32">
        <v>188.1</v>
      </c>
      <c r="Q1412" s="44" t="s">
        <v>1856</v>
      </c>
      <c r="R1412" s="32">
        <v>3</v>
      </c>
      <c r="S1412" s="44" t="s">
        <v>2002</v>
      </c>
      <c r="T1412" s="44" t="s">
        <v>2000</v>
      </c>
      <c r="U1412" s="44" t="s">
        <v>1398</v>
      </c>
      <c r="V1412" s="44" t="s">
        <v>1729</v>
      </c>
      <c r="W1412" s="44" t="s">
        <v>1398</v>
      </c>
      <c r="X1412" s="44" t="s">
        <v>1398</v>
      </c>
      <c r="Z1412" s="323"/>
      <c r="AA1412" s="323"/>
      <c r="AB1412" s="32" t="s">
        <v>451</v>
      </c>
      <c r="AF1412" s="32" t="s">
        <v>1353</v>
      </c>
      <c r="AG1412" s="32" t="s">
        <v>132</v>
      </c>
      <c r="AH1412" s="138" t="s">
        <v>132</v>
      </c>
      <c r="AI1412" s="32" t="s">
        <v>1605</v>
      </c>
      <c r="AJ1412" s="140" t="s">
        <v>1605</v>
      </c>
      <c r="AT1412" s="32" t="s">
        <v>955</v>
      </c>
      <c r="AU1412" s="32">
        <v>6</v>
      </c>
      <c r="AW1412" s="32" t="s">
        <v>142</v>
      </c>
      <c r="BA1412" s="32" t="s">
        <v>1159</v>
      </c>
      <c r="BB1412" s="32" t="s">
        <v>965</v>
      </c>
      <c r="BM1412" s="397"/>
      <c r="BN1412" s="397"/>
      <c r="BR1412" s="397"/>
      <c r="BS1412" s="397"/>
      <c r="EY1412" s="32">
        <v>16.72</v>
      </c>
      <c r="EZ1412" s="32">
        <v>24.76</v>
      </c>
      <c r="IO1412" s="32" t="s">
        <v>967</v>
      </c>
    </row>
    <row r="1413" spans="1:249" s="32" customFormat="1" x14ac:dyDescent="0.25">
      <c r="A1413" s="32">
        <v>63</v>
      </c>
      <c r="B1413" s="32" t="s">
        <v>952</v>
      </c>
      <c r="C1413" s="32" t="s">
        <v>953</v>
      </c>
      <c r="D1413" s="32">
        <v>1993</v>
      </c>
      <c r="E1413" s="32">
        <v>1989</v>
      </c>
      <c r="F1413" s="32" t="s">
        <v>303</v>
      </c>
      <c r="G1413" s="32" t="s">
        <v>970</v>
      </c>
      <c r="H1413" s="32" t="s">
        <v>2831</v>
      </c>
      <c r="I1413" s="32">
        <v>42.44</v>
      </c>
      <c r="J1413" s="32">
        <v>-76.52</v>
      </c>
      <c r="K1413" s="32">
        <v>188.1</v>
      </c>
      <c r="Q1413" s="44" t="s">
        <v>1856</v>
      </c>
      <c r="R1413" s="32">
        <v>3</v>
      </c>
      <c r="S1413" s="44" t="s">
        <v>2002</v>
      </c>
      <c r="T1413" s="44" t="s">
        <v>2000</v>
      </c>
      <c r="U1413" s="44" t="s">
        <v>1398</v>
      </c>
      <c r="V1413" s="44" t="s">
        <v>1729</v>
      </c>
      <c r="W1413" s="44" t="s">
        <v>1398</v>
      </c>
      <c r="X1413" s="44" t="s">
        <v>1398</v>
      </c>
      <c r="Z1413" s="323"/>
      <c r="AA1413" s="323"/>
      <c r="AB1413" s="32" t="s">
        <v>451</v>
      </c>
      <c r="AF1413" s="32" t="s">
        <v>1353</v>
      </c>
      <c r="AG1413" s="32" t="s">
        <v>132</v>
      </c>
      <c r="AH1413" s="138" t="s">
        <v>132</v>
      </c>
      <c r="AI1413" s="32" t="s">
        <v>1605</v>
      </c>
      <c r="AJ1413" s="140" t="s">
        <v>1605</v>
      </c>
      <c r="AT1413" s="32" t="s">
        <v>955</v>
      </c>
      <c r="AU1413" s="32">
        <v>6</v>
      </c>
      <c r="AW1413" s="32" t="s">
        <v>142</v>
      </c>
      <c r="BA1413" s="32" t="s">
        <v>1159</v>
      </c>
      <c r="BB1413" s="32" t="s">
        <v>966</v>
      </c>
      <c r="BM1413" s="397"/>
      <c r="BN1413" s="397"/>
      <c r="BR1413" s="397"/>
      <c r="BS1413" s="397"/>
      <c r="EY1413" s="32">
        <v>25.65</v>
      </c>
      <c r="EZ1413" s="32">
        <v>25.65</v>
      </c>
      <c r="IO1413" s="32" t="s">
        <v>967</v>
      </c>
    </row>
    <row r="1414" spans="1:249" s="28" customFormat="1" x14ac:dyDescent="0.25">
      <c r="A1414" s="28">
        <v>64</v>
      </c>
      <c r="B1414" s="28" t="s">
        <v>968</v>
      </c>
      <c r="C1414" s="28" t="s">
        <v>969</v>
      </c>
      <c r="D1414" s="28">
        <v>2005</v>
      </c>
      <c r="E1414" s="28">
        <v>2001</v>
      </c>
      <c r="F1414" s="28" t="s">
        <v>330</v>
      </c>
      <c r="G1414" s="28" t="s">
        <v>971</v>
      </c>
      <c r="H1414" s="32" t="s">
        <v>2831</v>
      </c>
      <c r="I1414" s="28">
        <f t="shared" ref="I1414:I1423" si="242">32+25/60</f>
        <v>32.416666666666664</v>
      </c>
      <c r="J1414" s="28">
        <f t="shared" ref="J1414:J1423" si="243">-85-54/90</f>
        <v>-85.6</v>
      </c>
      <c r="K1414" s="28">
        <f>(69.8+70.1+68.5+69.4+69.6)/5</f>
        <v>69.47999999999999</v>
      </c>
      <c r="Q1414" s="46" t="s">
        <v>1856</v>
      </c>
      <c r="R1414" s="46" t="s">
        <v>1867</v>
      </c>
      <c r="T1414" s="46" t="s">
        <v>2003</v>
      </c>
      <c r="U1414" s="46" t="s">
        <v>1393</v>
      </c>
      <c r="V1414" s="46" t="s">
        <v>1727</v>
      </c>
      <c r="W1414" s="46" t="s">
        <v>1398</v>
      </c>
      <c r="X1414" s="46" t="s">
        <v>1393</v>
      </c>
      <c r="Y1414" s="28">
        <v>1.5</v>
      </c>
      <c r="Z1414" s="326">
        <f>(519+556+573+552+533)/5/1000*100</f>
        <v>54.66</v>
      </c>
      <c r="AA1414" s="326">
        <f>100-Z1414-(182+191+143+193+211)/5/1000*100</f>
        <v>26.940000000000005</v>
      </c>
      <c r="AB1414" s="28" t="s">
        <v>140</v>
      </c>
      <c r="AC1414" s="28">
        <v>6.5</v>
      </c>
      <c r="AD1414" s="28">
        <f>(26.4+23.85+24.1+20.38+24.08)/5*1/(100*100*0.3*1.5)*100</f>
        <v>0.52804444444444432</v>
      </c>
      <c r="AF1414" s="28" t="s">
        <v>1354</v>
      </c>
      <c r="AG1414" s="28" t="s">
        <v>636</v>
      </c>
      <c r="AH1414" s="138" t="s">
        <v>636</v>
      </c>
      <c r="AI1414" s="28" t="s">
        <v>133</v>
      </c>
      <c r="AJ1414" s="141" t="s">
        <v>1625</v>
      </c>
      <c r="AK1414" s="28" t="s">
        <v>976</v>
      </c>
      <c r="AL1414" s="28" t="s">
        <v>976</v>
      </c>
      <c r="AM1414" s="28" t="s">
        <v>178</v>
      </c>
      <c r="AN1414" s="28" t="s">
        <v>488</v>
      </c>
      <c r="AO1414" s="28" t="s">
        <v>973</v>
      </c>
      <c r="AP1414" s="28" t="s">
        <v>503</v>
      </c>
      <c r="AQ1414" s="28" t="s">
        <v>972</v>
      </c>
      <c r="AR1414" s="28" t="s">
        <v>972</v>
      </c>
      <c r="AS1414" s="28" t="s">
        <v>178</v>
      </c>
      <c r="AT1414" s="28" t="s">
        <v>161</v>
      </c>
      <c r="AU1414" s="28">
        <v>6</v>
      </c>
      <c r="AW1414" s="28" t="s">
        <v>142</v>
      </c>
      <c r="BH1414" s="28">
        <v>9520</v>
      </c>
      <c r="BI1414" s="28">
        <v>9880</v>
      </c>
      <c r="BL1414" s="28" t="s">
        <v>133</v>
      </c>
      <c r="BM1414" s="401"/>
      <c r="BN1414" s="401"/>
      <c r="BR1414" s="401"/>
      <c r="BS1414" s="401"/>
    </row>
    <row r="1415" spans="1:249" s="28" customFormat="1" x14ac:dyDescent="0.25">
      <c r="A1415" s="28">
        <v>64</v>
      </c>
      <c r="B1415" s="28" t="s">
        <v>968</v>
      </c>
      <c r="C1415" s="28" t="s">
        <v>969</v>
      </c>
      <c r="D1415" s="28">
        <v>2005</v>
      </c>
      <c r="E1415" s="28">
        <v>2001</v>
      </c>
      <c r="F1415" s="28" t="s">
        <v>330</v>
      </c>
      <c r="G1415" s="28" t="s">
        <v>971</v>
      </c>
      <c r="H1415" s="32" t="s">
        <v>2831</v>
      </c>
      <c r="I1415" s="28">
        <f t="shared" si="242"/>
        <v>32.416666666666664</v>
      </c>
      <c r="J1415" s="28">
        <f t="shared" si="243"/>
        <v>-85.6</v>
      </c>
      <c r="K1415" s="28">
        <f t="shared" ref="K1415:K1418" si="244">(69.8+70.1+68.5+69.4+69.6)/5</f>
        <v>69.47999999999999</v>
      </c>
      <c r="Q1415" s="46" t="s">
        <v>1856</v>
      </c>
      <c r="R1415" s="46" t="s">
        <v>1867</v>
      </c>
      <c r="T1415" s="46" t="s">
        <v>2003</v>
      </c>
      <c r="U1415" s="46" t="s">
        <v>1393</v>
      </c>
      <c r="V1415" s="46" t="s">
        <v>1727</v>
      </c>
      <c r="W1415" s="46" t="s">
        <v>1398</v>
      </c>
      <c r="X1415" s="46" t="s">
        <v>1393</v>
      </c>
      <c r="Y1415" s="28">
        <v>1.5</v>
      </c>
      <c r="Z1415" s="326">
        <f t="shared" ref="Z1415:Z1418" si="245">(519+556+573+552+533)/5/1000*100</f>
        <v>54.66</v>
      </c>
      <c r="AA1415" s="326">
        <f t="shared" ref="AA1415:AA1418" si="246">100-Z1415-(182+191+143+193+211)/5/1000*100</f>
        <v>26.940000000000005</v>
      </c>
      <c r="AB1415" s="28" t="s">
        <v>140</v>
      </c>
      <c r="AC1415" s="28">
        <v>6.5</v>
      </c>
      <c r="AD1415" s="28">
        <f t="shared" ref="AD1415:AD1418" si="247">(26.4+23.85+24.1+20.38+24.08)/5*1/(100*100*0.3*1.5)*100</f>
        <v>0.52804444444444432</v>
      </c>
      <c r="AF1415" s="28" t="s">
        <v>1354</v>
      </c>
      <c r="AG1415" s="28" t="s">
        <v>636</v>
      </c>
      <c r="AH1415" s="138" t="s">
        <v>636</v>
      </c>
      <c r="AI1415" s="28" t="s">
        <v>585</v>
      </c>
      <c r="AJ1415" s="141" t="s">
        <v>1625</v>
      </c>
      <c r="AK1415" s="28" t="s">
        <v>976</v>
      </c>
      <c r="AL1415" s="28" t="s">
        <v>976</v>
      </c>
      <c r="AM1415" s="28" t="s">
        <v>178</v>
      </c>
      <c r="AN1415" s="28" t="s">
        <v>488</v>
      </c>
      <c r="AO1415" s="28" t="s">
        <v>973</v>
      </c>
      <c r="AP1415" s="28" t="s">
        <v>503</v>
      </c>
      <c r="AQ1415" s="28" t="s">
        <v>972</v>
      </c>
      <c r="AR1415" s="28" t="s">
        <v>972</v>
      </c>
      <c r="AS1415" s="28" t="s">
        <v>178</v>
      </c>
      <c r="AT1415" s="28" t="s">
        <v>161</v>
      </c>
      <c r="AU1415" s="28">
        <v>6</v>
      </c>
      <c r="AW1415" s="28" t="s">
        <v>142</v>
      </c>
      <c r="BH1415" s="28">
        <v>2760</v>
      </c>
      <c r="BI1415" s="28">
        <v>3100</v>
      </c>
      <c r="BL1415" s="28" t="s">
        <v>978</v>
      </c>
      <c r="BM1415" s="401"/>
      <c r="BN1415" s="401"/>
      <c r="BR1415" s="401"/>
      <c r="BS1415" s="401"/>
    </row>
    <row r="1416" spans="1:249" s="28" customFormat="1" x14ac:dyDescent="0.25">
      <c r="A1416" s="28">
        <v>64</v>
      </c>
      <c r="B1416" s="28" t="s">
        <v>968</v>
      </c>
      <c r="C1416" s="28" t="s">
        <v>969</v>
      </c>
      <c r="D1416" s="28">
        <v>2005</v>
      </c>
      <c r="E1416" s="28">
        <v>2002</v>
      </c>
      <c r="F1416" s="28" t="s">
        <v>330</v>
      </c>
      <c r="G1416" s="28" t="s">
        <v>971</v>
      </c>
      <c r="H1416" s="32" t="s">
        <v>2831</v>
      </c>
      <c r="I1416" s="28">
        <f t="shared" si="242"/>
        <v>32.416666666666664</v>
      </c>
      <c r="J1416" s="28">
        <f t="shared" si="243"/>
        <v>-85.6</v>
      </c>
      <c r="K1416" s="28">
        <f t="shared" si="244"/>
        <v>69.47999999999999</v>
      </c>
      <c r="Q1416" s="46" t="s">
        <v>1735</v>
      </c>
      <c r="R1416" s="46" t="s">
        <v>1867</v>
      </c>
      <c r="T1416" s="46" t="s">
        <v>2003</v>
      </c>
      <c r="U1416" s="46" t="s">
        <v>1398</v>
      </c>
      <c r="V1416" s="46" t="s">
        <v>1729</v>
      </c>
      <c r="W1416" s="46" t="s">
        <v>1398</v>
      </c>
      <c r="X1416" s="46" t="s">
        <v>1393</v>
      </c>
      <c r="Y1416" s="28">
        <v>1.5</v>
      </c>
      <c r="Z1416" s="326">
        <f t="shared" si="245"/>
        <v>54.66</v>
      </c>
      <c r="AA1416" s="326">
        <f t="shared" si="246"/>
        <v>26.940000000000005</v>
      </c>
      <c r="AB1416" s="28" t="s">
        <v>140</v>
      </c>
      <c r="AC1416" s="28">
        <v>6.5</v>
      </c>
      <c r="AD1416" s="28">
        <f t="shared" si="247"/>
        <v>0.52804444444444432</v>
      </c>
      <c r="AF1416" s="28" t="s">
        <v>1354</v>
      </c>
      <c r="AG1416" s="28" t="s">
        <v>636</v>
      </c>
      <c r="AH1416" s="138" t="s">
        <v>636</v>
      </c>
      <c r="AI1416" s="28" t="s">
        <v>585</v>
      </c>
      <c r="AJ1416" s="141" t="s">
        <v>1625</v>
      </c>
      <c r="AK1416" s="28" t="s">
        <v>976</v>
      </c>
      <c r="AL1416" s="28" t="s">
        <v>976</v>
      </c>
      <c r="AM1416" s="28" t="s">
        <v>178</v>
      </c>
      <c r="AN1416" s="28" t="s">
        <v>488</v>
      </c>
      <c r="AO1416" s="28" t="s">
        <v>973</v>
      </c>
      <c r="AP1416" s="28" t="s">
        <v>503</v>
      </c>
      <c r="AQ1416" s="28" t="s">
        <v>972</v>
      </c>
      <c r="AR1416" s="28" t="s">
        <v>972</v>
      </c>
      <c r="AS1416" s="28" t="s">
        <v>178</v>
      </c>
      <c r="AT1416" s="28" t="s">
        <v>161</v>
      </c>
      <c r="AU1416" s="28">
        <v>6</v>
      </c>
      <c r="AW1416" s="28" t="s">
        <v>142</v>
      </c>
      <c r="BH1416" s="28">
        <v>1260</v>
      </c>
      <c r="BI1416" s="28">
        <v>1610</v>
      </c>
      <c r="BL1416" s="28" t="s">
        <v>978</v>
      </c>
      <c r="BM1416" s="401">
        <v>1.35</v>
      </c>
      <c r="BN1416" s="401">
        <v>1.39</v>
      </c>
      <c r="BR1416" s="401">
        <f>5.02*(1/(100*100*0.05*1.35))*100</f>
        <v>0.74370370370370364</v>
      </c>
      <c r="BS1416" s="401">
        <f>7.62*(1/(100*100*0.05*1.39))*100</f>
        <v>1.0964028776978418</v>
      </c>
      <c r="BV1416" s="28" t="s">
        <v>1680</v>
      </c>
    </row>
    <row r="1417" spans="1:249" s="28" customFormat="1" x14ac:dyDescent="0.25">
      <c r="A1417" s="28">
        <v>64</v>
      </c>
      <c r="B1417" s="28" t="s">
        <v>968</v>
      </c>
      <c r="C1417" s="28" t="s">
        <v>969</v>
      </c>
      <c r="D1417" s="28">
        <v>2005</v>
      </c>
      <c r="E1417" s="28">
        <v>2002</v>
      </c>
      <c r="F1417" s="28" t="s">
        <v>330</v>
      </c>
      <c r="G1417" s="28" t="s">
        <v>971</v>
      </c>
      <c r="H1417" s="32" t="s">
        <v>2831</v>
      </c>
      <c r="I1417" s="28">
        <f t="shared" si="242"/>
        <v>32.416666666666664</v>
      </c>
      <c r="J1417" s="28">
        <f t="shared" si="243"/>
        <v>-85.6</v>
      </c>
      <c r="K1417" s="28">
        <f t="shared" si="244"/>
        <v>69.47999999999999</v>
      </c>
      <c r="Q1417" s="46" t="s">
        <v>1735</v>
      </c>
      <c r="R1417" s="46" t="s">
        <v>1867</v>
      </c>
      <c r="T1417" s="46" t="s">
        <v>2003</v>
      </c>
      <c r="U1417" s="46" t="s">
        <v>1416</v>
      </c>
      <c r="V1417" s="46" t="s">
        <v>1726</v>
      </c>
      <c r="W1417" s="46" t="s">
        <v>1398</v>
      </c>
      <c r="X1417" s="46" t="s">
        <v>1393</v>
      </c>
      <c r="Y1417" s="28">
        <v>1.5</v>
      </c>
      <c r="Z1417" s="326">
        <f t="shared" si="245"/>
        <v>54.66</v>
      </c>
      <c r="AA1417" s="326">
        <f t="shared" si="246"/>
        <v>26.940000000000005</v>
      </c>
      <c r="AB1417" s="28" t="s">
        <v>140</v>
      </c>
      <c r="AC1417" s="28">
        <v>6.5</v>
      </c>
      <c r="AD1417" s="28">
        <f t="shared" si="247"/>
        <v>0.52804444444444432</v>
      </c>
      <c r="AF1417" s="28" t="s">
        <v>1354</v>
      </c>
      <c r="AG1417" s="28" t="s">
        <v>636</v>
      </c>
      <c r="AH1417" s="138" t="s">
        <v>636</v>
      </c>
      <c r="AI1417" s="28" t="s">
        <v>133</v>
      </c>
      <c r="AJ1417" s="141" t="s">
        <v>1625</v>
      </c>
      <c r="AK1417" s="28" t="s">
        <v>976</v>
      </c>
      <c r="AL1417" s="28" t="s">
        <v>976</v>
      </c>
      <c r="AM1417" s="28" t="s">
        <v>178</v>
      </c>
      <c r="AN1417" s="28" t="s">
        <v>488</v>
      </c>
      <c r="AO1417" s="28" t="s">
        <v>973</v>
      </c>
      <c r="AP1417" s="28" t="s">
        <v>503</v>
      </c>
      <c r="AQ1417" s="28" t="s">
        <v>972</v>
      </c>
      <c r="AR1417" s="28" t="s">
        <v>972</v>
      </c>
      <c r="AS1417" s="28" t="s">
        <v>178</v>
      </c>
      <c r="AT1417" s="28" t="s">
        <v>161</v>
      </c>
      <c r="AU1417" s="28">
        <v>6</v>
      </c>
      <c r="AW1417" s="28" t="s">
        <v>142</v>
      </c>
      <c r="BH1417" s="28">
        <v>6770</v>
      </c>
      <c r="BI1417" s="28">
        <v>8720</v>
      </c>
      <c r="BL1417" s="28" t="s">
        <v>133</v>
      </c>
      <c r="BM1417" s="401">
        <v>1.57</v>
      </c>
      <c r="BN1417" s="401">
        <v>1.62</v>
      </c>
      <c r="BR1417" s="401">
        <f>9.61*(1/(100*100*0.1*1.57))*100</f>
        <v>0.61210191082802534</v>
      </c>
      <c r="BS1417" s="401">
        <f>9.42*(1/(100*100*0.1*1.62))*100</f>
        <v>0.58148148148148149</v>
      </c>
      <c r="BV1417" s="28" t="s">
        <v>1680</v>
      </c>
    </row>
    <row r="1418" spans="1:249" s="28" customFormat="1" x14ac:dyDescent="0.25">
      <c r="A1418" s="28">
        <v>64</v>
      </c>
      <c r="B1418" s="28" t="s">
        <v>968</v>
      </c>
      <c r="C1418" s="28" t="s">
        <v>969</v>
      </c>
      <c r="D1418" s="28">
        <v>2005</v>
      </c>
      <c r="E1418" s="28">
        <v>2002</v>
      </c>
      <c r="F1418" s="28" t="s">
        <v>330</v>
      </c>
      <c r="G1418" s="28" t="s">
        <v>971</v>
      </c>
      <c r="H1418" s="32" t="s">
        <v>2831</v>
      </c>
      <c r="I1418" s="28">
        <f t="shared" si="242"/>
        <v>32.416666666666664</v>
      </c>
      <c r="J1418" s="28">
        <f t="shared" si="243"/>
        <v>-85.6</v>
      </c>
      <c r="K1418" s="28">
        <f t="shared" si="244"/>
        <v>69.47999999999999</v>
      </c>
      <c r="Q1418" s="46" t="s">
        <v>1735</v>
      </c>
      <c r="R1418" s="46" t="s">
        <v>1867</v>
      </c>
      <c r="T1418" s="46" t="s">
        <v>2003</v>
      </c>
      <c r="U1418" s="46" t="s">
        <v>1394</v>
      </c>
      <c r="V1418" s="46" t="s">
        <v>1724</v>
      </c>
      <c r="W1418" s="46" t="s">
        <v>1398</v>
      </c>
      <c r="X1418" s="46" t="s">
        <v>1393</v>
      </c>
      <c r="Y1418" s="28">
        <v>1.5</v>
      </c>
      <c r="Z1418" s="326">
        <f t="shared" si="245"/>
        <v>54.66</v>
      </c>
      <c r="AA1418" s="326">
        <f t="shared" si="246"/>
        <v>26.940000000000005</v>
      </c>
      <c r="AB1418" s="28" t="s">
        <v>140</v>
      </c>
      <c r="AC1418" s="28">
        <v>6.5</v>
      </c>
      <c r="AD1418" s="28">
        <f t="shared" si="247"/>
        <v>0.52804444444444432</v>
      </c>
      <c r="AF1418" s="28" t="s">
        <v>1354</v>
      </c>
      <c r="AG1418" s="28" t="s">
        <v>636</v>
      </c>
      <c r="AH1418" s="138" t="s">
        <v>636</v>
      </c>
      <c r="AI1418" s="28" t="s">
        <v>585</v>
      </c>
      <c r="AJ1418" s="141" t="s">
        <v>1625</v>
      </c>
      <c r="AK1418" s="28" t="s">
        <v>976</v>
      </c>
      <c r="AL1418" s="28" t="s">
        <v>976</v>
      </c>
      <c r="AM1418" s="28" t="s">
        <v>178</v>
      </c>
      <c r="AN1418" s="28" t="s">
        <v>488</v>
      </c>
      <c r="AO1418" s="28" t="s">
        <v>973</v>
      </c>
      <c r="AP1418" s="28" t="s">
        <v>503</v>
      </c>
      <c r="AQ1418" s="28" t="s">
        <v>972</v>
      </c>
      <c r="AR1418" s="28" t="s">
        <v>972</v>
      </c>
      <c r="AS1418" s="28" t="s">
        <v>178</v>
      </c>
      <c r="AT1418" s="28" t="s">
        <v>161</v>
      </c>
      <c r="AU1418" s="28">
        <v>6</v>
      </c>
      <c r="AW1418" s="28" t="s">
        <v>142</v>
      </c>
      <c r="BM1418" s="401">
        <v>1.59</v>
      </c>
      <c r="BN1418" s="401">
        <v>1.57</v>
      </c>
      <c r="BR1418" s="401">
        <f>8.77*(1/(100*100*0.15*1.59))*100</f>
        <v>0.36771488469601671</v>
      </c>
      <c r="BS1418" s="401">
        <f>9.08*(1/(100*100*0.15*1.57))*100</f>
        <v>0.38556263269639068</v>
      </c>
      <c r="BV1418" s="28" t="s">
        <v>1680</v>
      </c>
    </row>
    <row r="1419" spans="1:249" s="21" customFormat="1" x14ac:dyDescent="0.25">
      <c r="A1419" s="21">
        <v>64</v>
      </c>
      <c r="B1419" s="21" t="s">
        <v>968</v>
      </c>
      <c r="C1419" s="21" t="s">
        <v>969</v>
      </c>
      <c r="D1419" s="21">
        <v>2005</v>
      </c>
      <c r="E1419" s="21">
        <v>2001</v>
      </c>
      <c r="F1419" s="21" t="s">
        <v>330</v>
      </c>
      <c r="G1419" s="21" t="s">
        <v>971</v>
      </c>
      <c r="H1419" s="32" t="s">
        <v>2831</v>
      </c>
      <c r="I1419" s="21">
        <f t="shared" si="242"/>
        <v>32.416666666666664</v>
      </c>
      <c r="J1419" s="21">
        <f t="shared" si="243"/>
        <v>-85.6</v>
      </c>
      <c r="K1419" s="21">
        <v>69.47999999999999</v>
      </c>
      <c r="Q1419" s="43" t="s">
        <v>1856</v>
      </c>
      <c r="R1419" s="43" t="s">
        <v>1867</v>
      </c>
      <c r="T1419" s="43" t="s">
        <v>2003</v>
      </c>
      <c r="U1419" s="43" t="s">
        <v>1393</v>
      </c>
      <c r="V1419" s="43" t="s">
        <v>1727</v>
      </c>
      <c r="W1419" s="43" t="s">
        <v>1398</v>
      </c>
      <c r="X1419" s="43" t="s">
        <v>1393</v>
      </c>
      <c r="Y1419" s="21">
        <v>1.5</v>
      </c>
      <c r="Z1419" s="322">
        <v>54.66</v>
      </c>
      <c r="AA1419" s="322">
        <v>26.940000000000005</v>
      </c>
      <c r="AB1419" s="21" t="s">
        <v>140</v>
      </c>
      <c r="AC1419" s="21">
        <v>6.5</v>
      </c>
      <c r="AD1419" s="21">
        <v>0.52804444444444432</v>
      </c>
      <c r="AF1419" s="21" t="s">
        <v>1354</v>
      </c>
      <c r="AG1419" s="21" t="s">
        <v>636</v>
      </c>
      <c r="AH1419" s="138" t="s">
        <v>636</v>
      </c>
      <c r="AI1419" s="21" t="s">
        <v>133</v>
      </c>
      <c r="AJ1419" s="141" t="s">
        <v>1625</v>
      </c>
      <c r="AK1419" s="21" t="s">
        <v>976</v>
      </c>
      <c r="AL1419" s="21" t="s">
        <v>976</v>
      </c>
      <c r="AM1419" s="21" t="s">
        <v>178</v>
      </c>
      <c r="AN1419" s="21" t="s">
        <v>488</v>
      </c>
      <c r="AO1419" s="21" t="s">
        <v>973</v>
      </c>
      <c r="AP1419" s="21" t="s">
        <v>503</v>
      </c>
      <c r="AQ1419" s="21" t="s">
        <v>974</v>
      </c>
      <c r="AR1419" s="21" t="s">
        <v>977</v>
      </c>
      <c r="AS1419" s="21" t="s">
        <v>178</v>
      </c>
      <c r="AT1419" s="21" t="s">
        <v>161</v>
      </c>
      <c r="AU1419" s="21">
        <v>6</v>
      </c>
      <c r="AW1419" s="21" t="s">
        <v>142</v>
      </c>
      <c r="BH1419" s="21">
        <v>9990</v>
      </c>
      <c r="BI1419" s="21">
        <v>10010</v>
      </c>
      <c r="BL1419" s="21" t="s">
        <v>133</v>
      </c>
      <c r="BM1419" s="396"/>
      <c r="BN1419" s="396"/>
      <c r="BR1419" s="396"/>
      <c r="BS1419" s="396"/>
    </row>
    <row r="1420" spans="1:249" s="21" customFormat="1" x14ac:dyDescent="0.25">
      <c r="A1420" s="21">
        <v>64</v>
      </c>
      <c r="B1420" s="21" t="s">
        <v>968</v>
      </c>
      <c r="C1420" s="21" t="s">
        <v>969</v>
      </c>
      <c r="D1420" s="21">
        <v>2005</v>
      </c>
      <c r="E1420" s="21">
        <v>2001</v>
      </c>
      <c r="F1420" s="21" t="s">
        <v>330</v>
      </c>
      <c r="G1420" s="21" t="s">
        <v>971</v>
      </c>
      <c r="H1420" s="32" t="s">
        <v>2831</v>
      </c>
      <c r="I1420" s="21">
        <f t="shared" si="242"/>
        <v>32.416666666666664</v>
      </c>
      <c r="J1420" s="21">
        <f t="shared" si="243"/>
        <v>-85.6</v>
      </c>
      <c r="K1420" s="21">
        <v>69.47999999999999</v>
      </c>
      <c r="Q1420" s="43" t="s">
        <v>1856</v>
      </c>
      <c r="R1420" s="43" t="s">
        <v>1867</v>
      </c>
      <c r="T1420" s="43" t="s">
        <v>2003</v>
      </c>
      <c r="U1420" s="43" t="s">
        <v>1393</v>
      </c>
      <c r="V1420" s="43" t="s">
        <v>1727</v>
      </c>
      <c r="W1420" s="43" t="s">
        <v>1398</v>
      </c>
      <c r="X1420" s="43" t="s">
        <v>1393</v>
      </c>
      <c r="Y1420" s="21">
        <v>1.5</v>
      </c>
      <c r="Z1420" s="322">
        <v>54.66</v>
      </c>
      <c r="AA1420" s="322">
        <v>26.940000000000005</v>
      </c>
      <c r="AB1420" s="21" t="s">
        <v>140</v>
      </c>
      <c r="AC1420" s="21">
        <v>6.5</v>
      </c>
      <c r="AD1420" s="21">
        <v>0.52804444444444432</v>
      </c>
      <c r="AF1420" s="21" t="s">
        <v>1354</v>
      </c>
      <c r="AG1420" s="21" t="s">
        <v>636</v>
      </c>
      <c r="AH1420" s="138" t="s">
        <v>636</v>
      </c>
      <c r="AI1420" s="21" t="s">
        <v>585</v>
      </c>
      <c r="AJ1420" s="141" t="s">
        <v>1625</v>
      </c>
      <c r="AK1420" s="21" t="s">
        <v>976</v>
      </c>
      <c r="AL1420" s="21" t="s">
        <v>976</v>
      </c>
      <c r="AM1420" s="21" t="s">
        <v>178</v>
      </c>
      <c r="AN1420" s="21" t="s">
        <v>488</v>
      </c>
      <c r="AO1420" s="21" t="s">
        <v>973</v>
      </c>
      <c r="AP1420" s="21" t="s">
        <v>503</v>
      </c>
      <c r="AQ1420" s="21" t="s">
        <v>974</v>
      </c>
      <c r="AR1420" s="21" t="s">
        <v>977</v>
      </c>
      <c r="AS1420" s="21" t="s">
        <v>178</v>
      </c>
      <c r="AT1420" s="21" t="s">
        <v>161</v>
      </c>
      <c r="AU1420" s="21">
        <v>6</v>
      </c>
      <c r="AW1420" s="21" t="s">
        <v>142</v>
      </c>
      <c r="BH1420" s="21">
        <v>2900</v>
      </c>
      <c r="BI1420" s="21">
        <v>3140</v>
      </c>
      <c r="BL1420" s="21" t="s">
        <v>585</v>
      </c>
      <c r="BM1420" s="396"/>
      <c r="BN1420" s="396"/>
      <c r="BR1420" s="396"/>
      <c r="BS1420" s="396"/>
    </row>
    <row r="1421" spans="1:249" s="21" customFormat="1" x14ac:dyDescent="0.25">
      <c r="A1421" s="21">
        <v>64</v>
      </c>
      <c r="B1421" s="21" t="s">
        <v>968</v>
      </c>
      <c r="C1421" s="21" t="s">
        <v>969</v>
      </c>
      <c r="D1421" s="21">
        <v>2005</v>
      </c>
      <c r="E1421" s="21">
        <v>2002</v>
      </c>
      <c r="F1421" s="21" t="s">
        <v>330</v>
      </c>
      <c r="G1421" s="21" t="s">
        <v>971</v>
      </c>
      <c r="H1421" s="32" t="s">
        <v>2831</v>
      </c>
      <c r="I1421" s="21">
        <f t="shared" si="242"/>
        <v>32.416666666666664</v>
      </c>
      <c r="J1421" s="21">
        <f t="shared" si="243"/>
        <v>-85.6</v>
      </c>
      <c r="K1421" s="21">
        <v>69.47999999999999</v>
      </c>
      <c r="Q1421" s="43" t="s">
        <v>1735</v>
      </c>
      <c r="R1421" s="43" t="s">
        <v>1867</v>
      </c>
      <c r="T1421" s="43" t="s">
        <v>2003</v>
      </c>
      <c r="U1421" s="43" t="s">
        <v>1398</v>
      </c>
      <c r="V1421" s="43" t="s">
        <v>1729</v>
      </c>
      <c r="W1421" s="43" t="s">
        <v>1398</v>
      </c>
      <c r="X1421" s="43" t="s">
        <v>1393</v>
      </c>
      <c r="Y1421" s="21">
        <v>1.5</v>
      </c>
      <c r="Z1421" s="322">
        <v>54.66</v>
      </c>
      <c r="AA1421" s="322">
        <v>26.940000000000005</v>
      </c>
      <c r="AB1421" s="21" t="s">
        <v>140</v>
      </c>
      <c r="AC1421" s="21">
        <v>6.5</v>
      </c>
      <c r="AD1421" s="21">
        <v>0.52804444444444432</v>
      </c>
      <c r="AF1421" s="21" t="s">
        <v>1354</v>
      </c>
      <c r="AG1421" s="21" t="s">
        <v>636</v>
      </c>
      <c r="AH1421" s="138" t="s">
        <v>636</v>
      </c>
      <c r="AI1421" s="21" t="s">
        <v>585</v>
      </c>
      <c r="AJ1421" s="141" t="s">
        <v>1625</v>
      </c>
      <c r="AK1421" s="21" t="s">
        <v>976</v>
      </c>
      <c r="AL1421" s="21" t="s">
        <v>976</v>
      </c>
      <c r="AM1421" s="21" t="s">
        <v>178</v>
      </c>
      <c r="AN1421" s="21" t="s">
        <v>488</v>
      </c>
      <c r="AO1421" s="21" t="s">
        <v>973</v>
      </c>
      <c r="AP1421" s="21" t="s">
        <v>503</v>
      </c>
      <c r="AQ1421" s="21" t="s">
        <v>974</v>
      </c>
      <c r="AR1421" s="21" t="s">
        <v>977</v>
      </c>
      <c r="AS1421" s="21" t="s">
        <v>178</v>
      </c>
      <c r="AT1421" s="21" t="s">
        <v>161</v>
      </c>
      <c r="AU1421" s="21">
        <v>6</v>
      </c>
      <c r="AW1421" s="21" t="s">
        <v>142</v>
      </c>
      <c r="BH1421" s="21">
        <v>1350</v>
      </c>
      <c r="BI1421" s="21">
        <v>1630</v>
      </c>
      <c r="BL1421" s="21" t="s">
        <v>585</v>
      </c>
      <c r="BM1421" s="396">
        <v>1.28</v>
      </c>
      <c r="BN1421" s="396">
        <v>1.3</v>
      </c>
      <c r="BR1421" s="396">
        <f>7.32*(1/(100*100*0.05*1.28))*100</f>
        <v>1.14375</v>
      </c>
      <c r="BS1421" s="396">
        <f>12.91*(1/(100*100*0.05*1.3))*100</f>
        <v>1.9861538461538462</v>
      </c>
      <c r="BV1421" s="21" t="s">
        <v>1680</v>
      </c>
    </row>
    <row r="1422" spans="1:249" s="21" customFormat="1" x14ac:dyDescent="0.25">
      <c r="A1422" s="21">
        <v>64</v>
      </c>
      <c r="B1422" s="21" t="s">
        <v>968</v>
      </c>
      <c r="C1422" s="21" t="s">
        <v>969</v>
      </c>
      <c r="D1422" s="21">
        <v>2005</v>
      </c>
      <c r="E1422" s="21">
        <v>2002</v>
      </c>
      <c r="F1422" s="21" t="s">
        <v>330</v>
      </c>
      <c r="G1422" s="21" t="s">
        <v>971</v>
      </c>
      <c r="H1422" s="32" t="s">
        <v>2831</v>
      </c>
      <c r="I1422" s="21">
        <f t="shared" si="242"/>
        <v>32.416666666666664</v>
      </c>
      <c r="J1422" s="21">
        <f t="shared" si="243"/>
        <v>-85.6</v>
      </c>
      <c r="K1422" s="21">
        <v>69.47999999999999</v>
      </c>
      <c r="Q1422" s="43" t="s">
        <v>1735</v>
      </c>
      <c r="R1422" s="43" t="s">
        <v>1867</v>
      </c>
      <c r="T1422" s="43" t="s">
        <v>2003</v>
      </c>
      <c r="U1422" s="43" t="s">
        <v>1416</v>
      </c>
      <c r="V1422" s="43" t="s">
        <v>1726</v>
      </c>
      <c r="W1422" s="43" t="s">
        <v>1398</v>
      </c>
      <c r="X1422" s="43" t="s">
        <v>1393</v>
      </c>
      <c r="Y1422" s="21">
        <v>1.5</v>
      </c>
      <c r="Z1422" s="322">
        <v>54.66</v>
      </c>
      <c r="AA1422" s="322">
        <v>26.940000000000005</v>
      </c>
      <c r="AB1422" s="21" t="s">
        <v>140</v>
      </c>
      <c r="AC1422" s="21">
        <v>6.5</v>
      </c>
      <c r="AD1422" s="21">
        <v>0.52804444444444432</v>
      </c>
      <c r="AF1422" s="21" t="s">
        <v>1354</v>
      </c>
      <c r="AG1422" s="21" t="s">
        <v>636</v>
      </c>
      <c r="AH1422" s="138" t="s">
        <v>636</v>
      </c>
      <c r="AI1422" s="21" t="s">
        <v>133</v>
      </c>
      <c r="AJ1422" s="141" t="s">
        <v>1625</v>
      </c>
      <c r="AK1422" s="21" t="s">
        <v>976</v>
      </c>
      <c r="AL1422" s="21" t="s">
        <v>976</v>
      </c>
      <c r="AM1422" s="21" t="s">
        <v>178</v>
      </c>
      <c r="AN1422" s="21" t="s">
        <v>488</v>
      </c>
      <c r="AO1422" s="21" t="s">
        <v>973</v>
      </c>
      <c r="AP1422" s="21" t="s">
        <v>503</v>
      </c>
      <c r="AQ1422" s="21" t="s">
        <v>974</v>
      </c>
      <c r="AR1422" s="21" t="s">
        <v>977</v>
      </c>
      <c r="AS1422" s="21" t="s">
        <v>178</v>
      </c>
      <c r="AT1422" s="21" t="s">
        <v>161</v>
      </c>
      <c r="AU1422" s="21">
        <v>6</v>
      </c>
      <c r="AW1422" s="21" t="s">
        <v>142</v>
      </c>
      <c r="BH1422" s="21">
        <v>6640</v>
      </c>
      <c r="BI1422" s="21">
        <v>9040</v>
      </c>
      <c r="BL1422" s="21" t="s">
        <v>133</v>
      </c>
      <c r="BM1422" s="396">
        <v>1.52</v>
      </c>
      <c r="BN1422" s="396">
        <v>1.62</v>
      </c>
      <c r="BR1422" s="396">
        <f>11.78*(1/(100*100*0.1*1.52))*100</f>
        <v>0.77499999999999991</v>
      </c>
      <c r="BS1422" s="396">
        <f>9.74*(1/(100*100*0.1*1.62))*100</f>
        <v>0.60123456790123464</v>
      </c>
      <c r="BV1422" s="21" t="s">
        <v>1680</v>
      </c>
    </row>
    <row r="1423" spans="1:249" s="21" customFormat="1" x14ac:dyDescent="0.25">
      <c r="A1423" s="21">
        <v>64</v>
      </c>
      <c r="B1423" s="21" t="s">
        <v>968</v>
      </c>
      <c r="C1423" s="21" t="s">
        <v>969</v>
      </c>
      <c r="D1423" s="21">
        <v>2005</v>
      </c>
      <c r="E1423" s="21">
        <v>2002</v>
      </c>
      <c r="F1423" s="21" t="s">
        <v>330</v>
      </c>
      <c r="G1423" s="21" t="s">
        <v>971</v>
      </c>
      <c r="H1423" s="32" t="s">
        <v>2831</v>
      </c>
      <c r="I1423" s="21">
        <f t="shared" si="242"/>
        <v>32.416666666666664</v>
      </c>
      <c r="J1423" s="21">
        <f t="shared" si="243"/>
        <v>-85.6</v>
      </c>
      <c r="K1423" s="21">
        <v>69.47999999999999</v>
      </c>
      <c r="Q1423" s="43" t="s">
        <v>1735</v>
      </c>
      <c r="R1423" s="43" t="s">
        <v>1867</v>
      </c>
      <c r="T1423" s="43" t="s">
        <v>2003</v>
      </c>
      <c r="U1423" s="43" t="s">
        <v>1394</v>
      </c>
      <c r="V1423" s="43" t="s">
        <v>1724</v>
      </c>
      <c r="W1423" s="43" t="s">
        <v>1398</v>
      </c>
      <c r="X1423" s="43" t="s">
        <v>1393</v>
      </c>
      <c r="Y1423" s="21">
        <v>1.5</v>
      </c>
      <c r="Z1423" s="322">
        <v>54.66</v>
      </c>
      <c r="AA1423" s="322">
        <v>26.940000000000005</v>
      </c>
      <c r="AB1423" s="21" t="s">
        <v>140</v>
      </c>
      <c r="AC1423" s="21">
        <v>6.5</v>
      </c>
      <c r="AD1423" s="21">
        <v>0.52804444444444432</v>
      </c>
      <c r="AF1423" s="21" t="s">
        <v>1354</v>
      </c>
      <c r="AG1423" s="21" t="s">
        <v>636</v>
      </c>
      <c r="AH1423" s="138" t="s">
        <v>636</v>
      </c>
      <c r="AI1423" s="21" t="s">
        <v>585</v>
      </c>
      <c r="AJ1423" s="141" t="s">
        <v>1625</v>
      </c>
      <c r="AK1423" s="21" t="s">
        <v>976</v>
      </c>
      <c r="AL1423" s="21" t="s">
        <v>976</v>
      </c>
      <c r="AM1423" s="21" t="s">
        <v>178</v>
      </c>
      <c r="AN1423" s="21" t="s">
        <v>488</v>
      </c>
      <c r="AO1423" s="21" t="s">
        <v>973</v>
      </c>
      <c r="AP1423" s="21" t="s">
        <v>503</v>
      </c>
      <c r="AQ1423" s="21" t="s">
        <v>974</v>
      </c>
      <c r="AR1423" s="21" t="s">
        <v>977</v>
      </c>
      <c r="AS1423" s="21" t="s">
        <v>178</v>
      </c>
      <c r="AT1423" s="21" t="s">
        <v>161</v>
      </c>
      <c r="AU1423" s="21">
        <v>6</v>
      </c>
      <c r="AW1423" s="21" t="s">
        <v>142</v>
      </c>
      <c r="BM1423" s="396">
        <v>1.6</v>
      </c>
      <c r="BN1423" s="396">
        <v>1.59</v>
      </c>
      <c r="BR1423" s="396">
        <f>9.9*(1/(100*100*0.15*1.6))*100</f>
        <v>0.41250000000000003</v>
      </c>
      <c r="BS1423" s="396">
        <f>9.93*(1/(100*100*0.15*1.59))*100</f>
        <v>0.41635220125786165</v>
      </c>
      <c r="BV1423" s="21" t="s">
        <v>1680</v>
      </c>
    </row>
    <row r="1424" spans="1:249" s="24" customFormat="1" x14ac:dyDescent="0.25">
      <c r="A1424" s="24">
        <v>65</v>
      </c>
      <c r="B1424" s="24" t="s">
        <v>982</v>
      </c>
      <c r="C1424" s="24" t="s">
        <v>981</v>
      </c>
      <c r="D1424" s="24">
        <v>1998</v>
      </c>
      <c r="E1424" s="24">
        <v>1992</v>
      </c>
      <c r="F1424" s="24" t="s">
        <v>980</v>
      </c>
      <c r="G1424" s="24" t="s">
        <v>983</v>
      </c>
      <c r="H1424" s="32" t="s">
        <v>2831</v>
      </c>
      <c r="I1424" s="24">
        <v>45.28</v>
      </c>
      <c r="J1424" s="24">
        <v>-122.75</v>
      </c>
      <c r="K1424" s="24">
        <v>48</v>
      </c>
      <c r="Q1424" s="42">
        <v>1</v>
      </c>
      <c r="R1424" s="42">
        <v>1</v>
      </c>
      <c r="S1424" s="42" t="s">
        <v>866</v>
      </c>
      <c r="T1424" s="42" t="s">
        <v>883</v>
      </c>
      <c r="U1424" s="42" t="s">
        <v>1417</v>
      </c>
      <c r="V1424" s="42" t="s">
        <v>1737</v>
      </c>
      <c r="W1424" s="42" t="s">
        <v>1403</v>
      </c>
      <c r="X1424" s="42" t="s">
        <v>1421</v>
      </c>
      <c r="Z1424" s="321"/>
      <c r="AA1424" s="321"/>
      <c r="AB1424" s="24" t="s">
        <v>1612</v>
      </c>
      <c r="AG1424" s="24" t="s">
        <v>132</v>
      </c>
      <c r="AH1424" s="138" t="s">
        <v>132</v>
      </c>
      <c r="AI1424" s="24" t="s">
        <v>1605</v>
      </c>
      <c r="AJ1424" s="140" t="s">
        <v>1605</v>
      </c>
      <c r="AT1424" s="24" t="s">
        <v>120</v>
      </c>
      <c r="BM1424" s="395"/>
      <c r="BN1424" s="395"/>
      <c r="BR1424" s="395"/>
      <c r="BS1424" s="395"/>
      <c r="EO1424" s="24">
        <v>16.93</v>
      </c>
      <c r="EP1424" s="24">
        <v>20.77</v>
      </c>
      <c r="ES1424" s="24" t="s">
        <v>1691</v>
      </c>
    </row>
    <row r="1425" spans="1:149" s="24" customFormat="1" x14ac:dyDescent="0.25">
      <c r="A1425" s="24">
        <v>65</v>
      </c>
      <c r="B1425" s="24" t="s">
        <v>982</v>
      </c>
      <c r="C1425" s="24" t="s">
        <v>981</v>
      </c>
      <c r="D1425" s="24">
        <v>1998</v>
      </c>
      <c r="E1425" s="24">
        <v>1992</v>
      </c>
      <c r="F1425" s="24" t="s">
        <v>980</v>
      </c>
      <c r="G1425" s="24" t="s">
        <v>983</v>
      </c>
      <c r="H1425" s="32" t="s">
        <v>2831</v>
      </c>
      <c r="I1425" s="24">
        <v>45.28</v>
      </c>
      <c r="J1425" s="24">
        <v>-122.75</v>
      </c>
      <c r="K1425" s="24">
        <v>48</v>
      </c>
      <c r="Q1425" s="42">
        <v>1</v>
      </c>
      <c r="R1425" s="42">
        <v>1</v>
      </c>
      <c r="S1425" s="42" t="s">
        <v>866</v>
      </c>
      <c r="T1425" s="42" t="s">
        <v>984</v>
      </c>
      <c r="U1425" s="42" t="s">
        <v>1417</v>
      </c>
      <c r="V1425" s="42" t="s">
        <v>1737</v>
      </c>
      <c r="W1425" s="42" t="s">
        <v>1403</v>
      </c>
      <c r="X1425" s="42" t="s">
        <v>1421</v>
      </c>
      <c r="Z1425" s="321"/>
      <c r="AA1425" s="321"/>
      <c r="AB1425" s="24" t="s">
        <v>1612</v>
      </c>
      <c r="AG1425" s="24" t="s">
        <v>132</v>
      </c>
      <c r="AH1425" s="138" t="s">
        <v>132</v>
      </c>
      <c r="AI1425" s="24" t="s">
        <v>1605</v>
      </c>
      <c r="AJ1425" s="140" t="s">
        <v>1605</v>
      </c>
      <c r="AT1425" s="24" t="s">
        <v>120</v>
      </c>
      <c r="BM1425" s="395"/>
      <c r="BN1425" s="395"/>
      <c r="BR1425" s="395"/>
      <c r="BS1425" s="395"/>
      <c r="EO1425" s="24">
        <v>12.72</v>
      </c>
      <c r="EP1425" s="24">
        <v>8.36</v>
      </c>
      <c r="ES1425" s="24" t="s">
        <v>1691</v>
      </c>
    </row>
    <row r="1426" spans="1:149" s="24" customFormat="1" x14ac:dyDescent="0.25">
      <c r="A1426" s="24">
        <v>65</v>
      </c>
      <c r="B1426" s="24" t="s">
        <v>982</v>
      </c>
      <c r="C1426" s="24" t="s">
        <v>981</v>
      </c>
      <c r="D1426" s="24">
        <v>1998</v>
      </c>
      <c r="E1426" s="24">
        <v>1992</v>
      </c>
      <c r="F1426" s="24" t="s">
        <v>980</v>
      </c>
      <c r="G1426" s="24" t="s">
        <v>983</v>
      </c>
      <c r="H1426" s="32" t="s">
        <v>2831</v>
      </c>
      <c r="I1426" s="24">
        <v>45.28</v>
      </c>
      <c r="J1426" s="24">
        <v>-122.75</v>
      </c>
      <c r="K1426" s="24">
        <v>48</v>
      </c>
      <c r="Q1426" s="42">
        <v>1</v>
      </c>
      <c r="R1426" s="42">
        <v>1</v>
      </c>
      <c r="S1426" s="42" t="s">
        <v>866</v>
      </c>
      <c r="T1426" s="42" t="s">
        <v>884</v>
      </c>
      <c r="U1426" s="42" t="s">
        <v>1417</v>
      </c>
      <c r="V1426" s="42" t="s">
        <v>1737</v>
      </c>
      <c r="W1426" s="42" t="s">
        <v>1403</v>
      </c>
      <c r="X1426" s="42" t="s">
        <v>1421</v>
      </c>
      <c r="Z1426" s="321"/>
      <c r="AA1426" s="321"/>
      <c r="AB1426" s="24" t="s">
        <v>1612</v>
      </c>
      <c r="AG1426" s="24" t="s">
        <v>132</v>
      </c>
      <c r="AH1426" s="138" t="s">
        <v>132</v>
      </c>
      <c r="AI1426" s="24" t="s">
        <v>1605</v>
      </c>
      <c r="AJ1426" s="140" t="s">
        <v>1605</v>
      </c>
      <c r="AT1426" s="24" t="s">
        <v>120</v>
      </c>
      <c r="BM1426" s="395"/>
      <c r="BN1426" s="395"/>
      <c r="BR1426" s="395"/>
      <c r="BS1426" s="395"/>
      <c r="EO1426" s="24">
        <v>12.5</v>
      </c>
      <c r="EP1426" s="24">
        <v>10.35</v>
      </c>
      <c r="ES1426" s="24" t="s">
        <v>1691</v>
      </c>
    </row>
    <row r="1427" spans="1:149" s="32" customFormat="1" x14ac:dyDescent="0.25">
      <c r="A1427" s="32">
        <v>65</v>
      </c>
      <c r="B1427" s="32" t="s">
        <v>982</v>
      </c>
      <c r="C1427" s="32" t="s">
        <v>981</v>
      </c>
      <c r="D1427" s="32">
        <v>1998</v>
      </c>
      <c r="E1427" s="32">
        <v>1993</v>
      </c>
      <c r="F1427" s="32" t="s">
        <v>980</v>
      </c>
      <c r="G1427" s="32" t="s">
        <v>983</v>
      </c>
      <c r="H1427" s="32" t="s">
        <v>2831</v>
      </c>
      <c r="I1427" s="32">
        <v>45.28</v>
      </c>
      <c r="J1427" s="32">
        <v>-122.75</v>
      </c>
      <c r="K1427" s="32">
        <v>48</v>
      </c>
      <c r="Q1427" s="44">
        <v>2</v>
      </c>
      <c r="R1427" s="44">
        <v>2</v>
      </c>
      <c r="S1427" s="44" t="s">
        <v>866</v>
      </c>
      <c r="T1427" s="44" t="s">
        <v>885</v>
      </c>
      <c r="U1427" s="44" t="s">
        <v>1417</v>
      </c>
      <c r="V1427" s="44" t="s">
        <v>1737</v>
      </c>
      <c r="W1427" s="44" t="s">
        <v>1403</v>
      </c>
      <c r="X1427" s="44" t="s">
        <v>1421</v>
      </c>
      <c r="Z1427" s="323"/>
      <c r="AA1427" s="323"/>
      <c r="AB1427" s="32" t="s">
        <v>1612</v>
      </c>
      <c r="AG1427" s="32" t="s">
        <v>132</v>
      </c>
      <c r="AH1427" s="138" t="s">
        <v>132</v>
      </c>
      <c r="AI1427" s="32" t="s">
        <v>1605</v>
      </c>
      <c r="AJ1427" s="140" t="s">
        <v>1605</v>
      </c>
      <c r="AT1427" s="32" t="s">
        <v>120</v>
      </c>
      <c r="BM1427" s="397"/>
      <c r="BN1427" s="397"/>
      <c r="BR1427" s="397"/>
      <c r="BS1427" s="397"/>
      <c r="EO1427" s="32">
        <v>13.26</v>
      </c>
      <c r="EP1427" s="32">
        <v>8.43</v>
      </c>
      <c r="ES1427" s="32" t="s">
        <v>1691</v>
      </c>
    </row>
    <row r="1428" spans="1:149" s="32" customFormat="1" x14ac:dyDescent="0.25">
      <c r="A1428" s="32">
        <v>65</v>
      </c>
      <c r="B1428" s="32" t="s">
        <v>982</v>
      </c>
      <c r="C1428" s="32" t="s">
        <v>981</v>
      </c>
      <c r="D1428" s="32">
        <v>1998</v>
      </c>
      <c r="E1428" s="32">
        <v>1993</v>
      </c>
      <c r="F1428" s="32" t="s">
        <v>980</v>
      </c>
      <c r="G1428" s="32" t="s">
        <v>983</v>
      </c>
      <c r="H1428" s="32" t="s">
        <v>2831</v>
      </c>
      <c r="I1428" s="32">
        <v>45.28</v>
      </c>
      <c r="J1428" s="32">
        <v>-122.75</v>
      </c>
      <c r="K1428" s="32">
        <v>48</v>
      </c>
      <c r="Q1428" s="44">
        <v>2</v>
      </c>
      <c r="R1428" s="44">
        <v>2</v>
      </c>
      <c r="S1428" s="44" t="s">
        <v>866</v>
      </c>
      <c r="T1428" s="44" t="s">
        <v>985</v>
      </c>
      <c r="U1428" s="44" t="s">
        <v>1417</v>
      </c>
      <c r="V1428" s="44" t="s">
        <v>1737</v>
      </c>
      <c r="W1428" s="44" t="s">
        <v>1403</v>
      </c>
      <c r="X1428" s="44" t="s">
        <v>1421</v>
      </c>
      <c r="Z1428" s="323"/>
      <c r="AA1428" s="323"/>
      <c r="AB1428" s="32" t="s">
        <v>1612</v>
      </c>
      <c r="AG1428" s="32" t="s">
        <v>132</v>
      </c>
      <c r="AH1428" s="138" t="s">
        <v>132</v>
      </c>
      <c r="AI1428" s="32" t="s">
        <v>1605</v>
      </c>
      <c r="AJ1428" s="140" t="s">
        <v>1605</v>
      </c>
      <c r="AT1428" s="32" t="s">
        <v>120</v>
      </c>
      <c r="BM1428" s="397"/>
      <c r="BN1428" s="397"/>
      <c r="BR1428" s="397"/>
      <c r="BS1428" s="397"/>
      <c r="EO1428" s="32">
        <v>15.18</v>
      </c>
      <c r="EP1428" s="32">
        <v>8.36</v>
      </c>
      <c r="ES1428" s="32" t="s">
        <v>1691</v>
      </c>
    </row>
    <row r="1429" spans="1:149" s="32" customFormat="1" x14ac:dyDescent="0.25">
      <c r="A1429" s="32">
        <v>65</v>
      </c>
      <c r="B1429" s="32" t="s">
        <v>982</v>
      </c>
      <c r="C1429" s="32" t="s">
        <v>981</v>
      </c>
      <c r="D1429" s="32">
        <v>1998</v>
      </c>
      <c r="E1429" s="32">
        <v>1993</v>
      </c>
      <c r="F1429" s="32" t="s">
        <v>980</v>
      </c>
      <c r="G1429" s="32" t="s">
        <v>983</v>
      </c>
      <c r="H1429" s="32" t="s">
        <v>2831</v>
      </c>
      <c r="I1429" s="32">
        <v>45.28</v>
      </c>
      <c r="J1429" s="32">
        <v>-122.75</v>
      </c>
      <c r="K1429" s="32">
        <v>48</v>
      </c>
      <c r="Q1429" s="44">
        <v>2</v>
      </c>
      <c r="R1429" s="44">
        <v>2</v>
      </c>
      <c r="S1429" s="44" t="s">
        <v>866</v>
      </c>
      <c r="T1429" s="44" t="s">
        <v>986</v>
      </c>
      <c r="U1429" s="44" t="s">
        <v>1417</v>
      </c>
      <c r="V1429" s="44" t="s">
        <v>1737</v>
      </c>
      <c r="W1429" s="44" t="s">
        <v>1403</v>
      </c>
      <c r="X1429" s="44" t="s">
        <v>1421</v>
      </c>
      <c r="Z1429" s="323"/>
      <c r="AA1429" s="323"/>
      <c r="AB1429" s="32" t="s">
        <v>1612</v>
      </c>
      <c r="AG1429" s="32" t="s">
        <v>132</v>
      </c>
      <c r="AH1429" s="138" t="s">
        <v>132</v>
      </c>
      <c r="AI1429" s="32" t="s">
        <v>1605</v>
      </c>
      <c r="AJ1429" s="140" t="s">
        <v>1605</v>
      </c>
      <c r="AT1429" s="32" t="s">
        <v>120</v>
      </c>
      <c r="BM1429" s="397"/>
      <c r="BN1429" s="397"/>
      <c r="BR1429" s="397"/>
      <c r="BS1429" s="397"/>
      <c r="EO1429" s="32">
        <v>12.88</v>
      </c>
      <c r="EP1429" s="32">
        <v>7.21</v>
      </c>
      <c r="ES1429" s="32" t="s">
        <v>1691</v>
      </c>
    </row>
    <row r="1430" spans="1:149" s="32" customFormat="1" x14ac:dyDescent="0.25">
      <c r="A1430" s="32">
        <v>65</v>
      </c>
      <c r="B1430" s="32" t="s">
        <v>982</v>
      </c>
      <c r="C1430" s="32" t="s">
        <v>981</v>
      </c>
      <c r="D1430" s="32">
        <v>1998</v>
      </c>
      <c r="E1430" s="32">
        <v>1993</v>
      </c>
      <c r="F1430" s="32" t="s">
        <v>980</v>
      </c>
      <c r="G1430" s="32" t="s">
        <v>983</v>
      </c>
      <c r="H1430" s="32" t="s">
        <v>2831</v>
      </c>
      <c r="I1430" s="32">
        <v>45.28</v>
      </c>
      <c r="J1430" s="32">
        <v>-122.75</v>
      </c>
      <c r="K1430" s="32">
        <v>48</v>
      </c>
      <c r="Q1430" s="44">
        <v>2</v>
      </c>
      <c r="R1430" s="44">
        <v>2</v>
      </c>
      <c r="S1430" s="44" t="s">
        <v>866</v>
      </c>
      <c r="T1430" s="44" t="s">
        <v>781</v>
      </c>
      <c r="U1430" s="44" t="s">
        <v>1417</v>
      </c>
      <c r="V1430" s="44" t="s">
        <v>1737</v>
      </c>
      <c r="W1430" s="44" t="s">
        <v>1403</v>
      </c>
      <c r="X1430" s="44" t="s">
        <v>1421</v>
      </c>
      <c r="Z1430" s="323"/>
      <c r="AA1430" s="323"/>
      <c r="AB1430" s="32" t="s">
        <v>1612</v>
      </c>
      <c r="AG1430" s="32" t="s">
        <v>132</v>
      </c>
      <c r="AH1430" s="138" t="s">
        <v>132</v>
      </c>
      <c r="AI1430" s="32" t="s">
        <v>1605</v>
      </c>
      <c r="AJ1430" s="140" t="s">
        <v>1605</v>
      </c>
      <c r="AT1430" s="32" t="s">
        <v>120</v>
      </c>
      <c r="BM1430" s="397"/>
      <c r="BN1430" s="397"/>
      <c r="BR1430" s="397"/>
      <c r="BS1430" s="397"/>
      <c r="EO1430" s="32">
        <v>12.19</v>
      </c>
      <c r="EP1430" s="32">
        <v>3.92</v>
      </c>
      <c r="ES1430" s="32" t="s">
        <v>1691</v>
      </c>
    </row>
    <row r="1431" spans="1:149" s="32" customFormat="1" x14ac:dyDescent="0.25">
      <c r="A1431" s="32">
        <v>65</v>
      </c>
      <c r="B1431" s="32" t="s">
        <v>982</v>
      </c>
      <c r="C1431" s="32" t="s">
        <v>981</v>
      </c>
      <c r="D1431" s="32">
        <v>1998</v>
      </c>
      <c r="E1431" s="32">
        <v>1993</v>
      </c>
      <c r="F1431" s="32" t="s">
        <v>980</v>
      </c>
      <c r="G1431" s="32" t="s">
        <v>983</v>
      </c>
      <c r="H1431" s="32" t="s">
        <v>2831</v>
      </c>
      <c r="I1431" s="32">
        <v>45.28</v>
      </c>
      <c r="J1431" s="32">
        <v>-122.75</v>
      </c>
      <c r="K1431" s="32">
        <v>48</v>
      </c>
      <c r="Q1431" s="44">
        <v>2</v>
      </c>
      <c r="R1431" s="44">
        <v>2</v>
      </c>
      <c r="S1431" s="44" t="s">
        <v>866</v>
      </c>
      <c r="T1431" s="44" t="s">
        <v>202</v>
      </c>
      <c r="U1431" s="44" t="s">
        <v>1417</v>
      </c>
      <c r="V1431" s="44" t="s">
        <v>1737</v>
      </c>
      <c r="W1431" s="44" t="s">
        <v>1403</v>
      </c>
      <c r="X1431" s="44" t="s">
        <v>1421</v>
      </c>
      <c r="Z1431" s="323"/>
      <c r="AA1431" s="323"/>
      <c r="AB1431" s="32" t="s">
        <v>1612</v>
      </c>
      <c r="AG1431" s="32" t="s">
        <v>132</v>
      </c>
      <c r="AH1431" s="138" t="s">
        <v>132</v>
      </c>
      <c r="AI1431" s="32" t="s">
        <v>1605</v>
      </c>
      <c r="AJ1431" s="140" t="s">
        <v>1605</v>
      </c>
      <c r="AT1431" s="32" t="s">
        <v>120</v>
      </c>
      <c r="BM1431" s="397"/>
      <c r="BN1431" s="397"/>
      <c r="BR1431" s="397"/>
      <c r="BS1431" s="397"/>
      <c r="EO1431" s="32">
        <v>14.42</v>
      </c>
      <c r="EP1431" s="32">
        <v>5.91</v>
      </c>
      <c r="ES1431" s="32" t="s">
        <v>1691</v>
      </c>
    </row>
    <row r="1432" spans="1:149" s="32" customFormat="1" x14ac:dyDescent="0.25">
      <c r="A1432" s="32">
        <v>65</v>
      </c>
      <c r="B1432" s="32" t="s">
        <v>982</v>
      </c>
      <c r="C1432" s="32" t="s">
        <v>981</v>
      </c>
      <c r="D1432" s="32">
        <v>1998</v>
      </c>
      <c r="E1432" s="32">
        <v>1993</v>
      </c>
      <c r="F1432" s="32" t="s">
        <v>980</v>
      </c>
      <c r="G1432" s="32" t="s">
        <v>983</v>
      </c>
      <c r="H1432" s="32" t="s">
        <v>2831</v>
      </c>
      <c r="I1432" s="32">
        <v>45.28</v>
      </c>
      <c r="J1432" s="32">
        <v>-122.75</v>
      </c>
      <c r="K1432" s="32">
        <v>48</v>
      </c>
      <c r="Q1432" s="44">
        <v>2</v>
      </c>
      <c r="R1432" s="44">
        <v>2</v>
      </c>
      <c r="S1432" s="44" t="s">
        <v>866</v>
      </c>
      <c r="T1432" s="44" t="s">
        <v>597</v>
      </c>
      <c r="U1432" s="44" t="s">
        <v>1417</v>
      </c>
      <c r="V1432" s="44" t="s">
        <v>1737</v>
      </c>
      <c r="W1432" s="44" t="s">
        <v>1403</v>
      </c>
      <c r="X1432" s="44" t="s">
        <v>1421</v>
      </c>
      <c r="Z1432" s="323"/>
      <c r="AA1432" s="323"/>
      <c r="AB1432" s="32" t="s">
        <v>1612</v>
      </c>
      <c r="AG1432" s="32" t="s">
        <v>132</v>
      </c>
      <c r="AH1432" s="138" t="s">
        <v>132</v>
      </c>
      <c r="AI1432" s="32" t="s">
        <v>1605</v>
      </c>
      <c r="AJ1432" s="140" t="s">
        <v>1605</v>
      </c>
      <c r="AT1432" s="32" t="s">
        <v>120</v>
      </c>
      <c r="BM1432" s="397"/>
      <c r="BN1432" s="397"/>
      <c r="BR1432" s="397"/>
      <c r="BS1432" s="397"/>
      <c r="EO1432" s="32">
        <v>15.18</v>
      </c>
      <c r="EP1432" s="32">
        <v>5.37</v>
      </c>
      <c r="ES1432" s="32" t="s">
        <v>1691</v>
      </c>
    </row>
    <row r="1433" spans="1:149" s="32" customFormat="1" x14ac:dyDescent="0.25">
      <c r="A1433" s="32">
        <v>65</v>
      </c>
      <c r="B1433" s="32" t="s">
        <v>982</v>
      </c>
      <c r="C1433" s="32" t="s">
        <v>981</v>
      </c>
      <c r="D1433" s="32">
        <v>1998</v>
      </c>
      <c r="E1433" s="32">
        <v>1993</v>
      </c>
      <c r="F1433" s="32" t="s">
        <v>980</v>
      </c>
      <c r="G1433" s="32" t="s">
        <v>983</v>
      </c>
      <c r="H1433" s="32" t="s">
        <v>2831</v>
      </c>
      <c r="I1433" s="32">
        <v>45.28</v>
      </c>
      <c r="J1433" s="32">
        <v>-122.75</v>
      </c>
      <c r="K1433" s="32">
        <v>48</v>
      </c>
      <c r="Q1433" s="44">
        <v>2</v>
      </c>
      <c r="R1433" s="44">
        <v>2</v>
      </c>
      <c r="S1433" s="44" t="s">
        <v>866</v>
      </c>
      <c r="T1433" s="44" t="s">
        <v>227</v>
      </c>
      <c r="U1433" s="44" t="s">
        <v>1417</v>
      </c>
      <c r="V1433" s="44" t="s">
        <v>1737</v>
      </c>
      <c r="W1433" s="44" t="s">
        <v>1403</v>
      </c>
      <c r="X1433" s="44" t="s">
        <v>1421</v>
      </c>
      <c r="Z1433" s="323"/>
      <c r="AA1433" s="323"/>
      <c r="AB1433" s="32" t="s">
        <v>1612</v>
      </c>
      <c r="AG1433" s="32" t="s">
        <v>132</v>
      </c>
      <c r="AH1433" s="138" t="s">
        <v>132</v>
      </c>
      <c r="AI1433" s="32" t="s">
        <v>1605</v>
      </c>
      <c r="AJ1433" s="140" t="s">
        <v>1605</v>
      </c>
      <c r="AT1433" s="32" t="s">
        <v>120</v>
      </c>
      <c r="BM1433" s="397"/>
      <c r="BN1433" s="397"/>
      <c r="BR1433" s="397"/>
      <c r="BS1433" s="397"/>
      <c r="EO1433" s="32">
        <v>15.26</v>
      </c>
      <c r="EP1433" s="32">
        <v>6.75</v>
      </c>
      <c r="ES1433" s="32" t="s">
        <v>1691</v>
      </c>
    </row>
    <row r="1434" spans="1:149" s="32" customFormat="1" x14ac:dyDescent="0.25">
      <c r="A1434" s="32">
        <v>65</v>
      </c>
      <c r="B1434" s="32" t="s">
        <v>982</v>
      </c>
      <c r="C1434" s="32" t="s">
        <v>981</v>
      </c>
      <c r="D1434" s="32">
        <v>1998</v>
      </c>
      <c r="E1434" s="32">
        <v>1993</v>
      </c>
      <c r="F1434" s="32" t="s">
        <v>980</v>
      </c>
      <c r="G1434" s="32" t="s">
        <v>983</v>
      </c>
      <c r="H1434" s="32" t="s">
        <v>2831</v>
      </c>
      <c r="I1434" s="32">
        <v>45.28</v>
      </c>
      <c r="J1434" s="32">
        <v>-122.75</v>
      </c>
      <c r="K1434" s="32">
        <v>48</v>
      </c>
      <c r="Q1434" s="44">
        <v>2</v>
      </c>
      <c r="R1434" s="44">
        <v>2</v>
      </c>
      <c r="S1434" s="44" t="s">
        <v>866</v>
      </c>
      <c r="T1434" s="44" t="s">
        <v>889</v>
      </c>
      <c r="U1434" s="44" t="s">
        <v>1417</v>
      </c>
      <c r="V1434" s="44" t="s">
        <v>1737</v>
      </c>
      <c r="W1434" s="44" t="s">
        <v>1403</v>
      </c>
      <c r="X1434" s="44" t="s">
        <v>1421</v>
      </c>
      <c r="Z1434" s="323"/>
      <c r="AA1434" s="323"/>
      <c r="AB1434" s="32" t="s">
        <v>1612</v>
      </c>
      <c r="AG1434" s="32" t="s">
        <v>132</v>
      </c>
      <c r="AH1434" s="138" t="s">
        <v>132</v>
      </c>
      <c r="AI1434" s="32" t="s">
        <v>1605</v>
      </c>
      <c r="AJ1434" s="140" t="s">
        <v>1605</v>
      </c>
      <c r="AT1434" s="32" t="s">
        <v>120</v>
      </c>
      <c r="BM1434" s="397"/>
      <c r="BN1434" s="397"/>
      <c r="BR1434" s="397"/>
      <c r="BS1434" s="397"/>
      <c r="EO1434" s="32">
        <v>13.35</v>
      </c>
      <c r="EP1434" s="32">
        <v>5.84</v>
      </c>
      <c r="ES1434" s="32" t="s">
        <v>1691</v>
      </c>
    </row>
    <row r="1435" spans="1:149" s="32" customFormat="1" x14ac:dyDescent="0.25">
      <c r="A1435" s="32">
        <v>65</v>
      </c>
      <c r="B1435" s="32" t="s">
        <v>982</v>
      </c>
      <c r="C1435" s="32" t="s">
        <v>981</v>
      </c>
      <c r="D1435" s="32">
        <v>1998</v>
      </c>
      <c r="E1435" s="32">
        <v>1993</v>
      </c>
      <c r="F1435" s="32" t="s">
        <v>980</v>
      </c>
      <c r="G1435" s="32" t="s">
        <v>983</v>
      </c>
      <c r="H1435" s="32" t="s">
        <v>2831</v>
      </c>
      <c r="I1435" s="32">
        <v>45.28</v>
      </c>
      <c r="J1435" s="32">
        <v>-122.75</v>
      </c>
      <c r="K1435" s="32">
        <v>48</v>
      </c>
      <c r="Q1435" s="44">
        <v>2</v>
      </c>
      <c r="R1435" s="44">
        <v>2</v>
      </c>
      <c r="S1435" s="44" t="s">
        <v>866</v>
      </c>
      <c r="T1435" s="44" t="s">
        <v>887</v>
      </c>
      <c r="U1435" s="44" t="s">
        <v>1417</v>
      </c>
      <c r="V1435" s="44" t="s">
        <v>1737</v>
      </c>
      <c r="W1435" s="44" t="s">
        <v>1403</v>
      </c>
      <c r="X1435" s="44" t="s">
        <v>1421</v>
      </c>
      <c r="Z1435" s="323"/>
      <c r="AA1435" s="323"/>
      <c r="AB1435" s="32" t="s">
        <v>1612</v>
      </c>
      <c r="AG1435" s="32" t="s">
        <v>132</v>
      </c>
      <c r="AH1435" s="138" t="s">
        <v>132</v>
      </c>
      <c r="AI1435" s="32" t="s">
        <v>1605</v>
      </c>
      <c r="AJ1435" s="140" t="s">
        <v>1605</v>
      </c>
      <c r="AT1435" s="32" t="s">
        <v>120</v>
      </c>
      <c r="BM1435" s="397"/>
      <c r="BN1435" s="397"/>
      <c r="BR1435" s="397"/>
      <c r="BS1435" s="397"/>
      <c r="EO1435" s="32">
        <v>18.100000000000001</v>
      </c>
      <c r="EP1435" s="32">
        <v>8.14</v>
      </c>
      <c r="ES1435" s="32" t="s">
        <v>1691</v>
      </c>
    </row>
    <row r="1436" spans="1:149" s="32" customFormat="1" x14ac:dyDescent="0.25">
      <c r="A1436" s="32">
        <v>65</v>
      </c>
      <c r="B1436" s="32" t="s">
        <v>982</v>
      </c>
      <c r="C1436" s="32" t="s">
        <v>981</v>
      </c>
      <c r="D1436" s="32">
        <v>1998</v>
      </c>
      <c r="E1436" s="32">
        <v>1993</v>
      </c>
      <c r="F1436" s="32" t="s">
        <v>980</v>
      </c>
      <c r="G1436" s="32" t="s">
        <v>983</v>
      </c>
      <c r="H1436" s="32" t="s">
        <v>2831</v>
      </c>
      <c r="I1436" s="32">
        <v>45.28</v>
      </c>
      <c r="J1436" s="32">
        <v>-122.75</v>
      </c>
      <c r="K1436" s="32">
        <v>48</v>
      </c>
      <c r="Q1436" s="44">
        <v>2</v>
      </c>
      <c r="R1436" s="44">
        <v>2</v>
      </c>
      <c r="S1436" s="44" t="s">
        <v>866</v>
      </c>
      <c r="T1436" s="44" t="s">
        <v>888</v>
      </c>
      <c r="U1436" s="44" t="s">
        <v>1417</v>
      </c>
      <c r="V1436" s="44" t="s">
        <v>1737</v>
      </c>
      <c r="W1436" s="44" t="s">
        <v>1403</v>
      </c>
      <c r="X1436" s="44" t="s">
        <v>1421</v>
      </c>
      <c r="Z1436" s="323"/>
      <c r="AA1436" s="323"/>
      <c r="AB1436" s="32" t="s">
        <v>1612</v>
      </c>
      <c r="AG1436" s="32" t="s">
        <v>132</v>
      </c>
      <c r="AH1436" s="138" t="s">
        <v>132</v>
      </c>
      <c r="AI1436" s="32" t="s">
        <v>1605</v>
      </c>
      <c r="AJ1436" s="140" t="s">
        <v>1605</v>
      </c>
      <c r="AT1436" s="32" t="s">
        <v>120</v>
      </c>
      <c r="BM1436" s="397"/>
      <c r="BN1436" s="397"/>
      <c r="BR1436" s="397"/>
      <c r="BS1436" s="397"/>
      <c r="EO1436" s="32">
        <v>10.9</v>
      </c>
      <c r="EP1436" s="32">
        <v>4.2300000000000004</v>
      </c>
      <c r="ES1436" s="32" t="s">
        <v>1691</v>
      </c>
    </row>
    <row r="1437" spans="1:149" s="32" customFormat="1" x14ac:dyDescent="0.25">
      <c r="A1437" s="32">
        <v>65</v>
      </c>
      <c r="B1437" s="32" t="s">
        <v>982</v>
      </c>
      <c r="C1437" s="32" t="s">
        <v>981</v>
      </c>
      <c r="D1437" s="32">
        <v>1998</v>
      </c>
      <c r="E1437" s="32">
        <v>1993</v>
      </c>
      <c r="F1437" s="32" t="s">
        <v>980</v>
      </c>
      <c r="G1437" s="32" t="s">
        <v>983</v>
      </c>
      <c r="H1437" s="32" t="s">
        <v>2831</v>
      </c>
      <c r="I1437" s="32">
        <v>45.28</v>
      </c>
      <c r="J1437" s="32">
        <v>-122.75</v>
      </c>
      <c r="K1437" s="32">
        <v>48</v>
      </c>
      <c r="Q1437" s="44">
        <v>2</v>
      </c>
      <c r="R1437" s="44">
        <v>2</v>
      </c>
      <c r="S1437" s="44" t="s">
        <v>866</v>
      </c>
      <c r="T1437" s="44" t="s">
        <v>782</v>
      </c>
      <c r="U1437" s="44" t="s">
        <v>1417</v>
      </c>
      <c r="V1437" s="44" t="s">
        <v>1737</v>
      </c>
      <c r="W1437" s="44" t="s">
        <v>1403</v>
      </c>
      <c r="X1437" s="44" t="s">
        <v>1421</v>
      </c>
      <c r="Z1437" s="323"/>
      <c r="AA1437" s="323"/>
      <c r="AB1437" s="32" t="s">
        <v>1612</v>
      </c>
      <c r="AG1437" s="32" t="s">
        <v>132</v>
      </c>
      <c r="AH1437" s="138" t="s">
        <v>132</v>
      </c>
      <c r="AI1437" s="32" t="s">
        <v>1605</v>
      </c>
      <c r="AJ1437" s="140" t="s">
        <v>1605</v>
      </c>
      <c r="AT1437" s="32" t="s">
        <v>120</v>
      </c>
      <c r="BM1437" s="397"/>
      <c r="BN1437" s="397"/>
      <c r="BR1437" s="397"/>
      <c r="BS1437" s="397"/>
      <c r="EO1437" s="32">
        <v>9.2899999999999991</v>
      </c>
      <c r="EP1437" s="32">
        <v>5.3</v>
      </c>
      <c r="ES1437" s="32" t="s">
        <v>1691</v>
      </c>
    </row>
    <row r="1438" spans="1:149" s="32" customFormat="1" x14ac:dyDescent="0.25">
      <c r="A1438" s="32">
        <v>65</v>
      </c>
      <c r="B1438" s="32" t="s">
        <v>982</v>
      </c>
      <c r="C1438" s="32" t="s">
        <v>981</v>
      </c>
      <c r="D1438" s="32">
        <v>1998</v>
      </c>
      <c r="E1438" s="32">
        <v>1993</v>
      </c>
      <c r="F1438" s="32" t="s">
        <v>980</v>
      </c>
      <c r="G1438" s="32" t="s">
        <v>983</v>
      </c>
      <c r="H1438" s="32" t="s">
        <v>2831</v>
      </c>
      <c r="I1438" s="32">
        <v>45.28</v>
      </c>
      <c r="J1438" s="32">
        <v>-122.75</v>
      </c>
      <c r="K1438" s="32">
        <v>48</v>
      </c>
      <c r="Q1438" s="44">
        <v>2</v>
      </c>
      <c r="R1438" s="44">
        <v>2</v>
      </c>
      <c r="S1438" s="44" t="s">
        <v>866</v>
      </c>
      <c r="T1438" s="44" t="s">
        <v>987</v>
      </c>
      <c r="U1438" s="44" t="s">
        <v>1417</v>
      </c>
      <c r="V1438" s="44" t="s">
        <v>1737</v>
      </c>
      <c r="W1438" s="44" t="s">
        <v>1403</v>
      </c>
      <c r="X1438" s="44" t="s">
        <v>1421</v>
      </c>
      <c r="Z1438" s="323"/>
      <c r="AA1438" s="323"/>
      <c r="AB1438" s="32" t="s">
        <v>1612</v>
      </c>
      <c r="AG1438" s="32" t="s">
        <v>132</v>
      </c>
      <c r="AH1438" s="138" t="s">
        <v>132</v>
      </c>
      <c r="AI1438" s="32" t="s">
        <v>1605</v>
      </c>
      <c r="AJ1438" s="140" t="s">
        <v>1605</v>
      </c>
      <c r="AT1438" s="32" t="s">
        <v>120</v>
      </c>
      <c r="BM1438" s="397"/>
      <c r="BN1438" s="397"/>
      <c r="BR1438" s="397"/>
      <c r="BS1438" s="397"/>
      <c r="EO1438" s="32">
        <v>6.69</v>
      </c>
      <c r="EP1438" s="32">
        <v>9.5</v>
      </c>
      <c r="ES1438" s="32" t="s">
        <v>1691</v>
      </c>
    </row>
    <row r="1439" spans="1:149" s="24" customFormat="1" x14ac:dyDescent="0.25">
      <c r="A1439" s="24">
        <v>65</v>
      </c>
      <c r="B1439" s="24" t="s">
        <v>982</v>
      </c>
      <c r="C1439" s="24" t="s">
        <v>981</v>
      </c>
      <c r="D1439" s="24">
        <v>1998</v>
      </c>
      <c r="E1439" s="24">
        <v>1994</v>
      </c>
      <c r="F1439" s="24" t="s">
        <v>980</v>
      </c>
      <c r="G1439" s="24" t="s">
        <v>983</v>
      </c>
      <c r="H1439" s="32" t="s">
        <v>2831</v>
      </c>
      <c r="I1439" s="24">
        <v>45.28</v>
      </c>
      <c r="J1439" s="24">
        <v>-122.75</v>
      </c>
      <c r="K1439" s="24">
        <v>48</v>
      </c>
      <c r="Q1439" s="42">
        <v>3</v>
      </c>
      <c r="R1439" s="42">
        <v>3</v>
      </c>
      <c r="S1439" s="42" t="s">
        <v>866</v>
      </c>
      <c r="T1439" s="42" t="s">
        <v>885</v>
      </c>
      <c r="U1439" s="42" t="s">
        <v>1417</v>
      </c>
      <c r="V1439" s="42" t="s">
        <v>1737</v>
      </c>
      <c r="W1439" s="42" t="s">
        <v>1403</v>
      </c>
      <c r="X1439" s="42" t="s">
        <v>1421</v>
      </c>
      <c r="Z1439" s="321"/>
      <c r="AA1439" s="321"/>
      <c r="AB1439" s="24" t="s">
        <v>1612</v>
      </c>
      <c r="AG1439" s="24" t="s">
        <v>132</v>
      </c>
      <c r="AH1439" s="138" t="s">
        <v>132</v>
      </c>
      <c r="AI1439" s="24" t="s">
        <v>1605</v>
      </c>
      <c r="AJ1439" s="140" t="s">
        <v>1605</v>
      </c>
      <c r="AT1439" s="24" t="s">
        <v>120</v>
      </c>
      <c r="BM1439" s="395"/>
      <c r="BN1439" s="395"/>
      <c r="BR1439" s="395"/>
      <c r="BS1439" s="395"/>
      <c r="EO1439" s="24">
        <v>23.24</v>
      </c>
      <c r="EP1439" s="24">
        <v>10.98</v>
      </c>
      <c r="ES1439" s="24" t="s">
        <v>1691</v>
      </c>
    </row>
    <row r="1440" spans="1:149" s="24" customFormat="1" x14ac:dyDescent="0.25">
      <c r="A1440" s="24">
        <v>65</v>
      </c>
      <c r="B1440" s="24" t="s">
        <v>982</v>
      </c>
      <c r="C1440" s="24" t="s">
        <v>981</v>
      </c>
      <c r="D1440" s="24">
        <v>1998</v>
      </c>
      <c r="E1440" s="24">
        <v>1994</v>
      </c>
      <c r="F1440" s="24" t="s">
        <v>980</v>
      </c>
      <c r="G1440" s="24" t="s">
        <v>983</v>
      </c>
      <c r="H1440" s="32" t="s">
        <v>2831</v>
      </c>
      <c r="I1440" s="24">
        <v>45.28</v>
      </c>
      <c r="J1440" s="24">
        <v>-122.75</v>
      </c>
      <c r="K1440" s="24">
        <v>48</v>
      </c>
      <c r="Q1440" s="42">
        <v>3</v>
      </c>
      <c r="R1440" s="42">
        <v>3</v>
      </c>
      <c r="S1440" s="42" t="s">
        <v>866</v>
      </c>
      <c r="T1440" s="42" t="s">
        <v>985</v>
      </c>
      <c r="U1440" s="42" t="s">
        <v>1417</v>
      </c>
      <c r="V1440" s="42" t="s">
        <v>1737</v>
      </c>
      <c r="W1440" s="42" t="s">
        <v>1403</v>
      </c>
      <c r="X1440" s="42" t="s">
        <v>1421</v>
      </c>
      <c r="Z1440" s="321"/>
      <c r="AA1440" s="321"/>
      <c r="AB1440" s="24" t="s">
        <v>1612</v>
      </c>
      <c r="AG1440" s="24" t="s">
        <v>132</v>
      </c>
      <c r="AH1440" s="138" t="s">
        <v>132</v>
      </c>
      <c r="AI1440" s="24" t="s">
        <v>1605</v>
      </c>
      <c r="AJ1440" s="140" t="s">
        <v>1605</v>
      </c>
      <c r="AT1440" s="24" t="s">
        <v>120</v>
      </c>
      <c r="BM1440" s="395"/>
      <c r="BN1440" s="395"/>
      <c r="BR1440" s="395"/>
      <c r="BS1440" s="395"/>
      <c r="EO1440" s="24">
        <v>23</v>
      </c>
      <c r="EP1440" s="24">
        <v>8.2200000000000006</v>
      </c>
      <c r="ES1440" s="24" t="s">
        <v>1691</v>
      </c>
    </row>
    <row r="1441" spans="1:251" s="24" customFormat="1" x14ac:dyDescent="0.25">
      <c r="A1441" s="24">
        <v>65</v>
      </c>
      <c r="B1441" s="24" t="s">
        <v>982</v>
      </c>
      <c r="C1441" s="24" t="s">
        <v>981</v>
      </c>
      <c r="D1441" s="24">
        <v>1998</v>
      </c>
      <c r="E1441" s="24">
        <v>1994</v>
      </c>
      <c r="F1441" s="24" t="s">
        <v>980</v>
      </c>
      <c r="G1441" s="24" t="s">
        <v>983</v>
      </c>
      <c r="H1441" s="32" t="s">
        <v>2831</v>
      </c>
      <c r="I1441" s="24">
        <v>45.28</v>
      </c>
      <c r="J1441" s="24">
        <v>-122.75</v>
      </c>
      <c r="K1441" s="24">
        <v>48</v>
      </c>
      <c r="Q1441" s="42">
        <v>3</v>
      </c>
      <c r="R1441" s="42">
        <v>3</v>
      </c>
      <c r="S1441" s="42" t="s">
        <v>866</v>
      </c>
      <c r="T1441" s="42" t="s">
        <v>986</v>
      </c>
      <c r="U1441" s="42" t="s">
        <v>1417</v>
      </c>
      <c r="V1441" s="42" t="s">
        <v>1737</v>
      </c>
      <c r="W1441" s="42" t="s">
        <v>1403</v>
      </c>
      <c r="X1441" s="42" t="s">
        <v>1421</v>
      </c>
      <c r="Z1441" s="321"/>
      <c r="AA1441" s="321"/>
      <c r="AB1441" s="24" t="s">
        <v>1612</v>
      </c>
      <c r="AG1441" s="24" t="s">
        <v>132</v>
      </c>
      <c r="AH1441" s="138" t="s">
        <v>132</v>
      </c>
      <c r="AI1441" s="24" t="s">
        <v>1605</v>
      </c>
      <c r="AJ1441" s="140" t="s">
        <v>1605</v>
      </c>
      <c r="AT1441" s="24" t="s">
        <v>120</v>
      </c>
      <c r="BM1441" s="395"/>
      <c r="BN1441" s="395"/>
      <c r="BR1441" s="395"/>
      <c r="BS1441" s="395"/>
      <c r="EO1441" s="24">
        <v>23.7</v>
      </c>
      <c r="EP1441" s="24">
        <v>8.76</v>
      </c>
      <c r="ES1441" s="24" t="s">
        <v>1691</v>
      </c>
    </row>
    <row r="1442" spans="1:251" s="24" customFormat="1" x14ac:dyDescent="0.25">
      <c r="A1442" s="24">
        <v>65</v>
      </c>
      <c r="B1442" s="24" t="s">
        <v>982</v>
      </c>
      <c r="C1442" s="24" t="s">
        <v>981</v>
      </c>
      <c r="D1442" s="24">
        <v>1998</v>
      </c>
      <c r="E1442" s="24">
        <v>1994</v>
      </c>
      <c r="F1442" s="24" t="s">
        <v>980</v>
      </c>
      <c r="G1442" s="24" t="s">
        <v>983</v>
      </c>
      <c r="H1442" s="32" t="s">
        <v>2831</v>
      </c>
      <c r="I1442" s="24">
        <v>45.28</v>
      </c>
      <c r="J1442" s="24">
        <v>-122.75</v>
      </c>
      <c r="K1442" s="24">
        <v>48</v>
      </c>
      <c r="Q1442" s="42">
        <v>3</v>
      </c>
      <c r="R1442" s="42">
        <v>3</v>
      </c>
      <c r="S1442" s="42" t="s">
        <v>866</v>
      </c>
      <c r="T1442" s="42" t="s">
        <v>781</v>
      </c>
      <c r="U1442" s="42" t="s">
        <v>1417</v>
      </c>
      <c r="V1442" s="42" t="s">
        <v>1737</v>
      </c>
      <c r="W1442" s="42" t="s">
        <v>1403</v>
      </c>
      <c r="X1442" s="42" t="s">
        <v>1421</v>
      </c>
      <c r="Z1442" s="321"/>
      <c r="AA1442" s="321"/>
      <c r="AB1442" s="24" t="s">
        <v>1612</v>
      </c>
      <c r="AG1442" s="24" t="s">
        <v>132</v>
      </c>
      <c r="AH1442" s="138" t="s">
        <v>132</v>
      </c>
      <c r="AI1442" s="24" t="s">
        <v>1605</v>
      </c>
      <c r="AJ1442" s="140" t="s">
        <v>1605</v>
      </c>
      <c r="AT1442" s="24" t="s">
        <v>120</v>
      </c>
      <c r="BM1442" s="395"/>
      <c r="BN1442" s="395"/>
      <c r="BR1442" s="395"/>
      <c r="BS1442" s="395"/>
      <c r="EO1442" s="24">
        <v>19.41</v>
      </c>
      <c r="EP1442" s="24">
        <v>9.07</v>
      </c>
      <c r="ES1442" s="24" t="s">
        <v>1691</v>
      </c>
    </row>
    <row r="1443" spans="1:251" s="24" customFormat="1" x14ac:dyDescent="0.25">
      <c r="A1443" s="24">
        <v>65</v>
      </c>
      <c r="B1443" s="24" t="s">
        <v>982</v>
      </c>
      <c r="C1443" s="24" t="s">
        <v>981</v>
      </c>
      <c r="D1443" s="24">
        <v>1998</v>
      </c>
      <c r="E1443" s="24">
        <v>1994</v>
      </c>
      <c r="F1443" s="24" t="s">
        <v>980</v>
      </c>
      <c r="G1443" s="24" t="s">
        <v>983</v>
      </c>
      <c r="H1443" s="32" t="s">
        <v>2831</v>
      </c>
      <c r="I1443" s="24">
        <v>45.28</v>
      </c>
      <c r="J1443" s="24">
        <v>-122.75</v>
      </c>
      <c r="K1443" s="24">
        <v>48</v>
      </c>
      <c r="Q1443" s="42">
        <v>3</v>
      </c>
      <c r="R1443" s="42">
        <v>3</v>
      </c>
      <c r="S1443" s="42" t="s">
        <v>866</v>
      </c>
      <c r="T1443" s="42" t="s">
        <v>202</v>
      </c>
      <c r="U1443" s="42" t="s">
        <v>1417</v>
      </c>
      <c r="V1443" s="42" t="s">
        <v>1737</v>
      </c>
      <c r="W1443" s="42" t="s">
        <v>1403</v>
      </c>
      <c r="X1443" s="42" t="s">
        <v>1421</v>
      </c>
      <c r="Z1443" s="321"/>
      <c r="AA1443" s="321"/>
      <c r="AB1443" s="24" t="s">
        <v>1612</v>
      </c>
      <c r="AG1443" s="24" t="s">
        <v>132</v>
      </c>
      <c r="AH1443" s="138" t="s">
        <v>132</v>
      </c>
      <c r="AI1443" s="24" t="s">
        <v>1605</v>
      </c>
      <c r="AJ1443" s="140" t="s">
        <v>1605</v>
      </c>
      <c r="AT1443" s="24" t="s">
        <v>120</v>
      </c>
      <c r="BM1443" s="395"/>
      <c r="BN1443" s="395"/>
      <c r="BR1443" s="395"/>
      <c r="BS1443" s="395"/>
      <c r="EO1443" s="24">
        <v>16.649999999999999</v>
      </c>
      <c r="EP1443" s="24">
        <v>9.68</v>
      </c>
      <c r="ES1443" s="24" t="s">
        <v>1691</v>
      </c>
    </row>
    <row r="1444" spans="1:251" s="24" customFormat="1" x14ac:dyDescent="0.25">
      <c r="A1444" s="24">
        <v>65</v>
      </c>
      <c r="B1444" s="24" t="s">
        <v>982</v>
      </c>
      <c r="C1444" s="24" t="s">
        <v>981</v>
      </c>
      <c r="D1444" s="24">
        <v>1998</v>
      </c>
      <c r="E1444" s="24">
        <v>1994</v>
      </c>
      <c r="F1444" s="24" t="s">
        <v>980</v>
      </c>
      <c r="G1444" s="24" t="s">
        <v>983</v>
      </c>
      <c r="H1444" s="32" t="s">
        <v>2831</v>
      </c>
      <c r="I1444" s="24">
        <v>45.28</v>
      </c>
      <c r="J1444" s="24">
        <v>-122.75</v>
      </c>
      <c r="K1444" s="24">
        <v>48</v>
      </c>
      <c r="Q1444" s="42">
        <v>3</v>
      </c>
      <c r="R1444" s="42">
        <v>3</v>
      </c>
      <c r="S1444" s="42" t="s">
        <v>866</v>
      </c>
      <c r="T1444" s="42" t="s">
        <v>597</v>
      </c>
      <c r="U1444" s="42" t="s">
        <v>1417</v>
      </c>
      <c r="V1444" s="42" t="s">
        <v>1737</v>
      </c>
      <c r="W1444" s="42" t="s">
        <v>1403</v>
      </c>
      <c r="X1444" s="42" t="s">
        <v>1421</v>
      </c>
      <c r="Z1444" s="321"/>
      <c r="AA1444" s="321"/>
      <c r="AB1444" s="24" t="s">
        <v>1612</v>
      </c>
      <c r="AG1444" s="24" t="s">
        <v>132</v>
      </c>
      <c r="AH1444" s="138" t="s">
        <v>132</v>
      </c>
      <c r="AI1444" s="24" t="s">
        <v>1605</v>
      </c>
      <c r="AJ1444" s="140" t="s">
        <v>1605</v>
      </c>
      <c r="AT1444" s="24" t="s">
        <v>120</v>
      </c>
      <c r="BM1444" s="395"/>
      <c r="BN1444" s="395"/>
      <c r="BR1444" s="395"/>
      <c r="BS1444" s="395"/>
      <c r="EO1444" s="24">
        <v>18.11</v>
      </c>
      <c r="EP1444" s="24">
        <v>11.14</v>
      </c>
      <c r="ES1444" s="24" t="s">
        <v>1691</v>
      </c>
    </row>
    <row r="1445" spans="1:251" s="24" customFormat="1" x14ac:dyDescent="0.25">
      <c r="A1445" s="24">
        <v>65</v>
      </c>
      <c r="B1445" s="24" t="s">
        <v>982</v>
      </c>
      <c r="C1445" s="24" t="s">
        <v>981</v>
      </c>
      <c r="D1445" s="24">
        <v>1998</v>
      </c>
      <c r="E1445" s="24">
        <v>1994</v>
      </c>
      <c r="F1445" s="24" t="s">
        <v>980</v>
      </c>
      <c r="G1445" s="24" t="s">
        <v>983</v>
      </c>
      <c r="H1445" s="32" t="s">
        <v>2831</v>
      </c>
      <c r="I1445" s="24">
        <v>45.28</v>
      </c>
      <c r="J1445" s="24">
        <v>-122.75</v>
      </c>
      <c r="K1445" s="24">
        <v>48</v>
      </c>
      <c r="Q1445" s="42">
        <v>3</v>
      </c>
      <c r="R1445" s="42">
        <v>3</v>
      </c>
      <c r="S1445" s="42" t="s">
        <v>866</v>
      </c>
      <c r="T1445" s="42" t="s">
        <v>227</v>
      </c>
      <c r="U1445" s="42" t="s">
        <v>1417</v>
      </c>
      <c r="V1445" s="42" t="s">
        <v>1737</v>
      </c>
      <c r="W1445" s="42" t="s">
        <v>1403</v>
      </c>
      <c r="X1445" s="42" t="s">
        <v>1421</v>
      </c>
      <c r="Z1445" s="321"/>
      <c r="AA1445" s="321"/>
      <c r="AB1445" s="24" t="s">
        <v>1612</v>
      </c>
      <c r="AG1445" s="24" t="s">
        <v>132</v>
      </c>
      <c r="AH1445" s="138" t="s">
        <v>132</v>
      </c>
      <c r="AI1445" s="24" t="s">
        <v>1605</v>
      </c>
      <c r="AJ1445" s="140" t="s">
        <v>1605</v>
      </c>
      <c r="AT1445" s="24" t="s">
        <v>120</v>
      </c>
      <c r="BM1445" s="395"/>
      <c r="BN1445" s="395"/>
      <c r="BR1445" s="395"/>
      <c r="BS1445" s="395"/>
      <c r="EO1445" s="24">
        <v>20.41</v>
      </c>
      <c r="EP1445" s="24">
        <v>10.6</v>
      </c>
      <c r="ES1445" s="24" t="s">
        <v>1691</v>
      </c>
    </row>
    <row r="1446" spans="1:251" s="24" customFormat="1" x14ac:dyDescent="0.25">
      <c r="A1446" s="24">
        <v>65</v>
      </c>
      <c r="B1446" s="24" t="s">
        <v>982</v>
      </c>
      <c r="C1446" s="24" t="s">
        <v>981</v>
      </c>
      <c r="D1446" s="24">
        <v>1998</v>
      </c>
      <c r="E1446" s="24">
        <v>1994</v>
      </c>
      <c r="F1446" s="24" t="s">
        <v>980</v>
      </c>
      <c r="G1446" s="24" t="s">
        <v>983</v>
      </c>
      <c r="H1446" s="32" t="s">
        <v>2831</v>
      </c>
      <c r="I1446" s="24">
        <v>45.28</v>
      </c>
      <c r="J1446" s="24">
        <v>-122.75</v>
      </c>
      <c r="K1446" s="24">
        <v>48</v>
      </c>
      <c r="Q1446" s="42">
        <v>3</v>
      </c>
      <c r="R1446" s="42">
        <v>3</v>
      </c>
      <c r="S1446" s="42" t="s">
        <v>866</v>
      </c>
      <c r="T1446" s="42" t="s">
        <v>889</v>
      </c>
      <c r="U1446" s="42" t="s">
        <v>1417</v>
      </c>
      <c r="V1446" s="42" t="s">
        <v>1737</v>
      </c>
      <c r="W1446" s="42" t="s">
        <v>1403</v>
      </c>
      <c r="X1446" s="42" t="s">
        <v>1421</v>
      </c>
      <c r="Z1446" s="321"/>
      <c r="AA1446" s="321"/>
      <c r="AB1446" s="24" t="s">
        <v>1612</v>
      </c>
      <c r="AG1446" s="24" t="s">
        <v>132</v>
      </c>
      <c r="AH1446" s="138" t="s">
        <v>132</v>
      </c>
      <c r="AI1446" s="24" t="s">
        <v>1605</v>
      </c>
      <c r="AJ1446" s="140" t="s">
        <v>1605</v>
      </c>
      <c r="AT1446" s="24" t="s">
        <v>120</v>
      </c>
      <c r="BM1446" s="395"/>
      <c r="BN1446" s="395"/>
      <c r="BR1446" s="395"/>
      <c r="BS1446" s="395"/>
      <c r="EO1446" s="24">
        <v>20.95</v>
      </c>
      <c r="EP1446" s="24">
        <v>9.3000000000000007</v>
      </c>
      <c r="ES1446" s="24" t="s">
        <v>1691</v>
      </c>
    </row>
    <row r="1447" spans="1:251" s="24" customFormat="1" x14ac:dyDescent="0.25">
      <c r="A1447" s="24">
        <v>65</v>
      </c>
      <c r="B1447" s="24" t="s">
        <v>982</v>
      </c>
      <c r="C1447" s="24" t="s">
        <v>981</v>
      </c>
      <c r="D1447" s="24">
        <v>1998</v>
      </c>
      <c r="E1447" s="24">
        <v>1994</v>
      </c>
      <c r="F1447" s="24" t="s">
        <v>980</v>
      </c>
      <c r="G1447" s="24" t="s">
        <v>983</v>
      </c>
      <c r="H1447" s="32" t="s">
        <v>2831</v>
      </c>
      <c r="I1447" s="24">
        <v>45.28</v>
      </c>
      <c r="J1447" s="24">
        <v>-122.75</v>
      </c>
      <c r="K1447" s="24">
        <v>48</v>
      </c>
      <c r="Q1447" s="42">
        <v>3</v>
      </c>
      <c r="R1447" s="42">
        <v>3</v>
      </c>
      <c r="S1447" s="42" t="s">
        <v>866</v>
      </c>
      <c r="T1447" s="42" t="s">
        <v>887</v>
      </c>
      <c r="U1447" s="42" t="s">
        <v>1417</v>
      </c>
      <c r="V1447" s="42" t="s">
        <v>1737</v>
      </c>
      <c r="W1447" s="42" t="s">
        <v>1403</v>
      </c>
      <c r="X1447" s="42" t="s">
        <v>1421</v>
      </c>
      <c r="Z1447" s="321"/>
      <c r="AA1447" s="321"/>
      <c r="AB1447" s="24" t="s">
        <v>1612</v>
      </c>
      <c r="AG1447" s="24" t="s">
        <v>132</v>
      </c>
      <c r="AH1447" s="138" t="s">
        <v>132</v>
      </c>
      <c r="AI1447" s="24" t="s">
        <v>1605</v>
      </c>
      <c r="AJ1447" s="140" t="s">
        <v>1605</v>
      </c>
      <c r="AT1447" s="24" t="s">
        <v>120</v>
      </c>
      <c r="BM1447" s="395"/>
      <c r="BN1447" s="395"/>
      <c r="BR1447" s="395"/>
      <c r="BS1447" s="395"/>
      <c r="EO1447" s="24">
        <v>21.95</v>
      </c>
      <c r="EP1447" s="24">
        <v>8.4600000000000009</v>
      </c>
      <c r="ES1447" s="24" t="s">
        <v>1691</v>
      </c>
    </row>
    <row r="1448" spans="1:251" s="24" customFormat="1" x14ac:dyDescent="0.25">
      <c r="A1448" s="24">
        <v>65</v>
      </c>
      <c r="B1448" s="24" t="s">
        <v>982</v>
      </c>
      <c r="C1448" s="24" t="s">
        <v>981</v>
      </c>
      <c r="D1448" s="24">
        <v>1998</v>
      </c>
      <c r="E1448" s="24">
        <v>1994</v>
      </c>
      <c r="F1448" s="24" t="s">
        <v>980</v>
      </c>
      <c r="G1448" s="24" t="s">
        <v>983</v>
      </c>
      <c r="H1448" s="32" t="s">
        <v>2831</v>
      </c>
      <c r="I1448" s="24">
        <v>45.28</v>
      </c>
      <c r="J1448" s="24">
        <v>-122.75</v>
      </c>
      <c r="K1448" s="24">
        <v>48</v>
      </c>
      <c r="Q1448" s="42">
        <v>3</v>
      </c>
      <c r="R1448" s="42">
        <v>3</v>
      </c>
      <c r="S1448" s="42" t="s">
        <v>866</v>
      </c>
      <c r="T1448" s="42" t="s">
        <v>888</v>
      </c>
      <c r="U1448" s="42" t="s">
        <v>1417</v>
      </c>
      <c r="V1448" s="42" t="s">
        <v>1737</v>
      </c>
      <c r="W1448" s="42" t="s">
        <v>1403</v>
      </c>
      <c r="X1448" s="42" t="s">
        <v>1421</v>
      </c>
      <c r="Z1448" s="321"/>
      <c r="AA1448" s="321"/>
      <c r="AB1448" s="24" t="s">
        <v>1612</v>
      </c>
      <c r="AG1448" s="24" t="s">
        <v>132</v>
      </c>
      <c r="AH1448" s="138" t="s">
        <v>132</v>
      </c>
      <c r="AI1448" s="24" t="s">
        <v>1605</v>
      </c>
      <c r="AJ1448" s="140" t="s">
        <v>1605</v>
      </c>
      <c r="AT1448" s="24" t="s">
        <v>120</v>
      </c>
      <c r="BM1448" s="395"/>
      <c r="BN1448" s="395"/>
      <c r="BR1448" s="395"/>
      <c r="BS1448" s="395"/>
      <c r="EO1448" s="24">
        <v>13.29</v>
      </c>
      <c r="EP1448" s="24">
        <v>4.9400000000000004</v>
      </c>
      <c r="ES1448" s="24" t="s">
        <v>1691</v>
      </c>
    </row>
    <row r="1449" spans="1:251" s="24" customFormat="1" x14ac:dyDescent="0.25">
      <c r="A1449" s="24">
        <v>65</v>
      </c>
      <c r="B1449" s="24" t="s">
        <v>982</v>
      </c>
      <c r="C1449" s="24" t="s">
        <v>981</v>
      </c>
      <c r="D1449" s="24">
        <v>1998</v>
      </c>
      <c r="E1449" s="24">
        <v>1994</v>
      </c>
      <c r="F1449" s="24" t="s">
        <v>980</v>
      </c>
      <c r="G1449" s="24" t="s">
        <v>983</v>
      </c>
      <c r="H1449" s="32" t="s">
        <v>2831</v>
      </c>
      <c r="I1449" s="24">
        <v>45.28</v>
      </c>
      <c r="J1449" s="24">
        <v>-122.75</v>
      </c>
      <c r="K1449" s="24">
        <v>48</v>
      </c>
      <c r="Q1449" s="42">
        <v>3</v>
      </c>
      <c r="R1449" s="42">
        <v>3</v>
      </c>
      <c r="S1449" s="42" t="s">
        <v>866</v>
      </c>
      <c r="T1449" s="42" t="s">
        <v>782</v>
      </c>
      <c r="U1449" s="42" t="s">
        <v>1417</v>
      </c>
      <c r="V1449" s="42" t="s">
        <v>1737</v>
      </c>
      <c r="W1449" s="42" t="s">
        <v>1403</v>
      </c>
      <c r="X1449" s="42" t="s">
        <v>1421</v>
      </c>
      <c r="Z1449" s="321"/>
      <c r="AA1449" s="321"/>
      <c r="AB1449" s="24" t="s">
        <v>1612</v>
      </c>
      <c r="AG1449" s="24" t="s">
        <v>132</v>
      </c>
      <c r="AH1449" s="138" t="s">
        <v>132</v>
      </c>
      <c r="AI1449" s="24" t="s">
        <v>1605</v>
      </c>
      <c r="AJ1449" s="140" t="s">
        <v>1605</v>
      </c>
      <c r="AT1449" s="24" t="s">
        <v>120</v>
      </c>
      <c r="BM1449" s="395"/>
      <c r="BN1449" s="395"/>
      <c r="BR1449" s="395"/>
      <c r="BS1449" s="395"/>
      <c r="EO1449" s="24">
        <v>20.190000000000001</v>
      </c>
      <c r="EP1449" s="24">
        <v>8</v>
      </c>
      <c r="ES1449" s="24" t="s">
        <v>1691</v>
      </c>
    </row>
    <row r="1450" spans="1:251" s="24" customFormat="1" x14ac:dyDescent="0.25">
      <c r="A1450" s="24">
        <v>65</v>
      </c>
      <c r="B1450" s="24" t="s">
        <v>982</v>
      </c>
      <c r="C1450" s="24" t="s">
        <v>981</v>
      </c>
      <c r="D1450" s="24">
        <v>1998</v>
      </c>
      <c r="E1450" s="24">
        <v>1994</v>
      </c>
      <c r="F1450" s="24" t="s">
        <v>980</v>
      </c>
      <c r="G1450" s="24" t="s">
        <v>983</v>
      </c>
      <c r="H1450" s="32" t="s">
        <v>2831</v>
      </c>
      <c r="I1450" s="24">
        <v>45.28</v>
      </c>
      <c r="J1450" s="24">
        <v>-122.75</v>
      </c>
      <c r="K1450" s="24">
        <v>48</v>
      </c>
      <c r="Q1450" s="42">
        <v>3</v>
      </c>
      <c r="R1450" s="42">
        <v>3</v>
      </c>
      <c r="S1450" s="42" t="s">
        <v>866</v>
      </c>
      <c r="T1450" s="42" t="s">
        <v>987</v>
      </c>
      <c r="U1450" s="42" t="s">
        <v>1417</v>
      </c>
      <c r="V1450" s="42" t="s">
        <v>1737</v>
      </c>
      <c r="W1450" s="42" t="s">
        <v>1403</v>
      </c>
      <c r="X1450" s="42" t="s">
        <v>1421</v>
      </c>
      <c r="Z1450" s="321"/>
      <c r="AA1450" s="321"/>
      <c r="AB1450" s="24" t="s">
        <v>1612</v>
      </c>
      <c r="AG1450" s="24" t="s">
        <v>132</v>
      </c>
      <c r="AH1450" s="138" t="s">
        <v>132</v>
      </c>
      <c r="AI1450" s="24" t="s">
        <v>1605</v>
      </c>
      <c r="AJ1450" s="140" t="s">
        <v>1605</v>
      </c>
      <c r="AT1450" s="24" t="s">
        <v>120</v>
      </c>
      <c r="BM1450" s="395"/>
      <c r="BN1450" s="395"/>
      <c r="BR1450" s="395"/>
      <c r="BS1450" s="395"/>
      <c r="EO1450" s="24">
        <v>11.38</v>
      </c>
      <c r="EP1450" s="24">
        <v>4.4800000000000004</v>
      </c>
      <c r="ES1450" s="24" t="s">
        <v>1691</v>
      </c>
    </row>
    <row r="1451" spans="1:251" s="39" customFormat="1" x14ac:dyDescent="0.25">
      <c r="A1451" s="39">
        <v>66</v>
      </c>
      <c r="B1451" s="39" t="s">
        <v>988</v>
      </c>
      <c r="C1451" s="39" t="s">
        <v>989</v>
      </c>
      <c r="D1451" s="39">
        <v>2015</v>
      </c>
      <c r="E1451" s="39">
        <v>2008</v>
      </c>
      <c r="F1451" s="39" t="s">
        <v>330</v>
      </c>
      <c r="G1451" s="39" t="s">
        <v>990</v>
      </c>
      <c r="H1451" s="32" t="s">
        <v>2831</v>
      </c>
      <c r="I1451" s="39">
        <v>39.54</v>
      </c>
      <c r="J1451" s="39">
        <v>-91.33</v>
      </c>
      <c r="K1451" s="39">
        <v>179.9</v>
      </c>
      <c r="Q1451" s="70">
        <v>15</v>
      </c>
      <c r="R1451" s="70">
        <v>15</v>
      </c>
      <c r="S1451" s="70" t="s">
        <v>866</v>
      </c>
      <c r="T1451" s="70" t="s">
        <v>2004</v>
      </c>
      <c r="U1451" s="70" t="s">
        <v>1398</v>
      </c>
      <c r="V1451" s="70" t="s">
        <v>1729</v>
      </c>
      <c r="W1451" s="70" t="s">
        <v>1398</v>
      </c>
      <c r="X1451" s="70" t="s">
        <v>1386</v>
      </c>
      <c r="Y1451" s="39">
        <v>1.37</v>
      </c>
      <c r="Z1451" s="340"/>
      <c r="AA1451" s="340"/>
      <c r="AB1451" s="39" t="s">
        <v>451</v>
      </c>
      <c r="AC1451" s="39">
        <v>6.98</v>
      </c>
      <c r="AF1451" s="39" t="s">
        <v>1355</v>
      </c>
      <c r="AG1451" s="39" t="s">
        <v>1535</v>
      </c>
      <c r="AH1451" s="138" t="s">
        <v>578</v>
      </c>
      <c r="AI1451" s="39" t="s">
        <v>1593</v>
      </c>
      <c r="AJ1451" s="141" t="s">
        <v>1615</v>
      </c>
      <c r="AK1451" s="39" t="s">
        <v>991</v>
      </c>
      <c r="AL1451" s="39" t="s">
        <v>992</v>
      </c>
      <c r="AM1451" s="39" t="s">
        <v>503</v>
      </c>
      <c r="AN1451" s="39" t="s">
        <v>157</v>
      </c>
      <c r="AO1451" s="39" t="s">
        <v>157</v>
      </c>
      <c r="AP1451" s="39" t="s">
        <v>178</v>
      </c>
      <c r="AQ1451" s="39" t="s">
        <v>424</v>
      </c>
      <c r="AR1451" s="39" t="s">
        <v>424</v>
      </c>
      <c r="AS1451" s="39" t="s">
        <v>178</v>
      </c>
      <c r="AT1451" s="39" t="s">
        <v>120</v>
      </c>
      <c r="AU1451" s="39">
        <v>3</v>
      </c>
      <c r="AW1451" s="39" t="s">
        <v>142</v>
      </c>
      <c r="BB1451" s="39" t="s">
        <v>1001</v>
      </c>
      <c r="BM1451" s="415">
        <v>1.37</v>
      </c>
      <c r="BN1451" s="415">
        <v>1.36</v>
      </c>
      <c r="BR1451" s="415">
        <v>1.7</v>
      </c>
      <c r="BS1451" s="415">
        <v>2.2400000000000002</v>
      </c>
      <c r="BV1451" s="39" t="s">
        <v>994</v>
      </c>
      <c r="BW1451" s="39">
        <f>1.72*1000</f>
        <v>1720</v>
      </c>
      <c r="BX1451" s="39">
        <f>2.14*1000</f>
        <v>2140</v>
      </c>
      <c r="CA1451" s="39" t="s">
        <v>235</v>
      </c>
      <c r="CB1451" s="39">
        <v>78</v>
      </c>
      <c r="CC1451" s="39">
        <v>39</v>
      </c>
      <c r="CF1451" s="39" t="s">
        <v>998</v>
      </c>
      <c r="CG1451" s="39">
        <v>150</v>
      </c>
      <c r="CH1451" s="39">
        <v>144</v>
      </c>
      <c r="CK1451" s="39" t="s">
        <v>999</v>
      </c>
      <c r="CL1451" s="39">
        <v>7.2</v>
      </c>
      <c r="CM1451" s="39">
        <v>7.1</v>
      </c>
      <c r="CQ1451" s="39">
        <v>99999</v>
      </c>
      <c r="CR1451" s="39">
        <v>99999</v>
      </c>
      <c r="CU1451" s="39" t="s">
        <v>1163</v>
      </c>
      <c r="CV1451" s="39">
        <v>0.21</v>
      </c>
      <c r="CW1451" s="39">
        <v>0.27</v>
      </c>
      <c r="CZ1451" s="39" t="s">
        <v>997</v>
      </c>
      <c r="DF1451" s="39">
        <v>85.8</v>
      </c>
      <c r="DG1451" s="39">
        <v>87.6</v>
      </c>
      <c r="DJ1451" s="39" t="s">
        <v>993</v>
      </c>
      <c r="GM1451" s="39">
        <v>167</v>
      </c>
      <c r="GN1451" s="39">
        <v>236</v>
      </c>
      <c r="GQ1451" s="39" t="s">
        <v>995</v>
      </c>
      <c r="GR1451" s="39">
        <f>0.53*1000</f>
        <v>530</v>
      </c>
      <c r="GS1451" s="39">
        <f>0.77*1000</f>
        <v>770</v>
      </c>
      <c r="GW1451" s="39">
        <v>46.4</v>
      </c>
      <c r="GX1451" s="39">
        <v>60.4</v>
      </c>
      <c r="HA1451" s="39" t="s">
        <v>996</v>
      </c>
      <c r="IA1451" s="39">
        <v>287</v>
      </c>
      <c r="IB1451" s="39">
        <v>297</v>
      </c>
      <c r="IE1451" s="39" t="s">
        <v>996</v>
      </c>
      <c r="IK1451" s="39">
        <v>99999</v>
      </c>
      <c r="IL1451" s="39">
        <v>99999</v>
      </c>
      <c r="IO1451" s="39" t="s">
        <v>1000</v>
      </c>
      <c r="IQ1451"/>
    </row>
    <row r="1452" spans="1:251" s="39" customFormat="1" x14ac:dyDescent="0.25">
      <c r="A1452" s="39">
        <v>66</v>
      </c>
      <c r="B1452" s="39" t="s">
        <v>988</v>
      </c>
      <c r="C1452" s="39" t="s">
        <v>989</v>
      </c>
      <c r="D1452" s="39">
        <v>2015</v>
      </c>
      <c r="E1452" s="39">
        <v>2008</v>
      </c>
      <c r="F1452" s="39" t="s">
        <v>330</v>
      </c>
      <c r="G1452" s="39" t="s">
        <v>990</v>
      </c>
      <c r="H1452" s="32" t="s">
        <v>2831</v>
      </c>
      <c r="I1452" s="39">
        <v>39.54</v>
      </c>
      <c r="J1452" s="39">
        <v>-91.33</v>
      </c>
      <c r="K1452" s="39">
        <v>179.9</v>
      </c>
      <c r="Q1452" s="70">
        <v>15</v>
      </c>
      <c r="R1452" s="70">
        <v>15</v>
      </c>
      <c r="S1452" s="70" t="s">
        <v>866</v>
      </c>
      <c r="T1452" s="70" t="s">
        <v>2004</v>
      </c>
      <c r="U1452" s="70" t="s">
        <v>1416</v>
      </c>
      <c r="V1452" s="70" t="s">
        <v>1726</v>
      </c>
      <c r="W1452" s="70" t="s">
        <v>1398</v>
      </c>
      <c r="X1452" s="70" t="s">
        <v>1386</v>
      </c>
      <c r="Y1452" s="39">
        <v>1.37</v>
      </c>
      <c r="Z1452" s="340"/>
      <c r="AA1452" s="340"/>
      <c r="AB1452" s="39" t="s">
        <v>451</v>
      </c>
      <c r="AC1452" s="39">
        <v>6.98</v>
      </c>
      <c r="AF1452" s="39" t="s">
        <v>1355</v>
      </c>
      <c r="AG1452" s="39" t="s">
        <v>1535</v>
      </c>
      <c r="AH1452" s="138" t="s">
        <v>578</v>
      </c>
      <c r="AI1452" s="39" t="s">
        <v>1593</v>
      </c>
      <c r="AJ1452" s="141" t="s">
        <v>1615</v>
      </c>
      <c r="AK1452" s="39" t="s">
        <v>991</v>
      </c>
      <c r="AL1452" s="39" t="s">
        <v>992</v>
      </c>
      <c r="AM1452" s="39" t="s">
        <v>503</v>
      </c>
      <c r="AN1452" s="39" t="s">
        <v>157</v>
      </c>
      <c r="AO1452" s="39" t="s">
        <v>157</v>
      </c>
      <c r="AP1452" s="39" t="s">
        <v>178</v>
      </c>
      <c r="AQ1452" s="39" t="s">
        <v>424</v>
      </c>
      <c r="AR1452" s="39" t="s">
        <v>424</v>
      </c>
      <c r="AS1452" s="39" t="s">
        <v>178</v>
      </c>
      <c r="AT1452" s="39" t="s">
        <v>120</v>
      </c>
      <c r="AU1452" s="39">
        <v>3</v>
      </c>
      <c r="AW1452" s="39" t="s">
        <v>142</v>
      </c>
      <c r="BB1452" s="39" t="s">
        <v>1001</v>
      </c>
      <c r="BM1452" s="415">
        <v>1.38</v>
      </c>
      <c r="BN1452" s="415">
        <v>1.4</v>
      </c>
      <c r="BR1452" s="415">
        <v>1.02</v>
      </c>
      <c r="BS1452" s="415">
        <v>1.01</v>
      </c>
      <c r="BV1452" s="39" t="s">
        <v>994</v>
      </c>
      <c r="BW1452" s="39">
        <v>1180</v>
      </c>
      <c r="BX1452" s="39">
        <v>1220</v>
      </c>
      <c r="CA1452" s="39" t="s">
        <v>235</v>
      </c>
      <c r="CB1452" s="39">
        <v>16.5</v>
      </c>
      <c r="CC1452" s="39">
        <v>12.2</v>
      </c>
      <c r="CF1452" s="39" t="s">
        <v>998</v>
      </c>
      <c r="CG1452" s="39">
        <v>107</v>
      </c>
      <c r="CH1452" s="39">
        <v>108</v>
      </c>
      <c r="CK1452" s="39" t="s">
        <v>999</v>
      </c>
      <c r="CL1452" s="39">
        <v>6.8</v>
      </c>
      <c r="CM1452" s="39">
        <v>6.7</v>
      </c>
      <c r="CQ1452" s="39">
        <v>99999</v>
      </c>
      <c r="CR1452" s="39">
        <v>99999</v>
      </c>
      <c r="CU1452" s="39" t="s">
        <v>1163</v>
      </c>
      <c r="CV1452" s="39">
        <v>0.16</v>
      </c>
      <c r="CW1452" s="39">
        <v>0.17</v>
      </c>
      <c r="CZ1452" s="39" t="s">
        <v>997</v>
      </c>
      <c r="DF1452" s="39">
        <v>87.1</v>
      </c>
      <c r="DG1452" s="39">
        <v>85</v>
      </c>
      <c r="DJ1452" s="39" t="s">
        <v>993</v>
      </c>
      <c r="GM1452" s="39">
        <v>36.1</v>
      </c>
      <c r="GN1452" s="39">
        <v>39.799999999999997</v>
      </c>
      <c r="GQ1452" s="39" t="s">
        <v>995</v>
      </c>
      <c r="GR1452" s="39">
        <v>189</v>
      </c>
      <c r="GS1452" s="39">
        <v>214</v>
      </c>
      <c r="GW1452" s="39">
        <v>14</v>
      </c>
      <c r="GX1452" s="39">
        <v>16.600000000000001</v>
      </c>
      <c r="HA1452" s="39" t="s">
        <v>996</v>
      </c>
      <c r="IA1452" s="39">
        <v>105</v>
      </c>
      <c r="IB1452" s="39">
        <v>131</v>
      </c>
      <c r="IE1452" s="39" t="s">
        <v>996</v>
      </c>
      <c r="IK1452" s="39">
        <v>99999</v>
      </c>
      <c r="IL1452" s="39">
        <v>99999</v>
      </c>
      <c r="IO1452" s="39" t="s">
        <v>1000</v>
      </c>
      <c r="IQ1452"/>
    </row>
    <row r="1453" spans="1:251" s="28" customFormat="1" x14ac:dyDescent="0.25">
      <c r="A1453" s="28">
        <v>66</v>
      </c>
      <c r="B1453" s="28" t="s">
        <v>988</v>
      </c>
      <c r="C1453" s="28" t="s">
        <v>989</v>
      </c>
      <c r="D1453" s="28">
        <v>2015</v>
      </c>
      <c r="E1453" s="28">
        <v>2008</v>
      </c>
      <c r="F1453" s="28" t="s">
        <v>330</v>
      </c>
      <c r="G1453" s="28" t="s">
        <v>990</v>
      </c>
      <c r="H1453" s="32" t="s">
        <v>2831</v>
      </c>
      <c r="I1453" s="28">
        <v>39.54</v>
      </c>
      <c r="J1453" s="28">
        <v>-91.33</v>
      </c>
      <c r="K1453" s="28">
        <v>179.9</v>
      </c>
      <c r="Q1453" s="46">
        <v>15</v>
      </c>
      <c r="R1453" s="46">
        <v>15</v>
      </c>
      <c r="S1453" s="46" t="s">
        <v>866</v>
      </c>
      <c r="T1453" s="46" t="s">
        <v>2004</v>
      </c>
      <c r="U1453" s="46" t="s">
        <v>1398</v>
      </c>
      <c r="V1453" s="46" t="s">
        <v>1729</v>
      </c>
      <c r="W1453" s="46" t="s">
        <v>1398</v>
      </c>
      <c r="X1453" s="46" t="s">
        <v>1386</v>
      </c>
      <c r="Y1453" s="28">
        <f>(1.37+1.43)/2</f>
        <v>1.4</v>
      </c>
      <c r="Z1453" s="326"/>
      <c r="AA1453" s="326"/>
      <c r="AB1453" s="28" t="s">
        <v>451</v>
      </c>
      <c r="AC1453" s="28">
        <v>6.98</v>
      </c>
      <c r="AF1453" s="28" t="s">
        <v>1355</v>
      </c>
      <c r="AG1453" s="28" t="s">
        <v>1535</v>
      </c>
      <c r="AH1453" s="138" t="s">
        <v>578</v>
      </c>
      <c r="AI1453" s="28" t="s">
        <v>1593</v>
      </c>
      <c r="AJ1453" s="141" t="s">
        <v>1615</v>
      </c>
      <c r="AK1453" s="28" t="s">
        <v>991</v>
      </c>
      <c r="AL1453" s="28" t="s">
        <v>991</v>
      </c>
      <c r="AM1453" s="28" t="s">
        <v>178</v>
      </c>
      <c r="AN1453" s="28" t="s">
        <v>157</v>
      </c>
      <c r="AO1453" s="28" t="s">
        <v>1003</v>
      </c>
      <c r="AP1453" s="28" t="s">
        <v>503</v>
      </c>
      <c r="AQ1453" s="28" t="s">
        <v>424</v>
      </c>
      <c r="AR1453" s="28" t="s">
        <v>1004</v>
      </c>
      <c r="AS1453" s="28" t="s">
        <v>503</v>
      </c>
      <c r="AT1453" s="28" t="s">
        <v>120</v>
      </c>
      <c r="AU1453" s="28">
        <v>3</v>
      </c>
      <c r="AW1453" s="28" t="s">
        <v>142</v>
      </c>
      <c r="BB1453" s="28" t="s">
        <v>1002</v>
      </c>
      <c r="BM1453" s="401">
        <v>1.43</v>
      </c>
      <c r="BN1453" s="401">
        <v>1.37</v>
      </c>
      <c r="BR1453" s="401">
        <f>15.9/10</f>
        <v>1.59</v>
      </c>
      <c r="BS1453" s="401">
        <f>16.7/10</f>
        <v>1.67</v>
      </c>
      <c r="BV1453" s="28" t="s">
        <v>994</v>
      </c>
      <c r="BW1453" s="28">
        <v>1710</v>
      </c>
      <c r="BX1453" s="28">
        <v>2270</v>
      </c>
      <c r="CA1453" s="28" t="s">
        <v>235</v>
      </c>
      <c r="CB1453" s="28">
        <v>37</v>
      </c>
      <c r="CC1453" s="28">
        <v>96</v>
      </c>
      <c r="CF1453" s="28" t="s">
        <v>998</v>
      </c>
      <c r="CG1453" s="28">
        <v>163</v>
      </c>
      <c r="CH1453" s="28">
        <v>136</v>
      </c>
      <c r="CK1453" s="28" t="s">
        <v>999</v>
      </c>
      <c r="CL1453" s="28">
        <v>6.7</v>
      </c>
      <c r="CM1453" s="28">
        <v>7.2</v>
      </c>
      <c r="CQ1453" s="28">
        <v>99999</v>
      </c>
      <c r="CR1453" s="28">
        <v>99999</v>
      </c>
      <c r="CU1453" s="28" t="s">
        <v>1163</v>
      </c>
      <c r="CV1453" s="28">
        <v>0.41</v>
      </c>
      <c r="CW1453" s="28">
        <v>0.33</v>
      </c>
      <c r="CZ1453" s="28" t="s">
        <v>997</v>
      </c>
      <c r="DF1453" s="28">
        <v>88.6</v>
      </c>
      <c r="DG1453" s="28">
        <v>90.2</v>
      </c>
      <c r="DJ1453" s="28" t="s">
        <v>993</v>
      </c>
      <c r="GM1453" s="28">
        <v>222</v>
      </c>
      <c r="GN1453" s="28">
        <v>186</v>
      </c>
      <c r="GQ1453" s="28" t="s">
        <v>995</v>
      </c>
      <c r="GR1453" s="28">
        <v>530</v>
      </c>
      <c r="GS1453" s="28">
        <v>810</v>
      </c>
      <c r="GW1453" s="28">
        <v>47.9</v>
      </c>
      <c r="GX1453" s="28">
        <v>22.8</v>
      </c>
      <c r="HA1453" s="28" t="s">
        <v>996</v>
      </c>
      <c r="IA1453" s="28">
        <v>389</v>
      </c>
      <c r="IB1453" s="28">
        <v>731</v>
      </c>
      <c r="IE1453" s="28" t="s">
        <v>996</v>
      </c>
      <c r="IK1453" s="28">
        <v>99999</v>
      </c>
      <c r="IL1453" s="39">
        <v>99999</v>
      </c>
      <c r="IO1453" s="28" t="s">
        <v>1000</v>
      </c>
    </row>
    <row r="1454" spans="1:251" s="28" customFormat="1" x14ac:dyDescent="0.25">
      <c r="A1454" s="28">
        <v>66</v>
      </c>
      <c r="B1454" s="28" t="s">
        <v>988</v>
      </c>
      <c r="C1454" s="28" t="s">
        <v>989</v>
      </c>
      <c r="D1454" s="28">
        <v>2015</v>
      </c>
      <c r="E1454" s="28">
        <v>2008</v>
      </c>
      <c r="F1454" s="28" t="s">
        <v>330</v>
      </c>
      <c r="G1454" s="28" t="s">
        <v>990</v>
      </c>
      <c r="H1454" s="32" t="s">
        <v>2831</v>
      </c>
      <c r="I1454" s="28">
        <v>39.54</v>
      </c>
      <c r="J1454" s="28">
        <v>-91.33</v>
      </c>
      <c r="K1454" s="28">
        <v>179.9</v>
      </c>
      <c r="Q1454" s="46">
        <v>15</v>
      </c>
      <c r="R1454" s="46">
        <v>15</v>
      </c>
      <c r="S1454" s="46" t="s">
        <v>866</v>
      </c>
      <c r="T1454" s="46" t="s">
        <v>2004</v>
      </c>
      <c r="U1454" s="46" t="s">
        <v>1416</v>
      </c>
      <c r="V1454" s="46" t="s">
        <v>1726</v>
      </c>
      <c r="W1454" s="46" t="s">
        <v>1398</v>
      </c>
      <c r="X1454" s="46" t="s">
        <v>1386</v>
      </c>
      <c r="Y1454" s="28">
        <f>(1.37+1.43)/2</f>
        <v>1.4</v>
      </c>
      <c r="Z1454" s="326"/>
      <c r="AA1454" s="326"/>
      <c r="AB1454" s="28" t="s">
        <v>451</v>
      </c>
      <c r="AC1454" s="28">
        <v>6.98</v>
      </c>
      <c r="AF1454" s="28" t="s">
        <v>1355</v>
      </c>
      <c r="AG1454" s="28" t="s">
        <v>1535</v>
      </c>
      <c r="AH1454" s="138" t="s">
        <v>578</v>
      </c>
      <c r="AI1454" s="28" t="s">
        <v>1593</v>
      </c>
      <c r="AJ1454" s="141" t="s">
        <v>1615</v>
      </c>
      <c r="AK1454" s="28" t="s">
        <v>991</v>
      </c>
      <c r="AL1454" s="28" t="s">
        <v>991</v>
      </c>
      <c r="AM1454" s="28" t="s">
        <v>178</v>
      </c>
      <c r="AN1454" s="28" t="s">
        <v>157</v>
      </c>
      <c r="AO1454" s="28" t="s">
        <v>1003</v>
      </c>
      <c r="AP1454" s="28" t="s">
        <v>503</v>
      </c>
      <c r="AQ1454" s="28" t="s">
        <v>424</v>
      </c>
      <c r="AR1454" s="28" t="s">
        <v>1004</v>
      </c>
      <c r="AS1454" s="28" t="s">
        <v>503</v>
      </c>
      <c r="AT1454" s="28" t="s">
        <v>120</v>
      </c>
      <c r="AU1454" s="28">
        <v>3</v>
      </c>
      <c r="AW1454" s="28" t="s">
        <v>142</v>
      </c>
      <c r="BB1454" s="28" t="s">
        <v>1002</v>
      </c>
      <c r="BM1454" s="401">
        <v>1.41</v>
      </c>
      <c r="BN1454" s="401">
        <v>1.46</v>
      </c>
      <c r="BR1454" s="401">
        <v>1.04</v>
      </c>
      <c r="BS1454" s="401">
        <v>1.33</v>
      </c>
      <c r="BV1454" s="28" t="s">
        <v>994</v>
      </c>
      <c r="BW1454" s="28">
        <v>1160</v>
      </c>
      <c r="BX1454" s="28">
        <v>1600</v>
      </c>
      <c r="CA1454" s="28" t="s">
        <v>235</v>
      </c>
      <c r="CB1454" s="28">
        <v>12.6</v>
      </c>
      <c r="CC1454" s="28">
        <v>32.5</v>
      </c>
      <c r="CF1454" s="28" t="s">
        <v>998</v>
      </c>
      <c r="CG1454" s="28">
        <v>65.099999999999994</v>
      </c>
      <c r="CH1454" s="28">
        <v>67.8</v>
      </c>
      <c r="CK1454" s="28" t="s">
        <v>999</v>
      </c>
      <c r="CL1454" s="28">
        <v>6.9</v>
      </c>
      <c r="CM1454" s="28">
        <v>7.2</v>
      </c>
      <c r="CQ1454" s="28">
        <v>99999</v>
      </c>
      <c r="CR1454" s="28">
        <v>99999</v>
      </c>
      <c r="CU1454" s="28" t="s">
        <v>1163</v>
      </c>
      <c r="CV1454" s="28">
        <v>0.13</v>
      </c>
      <c r="CW1454" s="28">
        <v>0.2</v>
      </c>
      <c r="CZ1454" s="28" t="s">
        <v>997</v>
      </c>
      <c r="DF1454" s="28">
        <v>85.8</v>
      </c>
      <c r="DG1454" s="28">
        <v>91.2</v>
      </c>
      <c r="DJ1454" s="28" t="s">
        <v>993</v>
      </c>
      <c r="GM1454" s="28">
        <v>57.8</v>
      </c>
      <c r="GN1454" s="28">
        <v>77.599999999999994</v>
      </c>
      <c r="GQ1454" s="28" t="s">
        <v>995</v>
      </c>
      <c r="GR1454" s="28">
        <v>202</v>
      </c>
      <c r="GS1454" s="28">
        <v>266</v>
      </c>
      <c r="GW1454" s="28">
        <v>22.6</v>
      </c>
      <c r="GX1454" s="28">
        <v>14.3</v>
      </c>
      <c r="HA1454" s="28" t="s">
        <v>996</v>
      </c>
      <c r="IA1454" s="28">
        <v>109</v>
      </c>
      <c r="IB1454" s="28">
        <v>251</v>
      </c>
      <c r="IE1454" s="28" t="s">
        <v>996</v>
      </c>
      <c r="IK1454" s="28">
        <v>99999</v>
      </c>
      <c r="IL1454" s="39">
        <v>99999</v>
      </c>
      <c r="IO1454" s="28" t="s">
        <v>1000</v>
      </c>
    </row>
    <row r="1455" spans="1:251" s="40" customFormat="1" x14ac:dyDescent="0.25">
      <c r="A1455" s="40">
        <v>67</v>
      </c>
      <c r="B1455" s="40" t="s">
        <v>1005</v>
      </c>
      <c r="C1455" s="40" t="s">
        <v>1006</v>
      </c>
      <c r="D1455" s="40">
        <v>2006</v>
      </c>
      <c r="E1455" s="40">
        <v>2002</v>
      </c>
      <c r="F1455" s="40" t="s">
        <v>152</v>
      </c>
      <c r="G1455" s="40" t="s">
        <v>1007</v>
      </c>
      <c r="H1455" s="32" t="s">
        <v>2831</v>
      </c>
      <c r="I1455" s="40">
        <v>40.1</v>
      </c>
      <c r="J1455" s="40">
        <v>-88.25</v>
      </c>
      <c r="K1455" s="40">
        <v>235.6</v>
      </c>
      <c r="Q1455" s="40">
        <v>2</v>
      </c>
      <c r="R1455" s="40">
        <v>2</v>
      </c>
      <c r="S1455" s="71" t="s">
        <v>2006</v>
      </c>
      <c r="T1455" s="71" t="s">
        <v>2005</v>
      </c>
      <c r="U1455" s="71" t="s">
        <v>1398</v>
      </c>
      <c r="V1455" s="71" t="s">
        <v>1729</v>
      </c>
      <c r="W1455" s="71" t="s">
        <v>1398</v>
      </c>
      <c r="X1455" s="71" t="s">
        <v>1393</v>
      </c>
      <c r="Z1455" s="341"/>
      <c r="AA1455" s="341"/>
      <c r="AB1455" s="40" t="s">
        <v>140</v>
      </c>
      <c r="AF1455" s="40" t="s">
        <v>1322</v>
      </c>
      <c r="AG1455" s="40" t="s">
        <v>132</v>
      </c>
      <c r="AH1455" s="138" t="s">
        <v>132</v>
      </c>
      <c r="AI1455" s="40" t="s">
        <v>133</v>
      </c>
      <c r="AJ1455" s="140" t="s">
        <v>1615</v>
      </c>
      <c r="AK1455" s="40" t="s">
        <v>991</v>
      </c>
      <c r="AL1455" s="40" t="s">
        <v>991</v>
      </c>
      <c r="AM1455" s="40" t="s">
        <v>178</v>
      </c>
      <c r="AN1455" s="40" t="s">
        <v>157</v>
      </c>
      <c r="AO1455" s="40" t="s">
        <v>157</v>
      </c>
      <c r="AP1455" s="40" t="s">
        <v>178</v>
      </c>
      <c r="AQ1455" s="40" t="s">
        <v>1008</v>
      </c>
      <c r="AR1455" s="40" t="s">
        <v>1008</v>
      </c>
      <c r="AS1455" s="40" t="s">
        <v>178</v>
      </c>
      <c r="AT1455" s="40" t="s">
        <v>120</v>
      </c>
      <c r="AU1455" s="40">
        <v>4</v>
      </c>
      <c r="AW1455" s="40" t="s">
        <v>336</v>
      </c>
      <c r="BM1455" s="416">
        <v>1.32</v>
      </c>
      <c r="BN1455" s="416">
        <v>1.24</v>
      </c>
      <c r="BR1455" s="416">
        <v>4.2</v>
      </c>
      <c r="BS1455" s="416">
        <v>4.4000000000000004</v>
      </c>
      <c r="BV1455" s="40" t="s">
        <v>1009</v>
      </c>
      <c r="BW1455" s="40">
        <v>27.7</v>
      </c>
      <c r="BX1455" s="40">
        <v>23.1</v>
      </c>
      <c r="CA1455" s="40" t="s">
        <v>1011</v>
      </c>
      <c r="CB1455" s="40">
        <v>36.4</v>
      </c>
      <c r="CC1455" s="40">
        <v>29.6</v>
      </c>
      <c r="DF1455" s="40">
        <v>38</v>
      </c>
      <c r="DG1455" s="40">
        <v>41</v>
      </c>
      <c r="DJ1455" s="40" t="s">
        <v>993</v>
      </c>
      <c r="DK1455" s="40">
        <v>39</v>
      </c>
      <c r="DL1455" s="40">
        <v>41</v>
      </c>
      <c r="DO1455" s="40" t="s">
        <v>1019</v>
      </c>
      <c r="DP1455" s="40">
        <v>1.4119999999999999</v>
      </c>
      <c r="DQ1455" s="40">
        <v>1.032</v>
      </c>
      <c r="DT1455" s="40" t="s">
        <v>1012</v>
      </c>
      <c r="FD1455" s="40">
        <v>24.3</v>
      </c>
      <c r="FE1455" s="40">
        <v>25.3</v>
      </c>
      <c r="FH1455" s="40" t="s">
        <v>1020</v>
      </c>
    </row>
    <row r="1456" spans="1:251" s="40" customFormat="1" x14ac:dyDescent="0.25">
      <c r="A1456" s="40">
        <v>67</v>
      </c>
      <c r="B1456" s="40" t="s">
        <v>1005</v>
      </c>
      <c r="C1456" s="40" t="s">
        <v>1006</v>
      </c>
      <c r="D1456" s="40">
        <v>2006</v>
      </c>
      <c r="E1456" s="40">
        <v>2002</v>
      </c>
      <c r="F1456" s="40" t="s">
        <v>152</v>
      </c>
      <c r="G1456" s="40" t="s">
        <v>1007</v>
      </c>
      <c r="H1456" s="32" t="s">
        <v>2831</v>
      </c>
      <c r="I1456" s="40">
        <v>40.1</v>
      </c>
      <c r="J1456" s="40">
        <v>-88.25</v>
      </c>
      <c r="K1456" s="40">
        <v>235.6</v>
      </c>
      <c r="Q1456" s="40">
        <v>2</v>
      </c>
      <c r="R1456" s="40">
        <v>2</v>
      </c>
      <c r="S1456" s="71" t="s">
        <v>2006</v>
      </c>
      <c r="T1456" s="71" t="s">
        <v>2005</v>
      </c>
      <c r="U1456" s="71" t="s">
        <v>1405</v>
      </c>
      <c r="V1456" s="71" t="s">
        <v>1729</v>
      </c>
      <c r="W1456" s="71" t="s">
        <v>1398</v>
      </c>
      <c r="X1456" s="71" t="s">
        <v>1393</v>
      </c>
      <c r="Z1456" s="341"/>
      <c r="AA1456" s="341"/>
      <c r="AB1456" s="40" t="s">
        <v>140</v>
      </c>
      <c r="AF1456" s="40" t="s">
        <v>1322</v>
      </c>
      <c r="AG1456" s="40" t="s">
        <v>132</v>
      </c>
      <c r="AH1456" s="138" t="s">
        <v>132</v>
      </c>
      <c r="AI1456" s="40" t="s">
        <v>133</v>
      </c>
      <c r="AJ1456" s="140" t="s">
        <v>1615</v>
      </c>
      <c r="AK1456" s="40" t="s">
        <v>991</v>
      </c>
      <c r="AL1456" s="40" t="s">
        <v>991</v>
      </c>
      <c r="AM1456" s="40" t="s">
        <v>178</v>
      </c>
      <c r="AN1456" s="40" t="s">
        <v>157</v>
      </c>
      <c r="AO1456" s="40" t="s">
        <v>157</v>
      </c>
      <c r="AP1456" s="40" t="s">
        <v>178</v>
      </c>
      <c r="AQ1456" s="40" t="s">
        <v>1008</v>
      </c>
      <c r="AR1456" s="40" t="s">
        <v>1008</v>
      </c>
      <c r="AS1456" s="40" t="s">
        <v>178</v>
      </c>
      <c r="AT1456" s="40" t="s">
        <v>120</v>
      </c>
      <c r="AU1456" s="40">
        <v>4</v>
      </c>
      <c r="AW1456" s="40" t="s">
        <v>336</v>
      </c>
      <c r="BM1456" s="416">
        <v>1.4</v>
      </c>
      <c r="BN1456" s="416">
        <v>1.38</v>
      </c>
      <c r="BR1456" s="416">
        <v>3.3</v>
      </c>
      <c r="BS1456" s="416">
        <v>3.5</v>
      </c>
      <c r="BV1456" s="40" t="s">
        <v>1009</v>
      </c>
      <c r="BW1456" s="40">
        <v>24.8</v>
      </c>
      <c r="BX1456" s="40">
        <v>29.1</v>
      </c>
      <c r="CA1456" s="40" t="s">
        <v>1011</v>
      </c>
      <c r="CB1456" s="40">
        <v>36.4</v>
      </c>
      <c r="CC1456" s="40">
        <v>34.4</v>
      </c>
      <c r="DF1456" s="40">
        <v>38</v>
      </c>
      <c r="DG1456" s="40">
        <v>43</v>
      </c>
      <c r="DJ1456" s="40" t="s">
        <v>993</v>
      </c>
      <c r="DK1456" s="40">
        <v>39</v>
      </c>
      <c r="DL1456" s="40">
        <v>40.299999999999997</v>
      </c>
      <c r="DO1456" s="40" t="s">
        <v>1019</v>
      </c>
      <c r="DP1456" s="40">
        <v>1.84</v>
      </c>
      <c r="DQ1456" s="40">
        <v>1.653</v>
      </c>
      <c r="DT1456" s="40" t="s">
        <v>1012</v>
      </c>
      <c r="FD1456" s="40">
        <v>24.3</v>
      </c>
      <c r="FE1456" s="40">
        <v>25.6</v>
      </c>
      <c r="FH1456" s="40" t="s">
        <v>1020</v>
      </c>
    </row>
    <row r="1457" spans="1:164" s="40" customFormat="1" x14ac:dyDescent="0.25">
      <c r="A1457" s="40">
        <v>67</v>
      </c>
      <c r="B1457" s="40" t="s">
        <v>1005</v>
      </c>
      <c r="C1457" s="40" t="s">
        <v>1006</v>
      </c>
      <c r="D1457" s="40">
        <v>2006</v>
      </c>
      <c r="E1457" s="40">
        <v>2002</v>
      </c>
      <c r="F1457" s="40" t="s">
        <v>152</v>
      </c>
      <c r="G1457" s="40" t="s">
        <v>1007</v>
      </c>
      <c r="H1457" s="32" t="s">
        <v>2831</v>
      </c>
      <c r="I1457" s="40">
        <v>40.1</v>
      </c>
      <c r="J1457" s="40">
        <v>-88.25</v>
      </c>
      <c r="K1457" s="40">
        <v>235.6</v>
      </c>
      <c r="Q1457" s="40">
        <v>2</v>
      </c>
      <c r="R1457" s="40">
        <v>2</v>
      </c>
      <c r="S1457" s="71" t="s">
        <v>2006</v>
      </c>
      <c r="T1457" s="71" t="s">
        <v>2005</v>
      </c>
      <c r="U1457" s="71" t="s">
        <v>1413</v>
      </c>
      <c r="V1457" s="71" t="s">
        <v>1729</v>
      </c>
      <c r="W1457" s="71" t="s">
        <v>1398</v>
      </c>
      <c r="X1457" s="71" t="s">
        <v>1393</v>
      </c>
      <c r="Z1457" s="341"/>
      <c r="AA1457" s="341"/>
      <c r="AB1457" s="40" t="s">
        <v>140</v>
      </c>
      <c r="AF1457" s="40" t="s">
        <v>1322</v>
      </c>
      <c r="AG1457" s="40" t="s">
        <v>132</v>
      </c>
      <c r="AH1457" s="138" t="s">
        <v>132</v>
      </c>
      <c r="AI1457" s="40" t="s">
        <v>133</v>
      </c>
      <c r="AJ1457" s="140" t="s">
        <v>1615</v>
      </c>
      <c r="AK1457" s="40" t="s">
        <v>991</v>
      </c>
      <c r="AL1457" s="40" t="s">
        <v>991</v>
      </c>
      <c r="AM1457" s="40" t="s">
        <v>178</v>
      </c>
      <c r="AN1457" s="40" t="s">
        <v>157</v>
      </c>
      <c r="AO1457" s="40" t="s">
        <v>157</v>
      </c>
      <c r="AP1457" s="40" t="s">
        <v>178</v>
      </c>
      <c r="AQ1457" s="40" t="s">
        <v>1008</v>
      </c>
      <c r="AR1457" s="40" t="s">
        <v>1008</v>
      </c>
      <c r="AS1457" s="40" t="s">
        <v>178</v>
      </c>
      <c r="AT1457" s="40" t="s">
        <v>120</v>
      </c>
      <c r="AU1457" s="40">
        <v>4</v>
      </c>
      <c r="AW1457" s="40" t="s">
        <v>336</v>
      </c>
      <c r="BM1457" s="416">
        <v>1.45</v>
      </c>
      <c r="BN1457" s="416">
        <v>1.46</v>
      </c>
      <c r="BR1457" s="416">
        <v>3.1</v>
      </c>
      <c r="BS1457" s="416">
        <v>3.3</v>
      </c>
      <c r="BV1457" s="40" t="s">
        <v>1009</v>
      </c>
      <c r="BW1457" s="40">
        <v>32.700000000000003</v>
      </c>
      <c r="BX1457" s="40">
        <v>26.7</v>
      </c>
      <c r="CA1457" s="40" t="s">
        <v>1011</v>
      </c>
      <c r="CB1457" s="40">
        <v>36.4</v>
      </c>
      <c r="CC1457" s="40">
        <v>31.2</v>
      </c>
      <c r="DF1457" s="40">
        <v>38</v>
      </c>
      <c r="DG1457" s="40">
        <v>44</v>
      </c>
      <c r="DJ1457" s="40" t="s">
        <v>993</v>
      </c>
      <c r="DK1457" s="40">
        <v>39</v>
      </c>
      <c r="DL1457" s="40">
        <v>41.3</v>
      </c>
      <c r="DO1457" s="40" t="s">
        <v>1019</v>
      </c>
      <c r="DP1457" s="40">
        <v>1.744</v>
      </c>
      <c r="DQ1457" s="40">
        <v>1.746</v>
      </c>
      <c r="DT1457" s="40" t="s">
        <v>1012</v>
      </c>
      <c r="FD1457" s="40">
        <v>24.3</v>
      </c>
      <c r="FE1457" s="40">
        <v>26.4</v>
      </c>
      <c r="FH1457" s="40" t="s">
        <v>1020</v>
      </c>
    </row>
    <row r="1458" spans="1:164" s="40" customFormat="1" x14ac:dyDescent="0.25">
      <c r="A1458" s="40">
        <v>67</v>
      </c>
      <c r="B1458" s="40" t="s">
        <v>1005</v>
      </c>
      <c r="C1458" s="40" t="s">
        <v>1006</v>
      </c>
      <c r="D1458" s="40">
        <v>2006</v>
      </c>
      <c r="E1458" s="40">
        <v>2002</v>
      </c>
      <c r="F1458" s="40" t="s">
        <v>152</v>
      </c>
      <c r="G1458" s="40" t="s">
        <v>1007</v>
      </c>
      <c r="H1458" s="32" t="s">
        <v>2831</v>
      </c>
      <c r="I1458" s="40">
        <v>40.1</v>
      </c>
      <c r="J1458" s="40">
        <v>-88.25</v>
      </c>
      <c r="K1458" s="40">
        <v>235.6</v>
      </c>
      <c r="Q1458" s="40">
        <v>2</v>
      </c>
      <c r="R1458" s="40">
        <v>2</v>
      </c>
      <c r="S1458" s="71" t="s">
        <v>2006</v>
      </c>
      <c r="T1458" s="71" t="s">
        <v>2005</v>
      </c>
      <c r="U1458" s="71" t="s">
        <v>1394</v>
      </c>
      <c r="V1458" s="71" t="s">
        <v>1729</v>
      </c>
      <c r="W1458" s="71" t="s">
        <v>1398</v>
      </c>
      <c r="X1458" s="71" t="s">
        <v>1393</v>
      </c>
      <c r="Z1458" s="341"/>
      <c r="AA1458" s="341"/>
      <c r="AB1458" s="40" t="s">
        <v>140</v>
      </c>
      <c r="AF1458" s="40" t="s">
        <v>1322</v>
      </c>
      <c r="AG1458" s="40" t="s">
        <v>132</v>
      </c>
      <c r="AH1458" s="138" t="s">
        <v>132</v>
      </c>
      <c r="AI1458" s="40" t="s">
        <v>133</v>
      </c>
      <c r="AJ1458" s="140" t="s">
        <v>1615</v>
      </c>
      <c r="AK1458" s="40" t="s">
        <v>991</v>
      </c>
      <c r="AL1458" s="40" t="s">
        <v>991</v>
      </c>
      <c r="AM1458" s="40" t="s">
        <v>178</v>
      </c>
      <c r="AN1458" s="40" t="s">
        <v>157</v>
      </c>
      <c r="AO1458" s="40" t="s">
        <v>157</v>
      </c>
      <c r="AP1458" s="40" t="s">
        <v>178</v>
      </c>
      <c r="AQ1458" s="40" t="s">
        <v>1008</v>
      </c>
      <c r="AR1458" s="40" t="s">
        <v>1008</v>
      </c>
      <c r="AS1458" s="40" t="s">
        <v>178</v>
      </c>
      <c r="AT1458" s="40" t="s">
        <v>120</v>
      </c>
      <c r="AU1458" s="40">
        <v>4</v>
      </c>
      <c r="AW1458" s="40" t="s">
        <v>336</v>
      </c>
      <c r="BM1458" s="416">
        <v>1.45</v>
      </c>
      <c r="BN1458" s="416">
        <v>1.44</v>
      </c>
      <c r="BR1458" s="416">
        <v>3.5</v>
      </c>
      <c r="BS1458" s="416">
        <v>3.6</v>
      </c>
      <c r="BV1458" s="40" t="s">
        <v>1009</v>
      </c>
      <c r="BW1458" s="40">
        <v>17.600000000000001</v>
      </c>
      <c r="BX1458" s="40">
        <v>26.7</v>
      </c>
      <c r="CA1458" s="40" t="s">
        <v>1011</v>
      </c>
      <c r="DP1458" s="40">
        <v>1.629</v>
      </c>
      <c r="DQ1458" s="40">
        <v>1.744</v>
      </c>
      <c r="DT1458" s="40" t="s">
        <v>1012</v>
      </c>
    </row>
    <row r="1459" spans="1:164" s="24" customFormat="1" x14ac:dyDescent="0.25">
      <c r="A1459" s="24">
        <v>67</v>
      </c>
      <c r="B1459" s="24" t="s">
        <v>1005</v>
      </c>
      <c r="C1459" s="24" t="s">
        <v>1006</v>
      </c>
      <c r="D1459" s="24">
        <v>2006</v>
      </c>
      <c r="E1459" s="24">
        <v>2002</v>
      </c>
      <c r="F1459" s="24" t="s">
        <v>152</v>
      </c>
      <c r="G1459" s="24" t="s">
        <v>1007</v>
      </c>
      <c r="H1459" s="32" t="s">
        <v>2831</v>
      </c>
      <c r="I1459" s="24">
        <v>40.1</v>
      </c>
      <c r="J1459" s="24">
        <v>-88.25</v>
      </c>
      <c r="K1459" s="24">
        <v>235.6</v>
      </c>
      <c r="Q1459" s="24">
        <v>2</v>
      </c>
      <c r="R1459" s="24">
        <v>2</v>
      </c>
      <c r="S1459" s="42" t="s">
        <v>2006</v>
      </c>
      <c r="T1459" s="42" t="s">
        <v>2005</v>
      </c>
      <c r="U1459" s="42" t="s">
        <v>1398</v>
      </c>
      <c r="V1459" s="42" t="s">
        <v>1729</v>
      </c>
      <c r="W1459" s="42" t="s">
        <v>1398</v>
      </c>
      <c r="X1459" s="42" t="s">
        <v>1393</v>
      </c>
      <c r="Z1459" s="321"/>
      <c r="AA1459" s="321"/>
      <c r="AB1459" s="24" t="s">
        <v>140</v>
      </c>
      <c r="AF1459" s="24" t="s">
        <v>1322</v>
      </c>
      <c r="AG1459" s="24" t="s">
        <v>244</v>
      </c>
      <c r="AH1459" s="138" t="s">
        <v>578</v>
      </c>
      <c r="AI1459" s="24" t="s">
        <v>133</v>
      </c>
      <c r="AJ1459" s="140" t="s">
        <v>1615</v>
      </c>
      <c r="AK1459" s="24" t="s">
        <v>991</v>
      </c>
      <c r="AL1459" s="24" t="s">
        <v>991</v>
      </c>
      <c r="AM1459" s="24" t="s">
        <v>178</v>
      </c>
      <c r="AN1459" s="24" t="s">
        <v>157</v>
      </c>
      <c r="AO1459" s="24" t="s">
        <v>157</v>
      </c>
      <c r="AP1459" s="24" t="s">
        <v>178</v>
      </c>
      <c r="AQ1459" s="24" t="s">
        <v>1008</v>
      </c>
      <c r="AR1459" s="24" t="s">
        <v>1008</v>
      </c>
      <c r="AS1459" s="24" t="s">
        <v>178</v>
      </c>
      <c r="AT1459" s="24" t="s">
        <v>120</v>
      </c>
      <c r="AU1459" s="24">
        <v>4</v>
      </c>
      <c r="AW1459" s="24" t="s">
        <v>336</v>
      </c>
      <c r="BM1459" s="395">
        <v>1.32</v>
      </c>
      <c r="BN1459" s="395">
        <v>1.23</v>
      </c>
      <c r="BR1459" s="395">
        <v>4.2</v>
      </c>
      <c r="BS1459" s="395">
        <v>4.5</v>
      </c>
      <c r="BV1459" s="24" t="s">
        <v>1009</v>
      </c>
      <c r="BW1459" s="24">
        <v>27.7</v>
      </c>
      <c r="BX1459" s="24">
        <v>21.8</v>
      </c>
      <c r="CA1459" s="24" t="s">
        <v>1011</v>
      </c>
      <c r="DP1459" s="24">
        <v>1.4119999999999999</v>
      </c>
      <c r="DQ1459" s="24">
        <v>1.006</v>
      </c>
      <c r="DT1459" s="24" t="s">
        <v>1012</v>
      </c>
    </row>
    <row r="1460" spans="1:164" s="24" customFormat="1" x14ac:dyDescent="0.25">
      <c r="A1460" s="24">
        <v>67</v>
      </c>
      <c r="B1460" s="24" t="s">
        <v>1005</v>
      </c>
      <c r="C1460" s="24" t="s">
        <v>1006</v>
      </c>
      <c r="D1460" s="24">
        <v>2006</v>
      </c>
      <c r="E1460" s="24">
        <v>2002</v>
      </c>
      <c r="F1460" s="24" t="s">
        <v>152</v>
      </c>
      <c r="G1460" s="24" t="s">
        <v>1007</v>
      </c>
      <c r="H1460" s="32" t="s">
        <v>2831</v>
      </c>
      <c r="I1460" s="24">
        <v>40.1</v>
      </c>
      <c r="J1460" s="24">
        <v>-88.25</v>
      </c>
      <c r="K1460" s="24">
        <v>235.6</v>
      </c>
      <c r="Q1460" s="24">
        <v>2</v>
      </c>
      <c r="R1460" s="24">
        <v>2</v>
      </c>
      <c r="S1460" s="42" t="s">
        <v>2006</v>
      </c>
      <c r="T1460" s="42" t="s">
        <v>2005</v>
      </c>
      <c r="U1460" s="42" t="s">
        <v>1405</v>
      </c>
      <c r="V1460" s="42" t="s">
        <v>1729</v>
      </c>
      <c r="W1460" s="42" t="s">
        <v>1398</v>
      </c>
      <c r="X1460" s="42" t="s">
        <v>1393</v>
      </c>
      <c r="Z1460" s="321"/>
      <c r="AA1460" s="321"/>
      <c r="AB1460" s="24" t="s">
        <v>140</v>
      </c>
      <c r="AF1460" s="24" t="s">
        <v>1322</v>
      </c>
      <c r="AG1460" s="24" t="s">
        <v>244</v>
      </c>
      <c r="AH1460" s="138" t="s">
        <v>578</v>
      </c>
      <c r="AI1460" s="24" t="s">
        <v>133</v>
      </c>
      <c r="AJ1460" s="140" t="s">
        <v>1615</v>
      </c>
      <c r="AK1460" s="24" t="s">
        <v>991</v>
      </c>
      <c r="AL1460" s="24" t="s">
        <v>991</v>
      </c>
      <c r="AM1460" s="24" t="s">
        <v>178</v>
      </c>
      <c r="AN1460" s="24" t="s">
        <v>157</v>
      </c>
      <c r="AO1460" s="24" t="s">
        <v>157</v>
      </c>
      <c r="AP1460" s="24" t="s">
        <v>178</v>
      </c>
      <c r="AQ1460" s="24" t="s">
        <v>1008</v>
      </c>
      <c r="AR1460" s="24" t="s">
        <v>1008</v>
      </c>
      <c r="AS1460" s="24" t="s">
        <v>178</v>
      </c>
      <c r="AT1460" s="24" t="s">
        <v>120</v>
      </c>
      <c r="AU1460" s="24">
        <v>4</v>
      </c>
      <c r="AW1460" s="24" t="s">
        <v>336</v>
      </c>
      <c r="BM1460" s="395">
        <v>1.4</v>
      </c>
      <c r="BN1460" s="395">
        <v>1.35</v>
      </c>
      <c r="BR1460" s="395">
        <v>3.3</v>
      </c>
      <c r="BS1460" s="395">
        <v>3.6</v>
      </c>
      <c r="BV1460" s="24" t="s">
        <v>1009</v>
      </c>
      <c r="BW1460" s="24">
        <v>24.8</v>
      </c>
      <c r="BX1460" s="24">
        <v>17.5</v>
      </c>
      <c r="CA1460" s="24" t="s">
        <v>1011</v>
      </c>
      <c r="DP1460" s="24">
        <v>1.84</v>
      </c>
      <c r="DQ1460" s="24">
        <v>1.7410000000000001</v>
      </c>
      <c r="DT1460" s="24" t="s">
        <v>1012</v>
      </c>
    </row>
    <row r="1461" spans="1:164" s="24" customFormat="1" x14ac:dyDescent="0.25">
      <c r="A1461" s="24">
        <v>67</v>
      </c>
      <c r="B1461" s="24" t="s">
        <v>1005</v>
      </c>
      <c r="C1461" s="24" t="s">
        <v>1006</v>
      </c>
      <c r="D1461" s="24">
        <v>2006</v>
      </c>
      <c r="E1461" s="24">
        <v>2002</v>
      </c>
      <c r="F1461" s="24" t="s">
        <v>152</v>
      </c>
      <c r="G1461" s="24" t="s">
        <v>1007</v>
      </c>
      <c r="H1461" s="32" t="s">
        <v>2831</v>
      </c>
      <c r="I1461" s="24">
        <v>40.1</v>
      </c>
      <c r="J1461" s="24">
        <v>-88.25</v>
      </c>
      <c r="K1461" s="24">
        <v>235.6</v>
      </c>
      <c r="Q1461" s="24">
        <v>2</v>
      </c>
      <c r="R1461" s="24">
        <v>2</v>
      </c>
      <c r="S1461" s="42" t="s">
        <v>2006</v>
      </c>
      <c r="T1461" s="42" t="s">
        <v>2005</v>
      </c>
      <c r="U1461" s="42" t="s">
        <v>1413</v>
      </c>
      <c r="V1461" s="42" t="s">
        <v>1729</v>
      </c>
      <c r="W1461" s="42" t="s">
        <v>1398</v>
      </c>
      <c r="X1461" s="42" t="s">
        <v>1393</v>
      </c>
      <c r="Z1461" s="321"/>
      <c r="AA1461" s="321"/>
      <c r="AB1461" s="24" t="s">
        <v>140</v>
      </c>
      <c r="AF1461" s="24" t="s">
        <v>1322</v>
      </c>
      <c r="AG1461" s="24" t="s">
        <v>244</v>
      </c>
      <c r="AH1461" s="138" t="s">
        <v>578</v>
      </c>
      <c r="AI1461" s="24" t="s">
        <v>133</v>
      </c>
      <c r="AJ1461" s="140" t="s">
        <v>1615</v>
      </c>
      <c r="AK1461" s="24" t="s">
        <v>991</v>
      </c>
      <c r="AL1461" s="24" t="s">
        <v>991</v>
      </c>
      <c r="AM1461" s="24" t="s">
        <v>178</v>
      </c>
      <c r="AN1461" s="24" t="s">
        <v>157</v>
      </c>
      <c r="AO1461" s="24" t="s">
        <v>157</v>
      </c>
      <c r="AP1461" s="24" t="s">
        <v>178</v>
      </c>
      <c r="AQ1461" s="24" t="s">
        <v>1008</v>
      </c>
      <c r="AR1461" s="24" t="s">
        <v>1008</v>
      </c>
      <c r="AS1461" s="24" t="s">
        <v>178</v>
      </c>
      <c r="AT1461" s="24" t="s">
        <v>120</v>
      </c>
      <c r="AU1461" s="24">
        <v>4</v>
      </c>
      <c r="AW1461" s="24" t="s">
        <v>336</v>
      </c>
      <c r="BM1461" s="395">
        <v>1.45</v>
      </c>
      <c r="BN1461" s="395">
        <v>1.5</v>
      </c>
      <c r="BR1461" s="395">
        <v>3.1</v>
      </c>
      <c r="BS1461" s="395">
        <v>3.4</v>
      </c>
      <c r="BV1461" s="24" t="s">
        <v>1009</v>
      </c>
      <c r="BW1461" s="24">
        <v>32.700000000000003</v>
      </c>
      <c r="BX1461" s="24">
        <v>15.9</v>
      </c>
      <c r="CA1461" s="24" t="s">
        <v>1011</v>
      </c>
      <c r="DP1461" s="24">
        <v>1.744</v>
      </c>
      <c r="DQ1461" s="24">
        <v>1.859</v>
      </c>
      <c r="DT1461" s="24" t="s">
        <v>1012</v>
      </c>
    </row>
    <row r="1462" spans="1:164" s="24" customFormat="1" x14ac:dyDescent="0.25">
      <c r="A1462" s="24">
        <v>67</v>
      </c>
      <c r="B1462" s="24" t="s">
        <v>1005</v>
      </c>
      <c r="C1462" s="24" t="s">
        <v>1006</v>
      </c>
      <c r="D1462" s="24">
        <v>2006</v>
      </c>
      <c r="E1462" s="24">
        <v>2002</v>
      </c>
      <c r="F1462" s="24" t="s">
        <v>152</v>
      </c>
      <c r="G1462" s="24" t="s">
        <v>1007</v>
      </c>
      <c r="H1462" s="32" t="s">
        <v>2831</v>
      </c>
      <c r="I1462" s="24">
        <v>40.1</v>
      </c>
      <c r="J1462" s="24">
        <v>-88.25</v>
      </c>
      <c r="K1462" s="24">
        <v>235.6</v>
      </c>
      <c r="Q1462" s="24">
        <v>2</v>
      </c>
      <c r="R1462" s="24">
        <v>2</v>
      </c>
      <c r="S1462" s="42" t="s">
        <v>2006</v>
      </c>
      <c r="T1462" s="42" t="s">
        <v>2005</v>
      </c>
      <c r="U1462" s="42" t="s">
        <v>1394</v>
      </c>
      <c r="V1462" s="42" t="s">
        <v>1724</v>
      </c>
      <c r="W1462" s="42" t="s">
        <v>1398</v>
      </c>
      <c r="X1462" s="42" t="s">
        <v>1393</v>
      </c>
      <c r="Z1462" s="321"/>
      <c r="AA1462" s="321"/>
      <c r="AB1462" s="24" t="s">
        <v>140</v>
      </c>
      <c r="AF1462" s="24" t="s">
        <v>1322</v>
      </c>
      <c r="AG1462" s="24" t="s">
        <v>244</v>
      </c>
      <c r="AH1462" s="138" t="s">
        <v>578</v>
      </c>
      <c r="AI1462" s="24" t="s">
        <v>133</v>
      </c>
      <c r="AJ1462" s="140" t="s">
        <v>1615</v>
      </c>
      <c r="AK1462" s="24" t="s">
        <v>991</v>
      </c>
      <c r="AL1462" s="24" t="s">
        <v>991</v>
      </c>
      <c r="AM1462" s="24" t="s">
        <v>178</v>
      </c>
      <c r="AN1462" s="24" t="s">
        <v>157</v>
      </c>
      <c r="AO1462" s="24" t="s">
        <v>157</v>
      </c>
      <c r="AP1462" s="24" t="s">
        <v>178</v>
      </c>
      <c r="AQ1462" s="24" t="s">
        <v>1008</v>
      </c>
      <c r="AR1462" s="24" t="s">
        <v>1008</v>
      </c>
      <c r="AS1462" s="24" t="s">
        <v>178</v>
      </c>
      <c r="AT1462" s="24" t="s">
        <v>120</v>
      </c>
      <c r="AU1462" s="24">
        <v>4</v>
      </c>
      <c r="AW1462" s="24" t="s">
        <v>336</v>
      </c>
      <c r="BM1462" s="395">
        <v>1.45</v>
      </c>
      <c r="BN1462" s="395">
        <v>1.42</v>
      </c>
      <c r="BR1462" s="395">
        <v>3.5</v>
      </c>
      <c r="BS1462" s="395">
        <v>3.7</v>
      </c>
      <c r="BV1462" s="24" t="s">
        <v>1009</v>
      </c>
      <c r="BW1462" s="24">
        <v>17.600000000000001</v>
      </c>
      <c r="BX1462" s="24">
        <v>17.399999999999999</v>
      </c>
      <c r="CA1462" s="24" t="s">
        <v>1011</v>
      </c>
      <c r="DP1462" s="24">
        <v>1.629</v>
      </c>
      <c r="DQ1462" s="24">
        <v>1.756</v>
      </c>
      <c r="DT1462" s="24" t="s">
        <v>1012</v>
      </c>
    </row>
    <row r="1463" spans="1:164" s="40" customFormat="1" x14ac:dyDescent="0.25">
      <c r="A1463" s="40">
        <v>67</v>
      </c>
      <c r="B1463" s="40" t="s">
        <v>1005</v>
      </c>
      <c r="C1463" s="40" t="s">
        <v>1006</v>
      </c>
      <c r="D1463" s="40">
        <v>2006</v>
      </c>
      <c r="E1463" s="40">
        <v>2002</v>
      </c>
      <c r="F1463" s="40" t="s">
        <v>152</v>
      </c>
      <c r="G1463" s="40" t="s">
        <v>1007</v>
      </c>
      <c r="H1463" s="32" t="s">
        <v>2831</v>
      </c>
      <c r="I1463" s="40">
        <v>40.1</v>
      </c>
      <c r="J1463" s="40">
        <v>-88.25</v>
      </c>
      <c r="K1463" s="40">
        <v>235.6</v>
      </c>
      <c r="Q1463" s="40">
        <v>2</v>
      </c>
      <c r="R1463" s="40">
        <v>2</v>
      </c>
      <c r="S1463" s="71" t="s">
        <v>2006</v>
      </c>
      <c r="T1463" s="71" t="s">
        <v>2005</v>
      </c>
      <c r="U1463" s="71" t="s">
        <v>1398</v>
      </c>
      <c r="V1463" s="71" t="s">
        <v>1729</v>
      </c>
      <c r="W1463" s="71" t="s">
        <v>1398</v>
      </c>
      <c r="X1463" s="71" t="s">
        <v>1393</v>
      </c>
      <c r="Z1463" s="341"/>
      <c r="AA1463" s="341"/>
      <c r="AB1463" s="40" t="s">
        <v>140</v>
      </c>
      <c r="AF1463" s="40" t="s">
        <v>1322</v>
      </c>
      <c r="AG1463" s="40" t="s">
        <v>1522</v>
      </c>
      <c r="AH1463" s="138" t="s">
        <v>1586</v>
      </c>
      <c r="AI1463" s="40" t="s">
        <v>133</v>
      </c>
      <c r="AJ1463" s="140" t="s">
        <v>1615</v>
      </c>
      <c r="AK1463" s="40" t="s">
        <v>991</v>
      </c>
      <c r="AL1463" s="40" t="s">
        <v>991</v>
      </c>
      <c r="AM1463" s="40" t="s">
        <v>178</v>
      </c>
      <c r="AN1463" s="40" t="s">
        <v>157</v>
      </c>
      <c r="AO1463" s="40" t="s">
        <v>157</v>
      </c>
      <c r="AP1463" s="40" t="s">
        <v>178</v>
      </c>
      <c r="AQ1463" s="40" t="s">
        <v>1008</v>
      </c>
      <c r="AR1463" s="40" t="s">
        <v>1008</v>
      </c>
      <c r="AS1463" s="40" t="s">
        <v>178</v>
      </c>
      <c r="AT1463" s="40" t="s">
        <v>120</v>
      </c>
      <c r="AU1463" s="40">
        <v>4</v>
      </c>
      <c r="AW1463" s="40" t="s">
        <v>336</v>
      </c>
      <c r="BM1463" s="416">
        <v>1.32</v>
      </c>
      <c r="BN1463" s="416">
        <v>1.23</v>
      </c>
      <c r="BR1463" s="416">
        <v>4.2</v>
      </c>
      <c r="BS1463" s="416">
        <v>4.7</v>
      </c>
      <c r="BV1463" s="40" t="s">
        <v>1009</v>
      </c>
      <c r="BW1463" s="40">
        <v>27.7</v>
      </c>
      <c r="BX1463" s="40">
        <v>21.5</v>
      </c>
      <c r="CA1463" s="40" t="s">
        <v>1011</v>
      </c>
      <c r="DP1463" s="40">
        <v>1.4119999999999999</v>
      </c>
      <c r="DQ1463" s="40">
        <v>1.2030000000000001</v>
      </c>
      <c r="DT1463" s="40" t="s">
        <v>1012</v>
      </c>
    </row>
    <row r="1464" spans="1:164" s="40" customFormat="1" x14ac:dyDescent="0.25">
      <c r="A1464" s="40">
        <v>67</v>
      </c>
      <c r="B1464" s="40" t="s">
        <v>1005</v>
      </c>
      <c r="C1464" s="40" t="s">
        <v>1006</v>
      </c>
      <c r="D1464" s="40">
        <v>2006</v>
      </c>
      <c r="E1464" s="40">
        <v>2002</v>
      </c>
      <c r="F1464" s="40" t="s">
        <v>152</v>
      </c>
      <c r="G1464" s="40" t="s">
        <v>1007</v>
      </c>
      <c r="H1464" s="32" t="s">
        <v>2831</v>
      </c>
      <c r="I1464" s="40">
        <v>40.1</v>
      </c>
      <c r="J1464" s="40">
        <v>-88.25</v>
      </c>
      <c r="K1464" s="40">
        <v>235.6</v>
      </c>
      <c r="Q1464" s="40">
        <v>2</v>
      </c>
      <c r="R1464" s="40">
        <v>2</v>
      </c>
      <c r="S1464" s="71" t="s">
        <v>2006</v>
      </c>
      <c r="T1464" s="71" t="s">
        <v>2005</v>
      </c>
      <c r="U1464" s="71" t="s">
        <v>1405</v>
      </c>
      <c r="V1464" s="71" t="s">
        <v>1729</v>
      </c>
      <c r="W1464" s="71" t="s">
        <v>1398</v>
      </c>
      <c r="X1464" s="71" t="s">
        <v>1393</v>
      </c>
      <c r="Z1464" s="341"/>
      <c r="AA1464" s="341"/>
      <c r="AB1464" s="40" t="s">
        <v>140</v>
      </c>
      <c r="AF1464" s="40" t="s">
        <v>1322</v>
      </c>
      <c r="AG1464" s="40" t="s">
        <v>1522</v>
      </c>
      <c r="AH1464" s="138" t="s">
        <v>1586</v>
      </c>
      <c r="AI1464" s="40" t="s">
        <v>133</v>
      </c>
      <c r="AJ1464" s="140" t="s">
        <v>1615</v>
      </c>
      <c r="AK1464" s="40" t="s">
        <v>991</v>
      </c>
      <c r="AL1464" s="40" t="s">
        <v>991</v>
      </c>
      <c r="AM1464" s="40" t="s">
        <v>178</v>
      </c>
      <c r="AN1464" s="40" t="s">
        <v>157</v>
      </c>
      <c r="AO1464" s="40" t="s">
        <v>157</v>
      </c>
      <c r="AP1464" s="40" t="s">
        <v>178</v>
      </c>
      <c r="AQ1464" s="40" t="s">
        <v>1008</v>
      </c>
      <c r="AR1464" s="40" t="s">
        <v>1008</v>
      </c>
      <c r="AS1464" s="40" t="s">
        <v>178</v>
      </c>
      <c r="AT1464" s="40" t="s">
        <v>120</v>
      </c>
      <c r="AU1464" s="40">
        <v>4</v>
      </c>
      <c r="AW1464" s="40" t="s">
        <v>336</v>
      </c>
      <c r="BM1464" s="416">
        <v>1.4</v>
      </c>
      <c r="BN1464" s="416">
        <v>1.36</v>
      </c>
      <c r="BR1464" s="416">
        <v>3.3</v>
      </c>
      <c r="BS1464" s="416">
        <v>3.8</v>
      </c>
      <c r="BV1464" s="40" t="s">
        <v>1009</v>
      </c>
      <c r="BW1464" s="40">
        <v>24.8</v>
      </c>
      <c r="BX1464" s="40">
        <v>28.6</v>
      </c>
      <c r="CA1464" s="40" t="s">
        <v>1011</v>
      </c>
      <c r="DP1464" s="40">
        <v>1.84</v>
      </c>
      <c r="DQ1464" s="40">
        <v>1.7809999999999999</v>
      </c>
      <c r="DT1464" s="40" t="s">
        <v>1012</v>
      </c>
    </row>
    <row r="1465" spans="1:164" s="40" customFormat="1" x14ac:dyDescent="0.25">
      <c r="A1465" s="40">
        <v>67</v>
      </c>
      <c r="B1465" s="40" t="s">
        <v>1005</v>
      </c>
      <c r="C1465" s="40" t="s">
        <v>1006</v>
      </c>
      <c r="D1465" s="40">
        <v>2006</v>
      </c>
      <c r="E1465" s="40">
        <v>2002</v>
      </c>
      <c r="F1465" s="40" t="s">
        <v>152</v>
      </c>
      <c r="G1465" s="40" t="s">
        <v>1007</v>
      </c>
      <c r="H1465" s="32" t="s">
        <v>2831</v>
      </c>
      <c r="I1465" s="40">
        <v>40.1</v>
      </c>
      <c r="J1465" s="40">
        <v>-88.25</v>
      </c>
      <c r="K1465" s="40">
        <v>235.6</v>
      </c>
      <c r="Q1465" s="40">
        <v>2</v>
      </c>
      <c r="R1465" s="40">
        <v>2</v>
      </c>
      <c r="S1465" s="71" t="s">
        <v>2006</v>
      </c>
      <c r="T1465" s="71" t="s">
        <v>2005</v>
      </c>
      <c r="U1465" s="71" t="s">
        <v>1413</v>
      </c>
      <c r="V1465" s="71" t="s">
        <v>1729</v>
      </c>
      <c r="W1465" s="71" t="s">
        <v>1398</v>
      </c>
      <c r="X1465" s="71" t="s">
        <v>1393</v>
      </c>
      <c r="Z1465" s="341"/>
      <c r="AA1465" s="341"/>
      <c r="AB1465" s="40" t="s">
        <v>140</v>
      </c>
      <c r="AF1465" s="40" t="s">
        <v>1322</v>
      </c>
      <c r="AG1465" s="40" t="s">
        <v>1522</v>
      </c>
      <c r="AH1465" s="138" t="s">
        <v>1586</v>
      </c>
      <c r="AI1465" s="40" t="s">
        <v>133</v>
      </c>
      <c r="AJ1465" s="140" t="s">
        <v>1615</v>
      </c>
      <c r="AK1465" s="40" t="s">
        <v>991</v>
      </c>
      <c r="AL1465" s="40" t="s">
        <v>991</v>
      </c>
      <c r="AM1465" s="40" t="s">
        <v>178</v>
      </c>
      <c r="AN1465" s="40" t="s">
        <v>157</v>
      </c>
      <c r="AO1465" s="40" t="s">
        <v>157</v>
      </c>
      <c r="AP1465" s="40" t="s">
        <v>178</v>
      </c>
      <c r="AQ1465" s="40" t="s">
        <v>1008</v>
      </c>
      <c r="AR1465" s="40" t="s">
        <v>1008</v>
      </c>
      <c r="AS1465" s="40" t="s">
        <v>178</v>
      </c>
      <c r="AT1465" s="40" t="s">
        <v>120</v>
      </c>
      <c r="AU1465" s="40">
        <v>4</v>
      </c>
      <c r="AW1465" s="40" t="s">
        <v>336</v>
      </c>
      <c r="BM1465" s="416">
        <v>1.45</v>
      </c>
      <c r="BN1465" s="416">
        <v>1.43</v>
      </c>
      <c r="BR1465" s="416">
        <v>3.1</v>
      </c>
      <c r="BS1465" s="416">
        <v>3.6</v>
      </c>
      <c r="BV1465" s="40" t="s">
        <v>1009</v>
      </c>
      <c r="BW1465" s="40">
        <v>32.700000000000003</v>
      </c>
      <c r="BX1465" s="40">
        <v>29.9</v>
      </c>
      <c r="CA1465" s="40" t="s">
        <v>1011</v>
      </c>
      <c r="DP1465" s="40">
        <v>1.744</v>
      </c>
      <c r="DQ1465" s="40">
        <v>1.867</v>
      </c>
      <c r="DT1465" s="40" t="s">
        <v>1012</v>
      </c>
    </row>
    <row r="1466" spans="1:164" s="40" customFormat="1" x14ac:dyDescent="0.25">
      <c r="A1466" s="40">
        <v>67</v>
      </c>
      <c r="B1466" s="40" t="s">
        <v>1005</v>
      </c>
      <c r="C1466" s="40" t="s">
        <v>1006</v>
      </c>
      <c r="D1466" s="40">
        <v>2006</v>
      </c>
      <c r="E1466" s="40">
        <v>2002</v>
      </c>
      <c r="F1466" s="40" t="s">
        <v>152</v>
      </c>
      <c r="G1466" s="40" t="s">
        <v>1007</v>
      </c>
      <c r="H1466" s="32" t="s">
        <v>2831</v>
      </c>
      <c r="I1466" s="40">
        <v>40.1</v>
      </c>
      <c r="J1466" s="40">
        <v>-88.25</v>
      </c>
      <c r="K1466" s="40">
        <v>235.6</v>
      </c>
      <c r="Q1466" s="40">
        <v>2</v>
      </c>
      <c r="R1466" s="40">
        <v>2</v>
      </c>
      <c r="S1466" s="71" t="s">
        <v>2006</v>
      </c>
      <c r="T1466" s="71" t="s">
        <v>2005</v>
      </c>
      <c r="U1466" s="71" t="s">
        <v>1394</v>
      </c>
      <c r="V1466" s="71" t="s">
        <v>1724</v>
      </c>
      <c r="W1466" s="71" t="s">
        <v>1398</v>
      </c>
      <c r="X1466" s="71" t="s">
        <v>1393</v>
      </c>
      <c r="Z1466" s="341"/>
      <c r="AA1466" s="341"/>
      <c r="AB1466" s="40" t="s">
        <v>140</v>
      </c>
      <c r="AF1466" s="40" t="s">
        <v>1322</v>
      </c>
      <c r="AG1466" s="40" t="s">
        <v>1522</v>
      </c>
      <c r="AH1466" s="138" t="s">
        <v>1586</v>
      </c>
      <c r="AI1466" s="40" t="s">
        <v>133</v>
      </c>
      <c r="AJ1466" s="140" t="s">
        <v>1615</v>
      </c>
      <c r="AK1466" s="40" t="s">
        <v>991</v>
      </c>
      <c r="AL1466" s="40" t="s">
        <v>991</v>
      </c>
      <c r="AM1466" s="40" t="s">
        <v>178</v>
      </c>
      <c r="AN1466" s="40" t="s">
        <v>157</v>
      </c>
      <c r="AO1466" s="40" t="s">
        <v>157</v>
      </c>
      <c r="AP1466" s="40" t="s">
        <v>178</v>
      </c>
      <c r="AQ1466" s="40" t="s">
        <v>1008</v>
      </c>
      <c r="AR1466" s="40" t="s">
        <v>1008</v>
      </c>
      <c r="AS1466" s="40" t="s">
        <v>178</v>
      </c>
      <c r="AT1466" s="40" t="s">
        <v>120</v>
      </c>
      <c r="AU1466" s="40">
        <v>4</v>
      </c>
      <c r="AW1466" s="40" t="s">
        <v>336</v>
      </c>
      <c r="BM1466" s="416">
        <v>1.45</v>
      </c>
      <c r="BN1466" s="416">
        <v>1.39</v>
      </c>
      <c r="BR1466" s="416">
        <v>3.5</v>
      </c>
      <c r="BS1466" s="416">
        <v>3.7</v>
      </c>
      <c r="BV1466" s="40" t="s">
        <v>1009</v>
      </c>
      <c r="BW1466" s="40">
        <v>17.600000000000001</v>
      </c>
      <c r="BX1466" s="40">
        <v>20.100000000000001</v>
      </c>
      <c r="CA1466" s="40" t="s">
        <v>1011</v>
      </c>
      <c r="DP1466" s="40">
        <v>1.629</v>
      </c>
      <c r="DQ1466" s="40">
        <v>1.821</v>
      </c>
      <c r="DT1466" s="40" t="s">
        <v>1012</v>
      </c>
    </row>
    <row r="1467" spans="1:164" s="32" customFormat="1" x14ac:dyDescent="0.25">
      <c r="A1467" s="32">
        <v>67</v>
      </c>
      <c r="B1467" s="32" t="s">
        <v>1005</v>
      </c>
      <c r="C1467" s="32" t="s">
        <v>1006</v>
      </c>
      <c r="D1467" s="32">
        <v>2006</v>
      </c>
      <c r="E1467" s="32">
        <v>2002</v>
      </c>
      <c r="F1467" s="32" t="s">
        <v>152</v>
      </c>
      <c r="G1467" s="32" t="s">
        <v>1007</v>
      </c>
      <c r="H1467" s="32" t="s">
        <v>2831</v>
      </c>
      <c r="I1467" s="32">
        <v>40.1</v>
      </c>
      <c r="J1467" s="32">
        <v>-88.25</v>
      </c>
      <c r="K1467" s="32">
        <v>235.6</v>
      </c>
      <c r="Q1467" s="32">
        <v>2</v>
      </c>
      <c r="R1467" s="32">
        <v>2</v>
      </c>
      <c r="S1467" s="44" t="s">
        <v>2007</v>
      </c>
      <c r="T1467" s="44" t="s">
        <v>2005</v>
      </c>
      <c r="U1467" s="44" t="s">
        <v>1398</v>
      </c>
      <c r="V1467" s="42" t="s">
        <v>1729</v>
      </c>
      <c r="W1467" s="42" t="s">
        <v>1398</v>
      </c>
      <c r="X1467" s="42" t="s">
        <v>1393</v>
      </c>
      <c r="Z1467" s="323"/>
      <c r="AA1467" s="323"/>
      <c r="AB1467" s="32" t="s">
        <v>140</v>
      </c>
      <c r="AF1467" s="32" t="s">
        <v>1322</v>
      </c>
      <c r="AG1467" s="32" t="s">
        <v>132</v>
      </c>
      <c r="AH1467" s="138" t="s">
        <v>132</v>
      </c>
      <c r="AI1467" s="32" t="s">
        <v>159</v>
      </c>
      <c r="AJ1467" s="140" t="s">
        <v>1615</v>
      </c>
      <c r="AK1467" s="32" t="s">
        <v>991</v>
      </c>
      <c r="AL1467" s="32" t="s">
        <v>991</v>
      </c>
      <c r="AM1467" s="32" t="s">
        <v>178</v>
      </c>
      <c r="AN1467" s="32" t="s">
        <v>157</v>
      </c>
      <c r="AO1467" s="32" t="s">
        <v>157</v>
      </c>
      <c r="AP1467" s="32" t="s">
        <v>178</v>
      </c>
      <c r="AQ1467" s="32" t="s">
        <v>1008</v>
      </c>
      <c r="AR1467" s="32" t="s">
        <v>1008</v>
      </c>
      <c r="AS1467" s="32" t="s">
        <v>178</v>
      </c>
      <c r="AT1467" s="32" t="s">
        <v>120</v>
      </c>
      <c r="AU1467" s="32">
        <v>4</v>
      </c>
      <c r="AW1467" s="32" t="s">
        <v>336</v>
      </c>
      <c r="BM1467" s="397">
        <v>1.32</v>
      </c>
      <c r="BN1467" s="397">
        <v>1.24</v>
      </c>
      <c r="BR1467" s="397">
        <v>4</v>
      </c>
      <c r="BS1467" s="397">
        <v>4.4000000000000004</v>
      </c>
      <c r="BV1467" s="32" t="s">
        <v>1009</v>
      </c>
      <c r="BW1467" s="32">
        <v>13.3</v>
      </c>
      <c r="BX1467" s="32">
        <v>9.1999999999999993</v>
      </c>
      <c r="CA1467" s="32" t="s">
        <v>1011</v>
      </c>
      <c r="DP1467" s="32">
        <v>1.337</v>
      </c>
      <c r="DQ1467" s="32">
        <v>1.198</v>
      </c>
      <c r="DT1467" s="32" t="s">
        <v>1012</v>
      </c>
    </row>
    <row r="1468" spans="1:164" s="32" customFormat="1" x14ac:dyDescent="0.25">
      <c r="A1468" s="32">
        <v>67</v>
      </c>
      <c r="B1468" s="32" t="s">
        <v>1005</v>
      </c>
      <c r="C1468" s="32" t="s">
        <v>1006</v>
      </c>
      <c r="D1468" s="32">
        <v>2006</v>
      </c>
      <c r="E1468" s="32">
        <v>2002</v>
      </c>
      <c r="F1468" s="32" t="s">
        <v>152</v>
      </c>
      <c r="G1468" s="32" t="s">
        <v>1007</v>
      </c>
      <c r="H1468" s="32" t="s">
        <v>2831</v>
      </c>
      <c r="I1468" s="32">
        <v>40.1</v>
      </c>
      <c r="J1468" s="32">
        <v>-88.25</v>
      </c>
      <c r="K1468" s="32">
        <v>235.6</v>
      </c>
      <c r="Q1468" s="32">
        <v>2</v>
      </c>
      <c r="R1468" s="32">
        <v>2</v>
      </c>
      <c r="S1468" s="44" t="s">
        <v>2007</v>
      </c>
      <c r="T1468" s="44" t="s">
        <v>2005</v>
      </c>
      <c r="U1468" s="44" t="s">
        <v>1405</v>
      </c>
      <c r="V1468" s="42" t="s">
        <v>1729</v>
      </c>
      <c r="W1468" s="42" t="s">
        <v>1398</v>
      </c>
      <c r="X1468" s="42" t="s">
        <v>1393</v>
      </c>
      <c r="Z1468" s="323"/>
      <c r="AA1468" s="323"/>
      <c r="AB1468" s="32" t="s">
        <v>140</v>
      </c>
      <c r="AF1468" s="32" t="s">
        <v>1322</v>
      </c>
      <c r="AG1468" s="32" t="s">
        <v>132</v>
      </c>
      <c r="AH1468" s="138" t="s">
        <v>132</v>
      </c>
      <c r="AI1468" s="32" t="s">
        <v>159</v>
      </c>
      <c r="AJ1468" s="140" t="s">
        <v>1615</v>
      </c>
      <c r="AK1468" s="32" t="s">
        <v>991</v>
      </c>
      <c r="AL1468" s="32" t="s">
        <v>991</v>
      </c>
      <c r="AM1468" s="32" t="s">
        <v>178</v>
      </c>
      <c r="AN1468" s="32" t="s">
        <v>157</v>
      </c>
      <c r="AO1468" s="32" t="s">
        <v>157</v>
      </c>
      <c r="AP1468" s="32" t="s">
        <v>178</v>
      </c>
      <c r="AQ1468" s="32" t="s">
        <v>1008</v>
      </c>
      <c r="AR1468" s="32" t="s">
        <v>1008</v>
      </c>
      <c r="AS1468" s="32" t="s">
        <v>178</v>
      </c>
      <c r="AT1468" s="32" t="s">
        <v>120</v>
      </c>
      <c r="AU1468" s="32">
        <v>4</v>
      </c>
      <c r="AW1468" s="32" t="s">
        <v>336</v>
      </c>
      <c r="BM1468" s="397">
        <v>1.4</v>
      </c>
      <c r="BN1468" s="397">
        <v>1.38</v>
      </c>
      <c r="BR1468" s="397">
        <v>3.2</v>
      </c>
      <c r="BS1468" s="397">
        <v>3.4</v>
      </c>
      <c r="BV1468" s="32" t="s">
        <v>1009</v>
      </c>
      <c r="BW1468" s="32">
        <v>11.1</v>
      </c>
      <c r="BX1468" s="32">
        <v>14.6</v>
      </c>
      <c r="CA1468" s="32" t="s">
        <v>1011</v>
      </c>
      <c r="DP1468" s="32">
        <v>1.835</v>
      </c>
      <c r="DQ1468" s="32">
        <v>1.784</v>
      </c>
      <c r="DT1468" s="32" t="s">
        <v>1012</v>
      </c>
    </row>
    <row r="1469" spans="1:164" s="32" customFormat="1" x14ac:dyDescent="0.25">
      <c r="A1469" s="32">
        <v>67</v>
      </c>
      <c r="B1469" s="32" t="s">
        <v>1005</v>
      </c>
      <c r="C1469" s="32" t="s">
        <v>1006</v>
      </c>
      <c r="D1469" s="32">
        <v>2006</v>
      </c>
      <c r="E1469" s="32">
        <v>2002</v>
      </c>
      <c r="F1469" s="32" t="s">
        <v>152</v>
      </c>
      <c r="G1469" s="32" t="s">
        <v>1007</v>
      </c>
      <c r="H1469" s="32" t="s">
        <v>2831</v>
      </c>
      <c r="I1469" s="32">
        <v>40.1</v>
      </c>
      <c r="J1469" s="32">
        <v>-88.25</v>
      </c>
      <c r="K1469" s="32">
        <v>235.6</v>
      </c>
      <c r="Q1469" s="32">
        <v>2</v>
      </c>
      <c r="R1469" s="32">
        <v>2</v>
      </c>
      <c r="S1469" s="44" t="s">
        <v>2007</v>
      </c>
      <c r="T1469" s="44" t="s">
        <v>2005</v>
      </c>
      <c r="U1469" s="44" t="s">
        <v>1413</v>
      </c>
      <c r="V1469" s="42" t="s">
        <v>1729</v>
      </c>
      <c r="W1469" s="42" t="s">
        <v>1398</v>
      </c>
      <c r="X1469" s="42" t="s">
        <v>1393</v>
      </c>
      <c r="Z1469" s="323"/>
      <c r="AA1469" s="323"/>
      <c r="AB1469" s="32" t="s">
        <v>140</v>
      </c>
      <c r="AF1469" s="32" t="s">
        <v>1322</v>
      </c>
      <c r="AG1469" s="32" t="s">
        <v>132</v>
      </c>
      <c r="AH1469" s="138" t="s">
        <v>132</v>
      </c>
      <c r="AI1469" s="32" t="s">
        <v>159</v>
      </c>
      <c r="AJ1469" s="140" t="s">
        <v>1615</v>
      </c>
      <c r="AK1469" s="32" t="s">
        <v>991</v>
      </c>
      <c r="AL1469" s="32" t="s">
        <v>991</v>
      </c>
      <c r="AM1469" s="32" t="s">
        <v>178</v>
      </c>
      <c r="AN1469" s="32" t="s">
        <v>157</v>
      </c>
      <c r="AO1469" s="32" t="s">
        <v>157</v>
      </c>
      <c r="AP1469" s="32" t="s">
        <v>178</v>
      </c>
      <c r="AQ1469" s="32" t="s">
        <v>1008</v>
      </c>
      <c r="AR1469" s="32" t="s">
        <v>1008</v>
      </c>
      <c r="AS1469" s="32" t="s">
        <v>178</v>
      </c>
      <c r="AT1469" s="32" t="s">
        <v>120</v>
      </c>
      <c r="AU1469" s="32">
        <v>4</v>
      </c>
      <c r="AW1469" s="32" t="s">
        <v>336</v>
      </c>
      <c r="BM1469" s="397">
        <v>1.45</v>
      </c>
      <c r="BN1469" s="397">
        <v>1.46</v>
      </c>
      <c r="BR1469" s="397">
        <v>3.3</v>
      </c>
      <c r="BS1469" s="397">
        <v>3.3</v>
      </c>
      <c r="BV1469" s="32" t="s">
        <v>1009</v>
      </c>
      <c r="BW1469" s="32">
        <v>4.0999999999999996</v>
      </c>
      <c r="BX1469" s="32">
        <v>15.4</v>
      </c>
      <c r="CA1469" s="32" t="s">
        <v>1011</v>
      </c>
      <c r="DP1469" s="32">
        <v>1.7390000000000001</v>
      </c>
      <c r="DQ1469" s="32">
        <v>1.8380000000000001</v>
      </c>
      <c r="DT1469" s="32" t="s">
        <v>1012</v>
      </c>
    </row>
    <row r="1470" spans="1:164" s="32" customFormat="1" x14ac:dyDescent="0.25">
      <c r="A1470" s="32">
        <v>67</v>
      </c>
      <c r="B1470" s="32" t="s">
        <v>1005</v>
      </c>
      <c r="C1470" s="32" t="s">
        <v>1006</v>
      </c>
      <c r="D1470" s="32">
        <v>2006</v>
      </c>
      <c r="E1470" s="32">
        <v>2002</v>
      </c>
      <c r="F1470" s="32" t="s">
        <v>152</v>
      </c>
      <c r="G1470" s="32" t="s">
        <v>1007</v>
      </c>
      <c r="H1470" s="32" t="s">
        <v>2831</v>
      </c>
      <c r="I1470" s="32">
        <v>40.1</v>
      </c>
      <c r="J1470" s="32">
        <v>-88.25</v>
      </c>
      <c r="K1470" s="32">
        <v>235.6</v>
      </c>
      <c r="Q1470" s="32">
        <v>2</v>
      </c>
      <c r="R1470" s="32">
        <v>2</v>
      </c>
      <c r="S1470" s="44" t="s">
        <v>2007</v>
      </c>
      <c r="T1470" s="44" t="s">
        <v>2005</v>
      </c>
      <c r="U1470" s="44" t="s">
        <v>1394</v>
      </c>
      <c r="V1470" s="42" t="s">
        <v>1724</v>
      </c>
      <c r="W1470" s="42" t="s">
        <v>1398</v>
      </c>
      <c r="X1470" s="42" t="s">
        <v>1393</v>
      </c>
      <c r="Z1470" s="323"/>
      <c r="AA1470" s="323"/>
      <c r="AB1470" s="32" t="s">
        <v>140</v>
      </c>
      <c r="AF1470" s="32" t="s">
        <v>1322</v>
      </c>
      <c r="AG1470" s="32" t="s">
        <v>132</v>
      </c>
      <c r="AH1470" s="138" t="s">
        <v>132</v>
      </c>
      <c r="AI1470" s="32" t="s">
        <v>159</v>
      </c>
      <c r="AJ1470" s="140" t="s">
        <v>1615</v>
      </c>
      <c r="AK1470" s="32" t="s">
        <v>991</v>
      </c>
      <c r="AL1470" s="32" t="s">
        <v>991</v>
      </c>
      <c r="AM1470" s="32" t="s">
        <v>178</v>
      </c>
      <c r="AN1470" s="32" t="s">
        <v>157</v>
      </c>
      <c r="AO1470" s="32" t="s">
        <v>157</v>
      </c>
      <c r="AP1470" s="32" t="s">
        <v>178</v>
      </c>
      <c r="AQ1470" s="32" t="s">
        <v>1008</v>
      </c>
      <c r="AR1470" s="32" t="s">
        <v>1008</v>
      </c>
      <c r="AS1470" s="32" t="s">
        <v>178</v>
      </c>
      <c r="AT1470" s="32" t="s">
        <v>120</v>
      </c>
      <c r="AU1470" s="32">
        <v>4</v>
      </c>
      <c r="AW1470" s="32" t="s">
        <v>336</v>
      </c>
      <c r="BM1470" s="397">
        <v>1.45</v>
      </c>
      <c r="BN1470" s="397">
        <v>1.44</v>
      </c>
      <c r="BR1470" s="397">
        <v>3.7</v>
      </c>
      <c r="BS1470" s="397">
        <v>3.8</v>
      </c>
      <c r="BV1470" s="32" t="s">
        <v>1009</v>
      </c>
      <c r="BW1470" s="32">
        <v>12.2</v>
      </c>
      <c r="BX1470" s="32">
        <v>13</v>
      </c>
      <c r="CA1470" s="32" t="s">
        <v>1011</v>
      </c>
      <c r="DP1470" s="32">
        <v>1.6240000000000001</v>
      </c>
      <c r="DQ1470" s="32">
        <v>1.845</v>
      </c>
      <c r="DT1470" s="32" t="s">
        <v>1012</v>
      </c>
    </row>
    <row r="1471" spans="1:164" s="24" customFormat="1" x14ac:dyDescent="0.25">
      <c r="A1471" s="24">
        <v>67</v>
      </c>
      <c r="B1471" s="24" t="s">
        <v>1005</v>
      </c>
      <c r="C1471" s="24" t="s">
        <v>1006</v>
      </c>
      <c r="D1471" s="24">
        <v>2006</v>
      </c>
      <c r="E1471" s="24">
        <v>2002</v>
      </c>
      <c r="F1471" s="24" t="s">
        <v>152</v>
      </c>
      <c r="G1471" s="24" t="s">
        <v>1007</v>
      </c>
      <c r="H1471" s="32" t="s">
        <v>2831</v>
      </c>
      <c r="I1471" s="24">
        <v>40.1</v>
      </c>
      <c r="J1471" s="24">
        <v>-88.25</v>
      </c>
      <c r="K1471" s="24">
        <v>235.6</v>
      </c>
      <c r="Q1471" s="24">
        <v>2</v>
      </c>
      <c r="R1471" s="24">
        <v>2</v>
      </c>
      <c r="S1471" s="42" t="s">
        <v>2007</v>
      </c>
      <c r="T1471" s="42" t="s">
        <v>2005</v>
      </c>
      <c r="U1471" s="42" t="s">
        <v>1398</v>
      </c>
      <c r="V1471" s="42" t="s">
        <v>1729</v>
      </c>
      <c r="W1471" s="42" t="s">
        <v>1398</v>
      </c>
      <c r="X1471" s="42" t="s">
        <v>1393</v>
      </c>
      <c r="Z1471" s="321"/>
      <c r="AA1471" s="321"/>
      <c r="AB1471" s="24" t="s">
        <v>140</v>
      </c>
      <c r="AF1471" s="24" t="s">
        <v>1322</v>
      </c>
      <c r="AG1471" s="24" t="s">
        <v>244</v>
      </c>
      <c r="AH1471" s="138" t="s">
        <v>578</v>
      </c>
      <c r="AI1471" s="24" t="s">
        <v>159</v>
      </c>
      <c r="AJ1471" s="140" t="s">
        <v>1615</v>
      </c>
      <c r="AK1471" s="24" t="s">
        <v>991</v>
      </c>
      <c r="AL1471" s="24" t="s">
        <v>991</v>
      </c>
      <c r="AM1471" s="24" t="s">
        <v>178</v>
      </c>
      <c r="AN1471" s="24" t="s">
        <v>157</v>
      </c>
      <c r="AO1471" s="24" t="s">
        <v>157</v>
      </c>
      <c r="AP1471" s="24" t="s">
        <v>178</v>
      </c>
      <c r="AQ1471" s="24" t="s">
        <v>1008</v>
      </c>
      <c r="AR1471" s="24" t="s">
        <v>1008</v>
      </c>
      <c r="AS1471" s="24" t="s">
        <v>178</v>
      </c>
      <c r="AT1471" s="24" t="s">
        <v>120</v>
      </c>
      <c r="AU1471" s="24">
        <v>4</v>
      </c>
      <c r="AW1471" s="24" t="s">
        <v>336</v>
      </c>
      <c r="BM1471" s="395">
        <v>1.32</v>
      </c>
      <c r="BN1471" s="395">
        <v>1.23</v>
      </c>
      <c r="BR1471" s="395">
        <v>4</v>
      </c>
      <c r="BS1471" s="395">
        <v>4.5999999999999996</v>
      </c>
      <c r="BV1471" s="24" t="s">
        <v>1009</v>
      </c>
      <c r="BW1471" s="24">
        <v>13.3</v>
      </c>
      <c r="BX1471" s="24">
        <v>9.3000000000000007</v>
      </c>
      <c r="CA1471" s="24" t="s">
        <v>1011</v>
      </c>
      <c r="DP1471" s="24">
        <v>1.337</v>
      </c>
      <c r="DQ1471" s="24">
        <v>1.51</v>
      </c>
      <c r="DT1471" s="24" t="s">
        <v>1012</v>
      </c>
    </row>
    <row r="1472" spans="1:164" s="24" customFormat="1" x14ac:dyDescent="0.25">
      <c r="A1472" s="24">
        <v>67</v>
      </c>
      <c r="B1472" s="24" t="s">
        <v>1005</v>
      </c>
      <c r="C1472" s="24" t="s">
        <v>1006</v>
      </c>
      <c r="D1472" s="24">
        <v>2006</v>
      </c>
      <c r="E1472" s="24">
        <v>2002</v>
      </c>
      <c r="F1472" s="24" t="s">
        <v>152</v>
      </c>
      <c r="G1472" s="24" t="s">
        <v>1007</v>
      </c>
      <c r="H1472" s="32" t="s">
        <v>2831</v>
      </c>
      <c r="I1472" s="24">
        <v>40.1</v>
      </c>
      <c r="J1472" s="24">
        <v>-88.25</v>
      </c>
      <c r="K1472" s="24">
        <v>235.6</v>
      </c>
      <c r="Q1472" s="24">
        <v>2</v>
      </c>
      <c r="R1472" s="24">
        <v>2</v>
      </c>
      <c r="S1472" s="42" t="s">
        <v>2007</v>
      </c>
      <c r="T1472" s="42" t="s">
        <v>2005</v>
      </c>
      <c r="U1472" s="42" t="s">
        <v>1405</v>
      </c>
      <c r="V1472" s="42" t="s">
        <v>1729</v>
      </c>
      <c r="W1472" s="42" t="s">
        <v>1398</v>
      </c>
      <c r="X1472" s="42" t="s">
        <v>1393</v>
      </c>
      <c r="Z1472" s="321"/>
      <c r="AA1472" s="321"/>
      <c r="AB1472" s="24" t="s">
        <v>140</v>
      </c>
      <c r="AF1472" s="24" t="s">
        <v>1322</v>
      </c>
      <c r="AG1472" s="24" t="s">
        <v>244</v>
      </c>
      <c r="AH1472" s="138" t="s">
        <v>578</v>
      </c>
      <c r="AI1472" s="24" t="s">
        <v>159</v>
      </c>
      <c r="AJ1472" s="140" t="s">
        <v>1615</v>
      </c>
      <c r="AK1472" s="24" t="s">
        <v>991</v>
      </c>
      <c r="AL1472" s="24" t="s">
        <v>991</v>
      </c>
      <c r="AM1472" s="24" t="s">
        <v>178</v>
      </c>
      <c r="AN1472" s="24" t="s">
        <v>157</v>
      </c>
      <c r="AO1472" s="24" t="s">
        <v>157</v>
      </c>
      <c r="AP1472" s="24" t="s">
        <v>178</v>
      </c>
      <c r="AQ1472" s="24" t="s">
        <v>1008</v>
      </c>
      <c r="AR1472" s="24" t="s">
        <v>1008</v>
      </c>
      <c r="AS1472" s="24" t="s">
        <v>178</v>
      </c>
      <c r="AT1472" s="24" t="s">
        <v>120</v>
      </c>
      <c r="AU1472" s="24">
        <v>4</v>
      </c>
      <c r="AW1472" s="24" t="s">
        <v>336</v>
      </c>
      <c r="BM1472" s="395">
        <v>1.4</v>
      </c>
      <c r="BN1472" s="395">
        <v>1.35</v>
      </c>
      <c r="BR1472" s="395">
        <v>3.2</v>
      </c>
      <c r="BS1472" s="395">
        <v>3.5</v>
      </c>
      <c r="BV1472" s="24" t="s">
        <v>1009</v>
      </c>
      <c r="BW1472" s="24">
        <v>11.1</v>
      </c>
      <c r="BX1472" s="24">
        <v>12.9</v>
      </c>
      <c r="CA1472" s="24" t="s">
        <v>1011</v>
      </c>
      <c r="DP1472" s="24">
        <v>1.835</v>
      </c>
      <c r="DQ1472" s="24">
        <v>2.1019999999999999</v>
      </c>
      <c r="DT1472" s="24" t="s">
        <v>1012</v>
      </c>
    </row>
    <row r="1473" spans="1:249" s="24" customFormat="1" x14ac:dyDescent="0.25">
      <c r="A1473" s="24">
        <v>67</v>
      </c>
      <c r="B1473" s="24" t="s">
        <v>1005</v>
      </c>
      <c r="C1473" s="24" t="s">
        <v>1006</v>
      </c>
      <c r="D1473" s="24">
        <v>2006</v>
      </c>
      <c r="E1473" s="24">
        <v>2002</v>
      </c>
      <c r="F1473" s="24" t="s">
        <v>152</v>
      </c>
      <c r="G1473" s="24" t="s">
        <v>1007</v>
      </c>
      <c r="H1473" s="32" t="s">
        <v>2831</v>
      </c>
      <c r="I1473" s="24">
        <v>40.1</v>
      </c>
      <c r="J1473" s="24">
        <v>-88.25</v>
      </c>
      <c r="K1473" s="24">
        <v>235.6</v>
      </c>
      <c r="Q1473" s="24">
        <v>2</v>
      </c>
      <c r="R1473" s="24">
        <v>2</v>
      </c>
      <c r="S1473" s="42" t="s">
        <v>2007</v>
      </c>
      <c r="T1473" s="42" t="s">
        <v>2005</v>
      </c>
      <c r="U1473" s="42" t="s">
        <v>1413</v>
      </c>
      <c r="V1473" s="42" t="s">
        <v>1729</v>
      </c>
      <c r="W1473" s="42" t="s">
        <v>1398</v>
      </c>
      <c r="X1473" s="42" t="s">
        <v>1393</v>
      </c>
      <c r="Z1473" s="321"/>
      <c r="AA1473" s="321"/>
      <c r="AB1473" s="24" t="s">
        <v>140</v>
      </c>
      <c r="AF1473" s="24" t="s">
        <v>1322</v>
      </c>
      <c r="AG1473" s="24" t="s">
        <v>244</v>
      </c>
      <c r="AH1473" s="138" t="s">
        <v>578</v>
      </c>
      <c r="AI1473" s="24" t="s">
        <v>159</v>
      </c>
      <c r="AJ1473" s="140" t="s">
        <v>1615</v>
      </c>
      <c r="AK1473" s="24" t="s">
        <v>991</v>
      </c>
      <c r="AL1473" s="24" t="s">
        <v>991</v>
      </c>
      <c r="AM1473" s="24" t="s">
        <v>178</v>
      </c>
      <c r="AN1473" s="24" t="s">
        <v>157</v>
      </c>
      <c r="AO1473" s="24" t="s">
        <v>157</v>
      </c>
      <c r="AP1473" s="24" t="s">
        <v>178</v>
      </c>
      <c r="AQ1473" s="24" t="s">
        <v>1008</v>
      </c>
      <c r="AR1473" s="24" t="s">
        <v>1008</v>
      </c>
      <c r="AS1473" s="24" t="s">
        <v>178</v>
      </c>
      <c r="AT1473" s="24" t="s">
        <v>120</v>
      </c>
      <c r="AU1473" s="24">
        <v>4</v>
      </c>
      <c r="AW1473" s="24" t="s">
        <v>336</v>
      </c>
      <c r="BM1473" s="395">
        <v>1.45</v>
      </c>
      <c r="BN1473" s="395">
        <v>1.5</v>
      </c>
      <c r="BR1473" s="395">
        <v>3.3</v>
      </c>
      <c r="BS1473" s="395">
        <v>3.3</v>
      </c>
      <c r="BV1473" s="24" t="s">
        <v>1009</v>
      </c>
      <c r="BW1473" s="24">
        <v>4.0999999999999996</v>
      </c>
      <c r="BX1473" s="24">
        <v>11.2</v>
      </c>
      <c r="CA1473" s="24" t="s">
        <v>1011</v>
      </c>
      <c r="DP1473" s="24">
        <v>1.7390000000000001</v>
      </c>
      <c r="DQ1473" s="24">
        <v>2.016</v>
      </c>
      <c r="DT1473" s="24" t="s">
        <v>1012</v>
      </c>
    </row>
    <row r="1474" spans="1:249" s="24" customFormat="1" x14ac:dyDescent="0.25">
      <c r="A1474" s="24">
        <v>67</v>
      </c>
      <c r="B1474" s="24" t="s">
        <v>1005</v>
      </c>
      <c r="C1474" s="24" t="s">
        <v>1006</v>
      </c>
      <c r="D1474" s="24">
        <v>2006</v>
      </c>
      <c r="E1474" s="24">
        <v>2002</v>
      </c>
      <c r="F1474" s="24" t="s">
        <v>152</v>
      </c>
      <c r="G1474" s="24" t="s">
        <v>1007</v>
      </c>
      <c r="H1474" s="32" t="s">
        <v>2831</v>
      </c>
      <c r="I1474" s="24">
        <v>40.1</v>
      </c>
      <c r="J1474" s="24">
        <v>-88.25</v>
      </c>
      <c r="K1474" s="24">
        <v>235.6</v>
      </c>
      <c r="Q1474" s="24">
        <v>2</v>
      </c>
      <c r="R1474" s="24">
        <v>2</v>
      </c>
      <c r="S1474" s="42" t="s">
        <v>2007</v>
      </c>
      <c r="T1474" s="42" t="s">
        <v>2005</v>
      </c>
      <c r="U1474" s="42" t="s">
        <v>1394</v>
      </c>
      <c r="V1474" s="42" t="s">
        <v>1724</v>
      </c>
      <c r="W1474" s="42" t="s">
        <v>1398</v>
      </c>
      <c r="X1474" s="42" t="s">
        <v>1393</v>
      </c>
      <c r="Z1474" s="321"/>
      <c r="AA1474" s="321"/>
      <c r="AB1474" s="24" t="s">
        <v>140</v>
      </c>
      <c r="AF1474" s="24" t="s">
        <v>1322</v>
      </c>
      <c r="AG1474" s="24" t="s">
        <v>244</v>
      </c>
      <c r="AH1474" s="138" t="s">
        <v>578</v>
      </c>
      <c r="AI1474" s="24" t="s">
        <v>159</v>
      </c>
      <c r="AJ1474" s="140" t="s">
        <v>1615</v>
      </c>
      <c r="AK1474" s="24" t="s">
        <v>991</v>
      </c>
      <c r="AL1474" s="24" t="s">
        <v>991</v>
      </c>
      <c r="AM1474" s="24" t="s">
        <v>178</v>
      </c>
      <c r="AN1474" s="24" t="s">
        <v>157</v>
      </c>
      <c r="AO1474" s="24" t="s">
        <v>157</v>
      </c>
      <c r="AP1474" s="24" t="s">
        <v>178</v>
      </c>
      <c r="AQ1474" s="24" t="s">
        <v>1008</v>
      </c>
      <c r="AR1474" s="24" t="s">
        <v>1008</v>
      </c>
      <c r="AS1474" s="24" t="s">
        <v>178</v>
      </c>
      <c r="AT1474" s="24" t="s">
        <v>120</v>
      </c>
      <c r="AU1474" s="24">
        <v>4</v>
      </c>
      <c r="AW1474" s="24" t="s">
        <v>336</v>
      </c>
      <c r="BM1474" s="395">
        <v>1.45</v>
      </c>
      <c r="BN1474" s="395">
        <v>1.42</v>
      </c>
      <c r="BR1474" s="395">
        <v>3.7</v>
      </c>
      <c r="BS1474" s="395">
        <v>3.7</v>
      </c>
      <c r="BV1474" s="24" t="s">
        <v>1009</v>
      </c>
      <c r="BW1474" s="24">
        <v>12.2</v>
      </c>
      <c r="BX1474" s="24">
        <v>9.8000000000000007</v>
      </c>
      <c r="CA1474" s="24" t="s">
        <v>1011</v>
      </c>
      <c r="DP1474" s="24">
        <v>1.6240000000000001</v>
      </c>
      <c r="DQ1474" s="24">
        <v>2.06</v>
      </c>
      <c r="DT1474" s="24" t="s">
        <v>1012</v>
      </c>
    </row>
    <row r="1475" spans="1:249" s="40" customFormat="1" x14ac:dyDescent="0.25">
      <c r="A1475" s="40">
        <v>67</v>
      </c>
      <c r="B1475" s="40" t="s">
        <v>1005</v>
      </c>
      <c r="C1475" s="40" t="s">
        <v>1006</v>
      </c>
      <c r="D1475" s="40">
        <v>2006</v>
      </c>
      <c r="E1475" s="40">
        <v>2002</v>
      </c>
      <c r="F1475" s="40" t="s">
        <v>152</v>
      </c>
      <c r="G1475" s="40" t="s">
        <v>1007</v>
      </c>
      <c r="H1475" s="32" t="s">
        <v>2831</v>
      </c>
      <c r="I1475" s="40">
        <v>40.1</v>
      </c>
      <c r="J1475" s="40">
        <v>-88.25</v>
      </c>
      <c r="K1475" s="40">
        <v>235.6</v>
      </c>
      <c r="Q1475" s="40">
        <v>2</v>
      </c>
      <c r="R1475" s="40">
        <v>2</v>
      </c>
      <c r="S1475" s="71" t="s">
        <v>2007</v>
      </c>
      <c r="T1475" s="71" t="s">
        <v>2005</v>
      </c>
      <c r="U1475" s="71" t="s">
        <v>1398</v>
      </c>
      <c r="V1475" s="71" t="s">
        <v>1729</v>
      </c>
      <c r="W1475" s="71" t="s">
        <v>1398</v>
      </c>
      <c r="X1475" s="71" t="s">
        <v>1393</v>
      </c>
      <c r="Z1475" s="341"/>
      <c r="AA1475" s="341"/>
      <c r="AB1475" s="40" t="s">
        <v>140</v>
      </c>
      <c r="AF1475" s="40" t="s">
        <v>1322</v>
      </c>
      <c r="AG1475" s="40" t="s">
        <v>1522</v>
      </c>
      <c r="AH1475" s="138" t="s">
        <v>1586</v>
      </c>
      <c r="AI1475" s="40" t="s">
        <v>159</v>
      </c>
      <c r="AJ1475" s="140" t="s">
        <v>1615</v>
      </c>
      <c r="AK1475" s="40" t="s">
        <v>991</v>
      </c>
      <c r="AL1475" s="40" t="s">
        <v>991</v>
      </c>
      <c r="AM1475" s="40" t="s">
        <v>178</v>
      </c>
      <c r="AN1475" s="40" t="s">
        <v>157</v>
      </c>
      <c r="AO1475" s="40" t="s">
        <v>157</v>
      </c>
      <c r="AP1475" s="40" t="s">
        <v>178</v>
      </c>
      <c r="AQ1475" s="40" t="s">
        <v>1008</v>
      </c>
      <c r="AR1475" s="40" t="s">
        <v>1008</v>
      </c>
      <c r="AS1475" s="40" t="s">
        <v>178</v>
      </c>
      <c r="AT1475" s="40" t="s">
        <v>120</v>
      </c>
      <c r="AU1475" s="40">
        <v>4</v>
      </c>
      <c r="AW1475" s="40" t="s">
        <v>336</v>
      </c>
      <c r="BM1475" s="416">
        <v>1.32</v>
      </c>
      <c r="BN1475" s="416">
        <v>1.23</v>
      </c>
      <c r="BR1475" s="416">
        <v>4</v>
      </c>
      <c r="BS1475" s="416">
        <v>4.7</v>
      </c>
      <c r="BV1475" s="40" t="s">
        <v>1009</v>
      </c>
      <c r="BW1475" s="40">
        <v>13.3</v>
      </c>
      <c r="BX1475" s="40">
        <v>9.5</v>
      </c>
      <c r="CA1475" s="40" t="s">
        <v>1011</v>
      </c>
      <c r="DP1475" s="40">
        <v>1.337</v>
      </c>
      <c r="DQ1475" s="40">
        <v>1.0940000000000001</v>
      </c>
      <c r="DT1475" s="40" t="s">
        <v>1012</v>
      </c>
    </row>
    <row r="1476" spans="1:249" s="40" customFormat="1" x14ac:dyDescent="0.25">
      <c r="A1476" s="40">
        <v>67</v>
      </c>
      <c r="B1476" s="40" t="s">
        <v>1005</v>
      </c>
      <c r="C1476" s="40" t="s">
        <v>1006</v>
      </c>
      <c r="D1476" s="40">
        <v>2006</v>
      </c>
      <c r="E1476" s="40">
        <v>2002</v>
      </c>
      <c r="F1476" s="40" t="s">
        <v>152</v>
      </c>
      <c r="G1476" s="40" t="s">
        <v>1007</v>
      </c>
      <c r="H1476" s="32" t="s">
        <v>2831</v>
      </c>
      <c r="I1476" s="40">
        <v>40.1</v>
      </c>
      <c r="J1476" s="40">
        <v>-88.25</v>
      </c>
      <c r="K1476" s="40">
        <v>235.6</v>
      </c>
      <c r="Q1476" s="40">
        <v>2</v>
      </c>
      <c r="R1476" s="40">
        <v>2</v>
      </c>
      <c r="S1476" s="71" t="s">
        <v>2007</v>
      </c>
      <c r="T1476" s="71" t="s">
        <v>2005</v>
      </c>
      <c r="U1476" s="71" t="s">
        <v>1405</v>
      </c>
      <c r="V1476" s="71" t="s">
        <v>1729</v>
      </c>
      <c r="W1476" s="71" t="s">
        <v>1398</v>
      </c>
      <c r="X1476" s="71" t="s">
        <v>1393</v>
      </c>
      <c r="Z1476" s="341"/>
      <c r="AA1476" s="341"/>
      <c r="AB1476" s="40" t="s">
        <v>140</v>
      </c>
      <c r="AF1476" s="40" t="s">
        <v>1322</v>
      </c>
      <c r="AG1476" s="40" t="s">
        <v>1522</v>
      </c>
      <c r="AH1476" s="138" t="s">
        <v>1586</v>
      </c>
      <c r="AI1476" s="40" t="s">
        <v>159</v>
      </c>
      <c r="AJ1476" s="140" t="s">
        <v>1615</v>
      </c>
      <c r="AK1476" s="40" t="s">
        <v>991</v>
      </c>
      <c r="AL1476" s="40" t="s">
        <v>991</v>
      </c>
      <c r="AM1476" s="40" t="s">
        <v>178</v>
      </c>
      <c r="AN1476" s="40" t="s">
        <v>157</v>
      </c>
      <c r="AO1476" s="40" t="s">
        <v>157</v>
      </c>
      <c r="AP1476" s="40" t="s">
        <v>178</v>
      </c>
      <c r="AQ1476" s="40" t="s">
        <v>1008</v>
      </c>
      <c r="AR1476" s="40" t="s">
        <v>1008</v>
      </c>
      <c r="AS1476" s="40" t="s">
        <v>178</v>
      </c>
      <c r="AT1476" s="40" t="s">
        <v>120</v>
      </c>
      <c r="AU1476" s="40">
        <v>4</v>
      </c>
      <c r="AW1476" s="40" t="s">
        <v>336</v>
      </c>
      <c r="BM1476" s="416">
        <v>1.4</v>
      </c>
      <c r="BN1476" s="416">
        <v>1.36</v>
      </c>
      <c r="BR1476" s="416">
        <v>3.2</v>
      </c>
      <c r="BS1476" s="416">
        <v>3.5</v>
      </c>
      <c r="BV1476" s="40" t="s">
        <v>1009</v>
      </c>
      <c r="BW1476" s="40">
        <v>11.1</v>
      </c>
      <c r="BX1476" s="40">
        <v>8.5</v>
      </c>
      <c r="CA1476" s="40" t="s">
        <v>1011</v>
      </c>
      <c r="DP1476" s="40">
        <v>1.835</v>
      </c>
      <c r="DQ1476" s="40">
        <v>1.9970000000000001</v>
      </c>
      <c r="DT1476" s="40" t="s">
        <v>1012</v>
      </c>
    </row>
    <row r="1477" spans="1:249" s="40" customFormat="1" x14ac:dyDescent="0.25">
      <c r="A1477" s="40">
        <v>67</v>
      </c>
      <c r="B1477" s="40" t="s">
        <v>1005</v>
      </c>
      <c r="C1477" s="40" t="s">
        <v>1006</v>
      </c>
      <c r="D1477" s="40">
        <v>2006</v>
      </c>
      <c r="E1477" s="40">
        <v>2002</v>
      </c>
      <c r="F1477" s="40" t="s">
        <v>152</v>
      </c>
      <c r="G1477" s="40" t="s">
        <v>1007</v>
      </c>
      <c r="H1477" s="32" t="s">
        <v>2831</v>
      </c>
      <c r="I1477" s="40">
        <v>40.1</v>
      </c>
      <c r="J1477" s="40">
        <v>-88.25</v>
      </c>
      <c r="K1477" s="40">
        <v>235.6</v>
      </c>
      <c r="Q1477" s="40">
        <v>2</v>
      </c>
      <c r="R1477" s="40">
        <v>2</v>
      </c>
      <c r="S1477" s="71" t="s">
        <v>2007</v>
      </c>
      <c r="T1477" s="71" t="s">
        <v>2005</v>
      </c>
      <c r="U1477" s="71" t="s">
        <v>1413</v>
      </c>
      <c r="V1477" s="71" t="s">
        <v>1729</v>
      </c>
      <c r="W1477" s="71" t="s">
        <v>1398</v>
      </c>
      <c r="X1477" s="71" t="s">
        <v>1393</v>
      </c>
      <c r="Z1477" s="341"/>
      <c r="AA1477" s="341"/>
      <c r="AB1477" s="40" t="s">
        <v>140</v>
      </c>
      <c r="AF1477" s="40" t="s">
        <v>1322</v>
      </c>
      <c r="AG1477" s="40" t="s">
        <v>1522</v>
      </c>
      <c r="AH1477" s="138" t="s">
        <v>1586</v>
      </c>
      <c r="AI1477" s="40" t="s">
        <v>159</v>
      </c>
      <c r="AJ1477" s="140" t="s">
        <v>1615</v>
      </c>
      <c r="AK1477" s="40" t="s">
        <v>991</v>
      </c>
      <c r="AL1477" s="40" t="s">
        <v>991</v>
      </c>
      <c r="AM1477" s="40" t="s">
        <v>178</v>
      </c>
      <c r="AN1477" s="40" t="s">
        <v>157</v>
      </c>
      <c r="AO1477" s="40" t="s">
        <v>157</v>
      </c>
      <c r="AP1477" s="40" t="s">
        <v>178</v>
      </c>
      <c r="AQ1477" s="40" t="s">
        <v>1008</v>
      </c>
      <c r="AR1477" s="40" t="s">
        <v>1008</v>
      </c>
      <c r="AS1477" s="40" t="s">
        <v>178</v>
      </c>
      <c r="AT1477" s="40" t="s">
        <v>120</v>
      </c>
      <c r="AU1477" s="40">
        <v>4</v>
      </c>
      <c r="AW1477" s="40" t="s">
        <v>336</v>
      </c>
      <c r="BM1477" s="416">
        <v>1.45</v>
      </c>
      <c r="BN1477" s="416">
        <v>1.43</v>
      </c>
      <c r="BR1477" s="416">
        <v>3.3</v>
      </c>
      <c r="BS1477" s="416">
        <v>3.3</v>
      </c>
      <c r="BV1477" s="40" t="s">
        <v>1009</v>
      </c>
      <c r="BW1477" s="40">
        <v>4.0999999999999996</v>
      </c>
      <c r="BX1477" s="40">
        <v>15.6</v>
      </c>
      <c r="CA1477" s="40" t="s">
        <v>1011</v>
      </c>
      <c r="DP1477" s="40">
        <v>1.7390000000000001</v>
      </c>
      <c r="DQ1477" s="40">
        <v>2.1440000000000001</v>
      </c>
      <c r="DT1477" s="40" t="s">
        <v>1012</v>
      </c>
    </row>
    <row r="1478" spans="1:249" s="40" customFormat="1" x14ac:dyDescent="0.25">
      <c r="A1478" s="40">
        <v>67</v>
      </c>
      <c r="B1478" s="40" t="s">
        <v>1005</v>
      </c>
      <c r="C1478" s="40" t="s">
        <v>1006</v>
      </c>
      <c r="D1478" s="40">
        <v>2006</v>
      </c>
      <c r="E1478" s="40">
        <v>2002</v>
      </c>
      <c r="F1478" s="40" t="s">
        <v>152</v>
      </c>
      <c r="G1478" s="40" t="s">
        <v>1007</v>
      </c>
      <c r="H1478" s="32" t="s">
        <v>2831</v>
      </c>
      <c r="I1478" s="40">
        <v>40.1</v>
      </c>
      <c r="J1478" s="40">
        <v>-88.25</v>
      </c>
      <c r="K1478" s="40">
        <v>235.6</v>
      </c>
      <c r="Q1478" s="40">
        <v>2</v>
      </c>
      <c r="R1478" s="40">
        <v>2</v>
      </c>
      <c r="S1478" s="71" t="s">
        <v>2007</v>
      </c>
      <c r="T1478" s="71" t="s">
        <v>2005</v>
      </c>
      <c r="U1478" s="71" t="s">
        <v>1394</v>
      </c>
      <c r="V1478" s="71" t="s">
        <v>1724</v>
      </c>
      <c r="W1478" s="71" t="s">
        <v>1398</v>
      </c>
      <c r="X1478" s="71" t="s">
        <v>1393</v>
      </c>
      <c r="Z1478" s="341"/>
      <c r="AA1478" s="341"/>
      <c r="AB1478" s="40" t="s">
        <v>140</v>
      </c>
      <c r="AF1478" s="40" t="s">
        <v>1322</v>
      </c>
      <c r="AG1478" s="40" t="s">
        <v>1522</v>
      </c>
      <c r="AH1478" s="138" t="s">
        <v>1586</v>
      </c>
      <c r="AI1478" s="40" t="s">
        <v>159</v>
      </c>
      <c r="AJ1478" s="140" t="s">
        <v>1615</v>
      </c>
      <c r="AK1478" s="40" t="s">
        <v>991</v>
      </c>
      <c r="AL1478" s="40" t="s">
        <v>991</v>
      </c>
      <c r="AM1478" s="40" t="s">
        <v>178</v>
      </c>
      <c r="AN1478" s="40" t="s">
        <v>157</v>
      </c>
      <c r="AO1478" s="40" t="s">
        <v>157</v>
      </c>
      <c r="AP1478" s="40" t="s">
        <v>178</v>
      </c>
      <c r="AQ1478" s="40" t="s">
        <v>1008</v>
      </c>
      <c r="AR1478" s="40" t="s">
        <v>1008</v>
      </c>
      <c r="AS1478" s="40" t="s">
        <v>178</v>
      </c>
      <c r="AT1478" s="40" t="s">
        <v>120</v>
      </c>
      <c r="AU1478" s="40">
        <v>4</v>
      </c>
      <c r="AW1478" s="40" t="s">
        <v>336</v>
      </c>
      <c r="BM1478" s="416">
        <v>1.45</v>
      </c>
      <c r="BN1478" s="416">
        <v>1.39</v>
      </c>
      <c r="BR1478" s="416">
        <v>3.7</v>
      </c>
      <c r="BS1478" s="416">
        <v>4</v>
      </c>
      <c r="BV1478" s="40" t="s">
        <v>1009</v>
      </c>
      <c r="BW1478" s="40">
        <v>12.2</v>
      </c>
      <c r="BX1478" s="40">
        <v>10.4</v>
      </c>
      <c r="CA1478" s="40" t="s">
        <v>1011</v>
      </c>
      <c r="DP1478" s="40">
        <v>1.6240000000000001</v>
      </c>
      <c r="DQ1478" s="40">
        <v>2.0339999999999998</v>
      </c>
      <c r="DT1478" s="40" t="s">
        <v>1012</v>
      </c>
    </row>
    <row r="1479" spans="1:249" s="28" customFormat="1" x14ac:dyDescent="0.25">
      <c r="A1479" s="28">
        <v>68</v>
      </c>
      <c r="B1479" s="28" t="s">
        <v>1021</v>
      </c>
      <c r="C1479" s="28" t="s">
        <v>1022</v>
      </c>
      <c r="D1479" s="28">
        <v>2011</v>
      </c>
      <c r="E1479" s="28">
        <v>1995</v>
      </c>
      <c r="F1479" s="28" t="s">
        <v>303</v>
      </c>
      <c r="G1479" s="28" t="s">
        <v>1024</v>
      </c>
      <c r="H1479" s="32" t="s">
        <v>2831</v>
      </c>
      <c r="I1479" s="28">
        <f t="shared" ref="I1479:I1502" si="248">43+18/60</f>
        <v>43.3</v>
      </c>
      <c r="J1479" s="28">
        <f t="shared" ref="J1479:J1502" si="249">-89-21/60</f>
        <v>-89.35</v>
      </c>
      <c r="K1479" s="28">
        <v>317.10000000000002</v>
      </c>
      <c r="Q1479" s="46" t="s">
        <v>1729</v>
      </c>
      <c r="R1479" s="46" t="s">
        <v>1984</v>
      </c>
      <c r="S1479" s="46" t="s">
        <v>866</v>
      </c>
      <c r="T1479" s="46" t="s">
        <v>1023</v>
      </c>
      <c r="U1479" s="46" t="s">
        <v>1398</v>
      </c>
      <c r="V1479" s="46" t="s">
        <v>1729</v>
      </c>
      <c r="W1479" s="46" t="s">
        <v>1398</v>
      </c>
      <c r="X1479" s="46" t="s">
        <v>1383</v>
      </c>
      <c r="Z1479" s="326"/>
      <c r="AA1479" s="326"/>
      <c r="AB1479" s="28" t="s">
        <v>451</v>
      </c>
      <c r="AF1479" s="28" t="s">
        <v>1346</v>
      </c>
      <c r="AG1479" s="28" t="s">
        <v>1531</v>
      </c>
      <c r="AH1479" s="138" t="s">
        <v>1585</v>
      </c>
      <c r="AI1479" s="28" t="s">
        <v>133</v>
      </c>
      <c r="AJ1479" s="141" t="s">
        <v>1615</v>
      </c>
      <c r="AK1479" s="28" t="s">
        <v>133</v>
      </c>
      <c r="AL1479" s="28" t="s">
        <v>944</v>
      </c>
      <c r="AM1479" s="28" t="s">
        <v>503</v>
      </c>
      <c r="AN1479" s="28" t="s">
        <v>478</v>
      </c>
      <c r="AO1479" s="28" t="s">
        <v>1031</v>
      </c>
      <c r="AP1479" s="28" t="s">
        <v>503</v>
      </c>
      <c r="AQ1479" s="28" t="s">
        <v>1032</v>
      </c>
      <c r="AR1479" s="28" t="s">
        <v>1033</v>
      </c>
      <c r="AS1479" s="28" t="s">
        <v>503</v>
      </c>
      <c r="AT1479" s="28" t="s">
        <v>161</v>
      </c>
      <c r="AU1479" s="28">
        <v>4</v>
      </c>
      <c r="AW1479" s="28" t="s">
        <v>142</v>
      </c>
      <c r="BB1479" s="28" t="s">
        <v>1025</v>
      </c>
      <c r="BM1479" s="401">
        <v>1.1000000000000001</v>
      </c>
      <c r="BN1479" s="401">
        <v>1.07</v>
      </c>
      <c r="BR1479" s="401">
        <v>2.41</v>
      </c>
      <c r="BS1479" s="401">
        <v>2.19</v>
      </c>
      <c r="BV1479" s="28" t="s">
        <v>619</v>
      </c>
      <c r="BW1479" s="28">
        <v>2230</v>
      </c>
      <c r="BX1479" s="28">
        <v>2030</v>
      </c>
      <c r="CA1479" s="28" t="s">
        <v>235</v>
      </c>
      <c r="CB1479" s="28">
        <v>52.5</v>
      </c>
      <c r="CC1479" s="28">
        <v>45.3</v>
      </c>
      <c r="CG1479" s="28">
        <v>237</v>
      </c>
      <c r="CH1479" s="28">
        <v>148</v>
      </c>
      <c r="CL1479" s="28">
        <v>6.3</v>
      </c>
      <c r="CM1479" s="28">
        <v>6.7</v>
      </c>
      <c r="DF1479" s="28">
        <v>778</v>
      </c>
      <c r="DG1479" s="28">
        <v>665</v>
      </c>
      <c r="DJ1479" s="28" t="s">
        <v>1050</v>
      </c>
      <c r="EY1479" s="28">
        <v>28</v>
      </c>
      <c r="EZ1479" s="28">
        <v>28</v>
      </c>
      <c r="FC1479" s="28" t="s">
        <v>165</v>
      </c>
      <c r="GR1479" s="28">
        <v>1740</v>
      </c>
      <c r="GS1479" s="28">
        <v>1840</v>
      </c>
      <c r="GV1479" s="28" t="s">
        <v>433</v>
      </c>
      <c r="GW1479" s="28">
        <v>29.9</v>
      </c>
      <c r="GX1479" s="28">
        <v>31.5</v>
      </c>
      <c r="IA1479" s="28">
        <f>200*0.000012</f>
        <v>2.4000000000000002E-3</v>
      </c>
      <c r="IB1479" s="28">
        <f>161*0.000012</f>
        <v>1.9320000000000001E-3</v>
      </c>
      <c r="IE1479" s="28" t="s">
        <v>1040</v>
      </c>
      <c r="IL1479" s="28">
        <v>99999</v>
      </c>
      <c r="IM1479" s="28">
        <v>99999</v>
      </c>
      <c r="IO1479" s="28" t="s">
        <v>435</v>
      </c>
    </row>
    <row r="1480" spans="1:249" s="28" customFormat="1" x14ac:dyDescent="0.25">
      <c r="A1480" s="28">
        <v>68</v>
      </c>
      <c r="B1480" s="28" t="s">
        <v>1021</v>
      </c>
      <c r="C1480" s="28" t="s">
        <v>1022</v>
      </c>
      <c r="D1480" s="28">
        <v>2011</v>
      </c>
      <c r="E1480" s="28">
        <v>1995</v>
      </c>
      <c r="F1480" s="28" t="s">
        <v>303</v>
      </c>
      <c r="G1480" s="28" t="s">
        <v>1024</v>
      </c>
      <c r="H1480" s="32" t="s">
        <v>2831</v>
      </c>
      <c r="I1480" s="28">
        <f t="shared" si="248"/>
        <v>43.3</v>
      </c>
      <c r="J1480" s="28">
        <f t="shared" si="249"/>
        <v>-89.35</v>
      </c>
      <c r="K1480" s="28">
        <v>317.10000000000002</v>
      </c>
      <c r="Q1480" s="46" t="s">
        <v>1729</v>
      </c>
      <c r="R1480" s="46" t="s">
        <v>1984</v>
      </c>
      <c r="S1480" s="46" t="s">
        <v>866</v>
      </c>
      <c r="T1480" s="46" t="s">
        <v>1023</v>
      </c>
      <c r="U1480" s="46" t="s">
        <v>1398</v>
      </c>
      <c r="V1480" s="46" t="s">
        <v>1729</v>
      </c>
      <c r="W1480" s="46" t="s">
        <v>1398</v>
      </c>
      <c r="X1480" s="46" t="s">
        <v>1383</v>
      </c>
      <c r="Z1480" s="326"/>
      <c r="AA1480" s="326"/>
      <c r="AB1480" s="28" t="s">
        <v>451</v>
      </c>
      <c r="AF1480" s="28" t="s">
        <v>1346</v>
      </c>
      <c r="AG1480" s="28" t="s">
        <v>115</v>
      </c>
      <c r="AH1480" s="138" t="s">
        <v>578</v>
      </c>
      <c r="AI1480" s="28" t="s">
        <v>133</v>
      </c>
      <c r="AJ1480" s="141" t="s">
        <v>1615</v>
      </c>
      <c r="AK1480" s="28" t="s">
        <v>133</v>
      </c>
      <c r="AL1480" s="28" t="s">
        <v>133</v>
      </c>
      <c r="AM1480" s="28" t="s">
        <v>178</v>
      </c>
      <c r="AN1480" s="28" t="s">
        <v>478</v>
      </c>
      <c r="AO1480" s="28" t="s">
        <v>1031</v>
      </c>
      <c r="AP1480" s="28" t="s">
        <v>503</v>
      </c>
      <c r="AQ1480" s="28" t="s">
        <v>1032</v>
      </c>
      <c r="AR1480" s="28" t="s">
        <v>1034</v>
      </c>
      <c r="AS1480" s="28" t="s">
        <v>503</v>
      </c>
      <c r="AT1480" s="28" t="s">
        <v>161</v>
      </c>
      <c r="AU1480" s="28">
        <v>4</v>
      </c>
      <c r="AW1480" s="28" t="s">
        <v>142</v>
      </c>
      <c r="BB1480" s="28" t="s">
        <v>1026</v>
      </c>
      <c r="BM1480" s="401">
        <v>1.1000000000000001</v>
      </c>
      <c r="BN1480" s="401">
        <v>1.32</v>
      </c>
      <c r="BR1480" s="401">
        <v>2.41</v>
      </c>
      <c r="BS1480" s="401">
        <v>2.5</v>
      </c>
      <c r="BV1480" s="28" t="s">
        <v>619</v>
      </c>
      <c r="BW1480" s="28">
        <v>2230</v>
      </c>
      <c r="BX1480" s="28">
        <v>2430</v>
      </c>
      <c r="CA1480" s="28" t="s">
        <v>235</v>
      </c>
      <c r="CB1480" s="28">
        <v>52.5</v>
      </c>
      <c r="CC1480" s="28">
        <v>61.5</v>
      </c>
      <c r="CG1480" s="28">
        <v>237</v>
      </c>
      <c r="CH1480" s="28">
        <v>135</v>
      </c>
      <c r="CL1480" s="28">
        <v>6.3</v>
      </c>
      <c r="CM1480" s="28">
        <v>6.9</v>
      </c>
      <c r="DF1480" s="28">
        <v>778</v>
      </c>
      <c r="DG1480" s="28">
        <v>817</v>
      </c>
      <c r="DJ1480" s="28" t="s">
        <v>1050</v>
      </c>
      <c r="EY1480" s="28">
        <v>28</v>
      </c>
      <c r="EZ1480" s="28">
        <v>28</v>
      </c>
      <c r="FC1480" s="28" t="s">
        <v>165</v>
      </c>
      <c r="GR1480" s="28">
        <v>1740</v>
      </c>
      <c r="GS1480" s="28">
        <v>1880</v>
      </c>
      <c r="GV1480" s="28" t="s">
        <v>433</v>
      </c>
      <c r="GW1480" s="28">
        <v>29.9</v>
      </c>
      <c r="GX1480" s="28">
        <v>37.4</v>
      </c>
      <c r="IA1480" s="28">
        <f t="shared" ref="IA1480:IA1484" si="250">200*0.000012</f>
        <v>2.4000000000000002E-3</v>
      </c>
      <c r="IB1480" s="28">
        <f>250*0.000012</f>
        <v>3.0000000000000001E-3</v>
      </c>
      <c r="IE1480" s="28" t="s">
        <v>1040</v>
      </c>
      <c r="IL1480" s="28">
        <v>99999</v>
      </c>
      <c r="IM1480" s="28">
        <v>99999</v>
      </c>
      <c r="IO1480" s="28" t="s">
        <v>435</v>
      </c>
    </row>
    <row r="1481" spans="1:249" s="28" customFormat="1" x14ac:dyDescent="0.25">
      <c r="A1481" s="28">
        <v>68</v>
      </c>
      <c r="B1481" s="28" t="s">
        <v>1021</v>
      </c>
      <c r="C1481" s="28" t="s">
        <v>1022</v>
      </c>
      <c r="D1481" s="28">
        <v>2011</v>
      </c>
      <c r="E1481" s="28">
        <v>1995</v>
      </c>
      <c r="F1481" s="28" t="s">
        <v>303</v>
      </c>
      <c r="G1481" s="28" t="s">
        <v>1024</v>
      </c>
      <c r="H1481" s="32" t="s">
        <v>2831</v>
      </c>
      <c r="I1481" s="28">
        <f t="shared" si="248"/>
        <v>43.3</v>
      </c>
      <c r="J1481" s="28">
        <f t="shared" si="249"/>
        <v>-89.35</v>
      </c>
      <c r="K1481" s="28">
        <v>317.10000000000002</v>
      </c>
      <c r="Q1481" s="46" t="s">
        <v>1729</v>
      </c>
      <c r="R1481" s="46" t="s">
        <v>1984</v>
      </c>
      <c r="S1481" s="46" t="s">
        <v>866</v>
      </c>
      <c r="T1481" s="46" t="s">
        <v>1023</v>
      </c>
      <c r="U1481" s="46" t="s">
        <v>1398</v>
      </c>
      <c r="V1481" s="46" t="s">
        <v>1729</v>
      </c>
      <c r="W1481" s="46" t="s">
        <v>1398</v>
      </c>
      <c r="X1481" s="46" t="s">
        <v>1383</v>
      </c>
      <c r="Z1481" s="326"/>
      <c r="AA1481" s="326"/>
      <c r="AB1481" s="28" t="s">
        <v>451</v>
      </c>
      <c r="AF1481" s="28" t="s">
        <v>1346</v>
      </c>
      <c r="AG1481" s="28" t="s">
        <v>115</v>
      </c>
      <c r="AH1481" s="138" t="s">
        <v>578</v>
      </c>
      <c r="AI1481" s="28" t="s">
        <v>133</v>
      </c>
      <c r="AJ1481" s="141" t="s">
        <v>1615</v>
      </c>
      <c r="AK1481" s="28" t="s">
        <v>133</v>
      </c>
      <c r="AL1481" s="28" t="s">
        <v>133</v>
      </c>
      <c r="AM1481" s="28" t="s">
        <v>178</v>
      </c>
      <c r="AN1481" s="28" t="s">
        <v>478</v>
      </c>
      <c r="AO1481" s="28" t="s">
        <v>1031</v>
      </c>
      <c r="AP1481" s="28" t="s">
        <v>503</v>
      </c>
      <c r="AQ1481" s="28" t="s">
        <v>1032</v>
      </c>
      <c r="AR1481" s="28" t="s">
        <v>1035</v>
      </c>
      <c r="AS1481" s="28" t="s">
        <v>503</v>
      </c>
      <c r="AT1481" s="28" t="s">
        <v>161</v>
      </c>
      <c r="AU1481" s="28">
        <v>4</v>
      </c>
      <c r="AW1481" s="28" t="s">
        <v>142</v>
      </c>
      <c r="BB1481" s="28" t="s">
        <v>1027</v>
      </c>
      <c r="BM1481" s="401">
        <v>1.1000000000000001</v>
      </c>
      <c r="BN1481" s="401">
        <v>1.37</v>
      </c>
      <c r="BR1481" s="401">
        <v>2.41</v>
      </c>
      <c r="BS1481" s="401">
        <v>2.59</v>
      </c>
      <c r="BV1481" s="28" t="s">
        <v>619</v>
      </c>
      <c r="BW1481" s="28">
        <v>2230</v>
      </c>
      <c r="BX1481" s="28">
        <v>2680</v>
      </c>
      <c r="CA1481" s="28" t="s">
        <v>235</v>
      </c>
      <c r="CB1481" s="28">
        <v>52.5</v>
      </c>
      <c r="CC1481" s="28">
        <v>72.8</v>
      </c>
      <c r="CG1481" s="28">
        <v>237</v>
      </c>
      <c r="CH1481" s="28">
        <v>231</v>
      </c>
      <c r="CL1481" s="28">
        <v>6.3</v>
      </c>
      <c r="CM1481" s="28">
        <v>6.6</v>
      </c>
      <c r="DF1481" s="28">
        <v>778</v>
      </c>
      <c r="DG1481" s="28">
        <v>801</v>
      </c>
      <c r="DJ1481" s="28" t="s">
        <v>1050</v>
      </c>
      <c r="EY1481" s="28">
        <v>28</v>
      </c>
      <c r="EZ1481" s="28">
        <v>23</v>
      </c>
      <c r="FC1481" s="28" t="s">
        <v>165</v>
      </c>
      <c r="GR1481" s="28">
        <v>1740</v>
      </c>
      <c r="GS1481" s="28">
        <v>1900</v>
      </c>
      <c r="GV1481" s="28" t="s">
        <v>433</v>
      </c>
      <c r="GW1481" s="28">
        <v>29.9</v>
      </c>
      <c r="GX1481" s="28">
        <v>36.799999999999997</v>
      </c>
      <c r="IA1481" s="28">
        <f t="shared" si="250"/>
        <v>2.4000000000000002E-3</v>
      </c>
      <c r="IB1481" s="28">
        <f>181*0.000012</f>
        <v>2.1719999999999999E-3</v>
      </c>
      <c r="IE1481" s="28" t="s">
        <v>1049</v>
      </c>
      <c r="IL1481" s="28">
        <v>99999</v>
      </c>
      <c r="IM1481" s="28">
        <v>99999</v>
      </c>
      <c r="IO1481" s="28" t="s">
        <v>435</v>
      </c>
    </row>
    <row r="1482" spans="1:249" s="28" customFormat="1" x14ac:dyDescent="0.25">
      <c r="A1482" s="28">
        <v>68</v>
      </c>
      <c r="B1482" s="28" t="s">
        <v>1021</v>
      </c>
      <c r="C1482" s="28" t="s">
        <v>1022</v>
      </c>
      <c r="D1482" s="28">
        <v>2011</v>
      </c>
      <c r="E1482" s="28">
        <v>1995</v>
      </c>
      <c r="F1482" s="28" t="s">
        <v>303</v>
      </c>
      <c r="G1482" s="28" t="s">
        <v>1024</v>
      </c>
      <c r="H1482" s="32" t="s">
        <v>2831</v>
      </c>
      <c r="I1482" s="28">
        <f t="shared" si="248"/>
        <v>43.3</v>
      </c>
      <c r="J1482" s="28">
        <f t="shared" si="249"/>
        <v>-89.35</v>
      </c>
      <c r="K1482" s="28">
        <v>317.10000000000002</v>
      </c>
      <c r="Q1482" s="46" t="s">
        <v>1729</v>
      </c>
      <c r="R1482" s="46" t="s">
        <v>1984</v>
      </c>
      <c r="S1482" s="46" t="s">
        <v>866</v>
      </c>
      <c r="T1482" s="46" t="s">
        <v>1023</v>
      </c>
      <c r="U1482" s="46" t="s">
        <v>1398</v>
      </c>
      <c r="V1482" s="46" t="s">
        <v>1729</v>
      </c>
      <c r="W1482" s="46" t="s">
        <v>1398</v>
      </c>
      <c r="X1482" s="46" t="s">
        <v>1383</v>
      </c>
      <c r="Z1482" s="326"/>
      <c r="AA1482" s="326"/>
      <c r="AB1482" s="28" t="s">
        <v>451</v>
      </c>
      <c r="AF1482" s="28" t="s">
        <v>1346</v>
      </c>
      <c r="AG1482" s="28" t="s">
        <v>115</v>
      </c>
      <c r="AH1482" s="138" t="s">
        <v>578</v>
      </c>
      <c r="AI1482" s="28" t="s">
        <v>133</v>
      </c>
      <c r="AJ1482" s="141" t="s">
        <v>1615</v>
      </c>
      <c r="AK1482" s="28" t="s">
        <v>133</v>
      </c>
      <c r="AL1482" s="28" t="s">
        <v>133</v>
      </c>
      <c r="AM1482" s="28" t="s">
        <v>178</v>
      </c>
      <c r="AN1482" s="28" t="s">
        <v>478</v>
      </c>
      <c r="AO1482" s="28" t="s">
        <v>1031</v>
      </c>
      <c r="AP1482" s="28" t="s">
        <v>503</v>
      </c>
      <c r="AQ1482" s="28" t="s">
        <v>1032</v>
      </c>
      <c r="AR1482" s="28" t="s">
        <v>1036</v>
      </c>
      <c r="AS1482" s="28" t="s">
        <v>503</v>
      </c>
      <c r="AT1482" s="28" t="s">
        <v>161</v>
      </c>
      <c r="AU1482" s="28">
        <v>4</v>
      </c>
      <c r="AW1482" s="28" t="s">
        <v>142</v>
      </c>
      <c r="BB1482" s="28" t="s">
        <v>1028</v>
      </c>
      <c r="BM1482" s="401">
        <v>1.1000000000000001</v>
      </c>
      <c r="BN1482" s="401">
        <v>1.1299999999999999</v>
      </c>
      <c r="BR1482" s="401">
        <v>2.41</v>
      </c>
      <c r="BS1482" s="401">
        <v>2.39</v>
      </c>
      <c r="BV1482" s="28" t="s">
        <v>619</v>
      </c>
      <c r="BW1482" s="28">
        <v>2230</v>
      </c>
      <c r="BX1482" s="28">
        <v>2300</v>
      </c>
      <c r="CA1482" s="28" t="s">
        <v>235</v>
      </c>
      <c r="CB1482" s="28">
        <v>52.5</v>
      </c>
      <c r="CC1482" s="28">
        <v>58.3</v>
      </c>
      <c r="CG1482" s="28">
        <v>237</v>
      </c>
      <c r="CH1482" s="28">
        <v>145</v>
      </c>
      <c r="CL1482" s="28">
        <v>6.3</v>
      </c>
      <c r="CM1482" s="28">
        <v>6.8</v>
      </c>
      <c r="DF1482" s="28">
        <v>778</v>
      </c>
      <c r="DG1482" s="28">
        <v>766</v>
      </c>
      <c r="DJ1482" s="28" t="s">
        <v>1050</v>
      </c>
      <c r="EY1482" s="28">
        <v>28</v>
      </c>
      <c r="EZ1482" s="28">
        <v>28</v>
      </c>
      <c r="FC1482" s="28" t="s">
        <v>165</v>
      </c>
      <c r="GR1482" s="28">
        <v>1740</v>
      </c>
      <c r="GS1482" s="28">
        <v>1810</v>
      </c>
      <c r="GV1482" s="28" t="s">
        <v>433</v>
      </c>
      <c r="GW1482" s="28">
        <v>29.9</v>
      </c>
      <c r="GX1482" s="28">
        <v>31.2</v>
      </c>
      <c r="IA1482" s="28">
        <f t="shared" si="250"/>
        <v>2.4000000000000002E-3</v>
      </c>
      <c r="IB1482" s="28">
        <f>170*0.000012</f>
        <v>2.0400000000000001E-3</v>
      </c>
      <c r="IE1482" s="28" t="s">
        <v>1049</v>
      </c>
      <c r="IL1482" s="28">
        <v>99999</v>
      </c>
      <c r="IM1482" s="28">
        <v>99999</v>
      </c>
      <c r="IO1482" s="28" t="s">
        <v>435</v>
      </c>
    </row>
    <row r="1483" spans="1:249" s="28" customFormat="1" x14ac:dyDescent="0.25">
      <c r="A1483" s="28">
        <v>68</v>
      </c>
      <c r="B1483" s="28" t="s">
        <v>1021</v>
      </c>
      <c r="C1483" s="28" t="s">
        <v>1022</v>
      </c>
      <c r="D1483" s="28">
        <v>2011</v>
      </c>
      <c r="E1483" s="28">
        <v>1995</v>
      </c>
      <c r="F1483" s="28" t="s">
        <v>303</v>
      </c>
      <c r="G1483" s="28" t="s">
        <v>1024</v>
      </c>
      <c r="H1483" s="32" t="s">
        <v>2831</v>
      </c>
      <c r="I1483" s="28">
        <f t="shared" si="248"/>
        <v>43.3</v>
      </c>
      <c r="J1483" s="28">
        <f t="shared" si="249"/>
        <v>-89.35</v>
      </c>
      <c r="K1483" s="28">
        <v>317.10000000000002</v>
      </c>
      <c r="Q1483" s="46" t="s">
        <v>1729</v>
      </c>
      <c r="R1483" s="46" t="s">
        <v>1984</v>
      </c>
      <c r="S1483" s="46" t="s">
        <v>866</v>
      </c>
      <c r="T1483" s="46" t="s">
        <v>1023</v>
      </c>
      <c r="U1483" s="46" t="s">
        <v>1398</v>
      </c>
      <c r="V1483" s="46" t="s">
        <v>1729</v>
      </c>
      <c r="W1483" s="46" t="s">
        <v>1398</v>
      </c>
      <c r="X1483" s="46" t="s">
        <v>1383</v>
      </c>
      <c r="Z1483" s="326"/>
      <c r="AA1483" s="326"/>
      <c r="AB1483" s="28" t="s">
        <v>451</v>
      </c>
      <c r="AF1483" s="28" t="s">
        <v>1346</v>
      </c>
      <c r="AG1483" s="28" t="s">
        <v>115</v>
      </c>
      <c r="AH1483" s="138" t="s">
        <v>578</v>
      </c>
      <c r="AI1483" s="28" t="s">
        <v>133</v>
      </c>
      <c r="AJ1483" s="141" t="s">
        <v>1615</v>
      </c>
      <c r="AK1483" s="28" t="s">
        <v>133</v>
      </c>
      <c r="AL1483" s="28" t="s">
        <v>133</v>
      </c>
      <c r="AM1483" s="28" t="s">
        <v>178</v>
      </c>
      <c r="AN1483" s="28" t="s">
        <v>478</v>
      </c>
      <c r="AO1483" s="28" t="s">
        <v>1031</v>
      </c>
      <c r="AP1483" s="28" t="s">
        <v>503</v>
      </c>
      <c r="AQ1483" s="28" t="s">
        <v>1032</v>
      </c>
      <c r="AR1483" s="28" t="s">
        <v>1037</v>
      </c>
      <c r="AS1483" s="28" t="s">
        <v>503</v>
      </c>
      <c r="AT1483" s="28" t="s">
        <v>161</v>
      </c>
      <c r="AU1483" s="28">
        <v>4</v>
      </c>
      <c r="AW1483" s="28" t="s">
        <v>142</v>
      </c>
      <c r="BB1483" s="28" t="s">
        <v>1029</v>
      </c>
      <c r="BM1483" s="401">
        <v>1.1000000000000001</v>
      </c>
      <c r="BN1483" s="401">
        <v>1.32</v>
      </c>
      <c r="BR1483" s="401">
        <v>2.41</v>
      </c>
      <c r="BS1483" s="401">
        <v>2.39</v>
      </c>
      <c r="BV1483" s="28" t="s">
        <v>619</v>
      </c>
      <c r="BW1483" s="28">
        <v>2230</v>
      </c>
      <c r="BX1483" s="28">
        <v>2400</v>
      </c>
      <c r="CA1483" s="28" t="s">
        <v>235</v>
      </c>
      <c r="CB1483" s="28">
        <v>52.5</v>
      </c>
      <c r="CC1483" s="28">
        <v>56.3</v>
      </c>
      <c r="CG1483" s="28">
        <v>237</v>
      </c>
      <c r="CH1483" s="28">
        <v>173</v>
      </c>
      <c r="CL1483" s="28">
        <v>6.3</v>
      </c>
      <c r="CM1483" s="28">
        <v>6.7</v>
      </c>
      <c r="DF1483" s="28">
        <v>778</v>
      </c>
      <c r="DG1483" s="28">
        <v>829</v>
      </c>
      <c r="DJ1483" s="28" t="s">
        <v>1050</v>
      </c>
      <c r="EY1483" s="28">
        <v>28</v>
      </c>
      <c r="EZ1483" s="28">
        <v>26</v>
      </c>
      <c r="FC1483" s="28" t="s">
        <v>165</v>
      </c>
      <c r="GR1483" s="28">
        <v>1740</v>
      </c>
      <c r="GS1483" s="28">
        <v>1890</v>
      </c>
      <c r="GV1483" s="28" t="s">
        <v>433</v>
      </c>
      <c r="GW1483" s="28">
        <v>29.9</v>
      </c>
      <c r="GX1483" s="28">
        <v>37.9</v>
      </c>
      <c r="IA1483" s="28">
        <f t="shared" si="250"/>
        <v>2.4000000000000002E-3</v>
      </c>
      <c r="IB1483" s="28">
        <f>204*0.000012</f>
        <v>2.4480000000000001E-3</v>
      </c>
      <c r="IE1483" s="28" t="s">
        <v>1049</v>
      </c>
      <c r="IL1483" s="28">
        <v>99999</v>
      </c>
      <c r="IM1483" s="28">
        <v>99999</v>
      </c>
      <c r="IO1483" s="28" t="s">
        <v>435</v>
      </c>
    </row>
    <row r="1484" spans="1:249" s="28" customFormat="1" x14ac:dyDescent="0.25">
      <c r="A1484" s="28">
        <v>68</v>
      </c>
      <c r="B1484" s="28" t="s">
        <v>1021</v>
      </c>
      <c r="C1484" s="28" t="s">
        <v>1022</v>
      </c>
      <c r="D1484" s="28">
        <v>2011</v>
      </c>
      <c r="E1484" s="28">
        <v>1995</v>
      </c>
      <c r="F1484" s="28" t="s">
        <v>303</v>
      </c>
      <c r="G1484" s="28" t="s">
        <v>1024</v>
      </c>
      <c r="H1484" s="32" t="s">
        <v>2831</v>
      </c>
      <c r="I1484" s="28">
        <f t="shared" si="248"/>
        <v>43.3</v>
      </c>
      <c r="J1484" s="28">
        <f t="shared" si="249"/>
        <v>-89.35</v>
      </c>
      <c r="K1484" s="28">
        <v>317.10000000000002</v>
      </c>
      <c r="Q1484" s="46" t="s">
        <v>1729</v>
      </c>
      <c r="R1484" s="46" t="s">
        <v>1984</v>
      </c>
      <c r="S1484" s="46" t="s">
        <v>866</v>
      </c>
      <c r="T1484" s="46" t="s">
        <v>1023</v>
      </c>
      <c r="U1484" s="46" t="s">
        <v>1398</v>
      </c>
      <c r="V1484" s="46" t="s">
        <v>1729</v>
      </c>
      <c r="W1484" s="46" t="s">
        <v>1398</v>
      </c>
      <c r="X1484" s="46" t="s">
        <v>1383</v>
      </c>
      <c r="Z1484" s="326"/>
      <c r="AA1484" s="326"/>
      <c r="AB1484" s="28" t="s">
        <v>451</v>
      </c>
      <c r="AF1484" s="28" t="s">
        <v>1346</v>
      </c>
      <c r="AG1484" s="28" t="s">
        <v>636</v>
      </c>
      <c r="AH1484" s="138" t="s">
        <v>636</v>
      </c>
      <c r="AI1484" s="28" t="s">
        <v>133</v>
      </c>
      <c r="AJ1484" s="141" t="s">
        <v>1615</v>
      </c>
      <c r="AK1484" s="28" t="s">
        <v>133</v>
      </c>
      <c r="AL1484" s="28" t="s">
        <v>1611</v>
      </c>
      <c r="AM1484" s="28" t="s">
        <v>503</v>
      </c>
      <c r="AN1484" s="28" t="s">
        <v>478</v>
      </c>
      <c r="AO1484" s="28" t="s">
        <v>1031</v>
      </c>
      <c r="AP1484" s="28" t="s">
        <v>503</v>
      </c>
      <c r="AQ1484" s="28" t="s">
        <v>1032</v>
      </c>
      <c r="AR1484" s="28" t="s">
        <v>1038</v>
      </c>
      <c r="AS1484" s="28" t="s">
        <v>503</v>
      </c>
      <c r="AT1484" s="28" t="s">
        <v>161</v>
      </c>
      <c r="AU1484" s="28">
        <v>4</v>
      </c>
      <c r="AW1484" s="28" t="s">
        <v>142</v>
      </c>
      <c r="BB1484" s="28" t="s">
        <v>1030</v>
      </c>
      <c r="BM1484" s="401">
        <v>1.1000000000000001</v>
      </c>
      <c r="BN1484" s="401">
        <v>1.24</v>
      </c>
      <c r="BR1484" s="401">
        <v>2.41</v>
      </c>
      <c r="BS1484" s="401">
        <v>3.36</v>
      </c>
      <c r="BV1484" s="28" t="s">
        <v>619</v>
      </c>
      <c r="BW1484" s="28">
        <v>2230</v>
      </c>
      <c r="BX1484" s="28">
        <v>3360</v>
      </c>
      <c r="CA1484" s="28" t="s">
        <v>235</v>
      </c>
      <c r="CB1484" s="28">
        <v>52.5</v>
      </c>
      <c r="CC1484" s="28">
        <v>49.8</v>
      </c>
      <c r="CG1484" s="28">
        <v>237</v>
      </c>
      <c r="CH1484" s="28">
        <v>163</v>
      </c>
      <c r="CL1484" s="28">
        <v>6.3</v>
      </c>
      <c r="CM1484" s="28">
        <v>6.2</v>
      </c>
      <c r="DF1484" s="28">
        <v>778</v>
      </c>
      <c r="DG1484" s="28">
        <v>889</v>
      </c>
      <c r="DJ1484" s="28" t="s">
        <v>1050</v>
      </c>
      <c r="EY1484" s="28">
        <v>28</v>
      </c>
      <c r="EZ1484" s="28">
        <v>29</v>
      </c>
      <c r="FC1484" s="28" t="s">
        <v>165</v>
      </c>
      <c r="GR1484" s="28">
        <v>1740</v>
      </c>
      <c r="GS1484" s="28">
        <v>2350</v>
      </c>
      <c r="GV1484" s="28" t="s">
        <v>433</v>
      </c>
      <c r="GW1484" s="28">
        <v>29.9</v>
      </c>
      <c r="GX1484" s="28">
        <v>61.2</v>
      </c>
      <c r="IA1484" s="28">
        <f t="shared" si="250"/>
        <v>2.4000000000000002E-3</v>
      </c>
      <c r="IB1484" s="28">
        <f>523*0.000012</f>
        <v>6.2760000000000003E-3</v>
      </c>
      <c r="IE1484" s="28" t="s">
        <v>1049</v>
      </c>
      <c r="IL1484" s="28">
        <v>99999</v>
      </c>
      <c r="IM1484" s="28">
        <v>99999</v>
      </c>
      <c r="IO1484" s="28" t="s">
        <v>435</v>
      </c>
    </row>
    <row r="1485" spans="1:249" s="33" customFormat="1" x14ac:dyDescent="0.25">
      <c r="A1485" s="33">
        <v>68</v>
      </c>
      <c r="B1485" s="33" t="s">
        <v>1021</v>
      </c>
      <c r="C1485" s="33" t="s">
        <v>1022</v>
      </c>
      <c r="D1485" s="33">
        <v>2011</v>
      </c>
      <c r="E1485" s="33">
        <v>1995</v>
      </c>
      <c r="F1485" s="33" t="s">
        <v>303</v>
      </c>
      <c r="G1485" s="33" t="s">
        <v>1024</v>
      </c>
      <c r="H1485" s="32" t="s">
        <v>2831</v>
      </c>
      <c r="I1485" s="33">
        <f t="shared" si="248"/>
        <v>43.3</v>
      </c>
      <c r="J1485" s="33">
        <f t="shared" si="249"/>
        <v>-89.35</v>
      </c>
      <c r="K1485" s="33">
        <v>317.10000000000002</v>
      </c>
      <c r="Q1485" s="47" t="s">
        <v>1729</v>
      </c>
      <c r="R1485" s="47" t="s">
        <v>1984</v>
      </c>
      <c r="S1485" s="47" t="s">
        <v>866</v>
      </c>
      <c r="T1485" s="47" t="s">
        <v>1023</v>
      </c>
      <c r="U1485" s="47" t="s">
        <v>1398</v>
      </c>
      <c r="V1485" s="47" t="s">
        <v>1729</v>
      </c>
      <c r="W1485" s="47" t="s">
        <v>1398</v>
      </c>
      <c r="X1485" s="47" t="s">
        <v>1383</v>
      </c>
      <c r="Z1485" s="327"/>
      <c r="AA1485" s="327"/>
      <c r="AB1485" s="33" t="s">
        <v>451</v>
      </c>
      <c r="AF1485" s="33" t="s">
        <v>1346</v>
      </c>
      <c r="AG1485" s="33" t="s">
        <v>1531</v>
      </c>
      <c r="AH1485" s="138" t="s">
        <v>1585</v>
      </c>
      <c r="AI1485" s="33" t="s">
        <v>1593</v>
      </c>
      <c r="AJ1485" s="141" t="s">
        <v>1615</v>
      </c>
      <c r="AK1485" s="33" t="s">
        <v>686</v>
      </c>
      <c r="AL1485" s="33" t="s">
        <v>944</v>
      </c>
      <c r="AM1485" s="33" t="s">
        <v>178</v>
      </c>
      <c r="AN1485" s="33" t="s">
        <v>1048</v>
      </c>
      <c r="AO1485" s="33" t="s">
        <v>1031</v>
      </c>
      <c r="AP1485" s="33" t="s">
        <v>503</v>
      </c>
      <c r="AQ1485" s="33" t="s">
        <v>1047</v>
      </c>
      <c r="AR1485" s="33" t="s">
        <v>1033</v>
      </c>
      <c r="AS1485" s="33" t="s">
        <v>503</v>
      </c>
      <c r="AT1485" s="33" t="s">
        <v>161</v>
      </c>
      <c r="AU1485" s="33">
        <v>4</v>
      </c>
      <c r="AW1485" s="33" t="s">
        <v>142</v>
      </c>
      <c r="BB1485" s="33" t="s">
        <v>1041</v>
      </c>
      <c r="BM1485" s="402">
        <v>1.18</v>
      </c>
      <c r="BN1485" s="402">
        <v>1.07</v>
      </c>
      <c r="BR1485" s="402">
        <v>2.65</v>
      </c>
      <c r="BS1485" s="402">
        <v>2.19</v>
      </c>
      <c r="BV1485" s="33" t="s">
        <v>619</v>
      </c>
      <c r="BW1485" s="33">
        <v>2470</v>
      </c>
      <c r="BX1485" s="33">
        <v>2030</v>
      </c>
      <c r="CA1485" s="33" t="s">
        <v>235</v>
      </c>
      <c r="CB1485" s="33">
        <v>37</v>
      </c>
      <c r="CC1485" s="33">
        <v>45.3</v>
      </c>
      <c r="CG1485" s="33">
        <v>144</v>
      </c>
      <c r="CH1485" s="33">
        <v>148</v>
      </c>
      <c r="CL1485" s="33">
        <v>6.6</v>
      </c>
      <c r="CM1485" s="33">
        <v>6.7</v>
      </c>
      <c r="DF1485" s="33">
        <v>742</v>
      </c>
      <c r="DG1485" s="33">
        <v>665</v>
      </c>
      <c r="DJ1485" s="33" t="s">
        <v>1050</v>
      </c>
      <c r="EY1485" s="33">
        <v>29</v>
      </c>
      <c r="EZ1485" s="33">
        <v>28</v>
      </c>
      <c r="FC1485" s="33" t="s">
        <v>165</v>
      </c>
      <c r="GR1485" s="33">
        <v>1900</v>
      </c>
      <c r="GS1485" s="33">
        <v>1840</v>
      </c>
      <c r="GV1485" s="33" t="s">
        <v>433</v>
      </c>
      <c r="GW1485" s="33">
        <v>36.700000000000003</v>
      </c>
      <c r="GX1485" s="33">
        <v>31.5</v>
      </c>
      <c r="IA1485" s="33">
        <f>198*0.000012</f>
        <v>2.3760000000000001E-3</v>
      </c>
      <c r="IB1485" s="33">
        <f>161*0.000012</f>
        <v>1.9320000000000001E-3</v>
      </c>
      <c r="IE1485" s="33" t="s">
        <v>1040</v>
      </c>
      <c r="IL1485" s="28">
        <v>99999</v>
      </c>
      <c r="IM1485" s="28">
        <v>99999</v>
      </c>
      <c r="IN1485" s="28"/>
      <c r="IO1485" s="33" t="s">
        <v>435</v>
      </c>
    </row>
    <row r="1486" spans="1:249" s="33" customFormat="1" x14ac:dyDescent="0.25">
      <c r="A1486" s="33">
        <v>68</v>
      </c>
      <c r="B1486" s="33" t="s">
        <v>1021</v>
      </c>
      <c r="C1486" s="33" t="s">
        <v>1022</v>
      </c>
      <c r="D1486" s="33">
        <v>2011</v>
      </c>
      <c r="E1486" s="33">
        <v>1995</v>
      </c>
      <c r="F1486" s="33" t="s">
        <v>303</v>
      </c>
      <c r="G1486" s="33" t="s">
        <v>1024</v>
      </c>
      <c r="H1486" s="32" t="s">
        <v>2831</v>
      </c>
      <c r="I1486" s="33">
        <f t="shared" si="248"/>
        <v>43.3</v>
      </c>
      <c r="J1486" s="33">
        <f t="shared" si="249"/>
        <v>-89.35</v>
      </c>
      <c r="K1486" s="33">
        <v>317.10000000000002</v>
      </c>
      <c r="Q1486" s="47" t="s">
        <v>1729</v>
      </c>
      <c r="R1486" s="47" t="s">
        <v>1984</v>
      </c>
      <c r="S1486" s="47" t="s">
        <v>866</v>
      </c>
      <c r="T1486" s="47" t="s">
        <v>1023</v>
      </c>
      <c r="U1486" s="47" t="s">
        <v>1398</v>
      </c>
      <c r="V1486" s="47" t="s">
        <v>1729</v>
      </c>
      <c r="W1486" s="47" t="s">
        <v>1398</v>
      </c>
      <c r="X1486" s="47" t="s">
        <v>1383</v>
      </c>
      <c r="Z1486" s="327"/>
      <c r="AA1486" s="327"/>
      <c r="AB1486" s="33" t="s">
        <v>451</v>
      </c>
      <c r="AF1486" s="33" t="s">
        <v>1346</v>
      </c>
      <c r="AG1486" s="33" t="s">
        <v>115</v>
      </c>
      <c r="AH1486" s="138" t="s">
        <v>578</v>
      </c>
      <c r="AI1486" s="33" t="s">
        <v>1593</v>
      </c>
      <c r="AJ1486" s="141" t="s">
        <v>1615</v>
      </c>
      <c r="AK1486" s="33" t="s">
        <v>686</v>
      </c>
      <c r="AL1486" s="33" t="s">
        <v>133</v>
      </c>
      <c r="AM1486" s="33" t="s">
        <v>503</v>
      </c>
      <c r="AN1486" s="33" t="s">
        <v>1048</v>
      </c>
      <c r="AO1486" s="33" t="s">
        <v>1031</v>
      </c>
      <c r="AP1486" s="33" t="s">
        <v>503</v>
      </c>
      <c r="AQ1486" s="33" t="s">
        <v>1047</v>
      </c>
      <c r="AR1486" s="33" t="s">
        <v>1034</v>
      </c>
      <c r="AS1486" s="33" t="s">
        <v>503</v>
      </c>
      <c r="AT1486" s="33" t="s">
        <v>161</v>
      </c>
      <c r="AU1486" s="33">
        <v>4</v>
      </c>
      <c r="AW1486" s="33" t="s">
        <v>142</v>
      </c>
      <c r="BB1486" s="33" t="s">
        <v>1042</v>
      </c>
      <c r="BM1486" s="402">
        <v>1.18</v>
      </c>
      <c r="BN1486" s="402">
        <v>1.32</v>
      </c>
      <c r="BR1486" s="402">
        <v>2.65</v>
      </c>
      <c r="BS1486" s="402">
        <v>2.5</v>
      </c>
      <c r="BV1486" s="33" t="s">
        <v>619</v>
      </c>
      <c r="BW1486" s="33">
        <v>2470</v>
      </c>
      <c r="BX1486" s="33">
        <v>2430</v>
      </c>
      <c r="CA1486" s="33" t="s">
        <v>235</v>
      </c>
      <c r="CB1486" s="33">
        <v>37</v>
      </c>
      <c r="CC1486" s="33">
        <v>61.5</v>
      </c>
      <c r="CG1486" s="33">
        <v>144</v>
      </c>
      <c r="CH1486" s="33">
        <v>135</v>
      </c>
      <c r="CL1486" s="33">
        <v>6.6</v>
      </c>
      <c r="CM1486" s="33">
        <v>6.9</v>
      </c>
      <c r="DF1486" s="33">
        <v>742</v>
      </c>
      <c r="DG1486" s="33">
        <v>817</v>
      </c>
      <c r="DJ1486" s="33" t="s">
        <v>1050</v>
      </c>
      <c r="EY1486" s="33">
        <v>29</v>
      </c>
      <c r="EZ1486" s="33">
        <v>28</v>
      </c>
      <c r="FC1486" s="33" t="s">
        <v>165</v>
      </c>
      <c r="GR1486" s="33">
        <v>1900</v>
      </c>
      <c r="GS1486" s="33">
        <v>1880</v>
      </c>
      <c r="GV1486" s="33" t="s">
        <v>433</v>
      </c>
      <c r="GW1486" s="33">
        <v>36.700000000000003</v>
      </c>
      <c r="GX1486" s="33">
        <v>37.4</v>
      </c>
      <c r="IA1486" s="33">
        <f t="shared" ref="IA1486:IA1490" si="251">198*0.000012</f>
        <v>2.3760000000000001E-3</v>
      </c>
      <c r="IB1486" s="33">
        <f>250*0.000012</f>
        <v>3.0000000000000001E-3</v>
      </c>
      <c r="IE1486" s="33" t="s">
        <v>1040</v>
      </c>
      <c r="IL1486" s="28">
        <v>99999</v>
      </c>
      <c r="IM1486" s="28">
        <v>99999</v>
      </c>
      <c r="IN1486" s="28"/>
      <c r="IO1486" s="33" t="s">
        <v>435</v>
      </c>
    </row>
    <row r="1487" spans="1:249" s="33" customFormat="1" x14ac:dyDescent="0.25">
      <c r="A1487" s="33">
        <v>68</v>
      </c>
      <c r="B1487" s="33" t="s">
        <v>1021</v>
      </c>
      <c r="C1487" s="33" t="s">
        <v>1022</v>
      </c>
      <c r="D1487" s="33">
        <v>2011</v>
      </c>
      <c r="E1487" s="33">
        <v>1995</v>
      </c>
      <c r="F1487" s="33" t="s">
        <v>303</v>
      </c>
      <c r="G1487" s="33" t="s">
        <v>1024</v>
      </c>
      <c r="H1487" s="32" t="s">
        <v>2831</v>
      </c>
      <c r="I1487" s="33">
        <f t="shared" si="248"/>
        <v>43.3</v>
      </c>
      <c r="J1487" s="33">
        <f t="shared" si="249"/>
        <v>-89.35</v>
      </c>
      <c r="K1487" s="33">
        <v>317.10000000000002</v>
      </c>
      <c r="Q1487" s="47" t="s">
        <v>1729</v>
      </c>
      <c r="R1487" s="47" t="s">
        <v>1984</v>
      </c>
      <c r="S1487" s="47" t="s">
        <v>866</v>
      </c>
      <c r="T1487" s="47" t="s">
        <v>1023</v>
      </c>
      <c r="U1487" s="47" t="s">
        <v>1398</v>
      </c>
      <c r="V1487" s="47" t="s">
        <v>1729</v>
      </c>
      <c r="W1487" s="47" t="s">
        <v>1398</v>
      </c>
      <c r="X1487" s="47" t="s">
        <v>1383</v>
      </c>
      <c r="Z1487" s="327"/>
      <c r="AA1487" s="327"/>
      <c r="AB1487" s="33" t="s">
        <v>451</v>
      </c>
      <c r="AF1487" s="33" t="s">
        <v>1346</v>
      </c>
      <c r="AG1487" s="33" t="s">
        <v>115</v>
      </c>
      <c r="AH1487" s="138" t="s">
        <v>578</v>
      </c>
      <c r="AI1487" s="33" t="s">
        <v>1593</v>
      </c>
      <c r="AJ1487" s="141" t="s">
        <v>1615</v>
      </c>
      <c r="AK1487" s="33" t="s">
        <v>686</v>
      </c>
      <c r="AL1487" s="33" t="s">
        <v>133</v>
      </c>
      <c r="AM1487" s="33" t="s">
        <v>503</v>
      </c>
      <c r="AN1487" s="33" t="s">
        <v>1048</v>
      </c>
      <c r="AO1487" s="33" t="s">
        <v>1031</v>
      </c>
      <c r="AP1487" s="33" t="s">
        <v>503</v>
      </c>
      <c r="AQ1487" s="33" t="s">
        <v>1047</v>
      </c>
      <c r="AR1487" s="33" t="s">
        <v>1035</v>
      </c>
      <c r="AS1487" s="33" t="s">
        <v>503</v>
      </c>
      <c r="AT1487" s="33" t="s">
        <v>161</v>
      </c>
      <c r="AU1487" s="33">
        <v>4</v>
      </c>
      <c r="AW1487" s="33" t="s">
        <v>142</v>
      </c>
      <c r="BB1487" s="33" t="s">
        <v>1043</v>
      </c>
      <c r="BM1487" s="402">
        <v>1.18</v>
      </c>
      <c r="BN1487" s="402">
        <v>1.37</v>
      </c>
      <c r="BR1487" s="402">
        <v>2.65</v>
      </c>
      <c r="BS1487" s="402">
        <v>2.59</v>
      </c>
      <c r="BV1487" s="33" t="s">
        <v>619</v>
      </c>
      <c r="BW1487" s="33">
        <v>2470</v>
      </c>
      <c r="BX1487" s="33">
        <v>2680</v>
      </c>
      <c r="CA1487" s="33" t="s">
        <v>235</v>
      </c>
      <c r="CB1487" s="33">
        <v>37</v>
      </c>
      <c r="CC1487" s="33">
        <v>72.8</v>
      </c>
      <c r="CG1487" s="33">
        <v>144</v>
      </c>
      <c r="CH1487" s="33">
        <v>231</v>
      </c>
      <c r="CL1487" s="33">
        <v>6.6</v>
      </c>
      <c r="CM1487" s="33">
        <v>6.6</v>
      </c>
      <c r="DF1487" s="33">
        <v>742</v>
      </c>
      <c r="DG1487" s="33">
        <v>801</v>
      </c>
      <c r="DJ1487" s="33" t="s">
        <v>1050</v>
      </c>
      <c r="EY1487" s="33">
        <v>29</v>
      </c>
      <c r="EZ1487" s="33">
        <v>23</v>
      </c>
      <c r="FC1487" s="33" t="s">
        <v>165</v>
      </c>
      <c r="GR1487" s="33">
        <v>1900</v>
      </c>
      <c r="GS1487" s="33">
        <v>1900</v>
      </c>
      <c r="GV1487" s="33" t="s">
        <v>433</v>
      </c>
      <c r="GW1487" s="33">
        <v>36.700000000000003</v>
      </c>
      <c r="GX1487" s="33">
        <v>36.799999999999997</v>
      </c>
      <c r="IA1487" s="33">
        <f t="shared" si="251"/>
        <v>2.3760000000000001E-3</v>
      </c>
      <c r="IB1487" s="33">
        <f>181*0.000012</f>
        <v>2.1719999999999999E-3</v>
      </c>
      <c r="IE1487" s="33" t="s">
        <v>1049</v>
      </c>
      <c r="IL1487" s="28">
        <v>99999</v>
      </c>
      <c r="IM1487" s="28">
        <v>99999</v>
      </c>
      <c r="IN1487" s="28"/>
      <c r="IO1487" s="33" t="s">
        <v>435</v>
      </c>
    </row>
    <row r="1488" spans="1:249" s="33" customFormat="1" x14ac:dyDescent="0.25">
      <c r="A1488" s="33">
        <v>68</v>
      </c>
      <c r="B1488" s="33" t="s">
        <v>1021</v>
      </c>
      <c r="C1488" s="33" t="s">
        <v>1022</v>
      </c>
      <c r="D1488" s="33">
        <v>2011</v>
      </c>
      <c r="E1488" s="33">
        <v>1995</v>
      </c>
      <c r="F1488" s="33" t="s">
        <v>303</v>
      </c>
      <c r="G1488" s="33" t="s">
        <v>1024</v>
      </c>
      <c r="H1488" s="32" t="s">
        <v>2831</v>
      </c>
      <c r="I1488" s="33">
        <f t="shared" si="248"/>
        <v>43.3</v>
      </c>
      <c r="J1488" s="33">
        <f t="shared" si="249"/>
        <v>-89.35</v>
      </c>
      <c r="K1488" s="33">
        <v>317.10000000000002</v>
      </c>
      <c r="Q1488" s="47" t="s">
        <v>1729</v>
      </c>
      <c r="R1488" s="47" t="s">
        <v>1984</v>
      </c>
      <c r="S1488" s="47" t="s">
        <v>866</v>
      </c>
      <c r="T1488" s="47" t="s">
        <v>1023</v>
      </c>
      <c r="U1488" s="47" t="s">
        <v>1398</v>
      </c>
      <c r="V1488" s="47" t="s">
        <v>1729</v>
      </c>
      <c r="W1488" s="47" t="s">
        <v>1398</v>
      </c>
      <c r="X1488" s="47" t="s">
        <v>1383</v>
      </c>
      <c r="Z1488" s="327"/>
      <c r="AA1488" s="327"/>
      <c r="AB1488" s="33" t="s">
        <v>451</v>
      </c>
      <c r="AF1488" s="33" t="s">
        <v>1346</v>
      </c>
      <c r="AG1488" s="33" t="s">
        <v>115</v>
      </c>
      <c r="AH1488" s="138" t="s">
        <v>578</v>
      </c>
      <c r="AI1488" s="33" t="s">
        <v>1593</v>
      </c>
      <c r="AJ1488" s="141" t="s">
        <v>1615</v>
      </c>
      <c r="AK1488" s="33" t="s">
        <v>686</v>
      </c>
      <c r="AL1488" s="33" t="s">
        <v>133</v>
      </c>
      <c r="AM1488" s="33" t="s">
        <v>503</v>
      </c>
      <c r="AN1488" s="33" t="s">
        <v>1048</v>
      </c>
      <c r="AO1488" s="33" t="s">
        <v>1031</v>
      </c>
      <c r="AP1488" s="33" t="s">
        <v>503</v>
      </c>
      <c r="AQ1488" s="33" t="s">
        <v>1047</v>
      </c>
      <c r="AR1488" s="33" t="s">
        <v>1036</v>
      </c>
      <c r="AS1488" s="33" t="s">
        <v>503</v>
      </c>
      <c r="AT1488" s="33" t="s">
        <v>161</v>
      </c>
      <c r="AU1488" s="33">
        <v>4</v>
      </c>
      <c r="AW1488" s="33" t="s">
        <v>142</v>
      </c>
      <c r="BB1488" s="33" t="s">
        <v>1044</v>
      </c>
      <c r="BM1488" s="402">
        <v>1.18</v>
      </c>
      <c r="BN1488" s="402">
        <v>1.1299999999999999</v>
      </c>
      <c r="BR1488" s="402">
        <v>2.65</v>
      </c>
      <c r="BS1488" s="402">
        <v>2.39</v>
      </c>
      <c r="BV1488" s="33" t="s">
        <v>619</v>
      </c>
      <c r="BW1488" s="33">
        <v>2470</v>
      </c>
      <c r="BX1488" s="33">
        <v>2300</v>
      </c>
      <c r="CA1488" s="33" t="s">
        <v>235</v>
      </c>
      <c r="CB1488" s="33">
        <v>37</v>
      </c>
      <c r="CC1488" s="33">
        <v>58.3</v>
      </c>
      <c r="CG1488" s="33">
        <v>144</v>
      </c>
      <c r="CH1488" s="33">
        <v>145</v>
      </c>
      <c r="CL1488" s="33">
        <v>6.6</v>
      </c>
      <c r="CM1488" s="33">
        <v>6.8</v>
      </c>
      <c r="DF1488" s="33">
        <v>742</v>
      </c>
      <c r="DG1488" s="33">
        <v>766</v>
      </c>
      <c r="DJ1488" s="33" t="s">
        <v>1050</v>
      </c>
      <c r="EY1488" s="33">
        <v>29</v>
      </c>
      <c r="EZ1488" s="33">
        <v>28</v>
      </c>
      <c r="FC1488" s="33" t="s">
        <v>165</v>
      </c>
      <c r="GR1488" s="33">
        <v>1900</v>
      </c>
      <c r="GS1488" s="33">
        <v>1810</v>
      </c>
      <c r="GV1488" s="33" t="s">
        <v>433</v>
      </c>
      <c r="GW1488" s="33">
        <v>36.700000000000003</v>
      </c>
      <c r="GX1488" s="33">
        <v>31.2</v>
      </c>
      <c r="IA1488" s="33">
        <f t="shared" si="251"/>
        <v>2.3760000000000001E-3</v>
      </c>
      <c r="IB1488" s="33">
        <f>170*0.000012</f>
        <v>2.0400000000000001E-3</v>
      </c>
      <c r="IE1488" s="33" t="s">
        <v>1049</v>
      </c>
      <c r="IL1488" s="28">
        <v>99999</v>
      </c>
      <c r="IM1488" s="28">
        <v>99999</v>
      </c>
      <c r="IN1488" s="28"/>
      <c r="IO1488" s="33" t="s">
        <v>435</v>
      </c>
    </row>
    <row r="1489" spans="1:249" s="33" customFormat="1" x14ac:dyDescent="0.25">
      <c r="A1489" s="33">
        <v>68</v>
      </c>
      <c r="B1489" s="33" t="s">
        <v>1021</v>
      </c>
      <c r="C1489" s="33" t="s">
        <v>1022</v>
      </c>
      <c r="D1489" s="33">
        <v>2011</v>
      </c>
      <c r="E1489" s="33">
        <v>1995</v>
      </c>
      <c r="F1489" s="33" t="s">
        <v>303</v>
      </c>
      <c r="G1489" s="33" t="s">
        <v>1024</v>
      </c>
      <c r="H1489" s="32" t="s">
        <v>2831</v>
      </c>
      <c r="I1489" s="33">
        <f t="shared" si="248"/>
        <v>43.3</v>
      </c>
      <c r="J1489" s="33">
        <f t="shared" si="249"/>
        <v>-89.35</v>
      </c>
      <c r="K1489" s="33">
        <v>317.10000000000002</v>
      </c>
      <c r="Q1489" s="47" t="s">
        <v>1729</v>
      </c>
      <c r="R1489" s="47" t="s">
        <v>1984</v>
      </c>
      <c r="S1489" s="47" t="s">
        <v>866</v>
      </c>
      <c r="T1489" s="47" t="s">
        <v>1023</v>
      </c>
      <c r="U1489" s="47" t="s">
        <v>1398</v>
      </c>
      <c r="V1489" s="47" t="s">
        <v>1729</v>
      </c>
      <c r="W1489" s="47" t="s">
        <v>1398</v>
      </c>
      <c r="X1489" s="47" t="s">
        <v>1383</v>
      </c>
      <c r="Z1489" s="327"/>
      <c r="AA1489" s="327"/>
      <c r="AB1489" s="33" t="s">
        <v>451</v>
      </c>
      <c r="AF1489" s="33" t="s">
        <v>1346</v>
      </c>
      <c r="AG1489" s="33" t="s">
        <v>115</v>
      </c>
      <c r="AH1489" s="138" t="s">
        <v>578</v>
      </c>
      <c r="AI1489" s="33" t="s">
        <v>1593</v>
      </c>
      <c r="AJ1489" s="141" t="s">
        <v>1615</v>
      </c>
      <c r="AK1489" s="33" t="s">
        <v>686</v>
      </c>
      <c r="AL1489" s="33" t="s">
        <v>133</v>
      </c>
      <c r="AM1489" s="33" t="s">
        <v>503</v>
      </c>
      <c r="AN1489" s="33" t="s">
        <v>1048</v>
      </c>
      <c r="AO1489" s="33" t="s">
        <v>1031</v>
      </c>
      <c r="AP1489" s="33" t="s">
        <v>503</v>
      </c>
      <c r="AQ1489" s="33" t="s">
        <v>1047</v>
      </c>
      <c r="AR1489" s="33" t="s">
        <v>1037</v>
      </c>
      <c r="AS1489" s="33" t="s">
        <v>503</v>
      </c>
      <c r="AT1489" s="33" t="s">
        <v>161</v>
      </c>
      <c r="AU1489" s="33">
        <v>4</v>
      </c>
      <c r="AW1489" s="33" t="s">
        <v>142</v>
      </c>
      <c r="BB1489" s="33" t="s">
        <v>1045</v>
      </c>
      <c r="BM1489" s="402">
        <v>1.18</v>
      </c>
      <c r="BN1489" s="402">
        <v>1.32</v>
      </c>
      <c r="BR1489" s="402">
        <v>2.65</v>
      </c>
      <c r="BS1489" s="402">
        <v>2.39</v>
      </c>
      <c r="BV1489" s="33" t="s">
        <v>619</v>
      </c>
      <c r="BW1489" s="33">
        <v>2470</v>
      </c>
      <c r="BX1489" s="33">
        <v>2400</v>
      </c>
      <c r="CA1489" s="33" t="s">
        <v>235</v>
      </c>
      <c r="CB1489" s="33">
        <v>37</v>
      </c>
      <c r="CC1489" s="33">
        <v>56.3</v>
      </c>
      <c r="CG1489" s="33">
        <v>144</v>
      </c>
      <c r="CH1489" s="33">
        <v>173</v>
      </c>
      <c r="CL1489" s="33">
        <v>6.6</v>
      </c>
      <c r="CM1489" s="33">
        <v>6.7</v>
      </c>
      <c r="DF1489" s="33">
        <v>742</v>
      </c>
      <c r="DG1489" s="33">
        <v>829</v>
      </c>
      <c r="DJ1489" s="33" t="s">
        <v>1050</v>
      </c>
      <c r="EY1489" s="33">
        <v>29</v>
      </c>
      <c r="EZ1489" s="33">
        <v>26</v>
      </c>
      <c r="FC1489" s="33" t="s">
        <v>165</v>
      </c>
      <c r="GR1489" s="33">
        <v>1900</v>
      </c>
      <c r="GS1489" s="33">
        <v>1890</v>
      </c>
      <c r="GV1489" s="33" t="s">
        <v>433</v>
      </c>
      <c r="GW1489" s="33">
        <v>36.700000000000003</v>
      </c>
      <c r="GX1489" s="33">
        <v>37.9</v>
      </c>
      <c r="IA1489" s="33">
        <f t="shared" si="251"/>
        <v>2.3760000000000001E-3</v>
      </c>
      <c r="IB1489" s="33">
        <f>204*0.000012</f>
        <v>2.4480000000000001E-3</v>
      </c>
      <c r="IE1489" s="33" t="s">
        <v>1049</v>
      </c>
      <c r="IL1489" s="28">
        <v>99999</v>
      </c>
      <c r="IM1489" s="28">
        <v>99999</v>
      </c>
      <c r="IN1489" s="28"/>
      <c r="IO1489" s="33" t="s">
        <v>435</v>
      </c>
    </row>
    <row r="1490" spans="1:249" s="33" customFormat="1" x14ac:dyDescent="0.25">
      <c r="A1490" s="33">
        <v>68</v>
      </c>
      <c r="B1490" s="33" t="s">
        <v>1021</v>
      </c>
      <c r="C1490" s="33" t="s">
        <v>1022</v>
      </c>
      <c r="D1490" s="33">
        <v>2011</v>
      </c>
      <c r="E1490" s="33">
        <v>1995</v>
      </c>
      <c r="F1490" s="33" t="s">
        <v>303</v>
      </c>
      <c r="G1490" s="33" t="s">
        <v>1024</v>
      </c>
      <c r="H1490" s="32" t="s">
        <v>2831</v>
      </c>
      <c r="I1490" s="33">
        <f t="shared" si="248"/>
        <v>43.3</v>
      </c>
      <c r="J1490" s="33">
        <f t="shared" si="249"/>
        <v>-89.35</v>
      </c>
      <c r="K1490" s="33">
        <v>317.10000000000002</v>
      </c>
      <c r="Q1490" s="47" t="s">
        <v>1729</v>
      </c>
      <c r="R1490" s="47" t="s">
        <v>1984</v>
      </c>
      <c r="S1490" s="47" t="s">
        <v>866</v>
      </c>
      <c r="T1490" s="47" t="s">
        <v>1023</v>
      </c>
      <c r="U1490" s="47" t="s">
        <v>1398</v>
      </c>
      <c r="V1490" s="47" t="s">
        <v>1729</v>
      </c>
      <c r="W1490" s="47" t="s">
        <v>1398</v>
      </c>
      <c r="X1490" s="47" t="s">
        <v>1383</v>
      </c>
      <c r="Z1490" s="327"/>
      <c r="AA1490" s="327"/>
      <c r="AB1490" s="33" t="s">
        <v>451</v>
      </c>
      <c r="AF1490" s="33" t="s">
        <v>1346</v>
      </c>
      <c r="AG1490" s="33" t="s">
        <v>636</v>
      </c>
      <c r="AH1490" s="138" t="s">
        <v>636</v>
      </c>
      <c r="AI1490" s="33" t="s">
        <v>1593</v>
      </c>
      <c r="AJ1490" s="141" t="s">
        <v>1615</v>
      </c>
      <c r="AK1490" s="33" t="s">
        <v>686</v>
      </c>
      <c r="AL1490" s="33" t="s">
        <v>1611</v>
      </c>
      <c r="AM1490" s="33" t="s">
        <v>503</v>
      </c>
      <c r="AN1490" s="33" t="s">
        <v>1048</v>
      </c>
      <c r="AO1490" s="33" t="s">
        <v>1031</v>
      </c>
      <c r="AP1490" s="33" t="s">
        <v>503</v>
      </c>
      <c r="AQ1490" s="33" t="s">
        <v>1047</v>
      </c>
      <c r="AR1490" s="33" t="s">
        <v>1038</v>
      </c>
      <c r="AS1490" s="33" t="s">
        <v>503</v>
      </c>
      <c r="AT1490" s="33" t="s">
        <v>161</v>
      </c>
      <c r="AU1490" s="33">
        <v>4</v>
      </c>
      <c r="AW1490" s="33" t="s">
        <v>142</v>
      </c>
      <c r="BB1490" s="33" t="s">
        <v>1046</v>
      </c>
      <c r="BM1490" s="402">
        <v>1.18</v>
      </c>
      <c r="BN1490" s="402">
        <v>1.24</v>
      </c>
      <c r="BR1490" s="402">
        <v>2.65</v>
      </c>
      <c r="BS1490" s="402">
        <v>3.36</v>
      </c>
      <c r="BV1490" s="33" t="s">
        <v>619</v>
      </c>
      <c r="BW1490" s="33">
        <v>2470</v>
      </c>
      <c r="BX1490" s="33">
        <v>3360</v>
      </c>
      <c r="CA1490" s="33" t="s">
        <v>235</v>
      </c>
      <c r="CB1490" s="33">
        <v>37</v>
      </c>
      <c r="CC1490" s="33">
        <v>49.8</v>
      </c>
      <c r="CG1490" s="33">
        <v>144</v>
      </c>
      <c r="CH1490" s="33">
        <v>163</v>
      </c>
      <c r="CL1490" s="33">
        <v>6.6</v>
      </c>
      <c r="CM1490" s="33">
        <v>6.2</v>
      </c>
      <c r="DF1490" s="33">
        <v>742</v>
      </c>
      <c r="DG1490" s="33">
        <v>889</v>
      </c>
      <c r="DJ1490" s="33" t="s">
        <v>1050</v>
      </c>
      <c r="EY1490" s="33">
        <v>29</v>
      </c>
      <c r="EZ1490" s="33">
        <v>29</v>
      </c>
      <c r="FC1490" s="33" t="s">
        <v>165</v>
      </c>
      <c r="GR1490" s="33">
        <v>1900</v>
      </c>
      <c r="GS1490" s="33">
        <v>2350</v>
      </c>
      <c r="GV1490" s="33" t="s">
        <v>433</v>
      </c>
      <c r="GW1490" s="33">
        <v>36.700000000000003</v>
      </c>
      <c r="GX1490" s="33">
        <v>61.2</v>
      </c>
      <c r="IA1490" s="33">
        <f t="shared" si="251"/>
        <v>2.3760000000000001E-3</v>
      </c>
      <c r="IB1490" s="33">
        <f>523*0.000012</f>
        <v>6.2760000000000003E-3</v>
      </c>
      <c r="IE1490" s="33" t="s">
        <v>1049</v>
      </c>
      <c r="IL1490" s="28">
        <v>99999</v>
      </c>
      <c r="IM1490" s="28">
        <v>99999</v>
      </c>
      <c r="IN1490" s="28"/>
      <c r="IO1490" s="33" t="s">
        <v>435</v>
      </c>
    </row>
    <row r="1491" spans="1:249" s="97" customFormat="1" x14ac:dyDescent="0.25">
      <c r="A1491" s="97">
        <v>68</v>
      </c>
      <c r="B1491" s="97" t="s">
        <v>1021</v>
      </c>
      <c r="C1491" s="97" t="s">
        <v>1022</v>
      </c>
      <c r="D1491" s="97">
        <v>2011</v>
      </c>
      <c r="E1491" s="97">
        <v>1995</v>
      </c>
      <c r="F1491" s="97" t="s">
        <v>303</v>
      </c>
      <c r="G1491" s="97" t="s">
        <v>1024</v>
      </c>
      <c r="H1491" s="32" t="s">
        <v>2831</v>
      </c>
      <c r="I1491" s="97">
        <f t="shared" si="248"/>
        <v>43.3</v>
      </c>
      <c r="J1491" s="97">
        <f t="shared" si="249"/>
        <v>-89.35</v>
      </c>
      <c r="K1491" s="97">
        <v>317.10000000000002</v>
      </c>
      <c r="Q1491" s="98" t="s">
        <v>1729</v>
      </c>
      <c r="R1491" s="46" t="s">
        <v>1984</v>
      </c>
      <c r="S1491" s="98" t="s">
        <v>866</v>
      </c>
      <c r="T1491" s="98" t="s">
        <v>1023</v>
      </c>
      <c r="U1491" s="98" t="s">
        <v>1418</v>
      </c>
      <c r="V1491" s="46" t="s">
        <v>1724</v>
      </c>
      <c r="W1491" s="46" t="s">
        <v>1398</v>
      </c>
      <c r="X1491" s="46" t="s">
        <v>1383</v>
      </c>
      <c r="Z1491" s="350"/>
      <c r="AA1491" s="350"/>
      <c r="AB1491" s="97" t="s">
        <v>451</v>
      </c>
      <c r="AF1491" s="28" t="s">
        <v>1346</v>
      </c>
      <c r="AG1491" s="97" t="s">
        <v>1531</v>
      </c>
      <c r="AH1491" s="138" t="s">
        <v>1585</v>
      </c>
      <c r="AI1491" s="97" t="s">
        <v>133</v>
      </c>
      <c r="AJ1491" s="145" t="s">
        <v>1615</v>
      </c>
      <c r="AK1491" s="97" t="s">
        <v>133</v>
      </c>
      <c r="AL1491" s="97" t="s">
        <v>944</v>
      </c>
      <c r="AM1491" s="97" t="s">
        <v>503</v>
      </c>
      <c r="AN1491" s="97" t="s">
        <v>478</v>
      </c>
      <c r="AO1491" s="97" t="s">
        <v>1031</v>
      </c>
      <c r="AP1491" s="97" t="s">
        <v>503</v>
      </c>
      <c r="AQ1491" s="97" t="s">
        <v>1032</v>
      </c>
      <c r="AR1491" s="97" t="s">
        <v>1033</v>
      </c>
      <c r="AS1491" s="97" t="s">
        <v>503</v>
      </c>
      <c r="AT1491" s="97" t="s">
        <v>161</v>
      </c>
      <c r="AU1491" s="97">
        <v>4</v>
      </c>
      <c r="AW1491" s="97" t="s">
        <v>142</v>
      </c>
      <c r="BB1491" s="97" t="s">
        <v>1025</v>
      </c>
      <c r="BM1491" s="425">
        <v>1.41</v>
      </c>
      <c r="BN1491" s="425">
        <v>1.47</v>
      </c>
      <c r="BR1491" s="425">
        <v>2.1800000000000002</v>
      </c>
      <c r="BS1491" s="425">
        <v>2.08</v>
      </c>
      <c r="BV1491" s="97" t="s">
        <v>619</v>
      </c>
      <c r="BW1491" s="97">
        <v>2100</v>
      </c>
      <c r="BX1491" s="97">
        <v>2100</v>
      </c>
      <c r="CA1491" s="97" t="s">
        <v>235</v>
      </c>
      <c r="CB1491" s="97">
        <v>42</v>
      </c>
      <c r="CC1491" s="97">
        <v>31.8</v>
      </c>
      <c r="CG1491" s="97">
        <v>134</v>
      </c>
      <c r="CH1491" s="97">
        <v>89</v>
      </c>
      <c r="CL1491" s="97">
        <v>6.4</v>
      </c>
      <c r="CM1491" s="97">
        <v>6.6</v>
      </c>
      <c r="DF1491" s="97">
        <v>809</v>
      </c>
      <c r="DG1491" s="97">
        <v>861</v>
      </c>
      <c r="DJ1491" s="97" t="s">
        <v>1050</v>
      </c>
      <c r="EY1491" s="97">
        <v>27</v>
      </c>
      <c r="EZ1491" s="97">
        <v>26</v>
      </c>
      <c r="FC1491" s="97" t="s">
        <v>165</v>
      </c>
      <c r="GR1491" s="97">
        <v>1600</v>
      </c>
      <c r="GS1491" s="97">
        <v>1670</v>
      </c>
      <c r="GV1491" s="97" t="s">
        <v>433</v>
      </c>
      <c r="GW1491" s="97">
        <v>21.4</v>
      </c>
      <c r="GX1491" s="97">
        <v>22.3</v>
      </c>
      <c r="IA1491" s="97">
        <f>169*0.000012</f>
        <v>2.0279999999999999E-3</v>
      </c>
      <c r="IB1491" s="97">
        <f>150*0.000012</f>
        <v>1.8E-3</v>
      </c>
      <c r="IE1491" s="97" t="s">
        <v>1040</v>
      </c>
      <c r="IL1491" s="28">
        <v>99999</v>
      </c>
      <c r="IM1491" s="28">
        <v>99999</v>
      </c>
      <c r="IN1491" s="28"/>
      <c r="IO1491" s="28" t="s">
        <v>435</v>
      </c>
    </row>
    <row r="1492" spans="1:249" s="97" customFormat="1" x14ac:dyDescent="0.25">
      <c r="A1492" s="97">
        <v>68</v>
      </c>
      <c r="B1492" s="97" t="s">
        <v>1021</v>
      </c>
      <c r="C1492" s="97" t="s">
        <v>1022</v>
      </c>
      <c r="D1492" s="97">
        <v>2011</v>
      </c>
      <c r="E1492" s="97">
        <v>1995</v>
      </c>
      <c r="F1492" s="97" t="s">
        <v>303</v>
      </c>
      <c r="G1492" s="97" t="s">
        <v>1024</v>
      </c>
      <c r="H1492" s="32" t="s">
        <v>2831</v>
      </c>
      <c r="I1492" s="97">
        <f t="shared" si="248"/>
        <v>43.3</v>
      </c>
      <c r="J1492" s="97">
        <f t="shared" si="249"/>
        <v>-89.35</v>
      </c>
      <c r="K1492" s="97">
        <v>317.10000000000002</v>
      </c>
      <c r="Q1492" s="98" t="s">
        <v>1729</v>
      </c>
      <c r="R1492" s="46" t="s">
        <v>1984</v>
      </c>
      <c r="S1492" s="98" t="s">
        <v>866</v>
      </c>
      <c r="T1492" s="98" t="s">
        <v>1023</v>
      </c>
      <c r="U1492" s="98" t="s">
        <v>1418</v>
      </c>
      <c r="V1492" s="46" t="s">
        <v>1724</v>
      </c>
      <c r="W1492" s="46" t="s">
        <v>1398</v>
      </c>
      <c r="X1492" s="46" t="s">
        <v>1383</v>
      </c>
      <c r="Z1492" s="350"/>
      <c r="AA1492" s="350"/>
      <c r="AB1492" s="97" t="s">
        <v>451</v>
      </c>
      <c r="AF1492" s="28" t="s">
        <v>1346</v>
      </c>
      <c r="AG1492" s="97" t="s">
        <v>115</v>
      </c>
      <c r="AH1492" s="138" t="s">
        <v>578</v>
      </c>
      <c r="AI1492" s="97" t="s">
        <v>133</v>
      </c>
      <c r="AJ1492" s="145" t="s">
        <v>1615</v>
      </c>
      <c r="AK1492" s="97" t="s">
        <v>133</v>
      </c>
      <c r="AL1492" s="97" t="s">
        <v>133</v>
      </c>
      <c r="AM1492" s="97" t="s">
        <v>178</v>
      </c>
      <c r="AN1492" s="97" t="s">
        <v>478</v>
      </c>
      <c r="AO1492" s="97" t="s">
        <v>1031</v>
      </c>
      <c r="AP1492" s="97" t="s">
        <v>503</v>
      </c>
      <c r="AQ1492" s="97" t="s">
        <v>1032</v>
      </c>
      <c r="AR1492" s="97" t="s">
        <v>1034</v>
      </c>
      <c r="AS1492" s="97" t="s">
        <v>503</v>
      </c>
      <c r="AT1492" s="97" t="s">
        <v>161</v>
      </c>
      <c r="AU1492" s="97">
        <v>4</v>
      </c>
      <c r="AW1492" s="97" t="s">
        <v>142</v>
      </c>
      <c r="BB1492" s="97" t="s">
        <v>1026</v>
      </c>
      <c r="BM1492" s="425">
        <v>1.41</v>
      </c>
      <c r="BN1492" s="425">
        <v>1.48</v>
      </c>
      <c r="BR1492" s="425">
        <v>2.1800000000000002</v>
      </c>
      <c r="BS1492" s="425">
        <v>2.11</v>
      </c>
      <c r="BV1492" s="97" t="s">
        <v>619</v>
      </c>
      <c r="BW1492" s="97">
        <v>2100</v>
      </c>
      <c r="BX1492" s="97">
        <v>2100</v>
      </c>
      <c r="CA1492" s="97" t="s">
        <v>235</v>
      </c>
      <c r="CB1492" s="97">
        <v>42</v>
      </c>
      <c r="CC1492" s="97">
        <v>40.799999999999997</v>
      </c>
      <c r="CG1492" s="97">
        <v>134</v>
      </c>
      <c r="CH1492" s="97">
        <v>72</v>
      </c>
      <c r="CL1492" s="97">
        <v>6.4</v>
      </c>
      <c r="CM1492" s="97">
        <v>6.8</v>
      </c>
      <c r="DF1492" s="97">
        <v>809</v>
      </c>
      <c r="DG1492" s="97">
        <v>857</v>
      </c>
      <c r="DJ1492" s="97" t="s">
        <v>1050</v>
      </c>
      <c r="EY1492" s="97">
        <v>27</v>
      </c>
      <c r="EZ1492" s="97">
        <v>26</v>
      </c>
      <c r="FC1492" s="97" t="s">
        <v>165</v>
      </c>
      <c r="GR1492" s="97">
        <v>1600</v>
      </c>
      <c r="GS1492" s="97">
        <v>1610</v>
      </c>
      <c r="GV1492" s="97" t="s">
        <v>433</v>
      </c>
      <c r="GW1492" s="97">
        <v>21.4</v>
      </c>
      <c r="GX1492" s="97">
        <v>23.3</v>
      </c>
      <c r="IA1492" s="97">
        <f t="shared" ref="IA1492:IA1496" si="252">169*0.000012</f>
        <v>2.0279999999999999E-3</v>
      </c>
      <c r="IB1492" s="97">
        <f>144*0.000012</f>
        <v>1.7279999999999999E-3</v>
      </c>
      <c r="IE1492" s="97" t="s">
        <v>1040</v>
      </c>
      <c r="IL1492" s="28">
        <v>99999</v>
      </c>
      <c r="IM1492" s="28">
        <v>99999</v>
      </c>
      <c r="IN1492" s="28"/>
      <c r="IO1492" s="28" t="s">
        <v>435</v>
      </c>
    </row>
    <row r="1493" spans="1:249" s="97" customFormat="1" x14ac:dyDescent="0.25">
      <c r="A1493" s="97">
        <v>68</v>
      </c>
      <c r="B1493" s="97" t="s">
        <v>1021</v>
      </c>
      <c r="C1493" s="97" t="s">
        <v>1022</v>
      </c>
      <c r="D1493" s="97">
        <v>2011</v>
      </c>
      <c r="E1493" s="97">
        <v>1995</v>
      </c>
      <c r="F1493" s="97" t="s">
        <v>303</v>
      </c>
      <c r="G1493" s="97" t="s">
        <v>1024</v>
      </c>
      <c r="H1493" s="32" t="s">
        <v>2831</v>
      </c>
      <c r="I1493" s="97">
        <f t="shared" si="248"/>
        <v>43.3</v>
      </c>
      <c r="J1493" s="97">
        <f t="shared" si="249"/>
        <v>-89.35</v>
      </c>
      <c r="K1493" s="97">
        <v>317.10000000000002</v>
      </c>
      <c r="Q1493" s="98" t="s">
        <v>1729</v>
      </c>
      <c r="R1493" s="46" t="s">
        <v>1984</v>
      </c>
      <c r="S1493" s="98" t="s">
        <v>866</v>
      </c>
      <c r="T1493" s="98" t="s">
        <v>1023</v>
      </c>
      <c r="U1493" s="98" t="s">
        <v>1418</v>
      </c>
      <c r="V1493" s="46" t="s">
        <v>1724</v>
      </c>
      <c r="W1493" s="46" t="s">
        <v>1398</v>
      </c>
      <c r="X1493" s="46" t="s">
        <v>1383</v>
      </c>
      <c r="Z1493" s="350"/>
      <c r="AA1493" s="350"/>
      <c r="AB1493" s="97" t="s">
        <v>451</v>
      </c>
      <c r="AF1493" s="28" t="s">
        <v>1346</v>
      </c>
      <c r="AG1493" s="97" t="s">
        <v>115</v>
      </c>
      <c r="AH1493" s="138" t="s">
        <v>578</v>
      </c>
      <c r="AI1493" s="97" t="s">
        <v>133</v>
      </c>
      <c r="AJ1493" s="145" t="s">
        <v>1615</v>
      </c>
      <c r="AK1493" s="97" t="s">
        <v>133</v>
      </c>
      <c r="AL1493" s="97" t="s">
        <v>133</v>
      </c>
      <c r="AM1493" s="97" t="s">
        <v>178</v>
      </c>
      <c r="AN1493" s="97" t="s">
        <v>478</v>
      </c>
      <c r="AO1493" s="97" t="s">
        <v>1031</v>
      </c>
      <c r="AP1493" s="97" t="s">
        <v>503</v>
      </c>
      <c r="AQ1493" s="97" t="s">
        <v>1032</v>
      </c>
      <c r="AR1493" s="97" t="s">
        <v>1035</v>
      </c>
      <c r="AS1493" s="97" t="s">
        <v>503</v>
      </c>
      <c r="AT1493" s="97" t="s">
        <v>161</v>
      </c>
      <c r="AU1493" s="97">
        <v>4</v>
      </c>
      <c r="AW1493" s="97" t="s">
        <v>142</v>
      </c>
      <c r="BB1493" s="97" t="s">
        <v>1027</v>
      </c>
      <c r="BM1493" s="425">
        <v>1.41</v>
      </c>
      <c r="BN1493" s="425">
        <v>1.37</v>
      </c>
      <c r="BR1493" s="425">
        <v>2.1800000000000002</v>
      </c>
      <c r="BS1493" s="425">
        <v>2.2000000000000002</v>
      </c>
      <c r="BV1493" s="97" t="s">
        <v>619</v>
      </c>
      <c r="BW1493" s="97">
        <v>2100</v>
      </c>
      <c r="BX1493" s="97">
        <v>2200</v>
      </c>
      <c r="CA1493" s="97" t="s">
        <v>235</v>
      </c>
      <c r="CB1493" s="97">
        <v>42</v>
      </c>
      <c r="CC1493" s="97">
        <v>50</v>
      </c>
      <c r="CG1493" s="97">
        <v>134</v>
      </c>
      <c r="CH1493" s="97">
        <v>83</v>
      </c>
      <c r="CL1493" s="97">
        <v>6.4</v>
      </c>
      <c r="CM1493" s="97">
        <v>6.6</v>
      </c>
      <c r="DF1493" s="97">
        <v>809</v>
      </c>
      <c r="DG1493" s="97">
        <v>842</v>
      </c>
      <c r="DJ1493" s="97" t="s">
        <v>1050</v>
      </c>
      <c r="EY1493" s="97">
        <v>27</v>
      </c>
      <c r="EZ1493" s="97">
        <v>25</v>
      </c>
      <c r="FC1493" s="97" t="s">
        <v>165</v>
      </c>
      <c r="GR1493" s="97">
        <v>1600</v>
      </c>
      <c r="GS1493" s="97">
        <v>1540</v>
      </c>
      <c r="GV1493" s="97" t="s">
        <v>433</v>
      </c>
      <c r="GW1493" s="97">
        <v>21.4</v>
      </c>
      <c r="GX1493" s="97">
        <v>25.9</v>
      </c>
      <c r="IA1493" s="97">
        <f t="shared" si="252"/>
        <v>2.0279999999999999E-3</v>
      </c>
      <c r="IB1493" s="97">
        <f>114*0.000012</f>
        <v>1.3680000000000001E-3</v>
      </c>
      <c r="IE1493" s="97" t="s">
        <v>1049</v>
      </c>
      <c r="IL1493" s="28">
        <v>99999</v>
      </c>
      <c r="IM1493" s="28">
        <v>99999</v>
      </c>
      <c r="IN1493" s="28"/>
      <c r="IO1493" s="28" t="s">
        <v>435</v>
      </c>
    </row>
    <row r="1494" spans="1:249" s="97" customFormat="1" x14ac:dyDescent="0.25">
      <c r="A1494" s="97">
        <v>68</v>
      </c>
      <c r="B1494" s="97" t="s">
        <v>1021</v>
      </c>
      <c r="C1494" s="97" t="s">
        <v>1022</v>
      </c>
      <c r="D1494" s="97">
        <v>2011</v>
      </c>
      <c r="E1494" s="97">
        <v>1995</v>
      </c>
      <c r="F1494" s="97" t="s">
        <v>303</v>
      </c>
      <c r="G1494" s="97" t="s">
        <v>1024</v>
      </c>
      <c r="H1494" s="32" t="s">
        <v>2831</v>
      </c>
      <c r="I1494" s="97">
        <f t="shared" si="248"/>
        <v>43.3</v>
      </c>
      <c r="J1494" s="97">
        <f t="shared" si="249"/>
        <v>-89.35</v>
      </c>
      <c r="K1494" s="97">
        <v>317.10000000000002</v>
      </c>
      <c r="Q1494" s="98" t="s">
        <v>1729</v>
      </c>
      <c r="R1494" s="46" t="s">
        <v>1984</v>
      </c>
      <c r="S1494" s="98" t="s">
        <v>866</v>
      </c>
      <c r="T1494" s="98" t="s">
        <v>1023</v>
      </c>
      <c r="U1494" s="98" t="s">
        <v>1418</v>
      </c>
      <c r="V1494" s="46" t="s">
        <v>1724</v>
      </c>
      <c r="W1494" s="46" t="s">
        <v>1398</v>
      </c>
      <c r="X1494" s="46" t="s">
        <v>1383</v>
      </c>
      <c r="Z1494" s="350"/>
      <c r="AA1494" s="350"/>
      <c r="AB1494" s="97" t="s">
        <v>451</v>
      </c>
      <c r="AF1494" s="28" t="s">
        <v>1346</v>
      </c>
      <c r="AG1494" s="97" t="s">
        <v>115</v>
      </c>
      <c r="AH1494" s="138" t="s">
        <v>578</v>
      </c>
      <c r="AI1494" s="97" t="s">
        <v>133</v>
      </c>
      <c r="AJ1494" s="145" t="s">
        <v>1615</v>
      </c>
      <c r="AK1494" s="97" t="s">
        <v>133</v>
      </c>
      <c r="AL1494" s="97" t="s">
        <v>133</v>
      </c>
      <c r="AM1494" s="97" t="s">
        <v>178</v>
      </c>
      <c r="AN1494" s="97" t="s">
        <v>478</v>
      </c>
      <c r="AO1494" s="97" t="s">
        <v>1031</v>
      </c>
      <c r="AP1494" s="97" t="s">
        <v>503</v>
      </c>
      <c r="AQ1494" s="97" t="s">
        <v>1032</v>
      </c>
      <c r="AR1494" s="97" t="s">
        <v>1036</v>
      </c>
      <c r="AS1494" s="97" t="s">
        <v>503</v>
      </c>
      <c r="AT1494" s="97" t="s">
        <v>161</v>
      </c>
      <c r="AU1494" s="97">
        <v>4</v>
      </c>
      <c r="AW1494" s="97" t="s">
        <v>142</v>
      </c>
      <c r="BB1494" s="97" t="s">
        <v>1028</v>
      </c>
      <c r="BM1494" s="425">
        <v>1.41</v>
      </c>
      <c r="BN1494" s="425">
        <v>1.37</v>
      </c>
      <c r="BR1494" s="425">
        <v>2.1800000000000002</v>
      </c>
      <c r="BS1494" s="425">
        <v>2.2999999999999998</v>
      </c>
      <c r="BV1494" s="97" t="s">
        <v>619</v>
      </c>
      <c r="BW1494" s="97">
        <v>2100</v>
      </c>
      <c r="BX1494" s="97">
        <v>2300</v>
      </c>
      <c r="CA1494" s="97" t="s">
        <v>235</v>
      </c>
      <c r="CB1494" s="97">
        <v>42</v>
      </c>
      <c r="CC1494" s="97">
        <v>46.8</v>
      </c>
      <c r="CG1494" s="97">
        <v>134</v>
      </c>
      <c r="CH1494" s="97">
        <v>79</v>
      </c>
      <c r="CL1494" s="97">
        <v>6.4</v>
      </c>
      <c r="CM1494" s="97">
        <v>6.8</v>
      </c>
      <c r="DF1494" s="97">
        <v>809</v>
      </c>
      <c r="DG1494" s="97">
        <v>851</v>
      </c>
      <c r="DJ1494" s="97" t="s">
        <v>1050</v>
      </c>
      <c r="EY1494" s="97">
        <v>27</v>
      </c>
      <c r="EZ1494" s="97">
        <v>26</v>
      </c>
      <c r="FC1494" s="97" t="s">
        <v>165</v>
      </c>
      <c r="GR1494" s="97">
        <v>1600</v>
      </c>
      <c r="GS1494" s="97">
        <v>1840</v>
      </c>
      <c r="GV1494" s="97" t="s">
        <v>433</v>
      </c>
      <c r="GW1494" s="97">
        <v>21.4</v>
      </c>
      <c r="GX1494" s="97">
        <v>29.8</v>
      </c>
      <c r="IA1494" s="97">
        <f t="shared" si="252"/>
        <v>2.0279999999999999E-3</v>
      </c>
      <c r="IB1494" s="97">
        <f>134*0.000012</f>
        <v>1.6080000000000001E-3</v>
      </c>
      <c r="IE1494" s="97" t="s">
        <v>1049</v>
      </c>
      <c r="IL1494" s="28">
        <v>99999</v>
      </c>
      <c r="IM1494" s="28">
        <v>99999</v>
      </c>
      <c r="IN1494" s="28"/>
      <c r="IO1494" s="28" t="s">
        <v>435</v>
      </c>
    </row>
    <row r="1495" spans="1:249" s="97" customFormat="1" x14ac:dyDescent="0.25">
      <c r="A1495" s="97">
        <v>68</v>
      </c>
      <c r="B1495" s="97" t="s">
        <v>1021</v>
      </c>
      <c r="C1495" s="97" t="s">
        <v>1022</v>
      </c>
      <c r="D1495" s="97">
        <v>2011</v>
      </c>
      <c r="E1495" s="97">
        <v>1995</v>
      </c>
      <c r="F1495" s="97" t="s">
        <v>303</v>
      </c>
      <c r="G1495" s="97" t="s">
        <v>1024</v>
      </c>
      <c r="H1495" s="32" t="s">
        <v>2831</v>
      </c>
      <c r="I1495" s="97">
        <f t="shared" si="248"/>
        <v>43.3</v>
      </c>
      <c r="J1495" s="97">
        <f t="shared" si="249"/>
        <v>-89.35</v>
      </c>
      <c r="K1495" s="97">
        <v>317.10000000000002</v>
      </c>
      <c r="Q1495" s="98" t="s">
        <v>1729</v>
      </c>
      <c r="R1495" s="46" t="s">
        <v>1984</v>
      </c>
      <c r="S1495" s="98" t="s">
        <v>866</v>
      </c>
      <c r="T1495" s="98" t="s">
        <v>1023</v>
      </c>
      <c r="U1495" s="98" t="s">
        <v>1418</v>
      </c>
      <c r="V1495" s="46" t="s">
        <v>1724</v>
      </c>
      <c r="W1495" s="46" t="s">
        <v>1398</v>
      </c>
      <c r="X1495" s="46" t="s">
        <v>1383</v>
      </c>
      <c r="Z1495" s="350"/>
      <c r="AA1495" s="350"/>
      <c r="AB1495" s="97" t="s">
        <v>451</v>
      </c>
      <c r="AF1495" s="28" t="s">
        <v>1346</v>
      </c>
      <c r="AG1495" s="97" t="s">
        <v>115</v>
      </c>
      <c r="AH1495" s="138" t="s">
        <v>578</v>
      </c>
      <c r="AI1495" s="97" t="s">
        <v>133</v>
      </c>
      <c r="AJ1495" s="145" t="s">
        <v>1615</v>
      </c>
      <c r="AK1495" s="97" t="s">
        <v>133</v>
      </c>
      <c r="AL1495" s="97" t="s">
        <v>133</v>
      </c>
      <c r="AM1495" s="97" t="s">
        <v>178</v>
      </c>
      <c r="AN1495" s="97" t="s">
        <v>478</v>
      </c>
      <c r="AO1495" s="97" t="s">
        <v>1031</v>
      </c>
      <c r="AP1495" s="97" t="s">
        <v>503</v>
      </c>
      <c r="AQ1495" s="97" t="s">
        <v>1032</v>
      </c>
      <c r="AR1495" s="97" t="s">
        <v>1037</v>
      </c>
      <c r="AS1495" s="97" t="s">
        <v>503</v>
      </c>
      <c r="AT1495" s="97" t="s">
        <v>161</v>
      </c>
      <c r="AU1495" s="97">
        <v>4</v>
      </c>
      <c r="AW1495" s="97" t="s">
        <v>142</v>
      </c>
      <c r="BB1495" s="97" t="s">
        <v>1029</v>
      </c>
      <c r="BM1495" s="425">
        <v>1.41</v>
      </c>
      <c r="BN1495" s="425">
        <v>1.41</v>
      </c>
      <c r="BR1495" s="425">
        <v>2.1800000000000002</v>
      </c>
      <c r="BS1495" s="425">
        <v>2.4</v>
      </c>
      <c r="BV1495" s="97" t="s">
        <v>619</v>
      </c>
      <c r="BW1495" s="97">
        <v>2100</v>
      </c>
      <c r="BX1495" s="97">
        <v>2300</v>
      </c>
      <c r="CA1495" s="97" t="s">
        <v>235</v>
      </c>
      <c r="CB1495" s="97">
        <v>42</v>
      </c>
      <c r="CC1495" s="97">
        <v>50.5</v>
      </c>
      <c r="CG1495" s="97">
        <v>134</v>
      </c>
      <c r="CH1495" s="97">
        <v>75</v>
      </c>
      <c r="CL1495" s="97">
        <v>6.4</v>
      </c>
      <c r="CM1495" s="97">
        <v>6.7</v>
      </c>
      <c r="DF1495" s="97">
        <v>809</v>
      </c>
      <c r="DG1495" s="97">
        <v>882</v>
      </c>
      <c r="DJ1495" s="97" t="s">
        <v>1050</v>
      </c>
      <c r="EY1495" s="97">
        <v>27</v>
      </c>
      <c r="EZ1495" s="97">
        <v>26</v>
      </c>
      <c r="FC1495" s="97" t="s">
        <v>165</v>
      </c>
      <c r="GR1495" s="97">
        <v>1600</v>
      </c>
      <c r="GS1495" s="97">
        <v>1820</v>
      </c>
      <c r="GV1495" s="97" t="s">
        <v>433</v>
      </c>
      <c r="GW1495" s="97">
        <v>21.4</v>
      </c>
      <c r="GX1495" s="97">
        <v>30.9</v>
      </c>
      <c r="IA1495" s="97">
        <f t="shared" si="252"/>
        <v>2.0279999999999999E-3</v>
      </c>
      <c r="IB1495" s="97">
        <f>95*0.000012</f>
        <v>1.14E-3</v>
      </c>
      <c r="IE1495" s="97" t="s">
        <v>1049</v>
      </c>
      <c r="IL1495" s="28">
        <v>99999</v>
      </c>
      <c r="IM1495" s="28">
        <v>99999</v>
      </c>
      <c r="IN1495" s="28"/>
      <c r="IO1495" s="28" t="s">
        <v>435</v>
      </c>
    </row>
    <row r="1496" spans="1:249" s="97" customFormat="1" x14ac:dyDescent="0.25">
      <c r="A1496" s="97">
        <v>68</v>
      </c>
      <c r="B1496" s="97" t="s">
        <v>1021</v>
      </c>
      <c r="C1496" s="97" t="s">
        <v>1022</v>
      </c>
      <c r="D1496" s="97">
        <v>2011</v>
      </c>
      <c r="E1496" s="97">
        <v>1995</v>
      </c>
      <c r="F1496" s="97" t="s">
        <v>303</v>
      </c>
      <c r="G1496" s="97" t="s">
        <v>1024</v>
      </c>
      <c r="H1496" s="32" t="s">
        <v>2831</v>
      </c>
      <c r="I1496" s="97">
        <f t="shared" si="248"/>
        <v>43.3</v>
      </c>
      <c r="J1496" s="97">
        <f t="shared" si="249"/>
        <v>-89.35</v>
      </c>
      <c r="K1496" s="97">
        <v>317.10000000000002</v>
      </c>
      <c r="Q1496" s="98" t="s">
        <v>1729</v>
      </c>
      <c r="R1496" s="46" t="s">
        <v>1984</v>
      </c>
      <c r="S1496" s="98" t="s">
        <v>866</v>
      </c>
      <c r="T1496" s="98" t="s">
        <v>1023</v>
      </c>
      <c r="U1496" s="98" t="s">
        <v>1418</v>
      </c>
      <c r="V1496" s="46" t="s">
        <v>1724</v>
      </c>
      <c r="W1496" s="46" t="s">
        <v>1398</v>
      </c>
      <c r="X1496" s="46" t="s">
        <v>1383</v>
      </c>
      <c r="Z1496" s="350"/>
      <c r="AA1496" s="350"/>
      <c r="AB1496" s="97" t="s">
        <v>451</v>
      </c>
      <c r="AF1496" s="28" t="s">
        <v>1346</v>
      </c>
      <c r="AG1496" s="97" t="s">
        <v>636</v>
      </c>
      <c r="AH1496" s="138" t="s">
        <v>636</v>
      </c>
      <c r="AI1496" s="97" t="s">
        <v>133</v>
      </c>
      <c r="AJ1496" s="145" t="s">
        <v>1615</v>
      </c>
      <c r="AK1496" s="97" t="s">
        <v>133</v>
      </c>
      <c r="AL1496" s="97" t="s">
        <v>1611</v>
      </c>
      <c r="AM1496" s="97" t="s">
        <v>503</v>
      </c>
      <c r="AN1496" s="97" t="s">
        <v>478</v>
      </c>
      <c r="AO1496" s="97" t="s">
        <v>1031</v>
      </c>
      <c r="AP1496" s="97" t="s">
        <v>503</v>
      </c>
      <c r="AQ1496" s="97" t="s">
        <v>1032</v>
      </c>
      <c r="AR1496" s="97" t="s">
        <v>1038</v>
      </c>
      <c r="AS1496" s="97" t="s">
        <v>503</v>
      </c>
      <c r="AT1496" s="97" t="s">
        <v>161</v>
      </c>
      <c r="AU1496" s="97">
        <v>4</v>
      </c>
      <c r="AW1496" s="97" t="s">
        <v>142</v>
      </c>
      <c r="BB1496" s="97" t="s">
        <v>1030</v>
      </c>
      <c r="BM1496" s="425">
        <v>1.41</v>
      </c>
      <c r="BN1496" s="425">
        <v>1.42</v>
      </c>
      <c r="BR1496" s="425">
        <v>2.1800000000000002</v>
      </c>
      <c r="BS1496" s="425">
        <v>2.2400000000000002</v>
      </c>
      <c r="BV1496" s="97" t="s">
        <v>619</v>
      </c>
      <c r="BW1496" s="97">
        <v>2100</v>
      </c>
      <c r="BX1496" s="97">
        <v>2100</v>
      </c>
      <c r="CA1496" s="97" t="s">
        <v>235</v>
      </c>
      <c r="CB1496" s="97">
        <v>42</v>
      </c>
      <c r="CC1496" s="97">
        <v>36</v>
      </c>
      <c r="CG1496" s="97">
        <v>134</v>
      </c>
      <c r="CH1496" s="97">
        <v>75</v>
      </c>
      <c r="CL1496" s="97">
        <v>6.4</v>
      </c>
      <c r="CM1496" s="97">
        <v>6.5</v>
      </c>
      <c r="DF1496" s="97">
        <v>809</v>
      </c>
      <c r="DG1496" s="97">
        <v>873</v>
      </c>
      <c r="DJ1496" s="97" t="s">
        <v>1050</v>
      </c>
      <c r="EY1496" s="97">
        <v>27</v>
      </c>
      <c r="EZ1496" s="97">
        <v>23</v>
      </c>
      <c r="FC1496" s="97" t="s">
        <v>165</v>
      </c>
      <c r="GR1496" s="97">
        <v>1600</v>
      </c>
      <c r="GS1496" s="97">
        <v>1380</v>
      </c>
      <c r="GV1496" s="97" t="s">
        <v>433</v>
      </c>
      <c r="GW1496" s="97">
        <v>21.4</v>
      </c>
      <c r="GX1496" s="97">
        <v>24.4</v>
      </c>
      <c r="IA1496" s="97">
        <f t="shared" si="252"/>
        <v>2.0279999999999999E-3</v>
      </c>
      <c r="IB1496" s="97">
        <f>193*0.000012</f>
        <v>2.3159999999999999E-3</v>
      </c>
      <c r="IE1496" s="97" t="s">
        <v>1049</v>
      </c>
      <c r="IL1496" s="28">
        <v>99999</v>
      </c>
      <c r="IM1496" s="28">
        <v>99999</v>
      </c>
      <c r="IN1496" s="28"/>
      <c r="IO1496" s="28" t="s">
        <v>435</v>
      </c>
    </row>
    <row r="1497" spans="1:249" s="99" customFormat="1" x14ac:dyDescent="0.25">
      <c r="A1497" s="99">
        <v>68</v>
      </c>
      <c r="B1497" s="99" t="s">
        <v>1021</v>
      </c>
      <c r="C1497" s="99" t="s">
        <v>1022</v>
      </c>
      <c r="D1497" s="99">
        <v>2011</v>
      </c>
      <c r="E1497" s="99">
        <v>1995</v>
      </c>
      <c r="F1497" s="99" t="s">
        <v>303</v>
      </c>
      <c r="G1497" s="99" t="s">
        <v>1024</v>
      </c>
      <c r="H1497" s="32" t="s">
        <v>2831</v>
      </c>
      <c r="I1497" s="99">
        <f t="shared" si="248"/>
        <v>43.3</v>
      </c>
      <c r="J1497" s="99">
        <f t="shared" si="249"/>
        <v>-89.35</v>
      </c>
      <c r="K1497" s="99">
        <v>317.10000000000002</v>
      </c>
      <c r="Q1497" s="100" t="s">
        <v>1729</v>
      </c>
      <c r="R1497" s="47" t="s">
        <v>1984</v>
      </c>
      <c r="S1497" s="100" t="s">
        <v>866</v>
      </c>
      <c r="T1497" s="100" t="s">
        <v>1023</v>
      </c>
      <c r="U1497" s="100" t="s">
        <v>1418</v>
      </c>
      <c r="V1497" s="47" t="s">
        <v>1724</v>
      </c>
      <c r="W1497" s="47" t="s">
        <v>1398</v>
      </c>
      <c r="X1497" s="47" t="s">
        <v>1383</v>
      </c>
      <c r="Z1497" s="351"/>
      <c r="AA1497" s="351"/>
      <c r="AB1497" s="99" t="s">
        <v>451</v>
      </c>
      <c r="AF1497" s="33" t="s">
        <v>1346</v>
      </c>
      <c r="AG1497" s="99" t="s">
        <v>1531</v>
      </c>
      <c r="AH1497" s="138" t="s">
        <v>1585</v>
      </c>
      <c r="AI1497" s="99" t="s">
        <v>1593</v>
      </c>
      <c r="AJ1497" s="145" t="s">
        <v>1615</v>
      </c>
      <c r="AK1497" s="99" t="s">
        <v>686</v>
      </c>
      <c r="AL1497" s="99" t="s">
        <v>944</v>
      </c>
      <c r="AM1497" s="99" t="s">
        <v>178</v>
      </c>
      <c r="AN1497" s="99" t="s">
        <v>1048</v>
      </c>
      <c r="AO1497" s="99" t="s">
        <v>1031</v>
      </c>
      <c r="AP1497" s="99" t="s">
        <v>503</v>
      </c>
      <c r="AQ1497" s="99" t="s">
        <v>1047</v>
      </c>
      <c r="AR1497" s="99" t="s">
        <v>1033</v>
      </c>
      <c r="AS1497" s="99" t="s">
        <v>503</v>
      </c>
      <c r="AT1497" s="99" t="s">
        <v>161</v>
      </c>
      <c r="AU1497" s="99">
        <v>4</v>
      </c>
      <c r="AW1497" s="99" t="s">
        <v>142</v>
      </c>
      <c r="BB1497" s="99" t="s">
        <v>1041</v>
      </c>
      <c r="BM1497" s="426">
        <v>1.38</v>
      </c>
      <c r="BN1497" s="426">
        <v>1.47</v>
      </c>
      <c r="BR1497" s="426">
        <v>1.95</v>
      </c>
      <c r="BS1497" s="426">
        <v>2.08</v>
      </c>
      <c r="BV1497" s="99" t="s">
        <v>619</v>
      </c>
      <c r="BW1497" s="99">
        <v>1900</v>
      </c>
      <c r="BX1497" s="99">
        <v>2100</v>
      </c>
      <c r="CA1497" s="99" t="s">
        <v>235</v>
      </c>
      <c r="CB1497" s="99">
        <v>33</v>
      </c>
      <c r="CC1497" s="99">
        <v>31.8</v>
      </c>
      <c r="CG1497" s="99">
        <v>97</v>
      </c>
      <c r="CH1497" s="99">
        <v>89</v>
      </c>
      <c r="CL1497" s="99">
        <v>6.5</v>
      </c>
      <c r="CM1497" s="99">
        <v>6.6</v>
      </c>
      <c r="DF1497" s="99">
        <v>887</v>
      </c>
      <c r="DG1497" s="99">
        <v>861</v>
      </c>
      <c r="DJ1497" s="99" t="s">
        <v>1050</v>
      </c>
      <c r="EY1497" s="99">
        <v>26</v>
      </c>
      <c r="EZ1497" s="99">
        <v>26</v>
      </c>
      <c r="FC1497" s="99" t="s">
        <v>165</v>
      </c>
      <c r="GR1497" s="99">
        <v>1380</v>
      </c>
      <c r="GS1497" s="99">
        <v>1670</v>
      </c>
      <c r="GV1497" s="99" t="s">
        <v>433</v>
      </c>
      <c r="GW1497" s="99">
        <v>17.100000000000001</v>
      </c>
      <c r="GX1497" s="99">
        <v>22.3</v>
      </c>
      <c r="IA1497" s="99">
        <f>109*0.000012</f>
        <v>1.3080000000000001E-3</v>
      </c>
      <c r="IB1497" s="99">
        <v>1.8E-3</v>
      </c>
      <c r="IE1497" s="99" t="s">
        <v>1040</v>
      </c>
      <c r="IL1497" s="28">
        <v>99999</v>
      </c>
      <c r="IM1497" s="28">
        <v>99999</v>
      </c>
      <c r="IN1497" s="28"/>
      <c r="IO1497" s="33" t="s">
        <v>435</v>
      </c>
    </row>
    <row r="1498" spans="1:249" s="99" customFormat="1" x14ac:dyDescent="0.25">
      <c r="A1498" s="99">
        <v>68</v>
      </c>
      <c r="B1498" s="99" t="s">
        <v>1021</v>
      </c>
      <c r="C1498" s="99" t="s">
        <v>1022</v>
      </c>
      <c r="D1498" s="99">
        <v>2011</v>
      </c>
      <c r="E1498" s="99">
        <v>1995</v>
      </c>
      <c r="F1498" s="99" t="s">
        <v>303</v>
      </c>
      <c r="G1498" s="99" t="s">
        <v>1024</v>
      </c>
      <c r="H1498" s="32" t="s">
        <v>2831</v>
      </c>
      <c r="I1498" s="99">
        <f t="shared" si="248"/>
        <v>43.3</v>
      </c>
      <c r="J1498" s="99">
        <f t="shared" si="249"/>
        <v>-89.35</v>
      </c>
      <c r="K1498" s="99">
        <v>317.10000000000002</v>
      </c>
      <c r="Q1498" s="100" t="s">
        <v>1729</v>
      </c>
      <c r="R1498" s="47" t="s">
        <v>1984</v>
      </c>
      <c r="S1498" s="100" t="s">
        <v>866</v>
      </c>
      <c r="T1498" s="100" t="s">
        <v>1023</v>
      </c>
      <c r="U1498" s="100" t="s">
        <v>1418</v>
      </c>
      <c r="V1498" s="47" t="s">
        <v>1724</v>
      </c>
      <c r="W1498" s="47" t="s">
        <v>1398</v>
      </c>
      <c r="X1498" s="47" t="s">
        <v>1383</v>
      </c>
      <c r="Z1498" s="351"/>
      <c r="AA1498" s="351"/>
      <c r="AB1498" s="99" t="s">
        <v>451</v>
      </c>
      <c r="AF1498" s="33" t="s">
        <v>1346</v>
      </c>
      <c r="AG1498" s="99" t="s">
        <v>115</v>
      </c>
      <c r="AH1498" s="138" t="s">
        <v>578</v>
      </c>
      <c r="AI1498" s="99" t="s">
        <v>1593</v>
      </c>
      <c r="AJ1498" s="145" t="s">
        <v>1615</v>
      </c>
      <c r="AK1498" s="99" t="s">
        <v>686</v>
      </c>
      <c r="AL1498" s="99" t="s">
        <v>133</v>
      </c>
      <c r="AM1498" s="99" t="s">
        <v>503</v>
      </c>
      <c r="AN1498" s="99" t="s">
        <v>1048</v>
      </c>
      <c r="AO1498" s="99" t="s">
        <v>1031</v>
      </c>
      <c r="AP1498" s="99" t="s">
        <v>503</v>
      </c>
      <c r="AQ1498" s="99" t="s">
        <v>1047</v>
      </c>
      <c r="AR1498" s="99" t="s">
        <v>1034</v>
      </c>
      <c r="AS1498" s="99" t="s">
        <v>503</v>
      </c>
      <c r="AT1498" s="99" t="s">
        <v>161</v>
      </c>
      <c r="AU1498" s="99">
        <v>4</v>
      </c>
      <c r="AW1498" s="99" t="s">
        <v>142</v>
      </c>
      <c r="BB1498" s="99" t="s">
        <v>1042</v>
      </c>
      <c r="BM1498" s="426">
        <v>1.38</v>
      </c>
      <c r="BN1498" s="426">
        <v>1.48</v>
      </c>
      <c r="BR1498" s="426">
        <v>1.95</v>
      </c>
      <c r="BS1498" s="426">
        <v>2.11</v>
      </c>
      <c r="BV1498" s="99" t="s">
        <v>619</v>
      </c>
      <c r="BW1498" s="99">
        <v>1900</v>
      </c>
      <c r="BX1498" s="99">
        <v>2100</v>
      </c>
      <c r="CA1498" s="99" t="s">
        <v>235</v>
      </c>
      <c r="CB1498" s="99">
        <v>33</v>
      </c>
      <c r="CC1498" s="99">
        <v>40.799999999999997</v>
      </c>
      <c r="CG1498" s="99">
        <v>97</v>
      </c>
      <c r="CH1498" s="99">
        <v>72</v>
      </c>
      <c r="CL1498" s="99">
        <v>6.5</v>
      </c>
      <c r="CM1498" s="99">
        <v>6.8</v>
      </c>
      <c r="DF1498" s="99">
        <v>887</v>
      </c>
      <c r="DG1498" s="99">
        <v>857</v>
      </c>
      <c r="DJ1498" s="99" t="s">
        <v>1050</v>
      </c>
      <c r="EY1498" s="99">
        <v>26</v>
      </c>
      <c r="EZ1498" s="99">
        <v>26</v>
      </c>
      <c r="FC1498" s="99" t="s">
        <v>165</v>
      </c>
      <c r="GR1498" s="99">
        <v>1380</v>
      </c>
      <c r="GS1498" s="99">
        <v>1610</v>
      </c>
      <c r="GV1498" s="99" t="s">
        <v>433</v>
      </c>
      <c r="GW1498" s="99">
        <v>17.100000000000001</v>
      </c>
      <c r="GX1498" s="99">
        <v>23.3</v>
      </c>
      <c r="IA1498" s="99">
        <f t="shared" ref="IA1498:IA1501" si="253">109*0.000012</f>
        <v>1.3080000000000001E-3</v>
      </c>
      <c r="IB1498" s="99">
        <v>1.7279999999999999E-3</v>
      </c>
      <c r="IE1498" s="99" t="s">
        <v>1040</v>
      </c>
      <c r="IL1498" s="28">
        <v>99999</v>
      </c>
      <c r="IM1498" s="28">
        <v>99999</v>
      </c>
      <c r="IN1498" s="28"/>
      <c r="IO1498" s="33" t="s">
        <v>435</v>
      </c>
    </row>
    <row r="1499" spans="1:249" s="99" customFormat="1" x14ac:dyDescent="0.25">
      <c r="A1499" s="99">
        <v>68</v>
      </c>
      <c r="B1499" s="99" t="s">
        <v>1021</v>
      </c>
      <c r="C1499" s="99" t="s">
        <v>1022</v>
      </c>
      <c r="D1499" s="99">
        <v>2011</v>
      </c>
      <c r="E1499" s="99">
        <v>1995</v>
      </c>
      <c r="F1499" s="99" t="s">
        <v>303</v>
      </c>
      <c r="G1499" s="99" t="s">
        <v>1024</v>
      </c>
      <c r="H1499" s="32" t="s">
        <v>2831</v>
      </c>
      <c r="I1499" s="99">
        <f t="shared" si="248"/>
        <v>43.3</v>
      </c>
      <c r="J1499" s="99">
        <f t="shared" si="249"/>
        <v>-89.35</v>
      </c>
      <c r="K1499" s="99">
        <v>317.10000000000002</v>
      </c>
      <c r="Q1499" s="100" t="s">
        <v>1729</v>
      </c>
      <c r="R1499" s="47" t="s">
        <v>1984</v>
      </c>
      <c r="S1499" s="100" t="s">
        <v>866</v>
      </c>
      <c r="T1499" s="100" t="s">
        <v>1023</v>
      </c>
      <c r="U1499" s="100" t="s">
        <v>1418</v>
      </c>
      <c r="V1499" s="47" t="s">
        <v>1724</v>
      </c>
      <c r="W1499" s="47" t="s">
        <v>1398</v>
      </c>
      <c r="X1499" s="47" t="s">
        <v>1383</v>
      </c>
      <c r="Z1499" s="351"/>
      <c r="AA1499" s="351"/>
      <c r="AB1499" s="99" t="s">
        <v>451</v>
      </c>
      <c r="AF1499" s="33" t="s">
        <v>1346</v>
      </c>
      <c r="AG1499" s="99" t="s">
        <v>115</v>
      </c>
      <c r="AH1499" s="138" t="s">
        <v>578</v>
      </c>
      <c r="AI1499" s="99" t="s">
        <v>1593</v>
      </c>
      <c r="AJ1499" s="145" t="s">
        <v>1615</v>
      </c>
      <c r="AK1499" s="99" t="s">
        <v>686</v>
      </c>
      <c r="AL1499" s="99" t="s">
        <v>133</v>
      </c>
      <c r="AM1499" s="99" t="s">
        <v>503</v>
      </c>
      <c r="AN1499" s="99" t="s">
        <v>1048</v>
      </c>
      <c r="AO1499" s="99" t="s">
        <v>1031</v>
      </c>
      <c r="AP1499" s="99" t="s">
        <v>503</v>
      </c>
      <c r="AQ1499" s="99" t="s">
        <v>1047</v>
      </c>
      <c r="AR1499" s="99" t="s">
        <v>1035</v>
      </c>
      <c r="AS1499" s="99" t="s">
        <v>503</v>
      </c>
      <c r="AT1499" s="99" t="s">
        <v>161</v>
      </c>
      <c r="AU1499" s="99">
        <v>4</v>
      </c>
      <c r="AW1499" s="99" t="s">
        <v>142</v>
      </c>
      <c r="BB1499" s="99" t="s">
        <v>1043</v>
      </c>
      <c r="BM1499" s="426">
        <v>1.38</v>
      </c>
      <c r="BN1499" s="426">
        <v>1.37</v>
      </c>
      <c r="BR1499" s="426">
        <v>1.95</v>
      </c>
      <c r="BS1499" s="426">
        <v>2.2000000000000002</v>
      </c>
      <c r="BV1499" s="99" t="s">
        <v>619</v>
      </c>
      <c r="BW1499" s="99">
        <v>1900</v>
      </c>
      <c r="BX1499" s="99">
        <v>2200</v>
      </c>
      <c r="CA1499" s="99" t="s">
        <v>235</v>
      </c>
      <c r="CB1499" s="99">
        <v>33</v>
      </c>
      <c r="CC1499" s="99">
        <v>50</v>
      </c>
      <c r="CG1499" s="99">
        <v>97</v>
      </c>
      <c r="CH1499" s="99">
        <v>83</v>
      </c>
      <c r="CL1499" s="99">
        <v>6.5</v>
      </c>
      <c r="CM1499" s="99">
        <v>6.6</v>
      </c>
      <c r="DF1499" s="99">
        <v>887</v>
      </c>
      <c r="DG1499" s="99">
        <v>842</v>
      </c>
      <c r="DJ1499" s="99" t="s">
        <v>1050</v>
      </c>
      <c r="EY1499" s="99">
        <v>26</v>
      </c>
      <c r="EZ1499" s="99">
        <v>25</v>
      </c>
      <c r="FC1499" s="99" t="s">
        <v>165</v>
      </c>
      <c r="GR1499" s="99">
        <v>1380</v>
      </c>
      <c r="GS1499" s="99">
        <v>1540</v>
      </c>
      <c r="GV1499" s="99" t="s">
        <v>433</v>
      </c>
      <c r="GW1499" s="99">
        <v>17.100000000000001</v>
      </c>
      <c r="GX1499" s="99">
        <v>25.9</v>
      </c>
      <c r="IA1499" s="99">
        <f t="shared" si="253"/>
        <v>1.3080000000000001E-3</v>
      </c>
      <c r="IB1499" s="99">
        <v>1.3680000000000001E-3</v>
      </c>
      <c r="IE1499" s="99" t="s">
        <v>1049</v>
      </c>
      <c r="IL1499" s="28">
        <v>99999</v>
      </c>
      <c r="IM1499" s="28">
        <v>99999</v>
      </c>
      <c r="IN1499" s="28"/>
      <c r="IO1499" s="33" t="s">
        <v>435</v>
      </c>
    </row>
    <row r="1500" spans="1:249" s="99" customFormat="1" x14ac:dyDescent="0.25">
      <c r="A1500" s="99">
        <v>68</v>
      </c>
      <c r="B1500" s="99" t="s">
        <v>1021</v>
      </c>
      <c r="C1500" s="99" t="s">
        <v>1022</v>
      </c>
      <c r="D1500" s="99">
        <v>2011</v>
      </c>
      <c r="E1500" s="99">
        <v>1995</v>
      </c>
      <c r="F1500" s="99" t="s">
        <v>303</v>
      </c>
      <c r="G1500" s="99" t="s">
        <v>1024</v>
      </c>
      <c r="H1500" s="32" t="s">
        <v>2831</v>
      </c>
      <c r="I1500" s="99">
        <f t="shared" si="248"/>
        <v>43.3</v>
      </c>
      <c r="J1500" s="99">
        <f t="shared" si="249"/>
        <v>-89.35</v>
      </c>
      <c r="K1500" s="99">
        <v>317.10000000000002</v>
      </c>
      <c r="Q1500" s="100" t="s">
        <v>1729</v>
      </c>
      <c r="R1500" s="47" t="s">
        <v>1984</v>
      </c>
      <c r="S1500" s="100" t="s">
        <v>866</v>
      </c>
      <c r="T1500" s="100" t="s">
        <v>1023</v>
      </c>
      <c r="U1500" s="100" t="s">
        <v>1418</v>
      </c>
      <c r="V1500" s="47" t="s">
        <v>1724</v>
      </c>
      <c r="W1500" s="47" t="s">
        <v>1398</v>
      </c>
      <c r="X1500" s="47" t="s">
        <v>1383</v>
      </c>
      <c r="Z1500" s="351"/>
      <c r="AA1500" s="351"/>
      <c r="AB1500" s="99" t="s">
        <v>451</v>
      </c>
      <c r="AF1500" s="33" t="s">
        <v>1346</v>
      </c>
      <c r="AG1500" s="99" t="s">
        <v>115</v>
      </c>
      <c r="AH1500" s="138" t="s">
        <v>578</v>
      </c>
      <c r="AI1500" s="99" t="s">
        <v>1593</v>
      </c>
      <c r="AJ1500" s="145" t="s">
        <v>1615</v>
      </c>
      <c r="AK1500" s="99" t="s">
        <v>686</v>
      </c>
      <c r="AL1500" s="99" t="s">
        <v>133</v>
      </c>
      <c r="AM1500" s="99" t="s">
        <v>503</v>
      </c>
      <c r="AN1500" s="99" t="s">
        <v>1048</v>
      </c>
      <c r="AO1500" s="99" t="s">
        <v>1031</v>
      </c>
      <c r="AP1500" s="99" t="s">
        <v>503</v>
      </c>
      <c r="AQ1500" s="99" t="s">
        <v>1047</v>
      </c>
      <c r="AR1500" s="99" t="s">
        <v>1036</v>
      </c>
      <c r="AS1500" s="99" t="s">
        <v>503</v>
      </c>
      <c r="AT1500" s="99" t="s">
        <v>161</v>
      </c>
      <c r="AU1500" s="99">
        <v>4</v>
      </c>
      <c r="AW1500" s="99" t="s">
        <v>142</v>
      </c>
      <c r="BB1500" s="99" t="s">
        <v>1044</v>
      </c>
      <c r="BM1500" s="426">
        <v>1.38</v>
      </c>
      <c r="BN1500" s="426">
        <v>1.37</v>
      </c>
      <c r="BR1500" s="426">
        <v>1.95</v>
      </c>
      <c r="BS1500" s="426">
        <v>2.2999999999999998</v>
      </c>
      <c r="BV1500" s="99" t="s">
        <v>619</v>
      </c>
      <c r="BW1500" s="99">
        <v>1900</v>
      </c>
      <c r="BX1500" s="99">
        <v>2300</v>
      </c>
      <c r="CA1500" s="99" t="s">
        <v>235</v>
      </c>
      <c r="CB1500" s="99">
        <v>33</v>
      </c>
      <c r="CC1500" s="99">
        <v>46.8</v>
      </c>
      <c r="CG1500" s="99">
        <v>97</v>
      </c>
      <c r="CH1500" s="99">
        <v>79</v>
      </c>
      <c r="CL1500" s="99">
        <v>6.5</v>
      </c>
      <c r="CM1500" s="99">
        <v>6.8</v>
      </c>
      <c r="DF1500" s="99">
        <v>887</v>
      </c>
      <c r="DG1500" s="99">
        <v>851</v>
      </c>
      <c r="DJ1500" s="99" t="s">
        <v>1050</v>
      </c>
      <c r="EY1500" s="99">
        <v>26</v>
      </c>
      <c r="EZ1500" s="99">
        <v>26</v>
      </c>
      <c r="FC1500" s="99" t="s">
        <v>165</v>
      </c>
      <c r="GR1500" s="99">
        <v>1380</v>
      </c>
      <c r="GS1500" s="99">
        <v>1840</v>
      </c>
      <c r="GV1500" s="99" t="s">
        <v>433</v>
      </c>
      <c r="GW1500" s="99">
        <v>17.100000000000001</v>
      </c>
      <c r="GX1500" s="99">
        <v>29.8</v>
      </c>
      <c r="IA1500" s="99">
        <f t="shared" si="253"/>
        <v>1.3080000000000001E-3</v>
      </c>
      <c r="IB1500" s="99">
        <v>1.6080000000000001E-3</v>
      </c>
      <c r="IE1500" s="99" t="s">
        <v>1049</v>
      </c>
      <c r="IL1500" s="28">
        <v>99999</v>
      </c>
      <c r="IM1500" s="28">
        <v>99999</v>
      </c>
      <c r="IN1500" s="28"/>
      <c r="IO1500" s="33" t="s">
        <v>435</v>
      </c>
    </row>
    <row r="1501" spans="1:249" s="99" customFormat="1" x14ac:dyDescent="0.25">
      <c r="A1501" s="99">
        <v>68</v>
      </c>
      <c r="B1501" s="99" t="s">
        <v>1021</v>
      </c>
      <c r="C1501" s="99" t="s">
        <v>1022</v>
      </c>
      <c r="D1501" s="99">
        <v>2011</v>
      </c>
      <c r="E1501" s="99">
        <v>1995</v>
      </c>
      <c r="F1501" s="99" t="s">
        <v>303</v>
      </c>
      <c r="G1501" s="99" t="s">
        <v>1024</v>
      </c>
      <c r="H1501" s="32" t="s">
        <v>2831</v>
      </c>
      <c r="I1501" s="99">
        <f t="shared" si="248"/>
        <v>43.3</v>
      </c>
      <c r="J1501" s="99">
        <f t="shared" si="249"/>
        <v>-89.35</v>
      </c>
      <c r="K1501" s="99">
        <v>317.10000000000002</v>
      </c>
      <c r="Q1501" s="100" t="s">
        <v>1729</v>
      </c>
      <c r="R1501" s="47" t="s">
        <v>1984</v>
      </c>
      <c r="S1501" s="100" t="s">
        <v>866</v>
      </c>
      <c r="T1501" s="100" t="s">
        <v>1023</v>
      </c>
      <c r="U1501" s="100" t="s">
        <v>1418</v>
      </c>
      <c r="V1501" s="47" t="s">
        <v>1724</v>
      </c>
      <c r="W1501" s="47" t="s">
        <v>1398</v>
      </c>
      <c r="X1501" s="47" t="s">
        <v>1383</v>
      </c>
      <c r="Z1501" s="351"/>
      <c r="AA1501" s="351"/>
      <c r="AB1501" s="99" t="s">
        <v>451</v>
      </c>
      <c r="AF1501" s="33" t="s">
        <v>1346</v>
      </c>
      <c r="AG1501" s="99" t="s">
        <v>115</v>
      </c>
      <c r="AH1501" s="138" t="s">
        <v>578</v>
      </c>
      <c r="AI1501" s="99" t="s">
        <v>1593</v>
      </c>
      <c r="AJ1501" s="145" t="s">
        <v>1615</v>
      </c>
      <c r="AK1501" s="99" t="s">
        <v>686</v>
      </c>
      <c r="AL1501" s="99" t="s">
        <v>133</v>
      </c>
      <c r="AM1501" s="99" t="s">
        <v>503</v>
      </c>
      <c r="AN1501" s="99" t="s">
        <v>1048</v>
      </c>
      <c r="AO1501" s="99" t="s">
        <v>1031</v>
      </c>
      <c r="AP1501" s="99" t="s">
        <v>503</v>
      </c>
      <c r="AQ1501" s="99" t="s">
        <v>1047</v>
      </c>
      <c r="AR1501" s="99" t="s">
        <v>1037</v>
      </c>
      <c r="AS1501" s="99" t="s">
        <v>503</v>
      </c>
      <c r="AT1501" s="99" t="s">
        <v>161</v>
      </c>
      <c r="AU1501" s="99">
        <v>4</v>
      </c>
      <c r="AW1501" s="99" t="s">
        <v>142</v>
      </c>
      <c r="BB1501" s="99" t="s">
        <v>1045</v>
      </c>
      <c r="BM1501" s="426">
        <v>1.38</v>
      </c>
      <c r="BN1501" s="426">
        <v>1.41</v>
      </c>
      <c r="BR1501" s="426">
        <v>1.95</v>
      </c>
      <c r="BS1501" s="426">
        <v>2.4</v>
      </c>
      <c r="BV1501" s="99" t="s">
        <v>619</v>
      </c>
      <c r="BW1501" s="99">
        <v>1900</v>
      </c>
      <c r="BX1501" s="99">
        <v>2300</v>
      </c>
      <c r="CA1501" s="99" t="s">
        <v>235</v>
      </c>
      <c r="CB1501" s="99">
        <v>33</v>
      </c>
      <c r="CC1501" s="99">
        <v>50.5</v>
      </c>
      <c r="CG1501" s="99">
        <v>97</v>
      </c>
      <c r="CH1501" s="99">
        <v>75</v>
      </c>
      <c r="CL1501" s="99">
        <v>6.5</v>
      </c>
      <c r="CM1501" s="99">
        <v>6.7</v>
      </c>
      <c r="DF1501" s="99">
        <v>887</v>
      </c>
      <c r="DG1501" s="99">
        <v>882</v>
      </c>
      <c r="DJ1501" s="99" t="s">
        <v>1050</v>
      </c>
      <c r="EY1501" s="99">
        <v>26</v>
      </c>
      <c r="EZ1501" s="99">
        <v>26</v>
      </c>
      <c r="FC1501" s="99" t="s">
        <v>165</v>
      </c>
      <c r="GR1501" s="99">
        <v>1380</v>
      </c>
      <c r="GS1501" s="99">
        <v>1820</v>
      </c>
      <c r="GV1501" s="99" t="s">
        <v>433</v>
      </c>
      <c r="GW1501" s="99">
        <v>17.100000000000001</v>
      </c>
      <c r="GX1501" s="99">
        <v>30.9</v>
      </c>
      <c r="IA1501" s="99">
        <f t="shared" si="253"/>
        <v>1.3080000000000001E-3</v>
      </c>
      <c r="IB1501" s="99">
        <v>1.14E-3</v>
      </c>
      <c r="IE1501" s="99" t="s">
        <v>1049</v>
      </c>
      <c r="IL1501" s="28">
        <v>99999</v>
      </c>
      <c r="IM1501" s="28">
        <v>99999</v>
      </c>
      <c r="IN1501" s="28"/>
      <c r="IO1501" s="33" t="s">
        <v>435</v>
      </c>
    </row>
    <row r="1502" spans="1:249" s="99" customFormat="1" x14ac:dyDescent="0.25">
      <c r="A1502" s="99">
        <v>68</v>
      </c>
      <c r="B1502" s="99" t="s">
        <v>1021</v>
      </c>
      <c r="C1502" s="99" t="s">
        <v>1022</v>
      </c>
      <c r="D1502" s="99">
        <v>2011</v>
      </c>
      <c r="E1502" s="99">
        <v>1995</v>
      </c>
      <c r="F1502" s="99" t="s">
        <v>303</v>
      </c>
      <c r="G1502" s="99" t="s">
        <v>1024</v>
      </c>
      <c r="H1502" s="32" t="s">
        <v>2831</v>
      </c>
      <c r="I1502" s="99">
        <f t="shared" si="248"/>
        <v>43.3</v>
      </c>
      <c r="J1502" s="99">
        <f t="shared" si="249"/>
        <v>-89.35</v>
      </c>
      <c r="K1502" s="99">
        <v>317.10000000000002</v>
      </c>
      <c r="Q1502" s="100" t="s">
        <v>1729</v>
      </c>
      <c r="R1502" s="47" t="s">
        <v>1984</v>
      </c>
      <c r="S1502" s="100" t="s">
        <v>866</v>
      </c>
      <c r="T1502" s="100" t="s">
        <v>1023</v>
      </c>
      <c r="U1502" s="100" t="s">
        <v>1418</v>
      </c>
      <c r="V1502" s="47" t="s">
        <v>1724</v>
      </c>
      <c r="W1502" s="47" t="s">
        <v>1398</v>
      </c>
      <c r="X1502" s="47" t="s">
        <v>1383</v>
      </c>
      <c r="Z1502" s="351"/>
      <c r="AA1502" s="351"/>
      <c r="AB1502" s="99" t="s">
        <v>451</v>
      </c>
      <c r="AF1502" s="33" t="s">
        <v>1346</v>
      </c>
      <c r="AG1502" s="99" t="s">
        <v>636</v>
      </c>
      <c r="AH1502" s="138" t="s">
        <v>636</v>
      </c>
      <c r="AI1502" s="99" t="s">
        <v>1593</v>
      </c>
      <c r="AJ1502" s="145" t="s">
        <v>1615</v>
      </c>
      <c r="AK1502" s="99" t="s">
        <v>686</v>
      </c>
      <c r="AL1502" s="99" t="s">
        <v>1611</v>
      </c>
      <c r="AM1502" s="99" t="s">
        <v>503</v>
      </c>
      <c r="AN1502" s="99" t="s">
        <v>1048</v>
      </c>
      <c r="AO1502" s="99" t="s">
        <v>1031</v>
      </c>
      <c r="AP1502" s="99" t="s">
        <v>503</v>
      </c>
      <c r="AQ1502" s="99" t="s">
        <v>1047</v>
      </c>
      <c r="AR1502" s="99" t="s">
        <v>1038</v>
      </c>
      <c r="AS1502" s="99" t="s">
        <v>503</v>
      </c>
      <c r="AT1502" s="99" t="s">
        <v>161</v>
      </c>
      <c r="AU1502" s="99">
        <v>4</v>
      </c>
      <c r="AW1502" s="99" t="s">
        <v>142</v>
      </c>
      <c r="BB1502" s="99" t="s">
        <v>1046</v>
      </c>
      <c r="BM1502" s="426">
        <v>1.38</v>
      </c>
      <c r="BN1502" s="426">
        <v>1.42</v>
      </c>
      <c r="BR1502" s="426">
        <v>1.95</v>
      </c>
      <c r="BS1502" s="426">
        <v>2.2400000000000002</v>
      </c>
      <c r="BV1502" s="99" t="s">
        <v>619</v>
      </c>
      <c r="BW1502" s="99">
        <v>1900</v>
      </c>
      <c r="BX1502" s="99">
        <v>2100</v>
      </c>
      <c r="CA1502" s="99" t="s">
        <v>235</v>
      </c>
      <c r="CB1502" s="99">
        <v>33</v>
      </c>
      <c r="CC1502" s="99">
        <v>36</v>
      </c>
      <c r="CG1502" s="99">
        <v>97</v>
      </c>
      <c r="CH1502" s="99">
        <v>75</v>
      </c>
      <c r="CL1502" s="99">
        <v>6.5</v>
      </c>
      <c r="CM1502" s="99">
        <v>6.5</v>
      </c>
      <c r="DF1502" s="99">
        <v>887</v>
      </c>
      <c r="DG1502" s="99">
        <v>873</v>
      </c>
      <c r="DJ1502" s="99" t="s">
        <v>1050</v>
      </c>
      <c r="EY1502" s="99">
        <v>26</v>
      </c>
      <c r="EZ1502" s="99">
        <v>23</v>
      </c>
      <c r="FC1502" s="99" t="s">
        <v>165</v>
      </c>
      <c r="GR1502" s="99">
        <v>1380</v>
      </c>
      <c r="GS1502" s="99">
        <v>1380</v>
      </c>
      <c r="GV1502" s="99" t="s">
        <v>433</v>
      </c>
      <c r="GW1502" s="99">
        <v>17.100000000000001</v>
      </c>
      <c r="GX1502" s="99">
        <v>24.4</v>
      </c>
      <c r="IA1502" s="99">
        <f>109*0.000012</f>
        <v>1.3080000000000001E-3</v>
      </c>
      <c r="IB1502" s="99">
        <v>2.3159999999999999E-3</v>
      </c>
      <c r="IE1502" s="99" t="s">
        <v>1049</v>
      </c>
      <c r="IL1502" s="28">
        <v>99999</v>
      </c>
      <c r="IM1502" s="28">
        <v>99999</v>
      </c>
      <c r="IN1502" s="28"/>
      <c r="IO1502" s="33" t="s">
        <v>435</v>
      </c>
    </row>
    <row r="1503" spans="1:249" s="21" customFormat="1" x14ac:dyDescent="0.25">
      <c r="A1503" s="21">
        <v>68</v>
      </c>
      <c r="B1503" s="21" t="s">
        <v>1021</v>
      </c>
      <c r="C1503" s="21" t="s">
        <v>1022</v>
      </c>
      <c r="D1503" s="21">
        <v>2011</v>
      </c>
      <c r="E1503" s="21">
        <v>1995</v>
      </c>
      <c r="F1503" s="21" t="s">
        <v>419</v>
      </c>
      <c r="G1503" s="21" t="s">
        <v>1467</v>
      </c>
      <c r="H1503" s="32" t="s">
        <v>2831</v>
      </c>
      <c r="I1503" s="21">
        <v>43.3</v>
      </c>
      <c r="J1503" s="21">
        <v>-89.35</v>
      </c>
      <c r="K1503" s="21">
        <v>317.10000000000002</v>
      </c>
      <c r="Q1503" s="43" t="s">
        <v>1729</v>
      </c>
      <c r="R1503" s="43" t="s">
        <v>1984</v>
      </c>
      <c r="S1503" s="43" t="s">
        <v>866</v>
      </c>
      <c r="T1503" s="43" t="s">
        <v>1023</v>
      </c>
      <c r="U1503" s="43" t="s">
        <v>1398</v>
      </c>
      <c r="V1503" s="43" t="s">
        <v>1729</v>
      </c>
      <c r="W1503" s="43" t="s">
        <v>1398</v>
      </c>
      <c r="X1503" s="43" t="s">
        <v>1383</v>
      </c>
      <c r="Z1503" s="322"/>
      <c r="AA1503" s="322"/>
      <c r="AB1503" s="21" t="s">
        <v>451</v>
      </c>
      <c r="AF1503" s="21" t="s">
        <v>1346</v>
      </c>
      <c r="AG1503" s="21" t="s">
        <v>115</v>
      </c>
      <c r="AH1503" s="138" t="s">
        <v>578</v>
      </c>
      <c r="AI1503" s="21" t="s">
        <v>1596</v>
      </c>
      <c r="AJ1503" s="141" t="s">
        <v>1615</v>
      </c>
      <c r="AN1503" s="21" t="s">
        <v>488</v>
      </c>
      <c r="AO1503" s="21" t="s">
        <v>488</v>
      </c>
      <c r="AP1503" s="21" t="s">
        <v>178</v>
      </c>
      <c r="AT1503" s="21" t="s">
        <v>161</v>
      </c>
      <c r="AU1503" s="21">
        <v>4</v>
      </c>
      <c r="AW1503" s="21" t="s">
        <v>142</v>
      </c>
      <c r="BM1503" s="396">
        <v>1.32</v>
      </c>
      <c r="BN1503" s="396">
        <v>1.37</v>
      </c>
      <c r="BR1503" s="396">
        <v>2.5</v>
      </c>
      <c r="BS1503" s="396">
        <v>2.59</v>
      </c>
      <c r="BV1503" s="21" t="s">
        <v>619</v>
      </c>
      <c r="BW1503" s="21">
        <f>2.43*100</f>
        <v>243.00000000000003</v>
      </c>
      <c r="BX1503" s="21">
        <f>2.68*100</f>
        <v>268</v>
      </c>
      <c r="CA1503" s="21" t="s">
        <v>235</v>
      </c>
      <c r="CB1503" s="21">
        <v>61.5</v>
      </c>
      <c r="CC1503" s="21">
        <v>72.8</v>
      </c>
      <c r="CG1503" s="21">
        <v>135</v>
      </c>
      <c r="CH1503" s="21">
        <v>231</v>
      </c>
      <c r="CL1503" s="21">
        <v>6.9</v>
      </c>
      <c r="CM1503" s="21">
        <v>6.6</v>
      </c>
      <c r="DF1503" s="21">
        <v>817</v>
      </c>
      <c r="DG1503" s="21">
        <v>801</v>
      </c>
      <c r="DJ1503" s="21" t="s">
        <v>1468</v>
      </c>
      <c r="DP1503" s="21">
        <v>0.71</v>
      </c>
      <c r="DQ1503" s="21">
        <v>1.53</v>
      </c>
      <c r="EY1503" s="21">
        <v>28</v>
      </c>
      <c r="EZ1503" s="21">
        <v>23</v>
      </c>
      <c r="FC1503" s="21" t="s">
        <v>165</v>
      </c>
      <c r="GR1503" s="21">
        <v>1880</v>
      </c>
      <c r="GS1503" s="21">
        <v>1900</v>
      </c>
      <c r="GW1503" s="21">
        <v>37.4</v>
      </c>
      <c r="GX1503" s="21">
        <v>36.799999999999997</v>
      </c>
      <c r="IA1503" s="21">
        <f>0.000012*250</f>
        <v>3.0000000000000001E-3</v>
      </c>
      <c r="IB1503" s="21">
        <f>0.000012*181</f>
        <v>2.1719999999999999E-3</v>
      </c>
      <c r="IE1503" s="21" t="s">
        <v>1049</v>
      </c>
      <c r="IL1503" s="21">
        <v>99999</v>
      </c>
      <c r="IM1503" s="21">
        <v>99999</v>
      </c>
      <c r="IO1503" s="21" t="s">
        <v>435</v>
      </c>
    </row>
    <row r="1504" spans="1:249" s="21" customFormat="1" x14ac:dyDescent="0.25">
      <c r="A1504" s="21">
        <v>68</v>
      </c>
      <c r="B1504" s="21" t="s">
        <v>1021</v>
      </c>
      <c r="C1504" s="21" t="s">
        <v>1022</v>
      </c>
      <c r="D1504" s="21">
        <v>2011</v>
      </c>
      <c r="E1504" s="21">
        <v>1995</v>
      </c>
      <c r="F1504" s="21" t="s">
        <v>419</v>
      </c>
      <c r="G1504" s="21" t="s">
        <v>1467</v>
      </c>
      <c r="H1504" s="32" t="s">
        <v>2831</v>
      </c>
      <c r="I1504" s="21">
        <v>43.3</v>
      </c>
      <c r="J1504" s="21">
        <v>-89.35</v>
      </c>
      <c r="K1504" s="21">
        <v>317.10000000000002</v>
      </c>
      <c r="Q1504" s="43" t="s">
        <v>1729</v>
      </c>
      <c r="R1504" s="43" t="s">
        <v>1984</v>
      </c>
      <c r="S1504" s="43" t="s">
        <v>866</v>
      </c>
      <c r="T1504" s="43" t="s">
        <v>1745</v>
      </c>
      <c r="U1504" s="43" t="s">
        <v>1398</v>
      </c>
      <c r="V1504" s="43" t="s">
        <v>1729</v>
      </c>
      <c r="W1504" s="43" t="s">
        <v>1398</v>
      </c>
      <c r="X1504" s="43" t="s">
        <v>1383</v>
      </c>
      <c r="Z1504" s="322"/>
      <c r="AA1504" s="322"/>
      <c r="AB1504" s="21" t="s">
        <v>451</v>
      </c>
      <c r="AF1504" s="21" t="s">
        <v>1346</v>
      </c>
      <c r="AG1504" s="21" t="s">
        <v>115</v>
      </c>
      <c r="AH1504" s="138" t="s">
        <v>578</v>
      </c>
      <c r="AI1504" s="21" t="s">
        <v>1597</v>
      </c>
      <c r="AJ1504" s="141" t="s">
        <v>1615</v>
      </c>
      <c r="AN1504" s="21" t="s">
        <v>488</v>
      </c>
      <c r="AO1504" s="21" t="s">
        <v>488</v>
      </c>
      <c r="AP1504" s="21" t="s">
        <v>178</v>
      </c>
      <c r="AT1504" s="21" t="s">
        <v>161</v>
      </c>
      <c r="AU1504" s="21">
        <v>4</v>
      </c>
      <c r="AW1504" s="21" t="s">
        <v>142</v>
      </c>
      <c r="BM1504" s="396">
        <v>1.1299999999999999</v>
      </c>
      <c r="BN1504" s="396">
        <v>1.32</v>
      </c>
      <c r="BR1504" s="396">
        <v>2.39</v>
      </c>
      <c r="BS1504" s="396">
        <v>2.39</v>
      </c>
      <c r="BV1504" s="21" t="s">
        <v>619</v>
      </c>
      <c r="BW1504" s="21">
        <f>2.3*100</f>
        <v>229.99999999999997</v>
      </c>
      <c r="BX1504" s="21">
        <f>2.4*100</f>
        <v>240</v>
      </c>
      <c r="CA1504" s="21" t="s">
        <v>235</v>
      </c>
      <c r="CB1504" s="21">
        <v>58.6</v>
      </c>
      <c r="CC1504" s="21">
        <v>56.3</v>
      </c>
      <c r="CG1504" s="21">
        <v>145</v>
      </c>
      <c r="CH1504" s="21">
        <v>173</v>
      </c>
      <c r="CL1504" s="21">
        <v>6.8</v>
      </c>
      <c r="CM1504" s="21">
        <v>6.7</v>
      </c>
      <c r="DF1504" s="21">
        <v>766</v>
      </c>
      <c r="DG1504" s="21">
        <v>829</v>
      </c>
      <c r="DJ1504" s="21" t="s">
        <v>1468</v>
      </c>
      <c r="DP1504" s="21">
        <v>0.49</v>
      </c>
      <c r="DQ1504" s="21">
        <v>1.32</v>
      </c>
      <c r="EY1504" s="21">
        <v>28</v>
      </c>
      <c r="EZ1504" s="21">
        <v>26</v>
      </c>
      <c r="FC1504" s="21" t="s">
        <v>165</v>
      </c>
      <c r="GR1504" s="21">
        <v>1810</v>
      </c>
      <c r="GS1504" s="21">
        <v>1890</v>
      </c>
      <c r="GW1504" s="21">
        <v>31.2</v>
      </c>
      <c r="GX1504" s="21">
        <v>37.9</v>
      </c>
      <c r="IA1504" s="21">
        <f>0.000012*170</f>
        <v>2.0400000000000001E-3</v>
      </c>
      <c r="IB1504" s="21">
        <f>0.000012*204</f>
        <v>2.4480000000000001E-3</v>
      </c>
      <c r="IE1504" s="21" t="s">
        <v>1748</v>
      </c>
      <c r="IL1504" s="21">
        <v>99999</v>
      </c>
      <c r="IM1504" s="21">
        <v>99999</v>
      </c>
      <c r="IO1504" s="21" t="s">
        <v>435</v>
      </c>
    </row>
    <row r="1505" spans="1:250" s="21" customFormat="1" x14ac:dyDescent="0.25">
      <c r="A1505" s="21">
        <v>68</v>
      </c>
      <c r="B1505" s="21" t="s">
        <v>1021</v>
      </c>
      <c r="C1505" s="21" t="s">
        <v>1022</v>
      </c>
      <c r="D1505" s="21">
        <v>2011</v>
      </c>
      <c r="E1505" s="21">
        <v>1995</v>
      </c>
      <c r="F1505" s="21" t="s">
        <v>419</v>
      </c>
      <c r="G1505" s="21" t="s">
        <v>1467</v>
      </c>
      <c r="H1505" s="32" t="s">
        <v>2831</v>
      </c>
      <c r="I1505" s="21">
        <v>43.3</v>
      </c>
      <c r="J1505" s="21">
        <v>-89.35</v>
      </c>
      <c r="K1505" s="21">
        <v>317.10000000000002</v>
      </c>
      <c r="Q1505" s="43" t="s">
        <v>1729</v>
      </c>
      <c r="R1505" s="43" t="s">
        <v>1984</v>
      </c>
      <c r="S1505" s="43" t="s">
        <v>866</v>
      </c>
      <c r="T1505" s="43" t="s">
        <v>1746</v>
      </c>
      <c r="U1505" s="43" t="s">
        <v>1418</v>
      </c>
      <c r="V1505" s="43" t="s">
        <v>1724</v>
      </c>
      <c r="W1505" s="43" t="s">
        <v>1398</v>
      </c>
      <c r="X1505" s="43" t="s">
        <v>1383</v>
      </c>
      <c r="Z1505" s="322"/>
      <c r="AA1505" s="322"/>
      <c r="AB1505" s="21" t="s">
        <v>451</v>
      </c>
      <c r="AF1505" s="21" t="s">
        <v>1346</v>
      </c>
      <c r="AG1505" s="21" t="s">
        <v>115</v>
      </c>
      <c r="AH1505" s="138" t="s">
        <v>578</v>
      </c>
      <c r="AI1505" s="21" t="s">
        <v>1596</v>
      </c>
      <c r="AJ1505" s="141" t="s">
        <v>1615</v>
      </c>
      <c r="AN1505" s="21" t="s">
        <v>488</v>
      </c>
      <c r="AO1505" s="21" t="s">
        <v>488</v>
      </c>
      <c r="AP1505" s="21" t="s">
        <v>178</v>
      </c>
      <c r="AT1505" s="21" t="s">
        <v>161</v>
      </c>
      <c r="AU1505" s="21">
        <v>4</v>
      </c>
      <c r="AW1505" s="21" t="s">
        <v>142</v>
      </c>
      <c r="BM1505" s="396">
        <v>1.48</v>
      </c>
      <c r="BN1505" s="396">
        <v>1.37</v>
      </c>
      <c r="BR1505" s="396">
        <v>2.11</v>
      </c>
      <c r="BS1505" s="396">
        <v>2.2000000000000002</v>
      </c>
      <c r="BV1505" s="21" t="s">
        <v>619</v>
      </c>
      <c r="BW1505" s="21">
        <v>210</v>
      </c>
      <c r="BX1505" s="21">
        <v>220</v>
      </c>
      <c r="CA1505" s="21" t="s">
        <v>235</v>
      </c>
      <c r="CB1505" s="21">
        <v>40.799999999999997</v>
      </c>
      <c r="CC1505" s="21">
        <v>50</v>
      </c>
      <c r="CG1505" s="21">
        <v>72</v>
      </c>
      <c r="CH1505" s="21">
        <v>83</v>
      </c>
      <c r="CL1505" s="21">
        <v>6.8</v>
      </c>
      <c r="CM1505" s="21">
        <v>6.6</v>
      </c>
      <c r="DF1505" s="21">
        <v>857</v>
      </c>
      <c r="DG1505" s="21">
        <v>842</v>
      </c>
      <c r="DJ1505" s="21" t="s">
        <v>1468</v>
      </c>
      <c r="DP1505" s="21">
        <v>0.91</v>
      </c>
      <c r="DQ1505" s="21">
        <v>1.49</v>
      </c>
      <c r="EY1505" s="21">
        <v>26</v>
      </c>
      <c r="EZ1505" s="21">
        <v>25</v>
      </c>
      <c r="FC1505" s="21" t="s">
        <v>165</v>
      </c>
      <c r="GR1505" s="21">
        <v>1610</v>
      </c>
      <c r="GS1505" s="21">
        <v>1540</v>
      </c>
      <c r="GW1505" s="21">
        <v>23.3</v>
      </c>
      <c r="GX1505" s="21">
        <v>25.9</v>
      </c>
      <c r="IA1505" s="21">
        <f>0.000012*144</f>
        <v>1.7279999999999999E-3</v>
      </c>
      <c r="IB1505" s="21">
        <f>0.000012*114</f>
        <v>1.3680000000000001E-3</v>
      </c>
      <c r="IE1505" s="21" t="s">
        <v>1749</v>
      </c>
      <c r="IL1505" s="21">
        <v>99999</v>
      </c>
      <c r="IM1505" s="21">
        <v>99999</v>
      </c>
      <c r="IO1505" s="21" t="s">
        <v>435</v>
      </c>
    </row>
    <row r="1506" spans="1:250" s="21" customFormat="1" x14ac:dyDescent="0.25">
      <c r="A1506" s="21">
        <v>68</v>
      </c>
      <c r="B1506" s="21" t="s">
        <v>1021</v>
      </c>
      <c r="C1506" s="21" t="s">
        <v>1022</v>
      </c>
      <c r="D1506" s="21">
        <v>2011</v>
      </c>
      <c r="E1506" s="21">
        <v>1995</v>
      </c>
      <c r="F1506" s="21" t="s">
        <v>419</v>
      </c>
      <c r="G1506" s="21" t="s">
        <v>1467</v>
      </c>
      <c r="H1506" s="32" t="s">
        <v>2831</v>
      </c>
      <c r="I1506" s="21">
        <v>43.3</v>
      </c>
      <c r="J1506" s="21">
        <v>-89.35</v>
      </c>
      <c r="K1506" s="21">
        <v>317.10000000000002</v>
      </c>
      <c r="Q1506" s="43" t="s">
        <v>1729</v>
      </c>
      <c r="R1506" s="43" t="s">
        <v>1984</v>
      </c>
      <c r="S1506" s="43" t="s">
        <v>866</v>
      </c>
      <c r="T1506" s="43" t="s">
        <v>1747</v>
      </c>
      <c r="U1506" s="43" t="s">
        <v>1418</v>
      </c>
      <c r="V1506" s="43" t="s">
        <v>1724</v>
      </c>
      <c r="W1506" s="43" t="s">
        <v>1398</v>
      </c>
      <c r="X1506" s="43" t="s">
        <v>1383</v>
      </c>
      <c r="Z1506" s="322"/>
      <c r="AA1506" s="322"/>
      <c r="AB1506" s="21" t="s">
        <v>451</v>
      </c>
      <c r="AF1506" s="21" t="s">
        <v>1346</v>
      </c>
      <c r="AG1506" s="21" t="s">
        <v>115</v>
      </c>
      <c r="AH1506" s="138" t="s">
        <v>578</v>
      </c>
      <c r="AI1506" s="21" t="s">
        <v>1597</v>
      </c>
      <c r="AJ1506" s="141" t="s">
        <v>1615</v>
      </c>
      <c r="AN1506" s="21" t="s">
        <v>488</v>
      </c>
      <c r="AO1506" s="21" t="s">
        <v>488</v>
      </c>
      <c r="AP1506" s="21" t="s">
        <v>178</v>
      </c>
      <c r="AT1506" s="21" t="s">
        <v>161</v>
      </c>
      <c r="AU1506" s="21">
        <v>4</v>
      </c>
      <c r="AW1506" s="21" t="s">
        <v>142</v>
      </c>
      <c r="BM1506" s="396">
        <v>1.37</v>
      </c>
      <c r="BN1506" s="396">
        <v>1.41</v>
      </c>
      <c r="BR1506" s="396">
        <v>2.2999999999999998</v>
      </c>
      <c r="BS1506" s="396">
        <v>2.4</v>
      </c>
      <c r="BV1506" s="21" t="s">
        <v>619</v>
      </c>
      <c r="BW1506" s="21">
        <v>230</v>
      </c>
      <c r="BX1506" s="21">
        <v>230</v>
      </c>
      <c r="CA1506" s="21" t="s">
        <v>235</v>
      </c>
      <c r="CB1506" s="21">
        <v>46.8</v>
      </c>
      <c r="CC1506" s="21">
        <v>50.5</v>
      </c>
      <c r="CG1506" s="21">
        <v>79</v>
      </c>
      <c r="CH1506" s="21">
        <v>75</v>
      </c>
      <c r="CL1506" s="21">
        <v>6.8</v>
      </c>
      <c r="CM1506" s="21">
        <v>6.7</v>
      </c>
      <c r="DF1506" s="21">
        <v>851</v>
      </c>
      <c r="DG1506" s="21">
        <v>882</v>
      </c>
      <c r="DJ1506" s="21" t="s">
        <v>1468</v>
      </c>
      <c r="DP1506" s="21">
        <v>1.02</v>
      </c>
      <c r="DQ1506" s="21">
        <v>1.75</v>
      </c>
      <c r="EY1506" s="21">
        <v>26</v>
      </c>
      <c r="EZ1506" s="21">
        <v>26</v>
      </c>
      <c r="FC1506" s="21" t="s">
        <v>165</v>
      </c>
      <c r="GR1506" s="21">
        <v>1840</v>
      </c>
      <c r="GS1506" s="21">
        <v>1820</v>
      </c>
      <c r="GW1506" s="21">
        <v>29.8</v>
      </c>
      <c r="GX1506" s="21">
        <v>30.9</v>
      </c>
      <c r="IA1506" s="21">
        <f>0.000012*134</f>
        <v>1.6080000000000001E-3</v>
      </c>
      <c r="IB1506" s="21">
        <f>0.000012*95</f>
        <v>1.14E-3</v>
      </c>
      <c r="IE1506" s="21" t="s">
        <v>1750</v>
      </c>
      <c r="IL1506" s="21">
        <v>99999</v>
      </c>
      <c r="IM1506" s="21">
        <v>99999</v>
      </c>
      <c r="IO1506" s="21" t="s">
        <v>435</v>
      </c>
    </row>
    <row r="1507" spans="1:250" s="24" customFormat="1" x14ac:dyDescent="0.25">
      <c r="A1507" s="24">
        <v>69</v>
      </c>
      <c r="B1507" s="24" t="s">
        <v>1051</v>
      </c>
      <c r="C1507" s="24" t="s">
        <v>1052</v>
      </c>
      <c r="D1507" s="24">
        <v>2000</v>
      </c>
      <c r="E1507" s="24">
        <v>1995</v>
      </c>
      <c r="F1507" s="24" t="s">
        <v>330</v>
      </c>
      <c r="G1507" s="24" t="s">
        <v>1053</v>
      </c>
      <c r="H1507" s="32" t="s">
        <v>2831</v>
      </c>
      <c r="I1507" s="24">
        <v>41.15</v>
      </c>
      <c r="J1507" s="24">
        <v>-96.5</v>
      </c>
      <c r="K1507" s="24">
        <v>346.8</v>
      </c>
      <c r="Q1507" s="42" t="s">
        <v>1856</v>
      </c>
      <c r="R1507" s="42" t="s">
        <v>1735</v>
      </c>
      <c r="S1507" s="42"/>
      <c r="T1507" s="42" t="s">
        <v>2008</v>
      </c>
      <c r="U1507" s="42" t="s">
        <v>1386</v>
      </c>
      <c r="V1507" s="42" t="s">
        <v>1724</v>
      </c>
      <c r="W1507" s="42" t="s">
        <v>1386</v>
      </c>
      <c r="X1507" s="42" t="s">
        <v>1386</v>
      </c>
      <c r="Y1507" s="24">
        <v>1.28</v>
      </c>
      <c r="Z1507" s="321"/>
      <c r="AA1507" s="321"/>
      <c r="AB1507" s="24" t="s">
        <v>1054</v>
      </c>
      <c r="AC1507" s="24">
        <v>6.3</v>
      </c>
      <c r="AD1507" s="24">
        <v>2.6</v>
      </c>
      <c r="AF1507" s="24" t="s">
        <v>1356</v>
      </c>
      <c r="AG1507" s="24" t="s">
        <v>1055</v>
      </c>
      <c r="AH1507" s="138" t="s">
        <v>132</v>
      </c>
      <c r="AI1507" s="24" t="s">
        <v>159</v>
      </c>
      <c r="AJ1507" s="140" t="s">
        <v>159</v>
      </c>
      <c r="AT1507" s="24" t="s">
        <v>161</v>
      </c>
      <c r="AU1507" s="24">
        <v>3</v>
      </c>
      <c r="AW1507" s="24" t="s">
        <v>142</v>
      </c>
      <c r="AY1507" s="24">
        <v>3170</v>
      </c>
      <c r="BA1507" s="24" t="s">
        <v>1058</v>
      </c>
      <c r="BB1507" s="24" t="s">
        <v>1056</v>
      </c>
      <c r="BH1507" s="24">
        <v>2150</v>
      </c>
      <c r="BI1507" s="24">
        <v>2160</v>
      </c>
      <c r="BM1507" s="395"/>
      <c r="BN1507" s="395"/>
      <c r="BR1507" s="395"/>
      <c r="BS1507" s="395"/>
      <c r="ET1507" s="24">
        <v>29.66</v>
      </c>
      <c r="EU1507" s="24">
        <v>27</v>
      </c>
      <c r="EY1507" s="24">
        <f>27.05/1.28</f>
        <v>21.1328125</v>
      </c>
      <c r="EZ1507" s="24">
        <f>25.62/1.28</f>
        <v>20.015625</v>
      </c>
      <c r="FC1507" s="24" t="s">
        <v>1077</v>
      </c>
      <c r="IO1507" s="24" t="s">
        <v>1061</v>
      </c>
    </row>
    <row r="1508" spans="1:250" s="24" customFormat="1" x14ac:dyDescent="0.25">
      <c r="A1508" s="24">
        <v>69</v>
      </c>
      <c r="B1508" s="24" t="s">
        <v>1051</v>
      </c>
      <c r="C1508" s="24" t="s">
        <v>1052</v>
      </c>
      <c r="D1508" s="24">
        <v>2000</v>
      </c>
      <c r="E1508" s="24">
        <v>1995</v>
      </c>
      <c r="F1508" s="24" t="s">
        <v>330</v>
      </c>
      <c r="G1508" s="24" t="s">
        <v>1053</v>
      </c>
      <c r="H1508" s="32" t="s">
        <v>2831</v>
      </c>
      <c r="I1508" s="24">
        <v>41.15</v>
      </c>
      <c r="J1508" s="24">
        <v>-96.5</v>
      </c>
      <c r="K1508" s="24">
        <v>346.8</v>
      </c>
      <c r="Q1508" s="42" t="s">
        <v>1856</v>
      </c>
      <c r="R1508" s="42" t="s">
        <v>1735</v>
      </c>
      <c r="S1508" s="42"/>
      <c r="T1508" s="42" t="s">
        <v>2008</v>
      </c>
      <c r="U1508" s="42" t="s">
        <v>1386</v>
      </c>
      <c r="V1508" s="42" t="s">
        <v>1724</v>
      </c>
      <c r="W1508" s="42" t="s">
        <v>1386</v>
      </c>
      <c r="X1508" s="42" t="s">
        <v>1386</v>
      </c>
      <c r="Y1508" s="24">
        <v>1.28</v>
      </c>
      <c r="Z1508" s="321"/>
      <c r="AA1508" s="321"/>
      <c r="AB1508" s="24" t="s">
        <v>1054</v>
      </c>
      <c r="AC1508" s="24">
        <v>6.3</v>
      </c>
      <c r="AD1508" s="24">
        <v>2.6</v>
      </c>
      <c r="AF1508" s="24" t="s">
        <v>1356</v>
      </c>
      <c r="AG1508" s="24" t="s">
        <v>132</v>
      </c>
      <c r="AH1508" s="138" t="s">
        <v>132</v>
      </c>
      <c r="AI1508" s="24" t="s">
        <v>159</v>
      </c>
      <c r="AJ1508" s="140" t="s">
        <v>159</v>
      </c>
      <c r="AT1508" s="24" t="s">
        <v>161</v>
      </c>
      <c r="AU1508" s="24">
        <v>3</v>
      </c>
      <c r="AW1508" s="24" t="s">
        <v>142</v>
      </c>
      <c r="AY1508" s="24">
        <v>6310</v>
      </c>
      <c r="BA1508" s="24" t="s">
        <v>1058</v>
      </c>
      <c r="BB1508" s="24" t="s">
        <v>1056</v>
      </c>
      <c r="BH1508" s="24">
        <v>2150</v>
      </c>
      <c r="BI1508" s="24">
        <v>1910</v>
      </c>
      <c r="BM1508" s="395"/>
      <c r="BN1508" s="395"/>
      <c r="BR1508" s="395"/>
      <c r="BS1508" s="395"/>
      <c r="EY1508" s="24">
        <f t="shared" ref="EY1508:EY1510" si="254">27.05/1.28</f>
        <v>21.1328125</v>
      </c>
      <c r="EZ1508" s="24">
        <f>30.54/1.28</f>
        <v>23.859375</v>
      </c>
      <c r="FC1508" s="24" t="s">
        <v>1077</v>
      </c>
      <c r="IO1508" s="24" t="s">
        <v>1061</v>
      </c>
    </row>
    <row r="1509" spans="1:250" s="24" customFormat="1" x14ac:dyDescent="0.25">
      <c r="A1509" s="24">
        <v>69</v>
      </c>
      <c r="B1509" s="24" t="s">
        <v>1051</v>
      </c>
      <c r="C1509" s="24" t="s">
        <v>1052</v>
      </c>
      <c r="D1509" s="24">
        <v>2000</v>
      </c>
      <c r="E1509" s="24">
        <v>1995</v>
      </c>
      <c r="F1509" s="24" t="s">
        <v>330</v>
      </c>
      <c r="G1509" s="24" t="s">
        <v>1053</v>
      </c>
      <c r="H1509" s="32" t="s">
        <v>2831</v>
      </c>
      <c r="I1509" s="24">
        <v>41.15</v>
      </c>
      <c r="J1509" s="24">
        <v>-96.5</v>
      </c>
      <c r="K1509" s="24">
        <v>346.8</v>
      </c>
      <c r="Q1509" s="42" t="s">
        <v>1856</v>
      </c>
      <c r="R1509" s="42" t="s">
        <v>1735</v>
      </c>
      <c r="S1509" s="42"/>
      <c r="T1509" s="42" t="s">
        <v>2008</v>
      </c>
      <c r="U1509" s="42" t="s">
        <v>1386</v>
      </c>
      <c r="V1509" s="42" t="s">
        <v>1724</v>
      </c>
      <c r="W1509" s="42" t="s">
        <v>1386</v>
      </c>
      <c r="X1509" s="42" t="s">
        <v>1386</v>
      </c>
      <c r="Y1509" s="24">
        <v>1.28</v>
      </c>
      <c r="Z1509" s="321"/>
      <c r="AA1509" s="321"/>
      <c r="AB1509" s="24" t="s">
        <v>1054</v>
      </c>
      <c r="AC1509" s="24">
        <v>6.3</v>
      </c>
      <c r="AD1509" s="24">
        <v>2.6</v>
      </c>
      <c r="AF1509" s="24" t="s">
        <v>1356</v>
      </c>
      <c r="AG1509" s="24" t="s">
        <v>792</v>
      </c>
      <c r="AH1509" s="138" t="s">
        <v>1585</v>
      </c>
      <c r="AI1509" s="24" t="s">
        <v>159</v>
      </c>
      <c r="AJ1509" s="140" t="s">
        <v>159</v>
      </c>
      <c r="AT1509" s="24" t="s">
        <v>161</v>
      </c>
      <c r="AU1509" s="24">
        <v>3</v>
      </c>
      <c r="AW1509" s="24" t="s">
        <v>142</v>
      </c>
      <c r="AY1509" s="24">
        <v>7160</v>
      </c>
      <c r="BA1509" s="24" t="s">
        <v>1058</v>
      </c>
      <c r="BB1509" s="24" t="s">
        <v>1056</v>
      </c>
      <c r="BH1509" s="24">
        <v>2150</v>
      </c>
      <c r="BI1509" s="24">
        <v>2200</v>
      </c>
      <c r="BM1509" s="395"/>
      <c r="BN1509" s="395"/>
      <c r="BR1509" s="395"/>
      <c r="BS1509" s="395"/>
      <c r="EY1509" s="24">
        <f t="shared" si="254"/>
        <v>21.1328125</v>
      </c>
      <c r="EZ1509" s="24">
        <f>28.9/1.28</f>
        <v>22.578125</v>
      </c>
      <c r="FC1509" s="24" t="s">
        <v>1077</v>
      </c>
      <c r="IO1509" s="24" t="s">
        <v>1061</v>
      </c>
    </row>
    <row r="1510" spans="1:250" s="24" customFormat="1" x14ac:dyDescent="0.25">
      <c r="A1510" s="24">
        <v>69</v>
      </c>
      <c r="B1510" s="24" t="s">
        <v>1051</v>
      </c>
      <c r="C1510" s="24" t="s">
        <v>1052</v>
      </c>
      <c r="D1510" s="24">
        <v>2000</v>
      </c>
      <c r="E1510" s="24">
        <v>1995</v>
      </c>
      <c r="F1510" s="24" t="s">
        <v>330</v>
      </c>
      <c r="G1510" s="24" t="s">
        <v>1053</v>
      </c>
      <c r="H1510" s="32" t="s">
        <v>2831</v>
      </c>
      <c r="I1510" s="24">
        <v>41.15</v>
      </c>
      <c r="J1510" s="24">
        <v>-96.5</v>
      </c>
      <c r="K1510" s="24">
        <v>346.8</v>
      </c>
      <c r="Q1510" s="42" t="s">
        <v>1856</v>
      </c>
      <c r="R1510" s="42" t="s">
        <v>1735</v>
      </c>
      <c r="S1510" s="42"/>
      <c r="T1510" s="42" t="s">
        <v>2008</v>
      </c>
      <c r="U1510" s="42" t="s">
        <v>1386</v>
      </c>
      <c r="V1510" s="42" t="s">
        <v>1724</v>
      </c>
      <c r="W1510" s="42" t="s">
        <v>1386</v>
      </c>
      <c r="X1510" s="42" t="s">
        <v>1386</v>
      </c>
      <c r="Y1510" s="24">
        <v>1.28</v>
      </c>
      <c r="Z1510" s="321"/>
      <c r="AA1510" s="321"/>
      <c r="AB1510" s="24" t="s">
        <v>1054</v>
      </c>
      <c r="AC1510" s="24">
        <v>6.3</v>
      </c>
      <c r="AD1510" s="24">
        <v>2.6</v>
      </c>
      <c r="AF1510" s="24" t="s">
        <v>1356</v>
      </c>
      <c r="AG1510" s="24" t="s">
        <v>117</v>
      </c>
      <c r="AH1510" s="138" t="s">
        <v>1585</v>
      </c>
      <c r="AI1510" s="24" t="s">
        <v>159</v>
      </c>
      <c r="AJ1510" s="140" t="s">
        <v>159</v>
      </c>
      <c r="AT1510" s="24" t="s">
        <v>161</v>
      </c>
      <c r="AU1510" s="24">
        <v>3</v>
      </c>
      <c r="AW1510" s="24" t="s">
        <v>142</v>
      </c>
      <c r="AY1510" s="24">
        <v>6710</v>
      </c>
      <c r="BA1510" s="24" t="s">
        <v>1058</v>
      </c>
      <c r="BB1510" s="24" t="s">
        <v>1056</v>
      </c>
      <c r="BH1510" s="24">
        <v>2150</v>
      </c>
      <c r="BI1510" s="24">
        <v>2330</v>
      </c>
      <c r="BM1510" s="395"/>
      <c r="BN1510" s="395"/>
      <c r="BR1510" s="395"/>
      <c r="BS1510" s="395"/>
      <c r="EY1510" s="24">
        <f t="shared" si="254"/>
        <v>21.1328125</v>
      </c>
      <c r="EZ1510" s="24">
        <f>28.9/1.28</f>
        <v>22.578125</v>
      </c>
      <c r="FC1510" s="24" t="s">
        <v>1077</v>
      </c>
      <c r="IO1510" s="24" t="s">
        <v>1061</v>
      </c>
    </row>
    <row r="1511" spans="1:250" s="24" customFormat="1" x14ac:dyDescent="0.25">
      <c r="A1511" s="24">
        <v>69</v>
      </c>
      <c r="B1511" s="24" t="s">
        <v>1051</v>
      </c>
      <c r="C1511" s="24" t="s">
        <v>1052</v>
      </c>
      <c r="D1511" s="24">
        <v>2000</v>
      </c>
      <c r="E1511" s="24">
        <v>1995</v>
      </c>
      <c r="F1511" s="24" t="s">
        <v>330</v>
      </c>
      <c r="G1511" s="24" t="s">
        <v>1053</v>
      </c>
      <c r="H1511" s="32" t="s">
        <v>2831</v>
      </c>
      <c r="I1511" s="24">
        <v>41.15</v>
      </c>
      <c r="J1511" s="24">
        <v>-96.5</v>
      </c>
      <c r="K1511" s="24">
        <v>346.8</v>
      </c>
      <c r="Q1511" s="42" t="s">
        <v>1856</v>
      </c>
      <c r="R1511" s="42" t="s">
        <v>1735</v>
      </c>
      <c r="S1511" s="42"/>
      <c r="T1511" s="42" t="s">
        <v>2008</v>
      </c>
      <c r="U1511" s="42" t="s">
        <v>1386</v>
      </c>
      <c r="V1511" s="42" t="s">
        <v>1724</v>
      </c>
      <c r="W1511" s="42" t="s">
        <v>1386</v>
      </c>
      <c r="X1511" s="42" t="s">
        <v>1386</v>
      </c>
      <c r="Y1511" s="24">
        <v>1.28</v>
      </c>
      <c r="Z1511" s="321"/>
      <c r="AA1511" s="321"/>
      <c r="AB1511" s="24" t="s">
        <v>1054</v>
      </c>
      <c r="AC1511" s="24">
        <v>6.3</v>
      </c>
      <c r="AD1511" s="24">
        <v>2.6</v>
      </c>
      <c r="AF1511" s="24" t="s">
        <v>1356</v>
      </c>
      <c r="AG1511" s="24" t="s">
        <v>1055</v>
      </c>
      <c r="AH1511" s="138" t="s">
        <v>132</v>
      </c>
      <c r="AI1511" s="24" t="s">
        <v>159</v>
      </c>
      <c r="AJ1511" s="140" t="s">
        <v>159</v>
      </c>
      <c r="AT1511" s="24" t="s">
        <v>161</v>
      </c>
      <c r="AU1511" s="24">
        <v>3</v>
      </c>
      <c r="AW1511" s="24" t="s">
        <v>142</v>
      </c>
      <c r="AY1511" s="24">
        <v>3170</v>
      </c>
      <c r="BA1511" s="24" t="s">
        <v>1058</v>
      </c>
      <c r="BB1511" s="24" t="s">
        <v>1057</v>
      </c>
      <c r="BH1511" s="24">
        <v>1980</v>
      </c>
      <c r="BI1511" s="24">
        <v>1100</v>
      </c>
      <c r="BM1511" s="395"/>
      <c r="BN1511" s="395"/>
      <c r="BR1511" s="395"/>
      <c r="BS1511" s="395"/>
      <c r="EY1511" s="24">
        <f>18.19/1.28</f>
        <v>14.2109375</v>
      </c>
      <c r="EZ1511" s="24">
        <f>20.79/1.28</f>
        <v>16.2421875</v>
      </c>
      <c r="FC1511" s="24" t="s">
        <v>1077</v>
      </c>
      <c r="IO1511" s="24" t="s">
        <v>1061</v>
      </c>
    </row>
    <row r="1512" spans="1:250" s="24" customFormat="1" x14ac:dyDescent="0.25">
      <c r="A1512" s="24">
        <v>69</v>
      </c>
      <c r="B1512" s="24" t="s">
        <v>1051</v>
      </c>
      <c r="C1512" s="24" t="s">
        <v>1052</v>
      </c>
      <c r="D1512" s="24">
        <v>2000</v>
      </c>
      <c r="E1512" s="24">
        <v>1995</v>
      </c>
      <c r="F1512" s="24" t="s">
        <v>330</v>
      </c>
      <c r="G1512" s="24" t="s">
        <v>1053</v>
      </c>
      <c r="H1512" s="32" t="s">
        <v>2831</v>
      </c>
      <c r="I1512" s="24">
        <v>41.15</v>
      </c>
      <c r="J1512" s="24">
        <v>-96.5</v>
      </c>
      <c r="K1512" s="24">
        <v>346.8</v>
      </c>
      <c r="Q1512" s="42" t="s">
        <v>1856</v>
      </c>
      <c r="R1512" s="42" t="s">
        <v>1735</v>
      </c>
      <c r="S1512" s="42"/>
      <c r="T1512" s="42" t="s">
        <v>2008</v>
      </c>
      <c r="U1512" s="42" t="s">
        <v>1386</v>
      </c>
      <c r="V1512" s="42" t="s">
        <v>1724</v>
      </c>
      <c r="W1512" s="42" t="s">
        <v>1386</v>
      </c>
      <c r="X1512" s="42" t="s">
        <v>1386</v>
      </c>
      <c r="Y1512" s="24">
        <v>1.28</v>
      </c>
      <c r="Z1512" s="321"/>
      <c r="AA1512" s="321"/>
      <c r="AB1512" s="24" t="s">
        <v>1054</v>
      </c>
      <c r="AC1512" s="24">
        <v>6.3</v>
      </c>
      <c r="AD1512" s="24">
        <v>2.6</v>
      </c>
      <c r="AF1512" s="24" t="s">
        <v>1356</v>
      </c>
      <c r="AG1512" s="24" t="s">
        <v>132</v>
      </c>
      <c r="AH1512" s="138" t="s">
        <v>132</v>
      </c>
      <c r="AI1512" s="24" t="s">
        <v>159</v>
      </c>
      <c r="AJ1512" s="140" t="s">
        <v>159</v>
      </c>
      <c r="AT1512" s="24" t="s">
        <v>161</v>
      </c>
      <c r="AU1512" s="24">
        <v>3</v>
      </c>
      <c r="AW1512" s="24" t="s">
        <v>142</v>
      </c>
      <c r="AY1512" s="24">
        <v>6310</v>
      </c>
      <c r="BA1512" s="24" t="s">
        <v>1058</v>
      </c>
      <c r="BB1512" s="24" t="s">
        <v>1057</v>
      </c>
      <c r="BH1512" s="24">
        <v>1980</v>
      </c>
      <c r="BI1512" s="24">
        <v>1170</v>
      </c>
      <c r="BM1512" s="395"/>
      <c r="BN1512" s="395"/>
      <c r="BR1512" s="395"/>
      <c r="BS1512" s="395"/>
      <c r="EY1512" s="24">
        <f t="shared" ref="EY1512:EY1514" si="255">18.19/1.28</f>
        <v>14.2109375</v>
      </c>
      <c r="EZ1512" s="24">
        <f>22.62/1.28</f>
        <v>17.671875</v>
      </c>
      <c r="FC1512" s="24" t="s">
        <v>1077</v>
      </c>
      <c r="IO1512" s="24" t="s">
        <v>1061</v>
      </c>
    </row>
    <row r="1513" spans="1:250" s="24" customFormat="1" x14ac:dyDescent="0.25">
      <c r="A1513" s="24">
        <v>69</v>
      </c>
      <c r="B1513" s="24" t="s">
        <v>1051</v>
      </c>
      <c r="C1513" s="24" t="s">
        <v>1052</v>
      </c>
      <c r="D1513" s="24">
        <v>2000</v>
      </c>
      <c r="E1513" s="24">
        <v>1995</v>
      </c>
      <c r="F1513" s="24" t="s">
        <v>330</v>
      </c>
      <c r="G1513" s="24" t="s">
        <v>1053</v>
      </c>
      <c r="H1513" s="32" t="s">
        <v>2831</v>
      </c>
      <c r="I1513" s="24">
        <v>41.15</v>
      </c>
      <c r="J1513" s="24">
        <v>-96.5</v>
      </c>
      <c r="K1513" s="24">
        <v>346.8</v>
      </c>
      <c r="Q1513" s="42" t="s">
        <v>1856</v>
      </c>
      <c r="R1513" s="42" t="s">
        <v>1735</v>
      </c>
      <c r="S1513" s="42"/>
      <c r="T1513" s="42" t="s">
        <v>2008</v>
      </c>
      <c r="U1513" s="42" t="s">
        <v>1386</v>
      </c>
      <c r="V1513" s="42" t="s">
        <v>1724</v>
      </c>
      <c r="W1513" s="42" t="s">
        <v>1386</v>
      </c>
      <c r="X1513" s="42" t="s">
        <v>1386</v>
      </c>
      <c r="Y1513" s="24">
        <v>1.28</v>
      </c>
      <c r="Z1513" s="321"/>
      <c r="AA1513" s="321"/>
      <c r="AB1513" s="24" t="s">
        <v>1054</v>
      </c>
      <c r="AC1513" s="24">
        <v>6.3</v>
      </c>
      <c r="AD1513" s="24">
        <v>2.6</v>
      </c>
      <c r="AF1513" s="24" t="s">
        <v>1356</v>
      </c>
      <c r="AG1513" s="24" t="s">
        <v>792</v>
      </c>
      <c r="AH1513" s="138" t="s">
        <v>1585</v>
      </c>
      <c r="AI1513" s="24" t="s">
        <v>159</v>
      </c>
      <c r="AJ1513" s="140" t="s">
        <v>159</v>
      </c>
      <c r="AT1513" s="24" t="s">
        <v>161</v>
      </c>
      <c r="AU1513" s="24">
        <v>3</v>
      </c>
      <c r="AW1513" s="24" t="s">
        <v>142</v>
      </c>
      <c r="AY1513" s="24">
        <v>7160</v>
      </c>
      <c r="BA1513" s="24" t="s">
        <v>1058</v>
      </c>
      <c r="BB1513" s="24" t="s">
        <v>1057</v>
      </c>
      <c r="BH1513" s="24">
        <v>1980</v>
      </c>
      <c r="BI1513" s="24">
        <v>1410</v>
      </c>
      <c r="BM1513" s="395"/>
      <c r="BN1513" s="395"/>
      <c r="BR1513" s="395"/>
      <c r="BS1513" s="395"/>
      <c r="EY1513" s="24">
        <f t="shared" si="255"/>
        <v>14.2109375</v>
      </c>
      <c r="EZ1513" s="24">
        <f>20.18/1.28</f>
        <v>15.765625</v>
      </c>
      <c r="FC1513" s="24" t="s">
        <v>1077</v>
      </c>
      <c r="IO1513" s="24" t="s">
        <v>1061</v>
      </c>
    </row>
    <row r="1514" spans="1:250" s="24" customFormat="1" x14ac:dyDescent="0.25">
      <c r="A1514" s="24">
        <v>69</v>
      </c>
      <c r="B1514" s="24" t="s">
        <v>1051</v>
      </c>
      <c r="C1514" s="24" t="s">
        <v>1052</v>
      </c>
      <c r="D1514" s="24">
        <v>2000</v>
      </c>
      <c r="E1514" s="24">
        <v>1995</v>
      </c>
      <c r="F1514" s="24" t="s">
        <v>330</v>
      </c>
      <c r="G1514" s="24" t="s">
        <v>1053</v>
      </c>
      <c r="H1514" s="32" t="s">
        <v>2831</v>
      </c>
      <c r="I1514" s="24">
        <v>41.15</v>
      </c>
      <c r="J1514" s="24">
        <v>-96.5</v>
      </c>
      <c r="K1514" s="24">
        <v>346.8</v>
      </c>
      <c r="Q1514" s="42" t="s">
        <v>1856</v>
      </c>
      <c r="R1514" s="42" t="s">
        <v>1735</v>
      </c>
      <c r="S1514" s="42"/>
      <c r="T1514" s="42" t="s">
        <v>2008</v>
      </c>
      <c r="U1514" s="42" t="s">
        <v>1386</v>
      </c>
      <c r="V1514" s="42" t="s">
        <v>1724</v>
      </c>
      <c r="W1514" s="42" t="s">
        <v>1386</v>
      </c>
      <c r="X1514" s="42" t="s">
        <v>1386</v>
      </c>
      <c r="Y1514" s="24">
        <v>1.28</v>
      </c>
      <c r="Z1514" s="321"/>
      <c r="AA1514" s="321"/>
      <c r="AB1514" s="24" t="s">
        <v>1054</v>
      </c>
      <c r="AC1514" s="24">
        <v>6.3</v>
      </c>
      <c r="AD1514" s="24">
        <v>2.6</v>
      </c>
      <c r="AF1514" s="24" t="s">
        <v>1356</v>
      </c>
      <c r="AG1514" s="24" t="s">
        <v>117</v>
      </c>
      <c r="AH1514" s="138" t="s">
        <v>1585</v>
      </c>
      <c r="AI1514" s="24" t="s">
        <v>159</v>
      </c>
      <c r="AJ1514" s="140" t="s">
        <v>159</v>
      </c>
      <c r="AT1514" s="24" t="s">
        <v>161</v>
      </c>
      <c r="AU1514" s="24">
        <v>3</v>
      </c>
      <c r="AW1514" s="24" t="s">
        <v>142</v>
      </c>
      <c r="AY1514" s="24">
        <v>6710</v>
      </c>
      <c r="BA1514" s="24" t="s">
        <v>1058</v>
      </c>
      <c r="BB1514" s="24" t="s">
        <v>1057</v>
      </c>
      <c r="BH1514" s="24">
        <v>1980</v>
      </c>
      <c r="BI1514" s="24">
        <v>1510</v>
      </c>
      <c r="BM1514" s="395"/>
      <c r="BN1514" s="395"/>
      <c r="BR1514" s="395"/>
      <c r="BS1514" s="395"/>
      <c r="EY1514" s="24">
        <f t="shared" si="255"/>
        <v>14.2109375</v>
      </c>
      <c r="EZ1514" s="24">
        <f>20.18/1.28</f>
        <v>15.765625</v>
      </c>
      <c r="FC1514" s="24" t="s">
        <v>1077</v>
      </c>
      <c r="IO1514" s="24" t="s">
        <v>1061</v>
      </c>
    </row>
    <row r="1515" spans="1:250" s="32" customFormat="1" x14ac:dyDescent="0.25">
      <c r="A1515" s="32">
        <v>69</v>
      </c>
      <c r="B1515" s="32" t="s">
        <v>1051</v>
      </c>
      <c r="C1515" s="32" t="s">
        <v>1052</v>
      </c>
      <c r="D1515" s="32">
        <v>2000</v>
      </c>
      <c r="E1515" s="32">
        <v>1996</v>
      </c>
      <c r="F1515" s="32" t="s">
        <v>330</v>
      </c>
      <c r="G1515" s="32" t="s">
        <v>1053</v>
      </c>
      <c r="H1515" s="32" t="s">
        <v>2831</v>
      </c>
      <c r="I1515" s="32">
        <v>41.15</v>
      </c>
      <c r="J1515" s="32">
        <v>-96.5</v>
      </c>
      <c r="K1515" s="32">
        <v>346.8</v>
      </c>
      <c r="Q1515" s="44" t="s">
        <v>1735</v>
      </c>
      <c r="R1515" s="44" t="s">
        <v>1735</v>
      </c>
      <c r="S1515" s="44"/>
      <c r="T1515" s="44" t="s">
        <v>2008</v>
      </c>
      <c r="U1515" s="44" t="s">
        <v>1386</v>
      </c>
      <c r="V1515" s="44" t="s">
        <v>1724</v>
      </c>
      <c r="W1515" s="44" t="s">
        <v>1386</v>
      </c>
      <c r="X1515" s="44" t="s">
        <v>1386</v>
      </c>
      <c r="Y1515" s="32">
        <v>1.28</v>
      </c>
      <c r="Z1515" s="323"/>
      <c r="AA1515" s="323"/>
      <c r="AB1515" s="32" t="s">
        <v>1054</v>
      </c>
      <c r="AC1515" s="32">
        <v>6.3</v>
      </c>
      <c r="AD1515" s="32">
        <v>2.6</v>
      </c>
      <c r="AF1515" s="32" t="s">
        <v>1356</v>
      </c>
      <c r="AG1515" s="32" t="s">
        <v>1055</v>
      </c>
      <c r="AH1515" s="138" t="s">
        <v>132</v>
      </c>
      <c r="AI1515" s="32" t="s">
        <v>159</v>
      </c>
      <c r="AJ1515" s="140" t="s">
        <v>159</v>
      </c>
      <c r="AT1515" s="32" t="s">
        <v>161</v>
      </c>
      <c r="AU1515" s="32">
        <v>3</v>
      </c>
      <c r="AW1515" s="32" t="s">
        <v>142</v>
      </c>
      <c r="AY1515" s="32">
        <v>130</v>
      </c>
      <c r="BA1515" s="32" t="s">
        <v>1059</v>
      </c>
      <c r="BH1515" s="32">
        <v>1200</v>
      </c>
      <c r="BI1515" s="32">
        <v>1480</v>
      </c>
      <c r="BM1515" s="397"/>
      <c r="BN1515" s="397"/>
      <c r="BR1515" s="397"/>
      <c r="BS1515" s="397"/>
      <c r="ET1515" s="32">
        <v>24.88</v>
      </c>
      <c r="EU1515" s="32">
        <v>20.39</v>
      </c>
      <c r="EY1515" s="32">
        <f>17.57/1.28</f>
        <v>13.7265625</v>
      </c>
      <c r="EZ1515" s="32">
        <f>22.21/1.28</f>
        <v>17.3515625</v>
      </c>
      <c r="FC1515" s="32" t="s">
        <v>1077</v>
      </c>
      <c r="IO1515" s="32" t="s">
        <v>1061</v>
      </c>
    </row>
    <row r="1516" spans="1:250" s="32" customFormat="1" x14ac:dyDescent="0.25">
      <c r="A1516" s="32">
        <v>69</v>
      </c>
      <c r="B1516" s="32" t="s">
        <v>1051</v>
      </c>
      <c r="C1516" s="32" t="s">
        <v>1052</v>
      </c>
      <c r="D1516" s="32">
        <v>2000</v>
      </c>
      <c r="E1516" s="32">
        <v>1996</v>
      </c>
      <c r="F1516" s="32" t="s">
        <v>330</v>
      </c>
      <c r="G1516" s="32" t="s">
        <v>1053</v>
      </c>
      <c r="H1516" s="32" t="s">
        <v>2831</v>
      </c>
      <c r="I1516" s="32">
        <v>41.15</v>
      </c>
      <c r="J1516" s="32">
        <v>-96.5</v>
      </c>
      <c r="K1516" s="32">
        <v>346.8</v>
      </c>
      <c r="Q1516" s="44" t="s">
        <v>1735</v>
      </c>
      <c r="R1516" s="44" t="s">
        <v>1735</v>
      </c>
      <c r="S1516" s="44"/>
      <c r="T1516" s="44" t="s">
        <v>2008</v>
      </c>
      <c r="U1516" s="44" t="s">
        <v>1386</v>
      </c>
      <c r="V1516" s="44" t="s">
        <v>1724</v>
      </c>
      <c r="W1516" s="44" t="s">
        <v>1386</v>
      </c>
      <c r="X1516" s="44" t="s">
        <v>1386</v>
      </c>
      <c r="Y1516" s="32">
        <v>1.28</v>
      </c>
      <c r="Z1516" s="323"/>
      <c r="AA1516" s="323"/>
      <c r="AB1516" s="32" t="s">
        <v>1054</v>
      </c>
      <c r="AC1516" s="32">
        <v>6.3</v>
      </c>
      <c r="AD1516" s="32">
        <v>2.6</v>
      </c>
      <c r="AF1516" s="32" t="s">
        <v>1356</v>
      </c>
      <c r="AG1516" s="32" t="s">
        <v>132</v>
      </c>
      <c r="AH1516" s="138" t="s">
        <v>132</v>
      </c>
      <c r="AI1516" s="32" t="s">
        <v>159</v>
      </c>
      <c r="AJ1516" s="140" t="s">
        <v>159</v>
      </c>
      <c r="AT1516" s="32" t="s">
        <v>161</v>
      </c>
      <c r="AU1516" s="32">
        <v>3</v>
      </c>
      <c r="AW1516" s="32" t="s">
        <v>142</v>
      </c>
      <c r="AY1516" s="32">
        <v>2890</v>
      </c>
      <c r="BA1516" s="32" t="s">
        <v>1060</v>
      </c>
      <c r="BH1516" s="32">
        <v>1200</v>
      </c>
      <c r="BI1516" s="32">
        <v>2190</v>
      </c>
      <c r="BM1516" s="397"/>
      <c r="BN1516" s="397"/>
      <c r="BR1516" s="397"/>
      <c r="BS1516" s="397"/>
      <c r="EY1516" s="32">
        <f t="shared" ref="EY1516:EY1519" si="256">17.57/1.28</f>
        <v>13.7265625</v>
      </c>
      <c r="EZ1516" s="32">
        <f>19.61/1.28</f>
        <v>15.3203125</v>
      </c>
      <c r="FC1516" s="32" t="s">
        <v>1077</v>
      </c>
      <c r="IO1516" s="32" t="s">
        <v>1061</v>
      </c>
    </row>
    <row r="1517" spans="1:250" s="32" customFormat="1" x14ac:dyDescent="0.25">
      <c r="A1517" s="32">
        <v>69</v>
      </c>
      <c r="B1517" s="32" t="s">
        <v>1051</v>
      </c>
      <c r="C1517" s="32" t="s">
        <v>1052</v>
      </c>
      <c r="D1517" s="32">
        <v>2000</v>
      </c>
      <c r="E1517" s="32">
        <v>1996</v>
      </c>
      <c r="F1517" s="32" t="s">
        <v>330</v>
      </c>
      <c r="G1517" s="32" t="s">
        <v>1053</v>
      </c>
      <c r="H1517" s="32" t="s">
        <v>2831</v>
      </c>
      <c r="I1517" s="32">
        <v>41.15</v>
      </c>
      <c r="J1517" s="32">
        <v>-96.5</v>
      </c>
      <c r="K1517" s="32">
        <v>346.8</v>
      </c>
      <c r="Q1517" s="44" t="s">
        <v>1735</v>
      </c>
      <c r="R1517" s="44" t="s">
        <v>1735</v>
      </c>
      <c r="S1517" s="44"/>
      <c r="T1517" s="44" t="s">
        <v>2008</v>
      </c>
      <c r="U1517" s="44" t="s">
        <v>1386</v>
      </c>
      <c r="V1517" s="44" t="s">
        <v>1724</v>
      </c>
      <c r="W1517" s="44" t="s">
        <v>1386</v>
      </c>
      <c r="X1517" s="44" t="s">
        <v>1386</v>
      </c>
      <c r="Y1517" s="32">
        <v>1.28</v>
      </c>
      <c r="Z1517" s="323"/>
      <c r="AA1517" s="323"/>
      <c r="AB1517" s="32" t="s">
        <v>1054</v>
      </c>
      <c r="AC1517" s="32">
        <v>6.3</v>
      </c>
      <c r="AD1517" s="32">
        <v>2.6</v>
      </c>
      <c r="AF1517" s="32" t="s">
        <v>1356</v>
      </c>
      <c r="AG1517" s="32" t="s">
        <v>792</v>
      </c>
      <c r="AH1517" s="138" t="s">
        <v>1585</v>
      </c>
      <c r="AI1517" s="32" t="s">
        <v>159</v>
      </c>
      <c r="AJ1517" s="140" t="s">
        <v>159</v>
      </c>
      <c r="AT1517" s="32" t="s">
        <v>161</v>
      </c>
      <c r="AU1517" s="32">
        <v>3</v>
      </c>
      <c r="AW1517" s="32" t="s">
        <v>142</v>
      </c>
      <c r="AY1517" s="32">
        <v>750</v>
      </c>
      <c r="BA1517" s="32" t="s">
        <v>1060</v>
      </c>
      <c r="BH1517" s="32">
        <v>1200</v>
      </c>
      <c r="BI1517" s="32">
        <v>1440</v>
      </c>
      <c r="BM1517" s="397"/>
      <c r="BN1517" s="397"/>
      <c r="BR1517" s="397"/>
      <c r="BS1517" s="397"/>
      <c r="EY1517" s="32">
        <f t="shared" si="256"/>
        <v>13.7265625</v>
      </c>
      <c r="EZ1517" s="32">
        <f>16</f>
        <v>16</v>
      </c>
      <c r="FC1517" s="32" t="s">
        <v>1077</v>
      </c>
      <c r="IO1517" s="32" t="s">
        <v>1061</v>
      </c>
    </row>
    <row r="1518" spans="1:250" s="32" customFormat="1" x14ac:dyDescent="0.25">
      <c r="A1518" s="32">
        <v>69</v>
      </c>
      <c r="B1518" s="32" t="s">
        <v>1051</v>
      </c>
      <c r="C1518" s="32" t="s">
        <v>1052</v>
      </c>
      <c r="D1518" s="32">
        <v>2000</v>
      </c>
      <c r="E1518" s="32">
        <v>1996</v>
      </c>
      <c r="F1518" s="32" t="s">
        <v>330</v>
      </c>
      <c r="G1518" s="32" t="s">
        <v>1053</v>
      </c>
      <c r="H1518" s="32" t="s">
        <v>2831</v>
      </c>
      <c r="I1518" s="32">
        <v>41.15</v>
      </c>
      <c r="J1518" s="32">
        <v>-96.5</v>
      </c>
      <c r="K1518" s="32">
        <v>346.8</v>
      </c>
      <c r="Q1518" s="44" t="s">
        <v>1735</v>
      </c>
      <c r="R1518" s="44" t="s">
        <v>1735</v>
      </c>
      <c r="S1518" s="44"/>
      <c r="T1518" s="44" t="s">
        <v>2008</v>
      </c>
      <c r="U1518" s="44" t="s">
        <v>1386</v>
      </c>
      <c r="V1518" s="44" t="s">
        <v>1724</v>
      </c>
      <c r="W1518" s="44" t="s">
        <v>1386</v>
      </c>
      <c r="X1518" s="44" t="s">
        <v>1386</v>
      </c>
      <c r="Y1518" s="32">
        <v>1.28</v>
      </c>
      <c r="Z1518" s="323"/>
      <c r="AA1518" s="323"/>
      <c r="AB1518" s="32" t="s">
        <v>1054</v>
      </c>
      <c r="AC1518" s="32">
        <v>6.3</v>
      </c>
      <c r="AD1518" s="32">
        <v>2.6</v>
      </c>
      <c r="AF1518" s="32" t="s">
        <v>1356</v>
      </c>
      <c r="AG1518" s="32" t="s">
        <v>117</v>
      </c>
      <c r="AH1518" s="138" t="s">
        <v>1585</v>
      </c>
      <c r="AI1518" s="32" t="s">
        <v>159</v>
      </c>
      <c r="AJ1518" s="140" t="s">
        <v>159</v>
      </c>
      <c r="AT1518" s="32" t="s">
        <v>161</v>
      </c>
      <c r="AU1518" s="32">
        <v>3</v>
      </c>
      <c r="AW1518" s="32" t="s">
        <v>142</v>
      </c>
      <c r="AY1518" s="32">
        <v>2170</v>
      </c>
      <c r="BA1518" s="32" t="s">
        <v>1059</v>
      </c>
      <c r="BH1518" s="32">
        <v>1200</v>
      </c>
      <c r="BI1518" s="32">
        <v>1960</v>
      </c>
      <c r="BM1518" s="397"/>
      <c r="BN1518" s="397"/>
      <c r="BR1518" s="397"/>
      <c r="BS1518" s="397"/>
      <c r="EY1518" s="32">
        <f t="shared" si="256"/>
        <v>13.7265625</v>
      </c>
      <c r="EZ1518" s="32">
        <f>16</f>
        <v>16</v>
      </c>
      <c r="FC1518" s="32" t="s">
        <v>1077</v>
      </c>
      <c r="IO1518" s="32" t="s">
        <v>1061</v>
      </c>
    </row>
    <row r="1519" spans="1:250" s="32" customFormat="1" x14ac:dyDescent="0.25">
      <c r="A1519" s="32">
        <v>69</v>
      </c>
      <c r="B1519" s="32" t="s">
        <v>1051</v>
      </c>
      <c r="C1519" s="32" t="s">
        <v>1052</v>
      </c>
      <c r="D1519" s="32">
        <v>2000</v>
      </c>
      <c r="E1519" s="32">
        <v>1996</v>
      </c>
      <c r="F1519" s="32" t="s">
        <v>330</v>
      </c>
      <c r="G1519" s="32" t="s">
        <v>1053</v>
      </c>
      <c r="H1519" s="32" t="s">
        <v>2831</v>
      </c>
      <c r="I1519" s="32">
        <v>41.15</v>
      </c>
      <c r="J1519" s="32">
        <v>-96.5</v>
      </c>
      <c r="K1519" s="32">
        <v>346.8</v>
      </c>
      <c r="Q1519" s="44" t="s">
        <v>1735</v>
      </c>
      <c r="R1519" s="44" t="s">
        <v>1735</v>
      </c>
      <c r="S1519" s="44"/>
      <c r="T1519" s="44" t="s">
        <v>2008</v>
      </c>
      <c r="U1519" s="44" t="s">
        <v>1386</v>
      </c>
      <c r="V1519" s="44" t="s">
        <v>1724</v>
      </c>
      <c r="W1519" s="44" t="s">
        <v>1386</v>
      </c>
      <c r="X1519" s="44" t="s">
        <v>1386</v>
      </c>
      <c r="Y1519" s="32">
        <v>1.28</v>
      </c>
      <c r="Z1519" s="323"/>
      <c r="AA1519" s="323"/>
      <c r="AB1519" s="32" t="s">
        <v>1054</v>
      </c>
      <c r="AC1519" s="32">
        <v>6.3</v>
      </c>
      <c r="AD1519" s="32">
        <v>2.6</v>
      </c>
      <c r="AF1519" s="32" t="s">
        <v>1356</v>
      </c>
      <c r="AG1519" s="32" t="s">
        <v>244</v>
      </c>
      <c r="AH1519" s="138" t="s">
        <v>578</v>
      </c>
      <c r="AI1519" s="32" t="s">
        <v>159</v>
      </c>
      <c r="AJ1519" s="140" t="s">
        <v>159</v>
      </c>
      <c r="AT1519" s="32" t="s">
        <v>161</v>
      </c>
      <c r="AU1519" s="32">
        <v>3</v>
      </c>
      <c r="AW1519" s="32" t="s">
        <v>142</v>
      </c>
      <c r="AY1519" s="32">
        <v>650</v>
      </c>
      <c r="BA1519" s="32" t="s">
        <v>1059</v>
      </c>
      <c r="BH1519" s="32">
        <v>1200</v>
      </c>
      <c r="BI1519" s="32">
        <v>1700</v>
      </c>
      <c r="BM1519" s="397"/>
      <c r="BN1519" s="397"/>
      <c r="BR1519" s="397"/>
      <c r="BS1519" s="397"/>
      <c r="EY1519" s="32">
        <f t="shared" si="256"/>
        <v>13.7265625</v>
      </c>
      <c r="EZ1519" s="32">
        <f>16</f>
        <v>16</v>
      </c>
      <c r="FC1519" s="32" t="s">
        <v>1077</v>
      </c>
      <c r="IO1519" s="32" t="s">
        <v>1061</v>
      </c>
    </row>
    <row r="1520" spans="1:250" s="33" customFormat="1" x14ac:dyDescent="0.25">
      <c r="A1520" s="33">
        <v>70</v>
      </c>
      <c r="B1520" s="33" t="s">
        <v>1062</v>
      </c>
      <c r="C1520" s="33" t="s">
        <v>1063</v>
      </c>
      <c r="D1520" s="33">
        <v>1996</v>
      </c>
      <c r="E1520" s="33">
        <v>1992</v>
      </c>
      <c r="F1520" s="33" t="s">
        <v>1064</v>
      </c>
      <c r="G1520" s="33" t="s">
        <v>1065</v>
      </c>
      <c r="H1520" s="32" t="s">
        <v>2831</v>
      </c>
      <c r="I1520" s="33">
        <v>36.69</v>
      </c>
      <c r="J1520" s="33">
        <v>-121.64</v>
      </c>
      <c r="K1520" s="33">
        <v>11.5</v>
      </c>
      <c r="Q1520" s="47">
        <v>1</v>
      </c>
      <c r="R1520" s="47" t="s">
        <v>1856</v>
      </c>
      <c r="S1520" s="47" t="s">
        <v>866</v>
      </c>
      <c r="T1520" s="47" t="s">
        <v>1067</v>
      </c>
      <c r="U1520" s="47" t="s">
        <v>1399</v>
      </c>
      <c r="V1520" s="47" t="s">
        <v>1730</v>
      </c>
      <c r="W1520" s="47" t="s">
        <v>1399</v>
      </c>
      <c r="X1520" s="47" t="s">
        <v>1399</v>
      </c>
      <c r="Y1520" s="33">
        <v>1.46</v>
      </c>
      <c r="Z1520" s="327">
        <v>69</v>
      </c>
      <c r="AA1520" s="327">
        <v>20</v>
      </c>
      <c r="AB1520" s="33" t="s">
        <v>140</v>
      </c>
      <c r="AC1520" s="33">
        <v>7.7</v>
      </c>
      <c r="AD1520" s="33">
        <v>0.62</v>
      </c>
      <c r="AF1520" s="33" t="s">
        <v>1357</v>
      </c>
      <c r="AG1520" s="33" t="s">
        <v>1066</v>
      </c>
      <c r="AH1520" s="138" t="s">
        <v>1590</v>
      </c>
      <c r="AI1520" s="33" t="s">
        <v>635</v>
      </c>
      <c r="AJ1520" s="141" t="s">
        <v>230</v>
      </c>
      <c r="AT1520" s="33" t="s">
        <v>120</v>
      </c>
      <c r="AU1520" s="33">
        <v>3</v>
      </c>
      <c r="AW1520" s="33" t="s">
        <v>142</v>
      </c>
      <c r="AY1520" s="33">
        <v>2.9</v>
      </c>
      <c r="AZ1520" s="33">
        <f>AY1520/0.1</f>
        <v>28.999999999999996</v>
      </c>
      <c r="BH1520" s="33">
        <v>3</v>
      </c>
      <c r="BI1520" s="33">
        <v>4</v>
      </c>
      <c r="BM1520" s="402"/>
      <c r="BN1520" s="402"/>
      <c r="BR1520" s="402"/>
      <c r="BS1520" s="402"/>
      <c r="BW1520" s="33">
        <v>67.489999999999995</v>
      </c>
      <c r="BX1520" s="33">
        <v>53.72</v>
      </c>
      <c r="CA1520" s="33" t="s">
        <v>1073</v>
      </c>
      <c r="EY1520" s="33">
        <v>4.82</v>
      </c>
      <c r="EZ1520" s="33">
        <v>5.87</v>
      </c>
      <c r="FI1520" s="33">
        <v>0.75</v>
      </c>
      <c r="FJ1520" s="33">
        <v>0.75</v>
      </c>
      <c r="FM1520" s="33" t="s">
        <v>1078</v>
      </c>
      <c r="FS1520" s="33">
        <v>1.38</v>
      </c>
      <c r="FT1520" s="33">
        <v>6.13</v>
      </c>
      <c r="FW1520" s="33" t="s">
        <v>1079</v>
      </c>
      <c r="GW1520" s="33">
        <v>6.56</v>
      </c>
      <c r="GX1520" s="33">
        <v>6.13</v>
      </c>
      <c r="IA1520" s="33">
        <v>86.95</v>
      </c>
      <c r="IB1520" s="33">
        <v>86.95</v>
      </c>
      <c r="IE1520" s="33">
        <v>10.52</v>
      </c>
      <c r="IF1520" s="33">
        <v>11.66</v>
      </c>
      <c r="IO1520" s="33" t="s">
        <v>782</v>
      </c>
      <c r="IP1520" s="33" t="s">
        <v>1076</v>
      </c>
    </row>
    <row r="1521" spans="1:250" s="33" customFormat="1" x14ac:dyDescent="0.25">
      <c r="A1521" s="33">
        <v>70</v>
      </c>
      <c r="B1521" s="33" t="s">
        <v>1062</v>
      </c>
      <c r="C1521" s="33" t="s">
        <v>1063</v>
      </c>
      <c r="D1521" s="33">
        <v>1996</v>
      </c>
      <c r="E1521" s="33">
        <v>1992</v>
      </c>
      <c r="F1521" s="33" t="s">
        <v>1064</v>
      </c>
      <c r="G1521" s="33" t="s">
        <v>1065</v>
      </c>
      <c r="H1521" s="32" t="s">
        <v>2831</v>
      </c>
      <c r="I1521" s="33">
        <v>36.69</v>
      </c>
      <c r="J1521" s="33">
        <v>-121.64</v>
      </c>
      <c r="K1521" s="33">
        <v>11.5</v>
      </c>
      <c r="Q1521" s="47">
        <v>1</v>
      </c>
      <c r="R1521" s="47" t="s">
        <v>1856</v>
      </c>
      <c r="S1521" s="47" t="s">
        <v>866</v>
      </c>
      <c r="T1521" s="47" t="s">
        <v>1068</v>
      </c>
      <c r="U1521" s="47" t="s">
        <v>1399</v>
      </c>
      <c r="V1521" s="47" t="s">
        <v>1730</v>
      </c>
      <c r="W1521" s="47" t="s">
        <v>1399</v>
      </c>
      <c r="X1521" s="47" t="s">
        <v>1399</v>
      </c>
      <c r="Y1521" s="33">
        <v>1.46</v>
      </c>
      <c r="Z1521" s="327">
        <v>69</v>
      </c>
      <c r="AA1521" s="327">
        <v>20</v>
      </c>
      <c r="AB1521" s="33" t="s">
        <v>140</v>
      </c>
      <c r="AC1521" s="33">
        <v>7.7</v>
      </c>
      <c r="AD1521" s="33">
        <v>0.62</v>
      </c>
      <c r="AF1521" s="33" t="s">
        <v>1357</v>
      </c>
      <c r="AG1521" s="33" t="s">
        <v>1066</v>
      </c>
      <c r="AH1521" s="138" t="s">
        <v>1590</v>
      </c>
      <c r="AI1521" s="33" t="s">
        <v>635</v>
      </c>
      <c r="AJ1521" s="141" t="s">
        <v>230</v>
      </c>
      <c r="AT1521" s="33" t="s">
        <v>120</v>
      </c>
      <c r="AU1521" s="33">
        <v>3</v>
      </c>
      <c r="AW1521" s="33" t="s">
        <v>142</v>
      </c>
      <c r="AY1521" s="33">
        <v>203</v>
      </c>
      <c r="AZ1521" s="33">
        <f>AY1521/11.1</f>
        <v>18.288288288288289</v>
      </c>
      <c r="BH1521" s="33">
        <v>123</v>
      </c>
      <c r="BI1521" s="33">
        <v>106</v>
      </c>
      <c r="BM1521" s="402"/>
      <c r="BN1521" s="402"/>
      <c r="BR1521" s="402"/>
      <c r="BS1521" s="402"/>
      <c r="BW1521" s="33">
        <v>80.33</v>
      </c>
      <c r="BX1521" s="33">
        <v>88.86</v>
      </c>
      <c r="CA1521" s="33" t="s">
        <v>1073</v>
      </c>
      <c r="EY1521" s="33">
        <v>11.17</v>
      </c>
      <c r="EZ1521" s="33">
        <v>10.87</v>
      </c>
      <c r="FI1521" s="33">
        <v>5.86</v>
      </c>
      <c r="FJ1521" s="33">
        <v>1.4</v>
      </c>
      <c r="FM1521" s="33" t="s">
        <v>1078</v>
      </c>
      <c r="FS1521" s="33">
        <v>10.8</v>
      </c>
      <c r="FT1521" s="33">
        <v>16.510000000000002</v>
      </c>
      <c r="FW1521" s="33" t="s">
        <v>1079</v>
      </c>
      <c r="GW1521" s="33">
        <v>12.79</v>
      </c>
      <c r="GX1521" s="33">
        <v>10.47</v>
      </c>
      <c r="IA1521" s="33">
        <v>203.57</v>
      </c>
      <c r="IB1521" s="33">
        <v>97.11</v>
      </c>
      <c r="IE1521" s="33">
        <v>19.37</v>
      </c>
      <c r="IF1521" s="33">
        <v>15.79</v>
      </c>
      <c r="IO1521" s="33" t="s">
        <v>885</v>
      </c>
      <c r="IP1521" s="33" t="s">
        <v>1076</v>
      </c>
    </row>
    <row r="1522" spans="1:250" s="33" customFormat="1" x14ac:dyDescent="0.25">
      <c r="A1522" s="33">
        <v>70</v>
      </c>
      <c r="B1522" s="33" t="s">
        <v>1062</v>
      </c>
      <c r="C1522" s="33" t="s">
        <v>1063</v>
      </c>
      <c r="D1522" s="33">
        <v>1996</v>
      </c>
      <c r="E1522" s="33">
        <v>1993</v>
      </c>
      <c r="F1522" s="33" t="s">
        <v>1064</v>
      </c>
      <c r="G1522" s="33" t="s">
        <v>1065</v>
      </c>
      <c r="H1522" s="32" t="s">
        <v>2831</v>
      </c>
      <c r="I1522" s="33">
        <v>36.69</v>
      </c>
      <c r="J1522" s="33">
        <v>-121.64</v>
      </c>
      <c r="K1522" s="33">
        <v>11.5</v>
      </c>
      <c r="Q1522" s="47" t="s">
        <v>1856</v>
      </c>
      <c r="R1522" s="47" t="s">
        <v>1856</v>
      </c>
      <c r="S1522" s="47" t="s">
        <v>866</v>
      </c>
      <c r="T1522" s="47" t="s">
        <v>1069</v>
      </c>
      <c r="U1522" s="47" t="s">
        <v>1399</v>
      </c>
      <c r="V1522" s="47" t="s">
        <v>1730</v>
      </c>
      <c r="W1522" s="47" t="s">
        <v>1399</v>
      </c>
      <c r="X1522" s="47" t="s">
        <v>1399</v>
      </c>
      <c r="Y1522" s="33">
        <v>1.46</v>
      </c>
      <c r="Z1522" s="327">
        <v>69</v>
      </c>
      <c r="AA1522" s="327">
        <v>20</v>
      </c>
      <c r="AB1522" s="33" t="s">
        <v>140</v>
      </c>
      <c r="AC1522" s="33">
        <v>7.7</v>
      </c>
      <c r="AD1522" s="33">
        <v>0.62</v>
      </c>
      <c r="AF1522" s="33" t="s">
        <v>1357</v>
      </c>
      <c r="AG1522" s="33" t="s">
        <v>1066</v>
      </c>
      <c r="AH1522" s="138" t="s">
        <v>1590</v>
      </c>
      <c r="AI1522" s="33" t="s">
        <v>635</v>
      </c>
      <c r="AJ1522" s="141" t="s">
        <v>230</v>
      </c>
      <c r="AT1522" s="33" t="s">
        <v>120</v>
      </c>
      <c r="AU1522" s="33">
        <v>3</v>
      </c>
      <c r="AW1522" s="33" t="s">
        <v>142</v>
      </c>
      <c r="AY1522" s="33">
        <v>1219</v>
      </c>
      <c r="AZ1522" s="33">
        <f>AY1522/54</f>
        <v>22.574074074074073</v>
      </c>
      <c r="BH1522" s="33">
        <v>1285</v>
      </c>
      <c r="BI1522" s="33">
        <v>1360</v>
      </c>
      <c r="BM1522" s="402"/>
      <c r="BN1522" s="402"/>
      <c r="BR1522" s="402"/>
      <c r="BS1522" s="402"/>
      <c r="BW1522" s="33">
        <v>42.55</v>
      </c>
      <c r="BX1522" s="33">
        <v>50.38</v>
      </c>
      <c r="CA1522" s="33" t="s">
        <v>1073</v>
      </c>
      <c r="EY1522" s="33">
        <v>8.9</v>
      </c>
      <c r="EZ1522" s="33">
        <v>8.09</v>
      </c>
      <c r="FI1522" s="33">
        <v>0.74</v>
      </c>
      <c r="FJ1522" s="33">
        <v>0.74</v>
      </c>
      <c r="FM1522" s="33" t="s">
        <v>1078</v>
      </c>
      <c r="FS1522" s="33">
        <v>9.8000000000000007</v>
      </c>
      <c r="FT1522" s="33">
        <v>40.19</v>
      </c>
      <c r="FW1522" s="33" t="s">
        <v>1079</v>
      </c>
      <c r="GW1522" s="33">
        <v>6.56</v>
      </c>
      <c r="GX1522" s="33">
        <v>6.56</v>
      </c>
      <c r="IA1522" s="33">
        <v>189.18</v>
      </c>
      <c r="IB1522" s="33">
        <v>264.92</v>
      </c>
      <c r="IE1522" s="33">
        <v>10.18</v>
      </c>
      <c r="IF1522" s="33">
        <v>12.76</v>
      </c>
      <c r="IO1522" s="33" t="s">
        <v>985</v>
      </c>
      <c r="IP1522" s="33" t="s">
        <v>1076</v>
      </c>
    </row>
    <row r="1523" spans="1:250" s="33" customFormat="1" x14ac:dyDescent="0.25">
      <c r="A1523" s="33">
        <v>70</v>
      </c>
      <c r="B1523" s="33" t="s">
        <v>1062</v>
      </c>
      <c r="C1523" s="33" t="s">
        <v>1063</v>
      </c>
      <c r="D1523" s="33">
        <v>1996</v>
      </c>
      <c r="E1523" s="33">
        <v>1993</v>
      </c>
      <c r="F1523" s="33" t="s">
        <v>1064</v>
      </c>
      <c r="G1523" s="33" t="s">
        <v>1065</v>
      </c>
      <c r="H1523" s="32" t="s">
        <v>2831</v>
      </c>
      <c r="I1523" s="33">
        <v>36.69</v>
      </c>
      <c r="J1523" s="33">
        <v>-121.64</v>
      </c>
      <c r="K1523" s="33">
        <v>11.5</v>
      </c>
      <c r="Q1523" s="47" t="s">
        <v>1856</v>
      </c>
      <c r="R1523" s="47" t="s">
        <v>1856</v>
      </c>
      <c r="S1523" s="47" t="s">
        <v>866</v>
      </c>
      <c r="T1523" s="47" t="s">
        <v>1070</v>
      </c>
      <c r="U1523" s="47" t="s">
        <v>1399</v>
      </c>
      <c r="V1523" s="47" t="s">
        <v>1730</v>
      </c>
      <c r="W1523" s="47" t="s">
        <v>1399</v>
      </c>
      <c r="X1523" s="47" t="s">
        <v>1399</v>
      </c>
      <c r="Y1523" s="33">
        <v>1.46</v>
      </c>
      <c r="Z1523" s="327">
        <v>69</v>
      </c>
      <c r="AA1523" s="327">
        <v>20</v>
      </c>
      <c r="AB1523" s="33" t="s">
        <v>140</v>
      </c>
      <c r="AC1523" s="33">
        <v>7.7</v>
      </c>
      <c r="AD1523" s="33">
        <v>0.62</v>
      </c>
      <c r="AF1523" s="33" t="s">
        <v>1357</v>
      </c>
      <c r="AG1523" s="33" t="s">
        <v>1066</v>
      </c>
      <c r="AH1523" s="138" t="s">
        <v>1590</v>
      </c>
      <c r="AI1523" s="33" t="s">
        <v>635</v>
      </c>
      <c r="AJ1523" s="141" t="s">
        <v>230</v>
      </c>
      <c r="AT1523" s="33" t="s">
        <v>120</v>
      </c>
      <c r="AU1523" s="33">
        <v>3</v>
      </c>
      <c r="AW1523" s="33" t="s">
        <v>142</v>
      </c>
      <c r="AY1523" s="33">
        <v>1962</v>
      </c>
      <c r="AZ1523" s="33">
        <f>AY1523/69</f>
        <v>28.434782608695652</v>
      </c>
      <c r="BH1523" s="33">
        <v>5821</v>
      </c>
      <c r="BI1523" s="33">
        <v>6180</v>
      </c>
      <c r="BM1523" s="402"/>
      <c r="BN1523" s="402"/>
      <c r="BR1523" s="402"/>
      <c r="BS1523" s="402"/>
      <c r="BW1523" s="33">
        <v>18.420000000000002</v>
      </c>
      <c r="BX1523" s="33">
        <v>3.96</v>
      </c>
      <c r="CA1523" s="33" t="s">
        <v>1073</v>
      </c>
      <c r="EY1523" s="33">
        <v>8.3699999999999992</v>
      </c>
      <c r="EZ1523" s="33">
        <v>6.65</v>
      </c>
      <c r="FI1523" s="33">
        <v>3.62</v>
      </c>
      <c r="FJ1523" s="33">
        <v>1.46</v>
      </c>
      <c r="FM1523" s="33" t="s">
        <v>1078</v>
      </c>
      <c r="FS1523" s="33">
        <v>22.13</v>
      </c>
      <c r="FT1523" s="33">
        <v>107.59</v>
      </c>
      <c r="FW1523" s="33" t="s">
        <v>1079</v>
      </c>
      <c r="GW1523" s="33">
        <v>7.56</v>
      </c>
      <c r="GX1523" s="33">
        <v>8.15</v>
      </c>
      <c r="IA1523" s="33">
        <v>275.08999999999997</v>
      </c>
      <c r="IB1523" s="33">
        <v>236.2</v>
      </c>
      <c r="IE1523" s="33">
        <v>15.46</v>
      </c>
      <c r="IF1523" s="33">
        <v>19.62</v>
      </c>
      <c r="IO1523" s="33" t="s">
        <v>986</v>
      </c>
      <c r="IP1523" s="33" t="s">
        <v>1076</v>
      </c>
    </row>
    <row r="1524" spans="1:250" s="33" customFormat="1" x14ac:dyDescent="0.25">
      <c r="A1524" s="33">
        <v>70</v>
      </c>
      <c r="B1524" s="33" t="s">
        <v>1062</v>
      </c>
      <c r="C1524" s="33" t="s">
        <v>1063</v>
      </c>
      <c r="D1524" s="33">
        <v>1996</v>
      </c>
      <c r="E1524" s="33">
        <v>1993</v>
      </c>
      <c r="F1524" s="33" t="s">
        <v>1064</v>
      </c>
      <c r="G1524" s="33" t="s">
        <v>1065</v>
      </c>
      <c r="H1524" s="32" t="s">
        <v>2831</v>
      </c>
      <c r="I1524" s="33">
        <v>36.69</v>
      </c>
      <c r="J1524" s="33">
        <v>-121.64</v>
      </c>
      <c r="K1524" s="33">
        <v>11.5</v>
      </c>
      <c r="Q1524" s="47" t="s">
        <v>1856</v>
      </c>
      <c r="R1524" s="47" t="s">
        <v>1856</v>
      </c>
      <c r="S1524" s="47" t="s">
        <v>866</v>
      </c>
      <c r="T1524" s="47" t="s">
        <v>1071</v>
      </c>
      <c r="U1524" s="47" t="s">
        <v>1399</v>
      </c>
      <c r="V1524" s="47" t="s">
        <v>1730</v>
      </c>
      <c r="W1524" s="47" t="s">
        <v>1399</v>
      </c>
      <c r="X1524" s="47" t="s">
        <v>1399</v>
      </c>
      <c r="Y1524" s="33">
        <v>1.46</v>
      </c>
      <c r="Z1524" s="327">
        <v>69</v>
      </c>
      <c r="AA1524" s="327">
        <v>20</v>
      </c>
      <c r="AB1524" s="33" t="s">
        <v>140</v>
      </c>
      <c r="AC1524" s="33">
        <v>7.7</v>
      </c>
      <c r="AD1524" s="33">
        <v>0.62</v>
      </c>
      <c r="AF1524" s="33" t="s">
        <v>1357</v>
      </c>
      <c r="AG1524" s="33" t="s">
        <v>1066</v>
      </c>
      <c r="AH1524" s="138" t="s">
        <v>1590</v>
      </c>
      <c r="AI1524" s="33" t="s">
        <v>635</v>
      </c>
      <c r="AJ1524" s="141" t="s">
        <v>230</v>
      </c>
      <c r="AT1524" s="33" t="s">
        <v>120</v>
      </c>
      <c r="AU1524" s="33">
        <v>3</v>
      </c>
      <c r="AW1524" s="33" t="s">
        <v>142</v>
      </c>
      <c r="AY1524" s="33">
        <v>3640</v>
      </c>
      <c r="AZ1524" s="33">
        <f>AY1524/106</f>
        <v>34.339622641509436</v>
      </c>
      <c r="BH1524" s="33">
        <v>8303</v>
      </c>
      <c r="BI1524" s="33">
        <v>9375</v>
      </c>
      <c r="BM1524" s="402"/>
      <c r="BN1524" s="402"/>
      <c r="BR1524" s="402"/>
      <c r="BS1524" s="402"/>
      <c r="BW1524" s="33">
        <v>15.37</v>
      </c>
      <c r="BX1524" s="33">
        <v>5.74</v>
      </c>
      <c r="CA1524" s="33" t="s">
        <v>1073</v>
      </c>
      <c r="EY1524" s="33">
        <v>7.55</v>
      </c>
      <c r="EZ1524" s="33">
        <v>6.35</v>
      </c>
      <c r="FI1524" s="33">
        <v>3.42</v>
      </c>
      <c r="FJ1524" s="33">
        <v>5</v>
      </c>
      <c r="FM1524" s="33" t="s">
        <v>1078</v>
      </c>
      <c r="FS1524" s="33">
        <v>8.8000000000000007</v>
      </c>
      <c r="FT1524" s="33">
        <v>36.33</v>
      </c>
      <c r="FW1524" s="33" t="s">
        <v>1079</v>
      </c>
      <c r="GW1524" s="33">
        <v>4.8</v>
      </c>
      <c r="GX1524" s="33">
        <v>12.93</v>
      </c>
      <c r="IA1524" s="33">
        <v>152.24</v>
      </c>
      <c r="IB1524" s="33">
        <v>199.32</v>
      </c>
      <c r="IE1524" s="33">
        <v>4.99</v>
      </c>
      <c r="IF1524" s="33">
        <v>8</v>
      </c>
      <c r="IO1524" s="33" t="s">
        <v>781</v>
      </c>
      <c r="IP1524" s="33" t="s">
        <v>1076</v>
      </c>
    </row>
    <row r="1525" spans="1:250" s="99" customFormat="1" x14ac:dyDescent="0.25">
      <c r="A1525" s="99">
        <v>70</v>
      </c>
      <c r="B1525" s="99" t="s">
        <v>1062</v>
      </c>
      <c r="C1525" s="99" t="s">
        <v>1063</v>
      </c>
      <c r="D1525" s="99">
        <v>1996</v>
      </c>
      <c r="E1525" s="99">
        <v>1992</v>
      </c>
      <c r="F1525" s="99" t="s">
        <v>1064</v>
      </c>
      <c r="G1525" s="99" t="s">
        <v>1065</v>
      </c>
      <c r="H1525" s="32" t="s">
        <v>2831</v>
      </c>
      <c r="I1525" s="99">
        <v>36.69</v>
      </c>
      <c r="J1525" s="99">
        <v>-121.64</v>
      </c>
      <c r="K1525" s="99">
        <v>11.5</v>
      </c>
      <c r="Q1525" s="100">
        <v>1</v>
      </c>
      <c r="R1525" s="100" t="s">
        <v>1856</v>
      </c>
      <c r="S1525" s="100" t="s">
        <v>866</v>
      </c>
      <c r="T1525" s="100" t="s">
        <v>2009</v>
      </c>
      <c r="U1525" s="47" t="s">
        <v>1399</v>
      </c>
      <c r="V1525" s="47" t="s">
        <v>1730</v>
      </c>
      <c r="W1525" s="47" t="s">
        <v>1399</v>
      </c>
      <c r="X1525" s="47" t="s">
        <v>1399</v>
      </c>
      <c r="Y1525" s="99">
        <v>1.46</v>
      </c>
      <c r="Z1525" s="351">
        <v>69</v>
      </c>
      <c r="AA1525" s="351">
        <v>20</v>
      </c>
      <c r="AB1525" s="99" t="s">
        <v>140</v>
      </c>
      <c r="AC1525" s="99">
        <v>7.7</v>
      </c>
      <c r="AD1525" s="99">
        <v>0.62</v>
      </c>
      <c r="AF1525" s="33" t="s">
        <v>1357</v>
      </c>
      <c r="AG1525" s="99" t="s">
        <v>1066</v>
      </c>
      <c r="AH1525" s="138" t="s">
        <v>1590</v>
      </c>
      <c r="AI1525" s="99" t="s">
        <v>635</v>
      </c>
      <c r="AJ1525" s="145" t="s">
        <v>230</v>
      </c>
      <c r="AT1525" s="99" t="s">
        <v>120</v>
      </c>
      <c r="AU1525" s="99">
        <v>3</v>
      </c>
      <c r="AW1525" s="99" t="s">
        <v>142</v>
      </c>
      <c r="AY1525" s="99">
        <v>2.9</v>
      </c>
      <c r="AZ1525" s="99">
        <f>AY1525/0.1</f>
        <v>28.999999999999996</v>
      </c>
      <c r="BM1525" s="426"/>
      <c r="BN1525" s="426"/>
      <c r="BR1525" s="426"/>
      <c r="BS1525" s="426"/>
      <c r="BW1525" s="99">
        <v>20.61</v>
      </c>
      <c r="BX1525" s="99">
        <v>9.26</v>
      </c>
      <c r="BY1525" s="33"/>
      <c r="BZ1525" s="33"/>
      <c r="CA1525" s="33" t="s">
        <v>1073</v>
      </c>
      <c r="EY1525" s="99">
        <v>11.36</v>
      </c>
      <c r="EZ1525" s="99">
        <v>11.36</v>
      </c>
      <c r="FI1525" s="99">
        <v>0.65</v>
      </c>
      <c r="FJ1525" s="99">
        <v>0.52</v>
      </c>
      <c r="FM1525" s="33" t="s">
        <v>1078</v>
      </c>
      <c r="FS1525" s="99">
        <v>2.82</v>
      </c>
      <c r="FT1525" s="99">
        <v>2.82</v>
      </c>
      <c r="FW1525" s="33" t="s">
        <v>1079</v>
      </c>
      <c r="FX1525" s="33"/>
      <c r="FY1525" s="33"/>
      <c r="FZ1525" s="33"/>
      <c r="GA1525" s="33"/>
      <c r="GB1525" s="33"/>
      <c r="GC1525" s="33"/>
      <c r="GD1525" s="33"/>
      <c r="GE1525" s="33"/>
      <c r="GF1525" s="33"/>
      <c r="GG1525" s="33"/>
      <c r="GH1525" s="33"/>
      <c r="GI1525" s="33"/>
      <c r="GJ1525" s="33"/>
      <c r="GK1525" s="33"/>
      <c r="GL1525" s="33"/>
      <c r="GW1525" s="99">
        <v>6.19</v>
      </c>
      <c r="GX1525" s="99">
        <v>13</v>
      </c>
      <c r="IA1525" s="99">
        <v>74.430000000000007</v>
      </c>
      <c r="IB1525" s="99">
        <v>238.2</v>
      </c>
      <c r="IE1525" s="99">
        <v>12.3</v>
      </c>
      <c r="IF1525" s="99">
        <v>20.61</v>
      </c>
      <c r="IO1525" s="99" t="s">
        <v>202</v>
      </c>
      <c r="IP1525" s="33" t="s">
        <v>1076</v>
      </c>
    </row>
    <row r="1526" spans="1:250" s="99" customFormat="1" x14ac:dyDescent="0.25">
      <c r="A1526" s="99">
        <v>70</v>
      </c>
      <c r="B1526" s="99" t="s">
        <v>1062</v>
      </c>
      <c r="C1526" s="99" t="s">
        <v>1063</v>
      </c>
      <c r="D1526" s="99">
        <v>1996</v>
      </c>
      <c r="E1526" s="99">
        <v>1992</v>
      </c>
      <c r="F1526" s="99" t="s">
        <v>1064</v>
      </c>
      <c r="G1526" s="99" t="s">
        <v>1065</v>
      </c>
      <c r="H1526" s="32" t="s">
        <v>2831</v>
      </c>
      <c r="I1526" s="99">
        <v>36.69</v>
      </c>
      <c r="J1526" s="99">
        <v>-121.64</v>
      </c>
      <c r="K1526" s="99">
        <v>11.5</v>
      </c>
      <c r="Q1526" s="100">
        <v>1</v>
      </c>
      <c r="R1526" s="100" t="s">
        <v>1856</v>
      </c>
      <c r="S1526" s="100" t="s">
        <v>866</v>
      </c>
      <c r="T1526" s="100" t="s">
        <v>2009</v>
      </c>
      <c r="U1526" s="47" t="s">
        <v>1399</v>
      </c>
      <c r="V1526" s="47" t="s">
        <v>1730</v>
      </c>
      <c r="W1526" s="47" t="s">
        <v>1399</v>
      </c>
      <c r="X1526" s="47" t="s">
        <v>1399</v>
      </c>
      <c r="Y1526" s="99">
        <v>1.46</v>
      </c>
      <c r="Z1526" s="351">
        <v>69</v>
      </c>
      <c r="AA1526" s="351">
        <v>20</v>
      </c>
      <c r="AB1526" s="99" t="s">
        <v>140</v>
      </c>
      <c r="AC1526" s="99">
        <v>7.7</v>
      </c>
      <c r="AD1526" s="99">
        <v>0.62</v>
      </c>
      <c r="AF1526" s="33" t="s">
        <v>1357</v>
      </c>
      <c r="AG1526" s="99" t="s">
        <v>1066</v>
      </c>
      <c r="AH1526" s="138" t="s">
        <v>1590</v>
      </c>
      <c r="AI1526" s="99" t="s">
        <v>635</v>
      </c>
      <c r="AJ1526" s="145" t="s">
        <v>230</v>
      </c>
      <c r="AT1526" s="99" t="s">
        <v>120</v>
      </c>
      <c r="AU1526" s="99">
        <v>3</v>
      </c>
      <c r="AW1526" s="99" t="s">
        <v>142</v>
      </c>
      <c r="AY1526" s="99">
        <v>203</v>
      </c>
      <c r="AZ1526" s="99">
        <f>AY1526/11.1</f>
        <v>18.288288288288289</v>
      </c>
      <c r="BM1526" s="426"/>
      <c r="BN1526" s="426"/>
      <c r="BR1526" s="426"/>
      <c r="BS1526" s="426"/>
      <c r="BW1526" s="99">
        <v>22.56</v>
      </c>
      <c r="BX1526" s="99">
        <v>21.76</v>
      </c>
      <c r="BY1526" s="33"/>
      <c r="BZ1526" s="33"/>
      <c r="CA1526" s="33" t="s">
        <v>1073</v>
      </c>
      <c r="EY1526" s="99">
        <v>9.19</v>
      </c>
      <c r="EZ1526" s="99">
        <v>8.89</v>
      </c>
      <c r="FI1526" s="99">
        <v>1.43</v>
      </c>
      <c r="FJ1526" s="99">
        <v>1.43</v>
      </c>
      <c r="FM1526" s="33" t="s">
        <v>1078</v>
      </c>
      <c r="FS1526" s="99">
        <v>29.28</v>
      </c>
      <c r="FT1526" s="99">
        <v>90.06</v>
      </c>
      <c r="FW1526" s="33" t="s">
        <v>1079</v>
      </c>
      <c r="FX1526" s="33"/>
      <c r="FY1526" s="33"/>
      <c r="FZ1526" s="33"/>
      <c r="GA1526" s="33"/>
      <c r="GB1526" s="33"/>
      <c r="GC1526" s="33"/>
      <c r="GD1526" s="33"/>
      <c r="GE1526" s="33"/>
      <c r="GF1526" s="33"/>
      <c r="GG1526" s="33"/>
      <c r="GH1526" s="33"/>
      <c r="GI1526" s="33"/>
      <c r="GJ1526" s="33"/>
      <c r="GK1526" s="33"/>
      <c r="GL1526" s="33"/>
      <c r="GW1526" s="99">
        <v>3.22</v>
      </c>
      <c r="GX1526" s="99">
        <v>7.64</v>
      </c>
      <c r="IA1526" s="99">
        <v>103.08</v>
      </c>
      <c r="IB1526" s="99">
        <v>289.37</v>
      </c>
      <c r="IE1526" s="99">
        <v>4.41</v>
      </c>
      <c r="IF1526" s="99">
        <v>17.3</v>
      </c>
      <c r="IO1526" s="99" t="s">
        <v>886</v>
      </c>
      <c r="IP1526" s="33" t="s">
        <v>1076</v>
      </c>
    </row>
    <row r="1527" spans="1:250" s="99" customFormat="1" x14ac:dyDescent="0.25">
      <c r="A1527" s="99">
        <v>70</v>
      </c>
      <c r="B1527" s="99" t="s">
        <v>1062</v>
      </c>
      <c r="C1527" s="99" t="s">
        <v>1063</v>
      </c>
      <c r="D1527" s="99">
        <v>1996</v>
      </c>
      <c r="E1527" s="99">
        <v>1993</v>
      </c>
      <c r="F1527" s="99" t="s">
        <v>1064</v>
      </c>
      <c r="G1527" s="99" t="s">
        <v>1065</v>
      </c>
      <c r="H1527" s="32" t="s">
        <v>2831</v>
      </c>
      <c r="I1527" s="99">
        <v>36.69</v>
      </c>
      <c r="J1527" s="99">
        <v>-121.64</v>
      </c>
      <c r="K1527" s="99">
        <v>11.5</v>
      </c>
      <c r="Q1527" s="100" t="s">
        <v>1856</v>
      </c>
      <c r="R1527" s="100" t="s">
        <v>1856</v>
      </c>
      <c r="S1527" s="100" t="s">
        <v>866</v>
      </c>
      <c r="T1527" s="100" t="s">
        <v>2009</v>
      </c>
      <c r="U1527" s="47" t="s">
        <v>1399</v>
      </c>
      <c r="V1527" s="47" t="s">
        <v>1730</v>
      </c>
      <c r="W1527" s="47" t="s">
        <v>1399</v>
      </c>
      <c r="X1527" s="47" t="s">
        <v>1399</v>
      </c>
      <c r="Y1527" s="99">
        <v>1.46</v>
      </c>
      <c r="Z1527" s="351">
        <v>69</v>
      </c>
      <c r="AA1527" s="351">
        <v>20</v>
      </c>
      <c r="AB1527" s="99" t="s">
        <v>140</v>
      </c>
      <c r="AC1527" s="99">
        <v>7.7</v>
      </c>
      <c r="AD1527" s="99">
        <v>0.62</v>
      </c>
      <c r="AF1527" s="33" t="s">
        <v>1357</v>
      </c>
      <c r="AG1527" s="99" t="s">
        <v>1066</v>
      </c>
      <c r="AH1527" s="138" t="s">
        <v>1590</v>
      </c>
      <c r="AI1527" s="99" t="s">
        <v>635</v>
      </c>
      <c r="AJ1527" s="145" t="s">
        <v>230</v>
      </c>
      <c r="AT1527" s="99" t="s">
        <v>120</v>
      </c>
      <c r="AU1527" s="99">
        <v>3</v>
      </c>
      <c r="AW1527" s="99" t="s">
        <v>142</v>
      </c>
      <c r="AY1527" s="99">
        <v>1219</v>
      </c>
      <c r="AZ1527" s="99">
        <f>AY1527/54</f>
        <v>22.574074074074073</v>
      </c>
      <c r="BM1527" s="426"/>
      <c r="BN1527" s="426"/>
      <c r="BR1527" s="426"/>
      <c r="BS1527" s="426"/>
      <c r="BW1527" s="99">
        <v>44.05</v>
      </c>
      <c r="BX1527" s="99">
        <v>35.81</v>
      </c>
      <c r="BY1527" s="33"/>
      <c r="BZ1527" s="33"/>
      <c r="CA1527" s="33" t="s">
        <v>1073</v>
      </c>
      <c r="EY1527" s="99">
        <v>8.2799999999999994</v>
      </c>
      <c r="EZ1527" s="99">
        <v>7.76</v>
      </c>
      <c r="FI1527" s="99">
        <v>9.02</v>
      </c>
      <c r="FJ1527" s="99">
        <v>8.1</v>
      </c>
      <c r="FM1527" s="33" t="s">
        <v>1078</v>
      </c>
      <c r="FS1527" s="99">
        <v>153.53</v>
      </c>
      <c r="FT1527" s="99">
        <v>217.16</v>
      </c>
      <c r="FW1527" s="33" t="s">
        <v>1079</v>
      </c>
      <c r="FX1527" s="33"/>
      <c r="FY1527" s="33"/>
      <c r="FZ1527" s="33"/>
      <c r="GA1527" s="33"/>
      <c r="GB1527" s="33"/>
      <c r="GC1527" s="33"/>
      <c r="GD1527" s="33"/>
      <c r="GE1527" s="33"/>
      <c r="GF1527" s="33"/>
      <c r="GG1527" s="33"/>
      <c r="GH1527" s="33"/>
      <c r="GI1527" s="33"/>
      <c r="GJ1527" s="33"/>
      <c r="GK1527" s="33"/>
      <c r="GL1527" s="33"/>
      <c r="GW1527" s="99">
        <v>5.32</v>
      </c>
      <c r="GX1527" s="99">
        <v>6.99</v>
      </c>
      <c r="IA1527" s="99">
        <v>49.83</v>
      </c>
      <c r="IB1527" s="99">
        <v>162.41999999999999</v>
      </c>
      <c r="IE1527" s="99">
        <v>11.14</v>
      </c>
      <c r="IF1527" s="99">
        <v>15.29</v>
      </c>
      <c r="IO1527" s="99" t="s">
        <v>1075</v>
      </c>
      <c r="IP1527" s="33" t="s">
        <v>1076</v>
      </c>
    </row>
    <row r="1528" spans="1:250" s="99" customFormat="1" x14ac:dyDescent="0.25">
      <c r="A1528" s="99">
        <v>70</v>
      </c>
      <c r="B1528" s="99" t="s">
        <v>1062</v>
      </c>
      <c r="C1528" s="99" t="s">
        <v>1063</v>
      </c>
      <c r="D1528" s="99">
        <v>1996</v>
      </c>
      <c r="E1528" s="99">
        <v>1993</v>
      </c>
      <c r="F1528" s="99" t="s">
        <v>1064</v>
      </c>
      <c r="G1528" s="99" t="s">
        <v>1065</v>
      </c>
      <c r="H1528" s="32" t="s">
        <v>2831</v>
      </c>
      <c r="I1528" s="99">
        <v>36.69</v>
      </c>
      <c r="J1528" s="99">
        <v>-121.64</v>
      </c>
      <c r="K1528" s="99">
        <v>11.5</v>
      </c>
      <c r="Q1528" s="100" t="s">
        <v>1856</v>
      </c>
      <c r="R1528" s="100" t="s">
        <v>1856</v>
      </c>
      <c r="S1528" s="100" t="s">
        <v>866</v>
      </c>
      <c r="T1528" s="100" t="s">
        <v>2009</v>
      </c>
      <c r="U1528" s="47" t="s">
        <v>1399</v>
      </c>
      <c r="V1528" s="47" t="s">
        <v>1730</v>
      </c>
      <c r="W1528" s="47" t="s">
        <v>1399</v>
      </c>
      <c r="X1528" s="47" t="s">
        <v>1399</v>
      </c>
      <c r="Y1528" s="99">
        <v>1.46</v>
      </c>
      <c r="Z1528" s="351">
        <v>69</v>
      </c>
      <c r="AA1528" s="351">
        <v>20</v>
      </c>
      <c r="AB1528" s="99" t="s">
        <v>140</v>
      </c>
      <c r="AC1528" s="99">
        <v>7.7</v>
      </c>
      <c r="AD1528" s="99">
        <v>0.62</v>
      </c>
      <c r="AF1528" s="33" t="s">
        <v>1357</v>
      </c>
      <c r="AG1528" s="99" t="s">
        <v>1066</v>
      </c>
      <c r="AH1528" s="138" t="s">
        <v>1590</v>
      </c>
      <c r="AI1528" s="99" t="s">
        <v>635</v>
      </c>
      <c r="AJ1528" s="145" t="s">
        <v>230</v>
      </c>
      <c r="AT1528" s="99" t="s">
        <v>120</v>
      </c>
      <c r="AU1528" s="99">
        <v>3</v>
      </c>
      <c r="AW1528" s="99" t="s">
        <v>142</v>
      </c>
      <c r="AY1528" s="99">
        <v>1962</v>
      </c>
      <c r="AZ1528" s="99">
        <f>AY1528/69</f>
        <v>28.434782608695652</v>
      </c>
      <c r="BM1528" s="426"/>
      <c r="BN1528" s="426"/>
      <c r="BR1528" s="426"/>
      <c r="BS1528" s="426"/>
      <c r="BW1528" s="99">
        <v>57.76</v>
      </c>
      <c r="BX1528" s="99">
        <v>23.09</v>
      </c>
      <c r="BY1528" s="33"/>
      <c r="BZ1528" s="33"/>
      <c r="CA1528" s="33" t="s">
        <v>1073</v>
      </c>
      <c r="EY1528" s="99">
        <v>7.15</v>
      </c>
      <c r="EZ1528" s="99">
        <v>7.97</v>
      </c>
      <c r="FI1528" s="99">
        <v>15.1</v>
      </c>
      <c r="FJ1528" s="99">
        <v>7.63</v>
      </c>
      <c r="FM1528" s="33" t="s">
        <v>1078</v>
      </c>
      <c r="FS1528" s="99">
        <v>46.96</v>
      </c>
      <c r="FT1528" s="99">
        <v>75.45</v>
      </c>
      <c r="FW1528" s="33" t="s">
        <v>1079</v>
      </c>
      <c r="FX1528" s="33"/>
      <c r="FY1528" s="33"/>
      <c r="FZ1528" s="33"/>
      <c r="GA1528" s="33"/>
      <c r="GB1528" s="33"/>
      <c r="GC1528" s="33"/>
      <c r="GD1528" s="33"/>
      <c r="GE1528" s="33"/>
      <c r="GF1528" s="33"/>
      <c r="GG1528" s="33"/>
      <c r="GH1528" s="33"/>
      <c r="GI1528" s="33"/>
      <c r="GJ1528" s="33"/>
      <c r="GK1528" s="33"/>
      <c r="GL1528" s="33"/>
      <c r="GW1528" s="99">
        <v>7.05</v>
      </c>
      <c r="GX1528" s="99">
        <v>4.3</v>
      </c>
      <c r="IA1528" s="99">
        <v>117.26</v>
      </c>
      <c r="IB1528" s="99">
        <v>244.18</v>
      </c>
      <c r="IE1528" s="99">
        <v>6.37</v>
      </c>
      <c r="IF1528" s="99">
        <v>15.97</v>
      </c>
      <c r="IO1528" s="99" t="s">
        <v>1075</v>
      </c>
      <c r="IP1528" s="33" t="s">
        <v>1076</v>
      </c>
    </row>
    <row r="1529" spans="1:250" s="99" customFormat="1" x14ac:dyDescent="0.25">
      <c r="A1529" s="99">
        <v>70</v>
      </c>
      <c r="B1529" s="99" t="s">
        <v>1062</v>
      </c>
      <c r="C1529" s="99" t="s">
        <v>1063</v>
      </c>
      <c r="D1529" s="99">
        <v>1996</v>
      </c>
      <c r="E1529" s="99">
        <v>1993</v>
      </c>
      <c r="F1529" s="99" t="s">
        <v>1064</v>
      </c>
      <c r="G1529" s="99" t="s">
        <v>1065</v>
      </c>
      <c r="H1529" s="32" t="s">
        <v>2831</v>
      </c>
      <c r="I1529" s="99">
        <v>36.69</v>
      </c>
      <c r="J1529" s="99">
        <v>-121.64</v>
      </c>
      <c r="K1529" s="99">
        <v>11.5</v>
      </c>
      <c r="Q1529" s="100" t="s">
        <v>1856</v>
      </c>
      <c r="R1529" s="100" t="s">
        <v>1856</v>
      </c>
      <c r="S1529" s="100" t="s">
        <v>866</v>
      </c>
      <c r="T1529" s="100" t="s">
        <v>2009</v>
      </c>
      <c r="U1529" s="47" t="s">
        <v>1399</v>
      </c>
      <c r="V1529" s="47" t="s">
        <v>1730</v>
      </c>
      <c r="W1529" s="47" t="s">
        <v>1399</v>
      </c>
      <c r="X1529" s="47" t="s">
        <v>1399</v>
      </c>
      <c r="Y1529" s="99">
        <v>1.46</v>
      </c>
      <c r="Z1529" s="351">
        <v>69</v>
      </c>
      <c r="AA1529" s="351">
        <v>20</v>
      </c>
      <c r="AB1529" s="99" t="s">
        <v>140</v>
      </c>
      <c r="AC1529" s="99">
        <v>7.7</v>
      </c>
      <c r="AD1529" s="99">
        <v>0.62</v>
      </c>
      <c r="AF1529" s="33" t="s">
        <v>1357</v>
      </c>
      <c r="AG1529" s="99" t="s">
        <v>1066</v>
      </c>
      <c r="AH1529" s="138" t="s">
        <v>1590</v>
      </c>
      <c r="AI1529" s="99" t="s">
        <v>635</v>
      </c>
      <c r="AJ1529" s="145" t="s">
        <v>230</v>
      </c>
      <c r="AT1529" s="99" t="s">
        <v>120</v>
      </c>
      <c r="AU1529" s="99">
        <v>3</v>
      </c>
      <c r="AW1529" s="99" t="s">
        <v>142</v>
      </c>
      <c r="AY1529" s="99">
        <v>3640</v>
      </c>
      <c r="AZ1529" s="99">
        <f>AY1529/106</f>
        <v>34.339622641509436</v>
      </c>
      <c r="BM1529" s="426"/>
      <c r="BN1529" s="426"/>
      <c r="BR1529" s="426"/>
      <c r="BS1529" s="426"/>
      <c r="BW1529" s="99">
        <v>70.599999999999994</v>
      </c>
      <c r="BX1529" s="99">
        <v>70.31</v>
      </c>
      <c r="BY1529" s="33"/>
      <c r="BZ1529" s="33"/>
      <c r="CA1529" s="33" t="s">
        <v>1073</v>
      </c>
      <c r="EY1529" s="99">
        <v>5.56</v>
      </c>
      <c r="EZ1529" s="99">
        <v>5.78</v>
      </c>
      <c r="FI1529" s="99">
        <v>8.41</v>
      </c>
      <c r="FJ1529" s="99">
        <v>7.1</v>
      </c>
      <c r="FM1529" s="33" t="s">
        <v>1078</v>
      </c>
      <c r="FS1529" s="99">
        <v>42.08</v>
      </c>
      <c r="FT1529" s="99">
        <v>33.54</v>
      </c>
      <c r="FW1529" s="33" t="s">
        <v>1079</v>
      </c>
      <c r="FX1529" s="33"/>
      <c r="FY1529" s="33"/>
      <c r="FZ1529" s="33"/>
      <c r="GA1529" s="33"/>
      <c r="GB1529" s="33"/>
      <c r="GC1529" s="33"/>
      <c r="GD1529" s="33"/>
      <c r="GE1529" s="33"/>
      <c r="GF1529" s="33"/>
      <c r="GG1529" s="33"/>
      <c r="GH1529" s="33"/>
      <c r="GI1529" s="33"/>
      <c r="GJ1529" s="33"/>
      <c r="GK1529" s="33"/>
      <c r="GL1529" s="33"/>
      <c r="GW1529" s="99">
        <v>3.86</v>
      </c>
      <c r="GX1529" s="99">
        <v>3.86</v>
      </c>
      <c r="IA1529" s="99">
        <v>119.25</v>
      </c>
      <c r="IB1529" s="99">
        <v>190.9</v>
      </c>
      <c r="IE1529" s="99">
        <v>11.22</v>
      </c>
      <c r="IF1529" s="99">
        <v>12.94</v>
      </c>
      <c r="IO1529" s="99" t="s">
        <v>782</v>
      </c>
      <c r="IP1529" s="33" t="s">
        <v>1076</v>
      </c>
    </row>
    <row r="1530" spans="1:250" s="28" customFormat="1" x14ac:dyDescent="0.25">
      <c r="A1530" s="28">
        <v>70</v>
      </c>
      <c r="B1530" s="28" t="s">
        <v>1062</v>
      </c>
      <c r="C1530" s="28" t="s">
        <v>1063</v>
      </c>
      <c r="D1530" s="28">
        <v>1996</v>
      </c>
      <c r="E1530" s="28">
        <v>1992</v>
      </c>
      <c r="F1530" s="28" t="s">
        <v>1064</v>
      </c>
      <c r="G1530" s="28" t="s">
        <v>1065</v>
      </c>
      <c r="H1530" s="32" t="s">
        <v>2831</v>
      </c>
      <c r="I1530" s="28">
        <v>36.69</v>
      </c>
      <c r="J1530" s="28">
        <v>-121.64</v>
      </c>
      <c r="K1530" s="28">
        <v>11.5</v>
      </c>
      <c r="Q1530" s="46">
        <v>1</v>
      </c>
      <c r="R1530" s="46" t="s">
        <v>1856</v>
      </c>
      <c r="S1530" s="46" t="s">
        <v>866</v>
      </c>
      <c r="T1530" s="46" t="s">
        <v>1067</v>
      </c>
      <c r="U1530" s="46" t="s">
        <v>1399</v>
      </c>
      <c r="V1530" s="46" t="s">
        <v>1730</v>
      </c>
      <c r="W1530" s="46" t="s">
        <v>1399</v>
      </c>
      <c r="X1530" s="46" t="s">
        <v>1399</v>
      </c>
      <c r="Y1530" s="28">
        <v>1.46</v>
      </c>
      <c r="Z1530" s="326">
        <v>69</v>
      </c>
      <c r="AA1530" s="326">
        <v>20</v>
      </c>
      <c r="AB1530" s="28" t="s">
        <v>140</v>
      </c>
      <c r="AC1530" s="28">
        <v>7.7</v>
      </c>
      <c r="AD1530" s="28">
        <v>0.62</v>
      </c>
      <c r="AF1530" s="28" t="s">
        <v>1357</v>
      </c>
      <c r="AG1530" s="28" t="s">
        <v>132</v>
      </c>
      <c r="AH1530" s="138" t="s">
        <v>132</v>
      </c>
      <c r="AI1530" s="28" t="s">
        <v>635</v>
      </c>
      <c r="AJ1530" s="141" t="s">
        <v>230</v>
      </c>
      <c r="AT1530" s="28" t="s">
        <v>120</v>
      </c>
      <c r="AU1530" s="28">
        <v>3</v>
      </c>
      <c r="AW1530" s="28" t="s">
        <v>142</v>
      </c>
      <c r="AY1530" s="28">
        <v>8.1</v>
      </c>
      <c r="AZ1530" s="28">
        <f>AY1530/0.5</f>
        <v>16.2</v>
      </c>
      <c r="BH1530" s="28">
        <v>3</v>
      </c>
      <c r="BI1530" s="28">
        <v>4</v>
      </c>
      <c r="BM1530" s="401"/>
      <c r="BN1530" s="401"/>
      <c r="BR1530" s="401"/>
      <c r="BS1530" s="401"/>
      <c r="BW1530" s="28">
        <v>67.489999999999995</v>
      </c>
      <c r="BX1530" s="28">
        <v>35.72</v>
      </c>
      <c r="CA1530" s="28" t="s">
        <v>1073</v>
      </c>
      <c r="EY1530" s="28">
        <v>4.82</v>
      </c>
      <c r="EZ1530" s="28">
        <v>6.39</v>
      </c>
      <c r="FI1530" s="28">
        <v>0.75</v>
      </c>
      <c r="FJ1530" s="28">
        <v>6.06</v>
      </c>
      <c r="FM1530" s="28" t="s">
        <v>1078</v>
      </c>
      <c r="FS1530" s="28">
        <v>1.38</v>
      </c>
      <c r="FT1530" s="28">
        <v>4.2300000000000004</v>
      </c>
      <c r="FW1530" s="28" t="s">
        <v>1079</v>
      </c>
      <c r="GW1530" s="28">
        <v>6.56</v>
      </c>
      <c r="GX1530" s="28">
        <v>7.72</v>
      </c>
      <c r="IA1530" s="28">
        <v>86.95</v>
      </c>
      <c r="IB1530" s="28">
        <v>86.95</v>
      </c>
      <c r="IE1530" s="28">
        <v>10.52</v>
      </c>
      <c r="IF1530" s="28">
        <v>10.52</v>
      </c>
      <c r="IO1530" s="28" t="s">
        <v>782</v>
      </c>
      <c r="IP1530" s="28" t="s">
        <v>1076</v>
      </c>
    </row>
    <row r="1531" spans="1:250" s="28" customFormat="1" x14ac:dyDescent="0.25">
      <c r="A1531" s="28">
        <v>70</v>
      </c>
      <c r="B1531" s="28" t="s">
        <v>1062</v>
      </c>
      <c r="C1531" s="28" t="s">
        <v>1063</v>
      </c>
      <c r="D1531" s="28">
        <v>1996</v>
      </c>
      <c r="E1531" s="28">
        <v>1992</v>
      </c>
      <c r="F1531" s="28" t="s">
        <v>1064</v>
      </c>
      <c r="G1531" s="28" t="s">
        <v>1065</v>
      </c>
      <c r="H1531" s="32" t="s">
        <v>2831</v>
      </c>
      <c r="I1531" s="28">
        <v>36.69</v>
      </c>
      <c r="J1531" s="28">
        <v>-121.64</v>
      </c>
      <c r="K1531" s="28">
        <v>11.5</v>
      </c>
      <c r="Q1531" s="46">
        <v>1</v>
      </c>
      <c r="R1531" s="46" t="s">
        <v>1856</v>
      </c>
      <c r="S1531" s="46" t="s">
        <v>866</v>
      </c>
      <c r="T1531" s="46" t="s">
        <v>1068</v>
      </c>
      <c r="U1531" s="46" t="s">
        <v>1399</v>
      </c>
      <c r="V1531" s="46" t="s">
        <v>1730</v>
      </c>
      <c r="W1531" s="46" t="s">
        <v>1399</v>
      </c>
      <c r="X1531" s="46" t="s">
        <v>1399</v>
      </c>
      <c r="Y1531" s="28">
        <v>1.46</v>
      </c>
      <c r="Z1531" s="326">
        <v>69</v>
      </c>
      <c r="AA1531" s="326">
        <v>20</v>
      </c>
      <c r="AB1531" s="28" t="s">
        <v>140</v>
      </c>
      <c r="AC1531" s="28">
        <v>7.7</v>
      </c>
      <c r="AD1531" s="28">
        <v>0.62</v>
      </c>
      <c r="AF1531" s="28" t="s">
        <v>1357</v>
      </c>
      <c r="AG1531" s="28" t="s">
        <v>132</v>
      </c>
      <c r="AH1531" s="138" t="s">
        <v>132</v>
      </c>
      <c r="AI1531" s="28" t="s">
        <v>635</v>
      </c>
      <c r="AJ1531" s="141" t="s">
        <v>230</v>
      </c>
      <c r="AT1531" s="28" t="s">
        <v>120</v>
      </c>
      <c r="AU1531" s="28">
        <v>3</v>
      </c>
      <c r="AW1531" s="28" t="s">
        <v>142</v>
      </c>
      <c r="AY1531" s="28">
        <v>347</v>
      </c>
      <c r="AZ1531" s="28">
        <f>AY1531/21</f>
        <v>16.523809523809526</v>
      </c>
      <c r="BH1531" s="28">
        <v>123</v>
      </c>
      <c r="BI1531" s="28">
        <v>115</v>
      </c>
      <c r="BM1531" s="401"/>
      <c r="BN1531" s="401"/>
      <c r="BR1531" s="401"/>
      <c r="BS1531" s="401"/>
      <c r="BW1531" s="28">
        <v>80.33</v>
      </c>
      <c r="BX1531" s="28">
        <v>84.17</v>
      </c>
      <c r="CA1531" s="28" t="s">
        <v>1073</v>
      </c>
      <c r="EY1531" s="28">
        <v>11.17</v>
      </c>
      <c r="EZ1531" s="28">
        <v>12.06</v>
      </c>
      <c r="FI1531" s="28">
        <v>5.86</v>
      </c>
      <c r="FJ1531" s="28">
        <v>1.4</v>
      </c>
      <c r="FM1531" s="28" t="s">
        <v>1078</v>
      </c>
      <c r="FS1531" s="28">
        <v>10.8</v>
      </c>
      <c r="FT1531" s="28">
        <v>9.86</v>
      </c>
      <c r="FW1531" s="28" t="s">
        <v>1079</v>
      </c>
      <c r="GW1531" s="28">
        <v>12.79</v>
      </c>
      <c r="GX1531" s="28">
        <v>8.59</v>
      </c>
      <c r="IA1531" s="28">
        <v>203.57</v>
      </c>
      <c r="IB1531" s="28">
        <v>154.43</v>
      </c>
      <c r="IE1531" s="28">
        <v>19.37</v>
      </c>
      <c r="IF1531" s="28">
        <v>19.23</v>
      </c>
      <c r="IO1531" s="28" t="s">
        <v>885</v>
      </c>
      <c r="IP1531" s="28" t="s">
        <v>1076</v>
      </c>
    </row>
    <row r="1532" spans="1:250" s="28" customFormat="1" x14ac:dyDescent="0.25">
      <c r="A1532" s="28">
        <v>70</v>
      </c>
      <c r="B1532" s="28" t="s">
        <v>1062</v>
      </c>
      <c r="C1532" s="28" t="s">
        <v>1063</v>
      </c>
      <c r="D1532" s="28">
        <v>1996</v>
      </c>
      <c r="E1532" s="28">
        <v>1993</v>
      </c>
      <c r="F1532" s="28" t="s">
        <v>1064</v>
      </c>
      <c r="G1532" s="28" t="s">
        <v>1065</v>
      </c>
      <c r="H1532" s="32" t="s">
        <v>2831</v>
      </c>
      <c r="I1532" s="28">
        <v>36.69</v>
      </c>
      <c r="J1532" s="28">
        <v>-121.64</v>
      </c>
      <c r="K1532" s="28">
        <v>11.5</v>
      </c>
      <c r="Q1532" s="46" t="s">
        <v>1856</v>
      </c>
      <c r="R1532" s="46" t="s">
        <v>1856</v>
      </c>
      <c r="S1532" s="46" t="s">
        <v>866</v>
      </c>
      <c r="T1532" s="46" t="s">
        <v>1069</v>
      </c>
      <c r="U1532" s="46" t="s">
        <v>1399</v>
      </c>
      <c r="V1532" s="46" t="s">
        <v>1730</v>
      </c>
      <c r="W1532" s="46" t="s">
        <v>1399</v>
      </c>
      <c r="X1532" s="46" t="s">
        <v>1399</v>
      </c>
      <c r="Y1532" s="28">
        <v>1.46</v>
      </c>
      <c r="Z1532" s="326">
        <v>69</v>
      </c>
      <c r="AA1532" s="326">
        <v>20</v>
      </c>
      <c r="AB1532" s="28" t="s">
        <v>140</v>
      </c>
      <c r="AC1532" s="28">
        <v>7.7</v>
      </c>
      <c r="AD1532" s="28">
        <v>0.62</v>
      </c>
      <c r="AF1532" s="28" t="s">
        <v>1357</v>
      </c>
      <c r="AG1532" s="28" t="s">
        <v>132</v>
      </c>
      <c r="AH1532" s="138" t="s">
        <v>132</v>
      </c>
      <c r="AI1532" s="28" t="s">
        <v>635</v>
      </c>
      <c r="AJ1532" s="141" t="s">
        <v>230</v>
      </c>
      <c r="AT1532" s="28" t="s">
        <v>120</v>
      </c>
      <c r="AU1532" s="28">
        <v>3</v>
      </c>
      <c r="AW1532" s="28" t="s">
        <v>142</v>
      </c>
      <c r="AY1532" s="28">
        <v>1399</v>
      </c>
      <c r="AZ1532" s="28">
        <f>AY1532/59</f>
        <v>23.711864406779661</v>
      </c>
      <c r="BH1532" s="28">
        <v>1285</v>
      </c>
      <c r="BI1532" s="28">
        <v>1215</v>
      </c>
      <c r="BM1532" s="401"/>
      <c r="BN1532" s="401"/>
      <c r="BR1532" s="401"/>
      <c r="BS1532" s="401"/>
      <c r="BW1532" s="28">
        <v>42.55</v>
      </c>
      <c r="BX1532" s="28">
        <v>38.950000000000003</v>
      </c>
      <c r="CA1532" s="28" t="s">
        <v>1073</v>
      </c>
      <c r="EY1532" s="28">
        <v>8.9</v>
      </c>
      <c r="EZ1532" s="28">
        <v>7.34</v>
      </c>
      <c r="FI1532" s="28">
        <v>0.74</v>
      </c>
      <c r="FJ1532" s="28">
        <v>0.74</v>
      </c>
      <c r="FM1532" s="28" t="s">
        <v>1078</v>
      </c>
      <c r="FS1532" s="28">
        <v>9.8000000000000007</v>
      </c>
      <c r="FT1532" s="28">
        <v>47.8</v>
      </c>
      <c r="FW1532" s="28" t="s">
        <v>1079</v>
      </c>
      <c r="GW1532" s="28">
        <v>6.56</v>
      </c>
      <c r="GX1532" s="28">
        <v>9.5299999999999994</v>
      </c>
      <c r="IA1532" s="28">
        <v>189.18</v>
      </c>
      <c r="IB1532" s="28">
        <v>299.72000000000003</v>
      </c>
      <c r="IE1532" s="28">
        <v>10.18</v>
      </c>
      <c r="IF1532" s="28">
        <v>12.76</v>
      </c>
      <c r="IO1532" s="28" t="s">
        <v>985</v>
      </c>
      <c r="IP1532" s="28" t="s">
        <v>1076</v>
      </c>
    </row>
    <row r="1533" spans="1:250" s="28" customFormat="1" x14ac:dyDescent="0.25">
      <c r="A1533" s="28">
        <v>70</v>
      </c>
      <c r="B1533" s="28" t="s">
        <v>1062</v>
      </c>
      <c r="C1533" s="28" t="s">
        <v>1063</v>
      </c>
      <c r="D1533" s="28">
        <v>1996</v>
      </c>
      <c r="E1533" s="28">
        <v>1993</v>
      </c>
      <c r="F1533" s="28" t="s">
        <v>1064</v>
      </c>
      <c r="G1533" s="28" t="s">
        <v>1065</v>
      </c>
      <c r="H1533" s="32" t="s">
        <v>2831</v>
      </c>
      <c r="I1533" s="28">
        <v>36.69</v>
      </c>
      <c r="J1533" s="28">
        <v>-121.64</v>
      </c>
      <c r="K1533" s="28">
        <v>11.5</v>
      </c>
      <c r="Q1533" s="46" t="s">
        <v>1856</v>
      </c>
      <c r="R1533" s="46" t="s">
        <v>1856</v>
      </c>
      <c r="S1533" s="46" t="s">
        <v>866</v>
      </c>
      <c r="T1533" s="46" t="s">
        <v>1070</v>
      </c>
      <c r="U1533" s="46" t="s">
        <v>1399</v>
      </c>
      <c r="V1533" s="46" t="s">
        <v>1730</v>
      </c>
      <c r="W1533" s="46" t="s">
        <v>1399</v>
      </c>
      <c r="X1533" s="46" t="s">
        <v>1399</v>
      </c>
      <c r="Y1533" s="28">
        <v>1.46</v>
      </c>
      <c r="Z1533" s="326">
        <v>69</v>
      </c>
      <c r="AA1533" s="326">
        <v>20</v>
      </c>
      <c r="AB1533" s="28" t="s">
        <v>140</v>
      </c>
      <c r="AC1533" s="28">
        <v>7.7</v>
      </c>
      <c r="AD1533" s="28">
        <v>0.62</v>
      </c>
      <c r="AF1533" s="28" t="s">
        <v>1357</v>
      </c>
      <c r="AG1533" s="28" t="s">
        <v>132</v>
      </c>
      <c r="AH1533" s="138" t="s">
        <v>132</v>
      </c>
      <c r="AI1533" s="28" t="s">
        <v>635</v>
      </c>
      <c r="AJ1533" s="141" t="s">
        <v>230</v>
      </c>
      <c r="AT1533" s="28" t="s">
        <v>120</v>
      </c>
      <c r="AU1533" s="28">
        <v>3</v>
      </c>
      <c r="AW1533" s="28" t="s">
        <v>142</v>
      </c>
      <c r="AY1533" s="28">
        <v>2151</v>
      </c>
      <c r="AZ1533" s="28">
        <f>AY1533/78</f>
        <v>27.576923076923077</v>
      </c>
      <c r="BH1533" s="28">
        <v>5821</v>
      </c>
      <c r="BI1533" s="28">
        <v>5902</v>
      </c>
      <c r="BM1533" s="401"/>
      <c r="BN1533" s="401"/>
      <c r="BR1533" s="401"/>
      <c r="BS1533" s="401"/>
      <c r="BW1533" s="28">
        <v>18.420000000000002</v>
      </c>
      <c r="BX1533" s="28">
        <v>1.34</v>
      </c>
      <c r="CA1533" s="28" t="s">
        <v>1073</v>
      </c>
      <c r="EY1533" s="28">
        <v>8.3699999999999992</v>
      </c>
      <c r="EZ1533" s="28">
        <v>6.13</v>
      </c>
      <c r="FI1533" s="28">
        <v>3.62</v>
      </c>
      <c r="FJ1533" s="28">
        <v>6.9</v>
      </c>
      <c r="FM1533" s="28" t="s">
        <v>1078</v>
      </c>
      <c r="FS1533" s="28">
        <v>22.13</v>
      </c>
      <c r="FT1533" s="28">
        <v>56.3</v>
      </c>
      <c r="FW1533" s="28" t="s">
        <v>1079</v>
      </c>
      <c r="GW1533" s="28">
        <v>7.56</v>
      </c>
      <c r="GX1533" s="28">
        <v>7.57</v>
      </c>
      <c r="IA1533" s="28">
        <v>275.08999999999997</v>
      </c>
      <c r="IB1533" s="28">
        <v>150.22</v>
      </c>
      <c r="IE1533" s="28">
        <v>15.46</v>
      </c>
      <c r="IF1533" s="28">
        <v>19.62</v>
      </c>
      <c r="IO1533" s="28" t="s">
        <v>986</v>
      </c>
      <c r="IP1533" s="28" t="s">
        <v>1076</v>
      </c>
    </row>
    <row r="1534" spans="1:250" s="28" customFormat="1" x14ac:dyDescent="0.25">
      <c r="A1534" s="28">
        <v>70</v>
      </c>
      <c r="B1534" s="28" t="s">
        <v>1062</v>
      </c>
      <c r="C1534" s="28" t="s">
        <v>1063</v>
      </c>
      <c r="D1534" s="28">
        <v>1996</v>
      </c>
      <c r="E1534" s="28">
        <v>1993</v>
      </c>
      <c r="F1534" s="28" t="s">
        <v>1064</v>
      </c>
      <c r="G1534" s="28" t="s">
        <v>1065</v>
      </c>
      <c r="H1534" s="32" t="s">
        <v>2831</v>
      </c>
      <c r="I1534" s="28">
        <v>36.69</v>
      </c>
      <c r="J1534" s="28">
        <v>-121.64</v>
      </c>
      <c r="K1534" s="28">
        <v>11.5</v>
      </c>
      <c r="Q1534" s="46" t="s">
        <v>1856</v>
      </c>
      <c r="R1534" s="46" t="s">
        <v>1856</v>
      </c>
      <c r="S1534" s="46" t="s">
        <v>866</v>
      </c>
      <c r="T1534" s="46" t="s">
        <v>1071</v>
      </c>
      <c r="U1534" s="46" t="s">
        <v>1399</v>
      </c>
      <c r="V1534" s="46" t="s">
        <v>1730</v>
      </c>
      <c r="W1534" s="46" t="s">
        <v>1399</v>
      </c>
      <c r="X1534" s="46" t="s">
        <v>1399</v>
      </c>
      <c r="Y1534" s="28">
        <v>1.46</v>
      </c>
      <c r="Z1534" s="326">
        <v>69</v>
      </c>
      <c r="AA1534" s="326">
        <v>20</v>
      </c>
      <c r="AB1534" s="28" t="s">
        <v>140</v>
      </c>
      <c r="AC1534" s="28">
        <v>7.7</v>
      </c>
      <c r="AD1534" s="28">
        <v>0.62</v>
      </c>
      <c r="AF1534" s="28" t="s">
        <v>1357</v>
      </c>
      <c r="AG1534" s="28" t="s">
        <v>132</v>
      </c>
      <c r="AH1534" s="138" t="s">
        <v>132</v>
      </c>
      <c r="AI1534" s="28" t="s">
        <v>635</v>
      </c>
      <c r="AJ1534" s="141" t="s">
        <v>230</v>
      </c>
      <c r="AT1534" s="28" t="s">
        <v>120</v>
      </c>
      <c r="AU1534" s="28">
        <v>3</v>
      </c>
      <c r="AW1534" s="28" t="s">
        <v>142</v>
      </c>
      <c r="AY1534" s="28">
        <v>3727</v>
      </c>
      <c r="AZ1534" s="28">
        <f>AY1534/136</f>
        <v>27.404411764705884</v>
      </c>
      <c r="BH1534" s="28">
        <v>8303</v>
      </c>
      <c r="BI1534" s="28">
        <v>8672</v>
      </c>
      <c r="BM1534" s="401"/>
      <c r="BN1534" s="401"/>
      <c r="BR1534" s="401"/>
      <c r="BS1534" s="401"/>
      <c r="BW1534" s="28">
        <v>15.37</v>
      </c>
      <c r="BX1534" s="28">
        <v>7.27</v>
      </c>
      <c r="CA1534" s="28" t="s">
        <v>1073</v>
      </c>
      <c r="EY1534" s="28">
        <v>7.55</v>
      </c>
      <c r="EZ1534" s="28">
        <v>5.75</v>
      </c>
      <c r="FI1534" s="28">
        <v>3.42</v>
      </c>
      <c r="FJ1534" s="28">
        <v>9.4499999999999993</v>
      </c>
      <c r="FM1534" s="28" t="s">
        <v>1078</v>
      </c>
      <c r="FS1534" s="28">
        <v>8.8000000000000007</v>
      </c>
      <c r="FT1534" s="28">
        <v>14.5</v>
      </c>
      <c r="FW1534" s="28" t="s">
        <v>1079</v>
      </c>
      <c r="GW1534" s="28">
        <v>4.8</v>
      </c>
      <c r="GX1534" s="28">
        <v>7.64</v>
      </c>
      <c r="IA1534" s="28">
        <v>152.24</v>
      </c>
      <c r="IB1534" s="28">
        <v>273.02</v>
      </c>
      <c r="IE1534" s="28">
        <v>4.99</v>
      </c>
      <c r="IF1534" s="28">
        <v>10.3</v>
      </c>
      <c r="IO1534" s="28" t="s">
        <v>781</v>
      </c>
      <c r="IP1534" s="28" t="s">
        <v>1076</v>
      </c>
    </row>
    <row r="1535" spans="1:250" s="97" customFormat="1" x14ac:dyDescent="0.25">
      <c r="A1535" s="97">
        <v>70</v>
      </c>
      <c r="B1535" s="97" t="s">
        <v>1062</v>
      </c>
      <c r="C1535" s="97" t="s">
        <v>1063</v>
      </c>
      <c r="D1535" s="97">
        <v>1996</v>
      </c>
      <c r="E1535" s="97">
        <v>1992</v>
      </c>
      <c r="F1535" s="97" t="s">
        <v>1064</v>
      </c>
      <c r="G1535" s="97" t="s">
        <v>1065</v>
      </c>
      <c r="H1535" s="32" t="s">
        <v>2831</v>
      </c>
      <c r="I1535" s="97">
        <v>36.69</v>
      </c>
      <c r="J1535" s="97">
        <v>-121.64</v>
      </c>
      <c r="K1535" s="97">
        <v>11.5</v>
      </c>
      <c r="Q1535" s="98">
        <v>1</v>
      </c>
      <c r="R1535" s="98" t="s">
        <v>1856</v>
      </c>
      <c r="S1535" s="98" t="s">
        <v>866</v>
      </c>
      <c r="T1535" s="98" t="s">
        <v>2009</v>
      </c>
      <c r="U1535" s="98" t="s">
        <v>1399</v>
      </c>
      <c r="V1535" s="98" t="s">
        <v>1730</v>
      </c>
      <c r="W1535" s="98" t="s">
        <v>1399</v>
      </c>
      <c r="X1535" s="98" t="s">
        <v>1399</v>
      </c>
      <c r="Y1535" s="97">
        <v>1.46</v>
      </c>
      <c r="Z1535" s="350">
        <v>69</v>
      </c>
      <c r="AA1535" s="350">
        <v>20</v>
      </c>
      <c r="AB1535" s="97" t="s">
        <v>140</v>
      </c>
      <c r="AC1535" s="97">
        <v>7.7</v>
      </c>
      <c r="AD1535" s="97">
        <v>0.62</v>
      </c>
      <c r="AF1535" s="97" t="s">
        <v>1357</v>
      </c>
      <c r="AG1535" s="97" t="s">
        <v>132</v>
      </c>
      <c r="AH1535" s="138" t="s">
        <v>132</v>
      </c>
      <c r="AI1535" s="97" t="s">
        <v>635</v>
      </c>
      <c r="AJ1535" s="145" t="s">
        <v>230</v>
      </c>
      <c r="AT1535" s="97" t="s">
        <v>120</v>
      </c>
      <c r="AU1535" s="97">
        <v>3</v>
      </c>
      <c r="AW1535" s="97" t="s">
        <v>142</v>
      </c>
      <c r="AY1535" s="97">
        <v>8.1</v>
      </c>
      <c r="AZ1535" s="97">
        <f>AY1535/0.5</f>
        <v>16.2</v>
      </c>
      <c r="BM1535" s="425"/>
      <c r="BN1535" s="425"/>
      <c r="BR1535" s="425"/>
      <c r="BS1535" s="425"/>
      <c r="BW1535" s="97">
        <v>20.61</v>
      </c>
      <c r="BX1535" s="97">
        <v>10.96</v>
      </c>
      <c r="CA1535" s="97" t="s">
        <v>1073</v>
      </c>
      <c r="EY1535" s="97">
        <v>11.36</v>
      </c>
      <c r="EZ1535" s="97">
        <v>11.36</v>
      </c>
      <c r="FI1535" s="97">
        <v>0.65</v>
      </c>
      <c r="FJ1535" s="97">
        <v>0.52</v>
      </c>
      <c r="FM1535" s="97" t="s">
        <v>1078</v>
      </c>
      <c r="FS1535" s="97">
        <v>2.82</v>
      </c>
      <c r="FT1535" s="97">
        <v>2.8</v>
      </c>
      <c r="FW1535" s="97" t="s">
        <v>1079</v>
      </c>
      <c r="GW1535" s="97">
        <v>6.19</v>
      </c>
      <c r="GX1535" s="97">
        <v>11.77</v>
      </c>
      <c r="IA1535" s="97">
        <v>74.430000000000007</v>
      </c>
      <c r="IB1535" s="97">
        <v>146.09</v>
      </c>
      <c r="IE1535" s="97">
        <v>12.3</v>
      </c>
      <c r="IF1535" s="97">
        <v>18.32</v>
      </c>
      <c r="IO1535" s="97" t="s">
        <v>202</v>
      </c>
      <c r="IP1535" s="97" t="s">
        <v>1076</v>
      </c>
    </row>
    <row r="1536" spans="1:250" s="97" customFormat="1" x14ac:dyDescent="0.25">
      <c r="A1536" s="97">
        <v>70</v>
      </c>
      <c r="B1536" s="97" t="s">
        <v>1062</v>
      </c>
      <c r="C1536" s="97" t="s">
        <v>1063</v>
      </c>
      <c r="D1536" s="97">
        <v>1996</v>
      </c>
      <c r="E1536" s="97">
        <v>1992</v>
      </c>
      <c r="F1536" s="97" t="s">
        <v>1064</v>
      </c>
      <c r="G1536" s="97" t="s">
        <v>1065</v>
      </c>
      <c r="H1536" s="32" t="s">
        <v>2831</v>
      </c>
      <c r="I1536" s="97">
        <v>36.69</v>
      </c>
      <c r="J1536" s="97">
        <v>-121.64</v>
      </c>
      <c r="K1536" s="97">
        <v>11.5</v>
      </c>
      <c r="Q1536" s="98">
        <v>1</v>
      </c>
      <c r="R1536" s="98" t="s">
        <v>1856</v>
      </c>
      <c r="S1536" s="98" t="s">
        <v>866</v>
      </c>
      <c r="T1536" s="98" t="s">
        <v>2009</v>
      </c>
      <c r="U1536" s="98" t="s">
        <v>1399</v>
      </c>
      <c r="V1536" s="98" t="s">
        <v>1730</v>
      </c>
      <c r="W1536" s="98" t="s">
        <v>1399</v>
      </c>
      <c r="X1536" s="98" t="s">
        <v>1399</v>
      </c>
      <c r="Y1536" s="97">
        <v>1.46</v>
      </c>
      <c r="Z1536" s="350">
        <v>69</v>
      </c>
      <c r="AA1536" s="350">
        <v>20</v>
      </c>
      <c r="AB1536" s="97" t="s">
        <v>140</v>
      </c>
      <c r="AC1536" s="97">
        <v>7.7</v>
      </c>
      <c r="AD1536" s="97">
        <v>0.62</v>
      </c>
      <c r="AF1536" s="97" t="s">
        <v>1357</v>
      </c>
      <c r="AG1536" s="97" t="s">
        <v>132</v>
      </c>
      <c r="AH1536" s="138" t="s">
        <v>132</v>
      </c>
      <c r="AI1536" s="97" t="s">
        <v>635</v>
      </c>
      <c r="AJ1536" s="145" t="s">
        <v>230</v>
      </c>
      <c r="AT1536" s="97" t="s">
        <v>120</v>
      </c>
      <c r="AU1536" s="97">
        <v>3</v>
      </c>
      <c r="AW1536" s="97" t="s">
        <v>142</v>
      </c>
      <c r="AY1536" s="97">
        <v>347</v>
      </c>
      <c r="AZ1536" s="97">
        <f>AY1536/21</f>
        <v>16.523809523809526</v>
      </c>
      <c r="BM1536" s="425"/>
      <c r="BN1536" s="425"/>
      <c r="BR1536" s="425"/>
      <c r="BS1536" s="425"/>
      <c r="BW1536" s="97">
        <v>22.56</v>
      </c>
      <c r="BX1536" s="97">
        <v>25.01</v>
      </c>
      <c r="CA1536" s="97" t="s">
        <v>1073</v>
      </c>
      <c r="EY1536" s="97">
        <v>9.19</v>
      </c>
      <c r="EZ1536" s="97">
        <v>8.89</v>
      </c>
      <c r="FI1536" s="97">
        <v>1.43</v>
      </c>
      <c r="FJ1536" s="97">
        <v>2.41</v>
      </c>
      <c r="FM1536" s="97" t="s">
        <v>1078</v>
      </c>
      <c r="FS1536" s="97">
        <v>29.28</v>
      </c>
      <c r="FT1536" s="97">
        <v>23.58</v>
      </c>
      <c r="FW1536" s="97" t="s">
        <v>1079</v>
      </c>
      <c r="GW1536" s="97">
        <v>3.22</v>
      </c>
      <c r="GX1536" s="97">
        <v>7.06</v>
      </c>
      <c r="IA1536" s="97">
        <v>103.08</v>
      </c>
      <c r="IB1536" s="97">
        <v>176.78</v>
      </c>
      <c r="IE1536" s="97">
        <v>4.41</v>
      </c>
      <c r="IF1536" s="97">
        <v>10.85</v>
      </c>
      <c r="IO1536" s="97" t="s">
        <v>886</v>
      </c>
      <c r="IP1536" s="97" t="s">
        <v>1076</v>
      </c>
    </row>
    <row r="1537" spans="1:250" s="97" customFormat="1" x14ac:dyDescent="0.25">
      <c r="A1537" s="97">
        <v>70</v>
      </c>
      <c r="B1537" s="97" t="s">
        <v>1062</v>
      </c>
      <c r="C1537" s="97" t="s">
        <v>1063</v>
      </c>
      <c r="D1537" s="97">
        <v>1996</v>
      </c>
      <c r="E1537" s="97">
        <v>1993</v>
      </c>
      <c r="F1537" s="97" t="s">
        <v>1064</v>
      </c>
      <c r="G1537" s="97" t="s">
        <v>1065</v>
      </c>
      <c r="H1537" s="32" t="s">
        <v>2831</v>
      </c>
      <c r="I1537" s="97">
        <v>36.69</v>
      </c>
      <c r="J1537" s="97">
        <v>-121.64</v>
      </c>
      <c r="K1537" s="97">
        <v>11.5</v>
      </c>
      <c r="Q1537" s="98" t="s">
        <v>1856</v>
      </c>
      <c r="R1537" s="98" t="s">
        <v>1856</v>
      </c>
      <c r="S1537" s="98" t="s">
        <v>866</v>
      </c>
      <c r="T1537" s="98" t="s">
        <v>2009</v>
      </c>
      <c r="U1537" s="98" t="s">
        <v>1399</v>
      </c>
      <c r="V1537" s="98" t="s">
        <v>1730</v>
      </c>
      <c r="W1537" s="98" t="s">
        <v>1399</v>
      </c>
      <c r="X1537" s="98" t="s">
        <v>1399</v>
      </c>
      <c r="Y1537" s="97">
        <v>1.46</v>
      </c>
      <c r="Z1537" s="350">
        <v>69</v>
      </c>
      <c r="AA1537" s="350">
        <v>20</v>
      </c>
      <c r="AB1537" s="97" t="s">
        <v>140</v>
      </c>
      <c r="AC1537" s="97">
        <v>7.7</v>
      </c>
      <c r="AD1537" s="97">
        <v>0.62</v>
      </c>
      <c r="AF1537" s="97" t="s">
        <v>1357</v>
      </c>
      <c r="AG1537" s="97" t="s">
        <v>132</v>
      </c>
      <c r="AH1537" s="138" t="s">
        <v>132</v>
      </c>
      <c r="AI1537" s="97" t="s">
        <v>635</v>
      </c>
      <c r="AJ1537" s="145" t="s">
        <v>230</v>
      </c>
      <c r="AT1537" s="97" t="s">
        <v>120</v>
      </c>
      <c r="AU1537" s="97">
        <v>3</v>
      </c>
      <c r="AW1537" s="97" t="s">
        <v>142</v>
      </c>
      <c r="AY1537" s="97">
        <v>1399</v>
      </c>
      <c r="AZ1537" s="97">
        <f>AY1537/59</f>
        <v>23.711864406779661</v>
      </c>
      <c r="BM1537" s="425"/>
      <c r="BN1537" s="425"/>
      <c r="BR1537" s="425"/>
      <c r="BS1537" s="425"/>
      <c r="BW1537" s="97">
        <v>44.05</v>
      </c>
      <c r="BX1537" s="97">
        <v>44.76</v>
      </c>
      <c r="CA1537" s="97" t="s">
        <v>1073</v>
      </c>
      <c r="EY1537" s="97">
        <v>8.2799999999999994</v>
      </c>
      <c r="EZ1537" s="97">
        <v>7.76</v>
      </c>
      <c r="FI1537" s="97">
        <v>9.02</v>
      </c>
      <c r="FJ1537" s="97">
        <v>6</v>
      </c>
      <c r="FM1537" s="97" t="s">
        <v>1078</v>
      </c>
      <c r="FS1537" s="97">
        <v>153.53</v>
      </c>
      <c r="FT1537" s="97">
        <v>130.69999999999999</v>
      </c>
      <c r="FW1537" s="97" t="s">
        <v>1079</v>
      </c>
      <c r="GW1537" s="97">
        <v>5.32</v>
      </c>
      <c r="GX1537" s="97">
        <v>6.41</v>
      </c>
      <c r="IA1537" s="97">
        <v>49.83</v>
      </c>
      <c r="IB1537" s="97">
        <v>101.01</v>
      </c>
      <c r="IE1537" s="97">
        <v>11.14</v>
      </c>
      <c r="IF1537" s="97">
        <v>7.56</v>
      </c>
      <c r="IO1537" s="97" t="s">
        <v>1075</v>
      </c>
      <c r="IP1537" s="97" t="s">
        <v>1076</v>
      </c>
    </row>
    <row r="1538" spans="1:250" s="97" customFormat="1" x14ac:dyDescent="0.25">
      <c r="A1538" s="97">
        <v>70</v>
      </c>
      <c r="B1538" s="97" t="s">
        <v>1062</v>
      </c>
      <c r="C1538" s="97" t="s">
        <v>1063</v>
      </c>
      <c r="D1538" s="97">
        <v>1996</v>
      </c>
      <c r="E1538" s="97">
        <v>1993</v>
      </c>
      <c r="F1538" s="97" t="s">
        <v>1064</v>
      </c>
      <c r="G1538" s="97" t="s">
        <v>1065</v>
      </c>
      <c r="H1538" s="32" t="s">
        <v>2831</v>
      </c>
      <c r="I1538" s="97">
        <v>36.69</v>
      </c>
      <c r="J1538" s="97">
        <v>-121.64</v>
      </c>
      <c r="K1538" s="97">
        <v>11.5</v>
      </c>
      <c r="Q1538" s="98" t="s">
        <v>1856</v>
      </c>
      <c r="R1538" s="98" t="s">
        <v>1856</v>
      </c>
      <c r="S1538" s="98" t="s">
        <v>866</v>
      </c>
      <c r="T1538" s="98" t="s">
        <v>2009</v>
      </c>
      <c r="U1538" s="98" t="s">
        <v>1399</v>
      </c>
      <c r="V1538" s="98" t="s">
        <v>1730</v>
      </c>
      <c r="W1538" s="98" t="s">
        <v>1399</v>
      </c>
      <c r="X1538" s="98" t="s">
        <v>1399</v>
      </c>
      <c r="Y1538" s="97">
        <v>1.46</v>
      </c>
      <c r="Z1538" s="350">
        <v>69</v>
      </c>
      <c r="AA1538" s="350">
        <v>20</v>
      </c>
      <c r="AB1538" s="97" t="s">
        <v>140</v>
      </c>
      <c r="AC1538" s="97">
        <v>7.7</v>
      </c>
      <c r="AD1538" s="97">
        <v>0.62</v>
      </c>
      <c r="AF1538" s="97" t="s">
        <v>1357</v>
      </c>
      <c r="AG1538" s="97" t="s">
        <v>132</v>
      </c>
      <c r="AH1538" s="138" t="s">
        <v>132</v>
      </c>
      <c r="AI1538" s="97" t="s">
        <v>635</v>
      </c>
      <c r="AJ1538" s="145" t="s">
        <v>230</v>
      </c>
      <c r="AT1538" s="97" t="s">
        <v>120</v>
      </c>
      <c r="AU1538" s="97">
        <v>3</v>
      </c>
      <c r="AW1538" s="97" t="s">
        <v>142</v>
      </c>
      <c r="AY1538" s="97">
        <v>2151</v>
      </c>
      <c r="AZ1538" s="97">
        <f>AY1538/78</f>
        <v>27.576923076923077</v>
      </c>
      <c r="BM1538" s="425"/>
      <c r="BN1538" s="425"/>
      <c r="BR1538" s="425"/>
      <c r="BS1538" s="425"/>
      <c r="BW1538" s="97">
        <v>57.76</v>
      </c>
      <c r="BX1538" s="97">
        <v>43.79</v>
      </c>
      <c r="CA1538" s="97" t="s">
        <v>1073</v>
      </c>
      <c r="EY1538" s="97">
        <v>7.15</v>
      </c>
      <c r="EZ1538" s="97">
        <v>8.1199999999999992</v>
      </c>
      <c r="FI1538" s="97">
        <v>15.1</v>
      </c>
      <c r="FJ1538" s="97">
        <v>9.07</v>
      </c>
      <c r="FM1538" s="97" t="s">
        <v>1078</v>
      </c>
      <c r="FS1538" s="97">
        <v>46.96</v>
      </c>
      <c r="FT1538" s="97">
        <v>40.31</v>
      </c>
      <c r="FW1538" s="97" t="s">
        <v>1079</v>
      </c>
      <c r="GW1538" s="97">
        <v>7.05</v>
      </c>
      <c r="GX1538" s="97">
        <v>7.42</v>
      </c>
      <c r="IA1538" s="97">
        <v>117.26</v>
      </c>
      <c r="IB1538" s="97">
        <v>332.21</v>
      </c>
      <c r="IE1538" s="97">
        <v>6.37</v>
      </c>
      <c r="IF1538" s="97">
        <v>12.53</v>
      </c>
      <c r="IO1538" s="97" t="s">
        <v>1075</v>
      </c>
      <c r="IP1538" s="97" t="s">
        <v>1076</v>
      </c>
    </row>
    <row r="1539" spans="1:250" s="97" customFormat="1" x14ac:dyDescent="0.25">
      <c r="A1539" s="97">
        <v>70</v>
      </c>
      <c r="B1539" s="97" t="s">
        <v>1062</v>
      </c>
      <c r="C1539" s="97" t="s">
        <v>1063</v>
      </c>
      <c r="D1539" s="97">
        <v>1996</v>
      </c>
      <c r="E1539" s="97">
        <v>1993</v>
      </c>
      <c r="F1539" s="97" t="s">
        <v>1064</v>
      </c>
      <c r="G1539" s="97" t="s">
        <v>1065</v>
      </c>
      <c r="H1539" s="32" t="s">
        <v>2831</v>
      </c>
      <c r="I1539" s="97">
        <v>36.69</v>
      </c>
      <c r="J1539" s="97">
        <v>-121.64</v>
      </c>
      <c r="K1539" s="97">
        <v>11.5</v>
      </c>
      <c r="Q1539" s="98" t="s">
        <v>1856</v>
      </c>
      <c r="R1539" s="98" t="s">
        <v>1856</v>
      </c>
      <c r="S1539" s="98" t="s">
        <v>866</v>
      </c>
      <c r="T1539" s="98" t="s">
        <v>2009</v>
      </c>
      <c r="U1539" s="98" t="s">
        <v>1399</v>
      </c>
      <c r="V1539" s="98" t="s">
        <v>1730</v>
      </c>
      <c r="W1539" s="98" t="s">
        <v>1399</v>
      </c>
      <c r="X1539" s="98" t="s">
        <v>1399</v>
      </c>
      <c r="Y1539" s="97">
        <v>1.46</v>
      </c>
      <c r="Z1539" s="350">
        <v>69</v>
      </c>
      <c r="AA1539" s="350">
        <v>20</v>
      </c>
      <c r="AB1539" s="97" t="s">
        <v>140</v>
      </c>
      <c r="AC1539" s="97">
        <v>7.7</v>
      </c>
      <c r="AD1539" s="97">
        <v>0.62</v>
      </c>
      <c r="AF1539" s="97" t="s">
        <v>1357</v>
      </c>
      <c r="AG1539" s="97" t="s">
        <v>132</v>
      </c>
      <c r="AH1539" s="138" t="s">
        <v>132</v>
      </c>
      <c r="AI1539" s="97" t="s">
        <v>635</v>
      </c>
      <c r="AJ1539" s="145" t="s">
        <v>230</v>
      </c>
      <c r="AT1539" s="97" t="s">
        <v>120</v>
      </c>
      <c r="AU1539" s="97">
        <v>3</v>
      </c>
      <c r="AW1539" s="97" t="s">
        <v>142</v>
      </c>
      <c r="AY1539" s="97">
        <v>3727</v>
      </c>
      <c r="AZ1539" s="97">
        <f>AY1539/136</f>
        <v>27.404411764705884</v>
      </c>
      <c r="BM1539" s="425"/>
      <c r="BN1539" s="425"/>
      <c r="BR1539" s="425"/>
      <c r="BS1539" s="425"/>
      <c r="BW1539" s="97">
        <v>70.599999999999994</v>
      </c>
      <c r="BX1539" s="97">
        <v>70.8</v>
      </c>
      <c r="CA1539" s="97" t="s">
        <v>1073</v>
      </c>
      <c r="EY1539" s="97">
        <v>5.56</v>
      </c>
      <c r="EZ1539" s="97">
        <v>6</v>
      </c>
      <c r="FI1539" s="97">
        <v>8.41</v>
      </c>
      <c r="FJ1539" s="97">
        <v>5.13</v>
      </c>
      <c r="FM1539" s="97" t="s">
        <v>1078</v>
      </c>
      <c r="FS1539" s="97">
        <v>42.08</v>
      </c>
      <c r="FT1539" s="97">
        <v>29.7</v>
      </c>
      <c r="FW1539" s="97" t="s">
        <v>1079</v>
      </c>
      <c r="GW1539" s="97">
        <v>3.86</v>
      </c>
      <c r="GX1539" s="97">
        <v>2.41</v>
      </c>
      <c r="IA1539" s="97">
        <v>119.25</v>
      </c>
      <c r="IB1539" s="97">
        <v>176.57</v>
      </c>
      <c r="IE1539" s="97">
        <v>11.22</v>
      </c>
      <c r="IF1539" s="97">
        <v>12.94</v>
      </c>
      <c r="IO1539" s="97" t="s">
        <v>782</v>
      </c>
      <c r="IP1539" s="97" t="s">
        <v>1076</v>
      </c>
    </row>
    <row r="1540" spans="1:250" s="40" customFormat="1" x14ac:dyDescent="0.25">
      <c r="A1540" s="40">
        <v>71</v>
      </c>
      <c r="B1540" s="40" t="s">
        <v>1080</v>
      </c>
      <c r="C1540" s="40" t="s">
        <v>1081</v>
      </c>
      <c r="D1540" s="40">
        <v>1988</v>
      </c>
      <c r="E1540" s="40">
        <v>1984</v>
      </c>
      <c r="F1540" s="40" t="s">
        <v>1082</v>
      </c>
      <c r="G1540" s="40" t="s">
        <v>1084</v>
      </c>
      <c r="H1540" s="32" t="s">
        <v>2831</v>
      </c>
      <c r="I1540" s="40">
        <v>34.67</v>
      </c>
      <c r="J1540" s="40">
        <v>-86.89</v>
      </c>
      <c r="K1540" s="40">
        <v>182</v>
      </c>
      <c r="Q1540" s="71">
        <v>1</v>
      </c>
      <c r="R1540" s="71">
        <v>1</v>
      </c>
      <c r="S1540" s="71" t="s">
        <v>2010</v>
      </c>
      <c r="T1540" s="71" t="s">
        <v>2012</v>
      </c>
      <c r="U1540" s="71" t="s">
        <v>1381</v>
      </c>
      <c r="V1540" s="71" t="s">
        <v>1381</v>
      </c>
      <c r="W1540" s="71" t="s">
        <v>1381</v>
      </c>
      <c r="X1540" s="71" t="s">
        <v>1381</v>
      </c>
      <c r="Z1540" s="341">
        <v>13</v>
      </c>
      <c r="AA1540" s="341">
        <v>54</v>
      </c>
      <c r="AB1540" s="40" t="s">
        <v>451</v>
      </c>
      <c r="AF1540" s="40" t="s">
        <v>1358</v>
      </c>
      <c r="AG1540" s="40" t="s">
        <v>1531</v>
      </c>
      <c r="AH1540" s="138" t="s">
        <v>1585</v>
      </c>
      <c r="AI1540" s="40" t="s">
        <v>585</v>
      </c>
      <c r="AJ1540" s="140" t="s">
        <v>1621</v>
      </c>
      <c r="AQ1540" s="40" t="s">
        <v>1083</v>
      </c>
      <c r="AR1540" s="40" t="s">
        <v>1083</v>
      </c>
      <c r="AS1540" s="40" t="s">
        <v>178</v>
      </c>
      <c r="AT1540" s="40" t="s">
        <v>161</v>
      </c>
      <c r="BH1540" s="40">
        <v>3217</v>
      </c>
      <c r="BI1540" s="40">
        <v>3613</v>
      </c>
      <c r="BM1540" s="416"/>
      <c r="BN1540" s="416"/>
      <c r="BR1540" s="416"/>
      <c r="BS1540" s="416"/>
      <c r="EE1540" s="40">
        <v>228</v>
      </c>
      <c r="EF1540" s="40">
        <v>944</v>
      </c>
      <c r="EI1540" s="40" t="s">
        <v>1094</v>
      </c>
      <c r="EJ1540" s="40">
        <v>9.1999999999999993</v>
      </c>
      <c r="EK1540" s="40">
        <v>21.3</v>
      </c>
      <c r="EN1540" s="40" t="s">
        <v>1095</v>
      </c>
    </row>
    <row r="1541" spans="1:250" s="40" customFormat="1" x14ac:dyDescent="0.25">
      <c r="A1541" s="40">
        <v>71</v>
      </c>
      <c r="B1541" s="40" t="s">
        <v>1080</v>
      </c>
      <c r="C1541" s="40" t="s">
        <v>1081</v>
      </c>
      <c r="D1541" s="40">
        <v>1988</v>
      </c>
      <c r="E1541" s="40">
        <v>1984</v>
      </c>
      <c r="F1541" s="40" t="s">
        <v>1082</v>
      </c>
      <c r="G1541" s="40" t="s">
        <v>1084</v>
      </c>
      <c r="H1541" s="32" t="s">
        <v>2831</v>
      </c>
      <c r="I1541" s="40">
        <v>34.67</v>
      </c>
      <c r="J1541" s="40">
        <v>-86.89</v>
      </c>
      <c r="K1541" s="40">
        <v>182</v>
      </c>
      <c r="Q1541" s="71">
        <v>1</v>
      </c>
      <c r="R1541" s="71">
        <v>1</v>
      </c>
      <c r="S1541" s="71" t="s">
        <v>2010</v>
      </c>
      <c r="T1541" s="71" t="s">
        <v>2012</v>
      </c>
      <c r="U1541" s="71" t="s">
        <v>1381</v>
      </c>
      <c r="V1541" s="71" t="s">
        <v>1381</v>
      </c>
      <c r="W1541" s="71" t="s">
        <v>1381</v>
      </c>
      <c r="X1541" s="71" t="s">
        <v>1381</v>
      </c>
      <c r="Z1541" s="341">
        <v>13</v>
      </c>
      <c r="AA1541" s="341">
        <v>54</v>
      </c>
      <c r="AB1541" s="40" t="s">
        <v>451</v>
      </c>
      <c r="AF1541" s="40" t="s">
        <v>1358</v>
      </c>
      <c r="AG1541" s="40" t="s">
        <v>1531</v>
      </c>
      <c r="AH1541" s="138" t="s">
        <v>1585</v>
      </c>
      <c r="AI1541" s="40" t="s">
        <v>585</v>
      </c>
      <c r="AJ1541" s="140" t="s">
        <v>1621</v>
      </c>
      <c r="AQ1541" s="40" t="s">
        <v>1083</v>
      </c>
      <c r="AR1541" s="40" t="s">
        <v>1083</v>
      </c>
      <c r="AS1541" s="40" t="s">
        <v>178</v>
      </c>
      <c r="AT1541" s="40" t="s">
        <v>161</v>
      </c>
      <c r="BH1541" s="40">
        <v>3217</v>
      </c>
      <c r="BI1541" s="40">
        <v>3108</v>
      </c>
      <c r="BM1541" s="416"/>
      <c r="BN1541" s="416"/>
      <c r="BR1541" s="416"/>
      <c r="BS1541" s="416"/>
      <c r="EE1541" s="40">
        <v>228</v>
      </c>
      <c r="EF1541" s="40">
        <v>2103</v>
      </c>
      <c r="EI1541" s="40" t="s">
        <v>1094</v>
      </c>
      <c r="EJ1541" s="40">
        <v>9.1999999999999993</v>
      </c>
      <c r="EK1541" s="40">
        <v>24.5</v>
      </c>
      <c r="EN1541" s="40" t="s">
        <v>1095</v>
      </c>
    </row>
    <row r="1542" spans="1:250" s="40" customFormat="1" x14ac:dyDescent="0.25">
      <c r="A1542" s="40">
        <v>71</v>
      </c>
      <c r="B1542" s="40" t="s">
        <v>1080</v>
      </c>
      <c r="C1542" s="40" t="s">
        <v>1081</v>
      </c>
      <c r="D1542" s="40">
        <v>1988</v>
      </c>
      <c r="E1542" s="40">
        <v>1984</v>
      </c>
      <c r="F1542" s="40" t="s">
        <v>1082</v>
      </c>
      <c r="G1542" s="40" t="s">
        <v>1084</v>
      </c>
      <c r="H1542" s="32" t="s">
        <v>2831</v>
      </c>
      <c r="I1542" s="40">
        <v>34.67</v>
      </c>
      <c r="J1542" s="40">
        <v>-86.89</v>
      </c>
      <c r="K1542" s="40">
        <v>182</v>
      </c>
      <c r="Q1542" s="71">
        <v>1</v>
      </c>
      <c r="R1542" s="71">
        <v>1</v>
      </c>
      <c r="S1542" s="71" t="s">
        <v>2011</v>
      </c>
      <c r="T1542" s="71" t="s">
        <v>2012</v>
      </c>
      <c r="U1542" s="71" t="s">
        <v>1381</v>
      </c>
      <c r="V1542" s="71" t="s">
        <v>1381</v>
      </c>
      <c r="W1542" s="71" t="s">
        <v>1381</v>
      </c>
      <c r="X1542" s="71" t="s">
        <v>1381</v>
      </c>
      <c r="Z1542" s="341">
        <v>13</v>
      </c>
      <c r="AA1542" s="341">
        <v>54</v>
      </c>
      <c r="AB1542" s="40" t="s">
        <v>451</v>
      </c>
      <c r="AF1542" s="40" t="s">
        <v>1358</v>
      </c>
      <c r="AG1542" s="40" t="s">
        <v>1531</v>
      </c>
      <c r="AH1542" s="138" t="s">
        <v>1585</v>
      </c>
      <c r="AI1542" s="40" t="s">
        <v>585</v>
      </c>
      <c r="AJ1542" s="140" t="s">
        <v>1621</v>
      </c>
      <c r="AQ1542" s="40" t="s">
        <v>1083</v>
      </c>
      <c r="AR1542" s="40" t="s">
        <v>1083</v>
      </c>
      <c r="AS1542" s="40" t="s">
        <v>178</v>
      </c>
      <c r="AT1542" s="40" t="s">
        <v>161</v>
      </c>
      <c r="BM1542" s="416"/>
      <c r="BN1542" s="416"/>
      <c r="BR1542" s="416"/>
      <c r="BS1542" s="416"/>
      <c r="EE1542" s="40">
        <v>32</v>
      </c>
      <c r="EF1542" s="40">
        <v>123</v>
      </c>
      <c r="EI1542" s="40" t="s">
        <v>1094</v>
      </c>
      <c r="EJ1542" s="40">
        <v>4.4000000000000004</v>
      </c>
      <c r="EK1542" s="40">
        <v>13.3</v>
      </c>
      <c r="EN1542" s="40" t="s">
        <v>1095</v>
      </c>
    </row>
    <row r="1543" spans="1:250" s="40" customFormat="1" x14ac:dyDescent="0.25">
      <c r="A1543" s="40">
        <v>71</v>
      </c>
      <c r="B1543" s="40" t="s">
        <v>1080</v>
      </c>
      <c r="C1543" s="40" t="s">
        <v>1081</v>
      </c>
      <c r="D1543" s="40">
        <v>1988</v>
      </c>
      <c r="E1543" s="40">
        <v>1984</v>
      </c>
      <c r="F1543" s="40" t="s">
        <v>1082</v>
      </c>
      <c r="G1543" s="40" t="s">
        <v>1084</v>
      </c>
      <c r="H1543" s="32" t="s">
        <v>2831</v>
      </c>
      <c r="I1543" s="40">
        <v>34.67</v>
      </c>
      <c r="J1543" s="40">
        <v>-86.89</v>
      </c>
      <c r="K1543" s="40">
        <v>182</v>
      </c>
      <c r="Q1543" s="71">
        <v>1</v>
      </c>
      <c r="R1543" s="71">
        <v>1</v>
      </c>
      <c r="S1543" s="71" t="s">
        <v>2011</v>
      </c>
      <c r="T1543" s="71" t="s">
        <v>2012</v>
      </c>
      <c r="U1543" s="71" t="s">
        <v>1381</v>
      </c>
      <c r="V1543" s="71" t="s">
        <v>1381</v>
      </c>
      <c r="W1543" s="71" t="s">
        <v>1381</v>
      </c>
      <c r="X1543" s="71" t="s">
        <v>1381</v>
      </c>
      <c r="Z1543" s="341">
        <v>13</v>
      </c>
      <c r="AA1543" s="341">
        <v>54</v>
      </c>
      <c r="AB1543" s="40" t="s">
        <v>451</v>
      </c>
      <c r="AF1543" s="40" t="s">
        <v>1358</v>
      </c>
      <c r="AG1543" s="40" t="s">
        <v>1531</v>
      </c>
      <c r="AH1543" s="138" t="s">
        <v>1585</v>
      </c>
      <c r="AI1543" s="40" t="s">
        <v>585</v>
      </c>
      <c r="AJ1543" s="140" t="s">
        <v>1621</v>
      </c>
      <c r="AQ1543" s="40" t="s">
        <v>1083</v>
      </c>
      <c r="AR1543" s="40" t="s">
        <v>1083</v>
      </c>
      <c r="AS1543" s="40" t="s">
        <v>178</v>
      </c>
      <c r="AT1543" s="40" t="s">
        <v>161</v>
      </c>
      <c r="BM1543" s="416"/>
      <c r="BN1543" s="416"/>
      <c r="BR1543" s="416"/>
      <c r="BS1543" s="416"/>
      <c r="EE1543" s="40">
        <v>32</v>
      </c>
      <c r="EF1543" s="40">
        <v>134</v>
      </c>
      <c r="EI1543" s="40" t="s">
        <v>1094</v>
      </c>
      <c r="EJ1543" s="40">
        <v>4.4000000000000004</v>
      </c>
      <c r="EK1543" s="40">
        <v>10</v>
      </c>
      <c r="EN1543" s="40" t="s">
        <v>1095</v>
      </c>
    </row>
    <row r="1544" spans="1:250" s="28" customFormat="1" x14ac:dyDescent="0.25">
      <c r="A1544" s="28">
        <v>72</v>
      </c>
      <c r="B1544" s="28" t="s">
        <v>1096</v>
      </c>
      <c r="C1544" s="28" t="s">
        <v>1097</v>
      </c>
      <c r="D1544" s="28">
        <v>1992</v>
      </c>
      <c r="E1544" s="28">
        <v>1991</v>
      </c>
      <c r="F1544" s="28" t="s">
        <v>128</v>
      </c>
      <c r="G1544" s="28" t="s">
        <v>1111</v>
      </c>
      <c r="H1544" s="28" t="s">
        <v>1111</v>
      </c>
      <c r="I1544" s="28">
        <v>48.22</v>
      </c>
      <c r="J1544" s="28">
        <v>11.6</v>
      </c>
      <c r="K1544" s="28">
        <v>493</v>
      </c>
      <c r="Q1544" s="46" t="s">
        <v>2014</v>
      </c>
      <c r="R1544" s="46" t="s">
        <v>2014</v>
      </c>
      <c r="S1544" s="46" t="s">
        <v>866</v>
      </c>
      <c r="T1544" s="46" t="s">
        <v>2013</v>
      </c>
      <c r="U1544" s="46" t="s">
        <v>1392</v>
      </c>
      <c r="V1544" s="46" t="s">
        <v>1726</v>
      </c>
      <c r="W1544" s="46" t="s">
        <v>1392</v>
      </c>
      <c r="X1544" s="46" t="s">
        <v>1392</v>
      </c>
      <c r="Z1544" s="326">
        <f>100-63-20</f>
        <v>17</v>
      </c>
      <c r="AA1544" s="326">
        <v>63</v>
      </c>
      <c r="AB1544" s="28" t="s">
        <v>140</v>
      </c>
      <c r="AF1544" s="28" t="s">
        <v>1359</v>
      </c>
      <c r="AG1544" s="28" t="s">
        <v>636</v>
      </c>
      <c r="AH1544" s="138" t="s">
        <v>636</v>
      </c>
      <c r="AI1544" s="28" t="s">
        <v>1098</v>
      </c>
      <c r="AJ1544" s="141" t="s">
        <v>1633</v>
      </c>
      <c r="AK1544" s="28" t="s">
        <v>1099</v>
      </c>
      <c r="AL1544" s="28" t="s">
        <v>1100</v>
      </c>
      <c r="AM1544" s="28" t="s">
        <v>503</v>
      </c>
      <c r="AQ1544" s="28" t="s">
        <v>1103</v>
      </c>
      <c r="AR1544" s="28" t="s">
        <v>1101</v>
      </c>
      <c r="AS1544" s="28" t="s">
        <v>503</v>
      </c>
      <c r="AT1544" s="28" t="s">
        <v>161</v>
      </c>
      <c r="BM1544" s="401"/>
      <c r="BN1544" s="401"/>
      <c r="BR1544" s="401">
        <v>0.89</v>
      </c>
      <c r="BS1544" s="401">
        <v>1.26</v>
      </c>
      <c r="BV1544" s="28" t="s">
        <v>994</v>
      </c>
      <c r="GM1544" s="28">
        <v>61.6</v>
      </c>
      <c r="GN1544" s="28">
        <v>105.6</v>
      </c>
      <c r="GQ1544" s="28" t="s">
        <v>1105</v>
      </c>
      <c r="HG1544" s="28">
        <v>4.3999999999999997E-2</v>
      </c>
      <c r="HH1544" s="28">
        <v>4.2999999999999997E-2</v>
      </c>
      <c r="HK1544" s="28" t="s">
        <v>1104</v>
      </c>
      <c r="IA1544" s="28">
        <v>281</v>
      </c>
      <c r="IB1544" s="28">
        <v>514</v>
      </c>
      <c r="IO1544" s="28" t="s">
        <v>1106</v>
      </c>
    </row>
    <row r="1545" spans="1:250" s="28" customFormat="1" x14ac:dyDescent="0.25">
      <c r="A1545" s="28">
        <v>72</v>
      </c>
      <c r="B1545" s="28" t="s">
        <v>1096</v>
      </c>
      <c r="C1545" s="28" t="s">
        <v>1097</v>
      </c>
      <c r="D1545" s="28">
        <v>1992</v>
      </c>
      <c r="E1545" s="28">
        <v>1991</v>
      </c>
      <c r="F1545" s="28" t="s">
        <v>128</v>
      </c>
      <c r="G1545" s="28" t="s">
        <v>1111</v>
      </c>
      <c r="H1545" s="28" t="s">
        <v>1111</v>
      </c>
      <c r="I1545" s="28">
        <v>48.22</v>
      </c>
      <c r="J1545" s="28">
        <v>11.6</v>
      </c>
      <c r="K1545" s="28">
        <v>493</v>
      </c>
      <c r="Q1545" s="46" t="s">
        <v>2014</v>
      </c>
      <c r="R1545" s="46" t="s">
        <v>2014</v>
      </c>
      <c r="S1545" s="46" t="s">
        <v>866</v>
      </c>
      <c r="T1545" s="46" t="s">
        <v>2013</v>
      </c>
      <c r="U1545" s="46" t="s">
        <v>1392</v>
      </c>
      <c r="V1545" s="46" t="s">
        <v>1726</v>
      </c>
      <c r="W1545" s="46" t="s">
        <v>1392</v>
      </c>
      <c r="X1545" s="46" t="s">
        <v>1392</v>
      </c>
      <c r="Z1545" s="326">
        <f>100-63-20</f>
        <v>17</v>
      </c>
      <c r="AA1545" s="326">
        <v>63</v>
      </c>
      <c r="AB1545" s="28" t="s">
        <v>140</v>
      </c>
      <c r="AF1545" s="28" t="s">
        <v>1359</v>
      </c>
      <c r="AG1545" s="28" t="s">
        <v>636</v>
      </c>
      <c r="AH1545" s="138" t="s">
        <v>636</v>
      </c>
      <c r="AI1545" s="28" t="s">
        <v>1098</v>
      </c>
      <c r="AJ1545" s="141" t="s">
        <v>1633</v>
      </c>
      <c r="AK1545" s="28" t="s">
        <v>1099</v>
      </c>
      <c r="AL1545" s="28" t="s">
        <v>1100</v>
      </c>
      <c r="AM1545" s="28" t="s">
        <v>503</v>
      </c>
      <c r="AQ1545" s="28" t="s">
        <v>1102</v>
      </c>
      <c r="AR1545" s="28" t="s">
        <v>1101</v>
      </c>
      <c r="AS1545" s="28" t="s">
        <v>503</v>
      </c>
      <c r="AT1545" s="28" t="s">
        <v>161</v>
      </c>
      <c r="BM1545" s="401"/>
      <c r="BN1545" s="401"/>
      <c r="BR1545" s="401">
        <v>0.99</v>
      </c>
      <c r="BS1545" s="401">
        <v>1.26</v>
      </c>
      <c r="BV1545" s="28" t="s">
        <v>994</v>
      </c>
      <c r="GM1545" s="28">
        <v>69.2</v>
      </c>
      <c r="GN1545" s="28">
        <v>105.6</v>
      </c>
      <c r="GQ1545" s="28" t="s">
        <v>1105</v>
      </c>
      <c r="HG1545" s="28">
        <v>4.2999999999999997E-2</v>
      </c>
      <c r="HH1545" s="28">
        <v>4.2999999999999997E-2</v>
      </c>
      <c r="HK1545" s="28" t="s">
        <v>1104</v>
      </c>
      <c r="IA1545" s="28">
        <v>326</v>
      </c>
      <c r="IB1545" s="28">
        <v>514</v>
      </c>
      <c r="IO1545" s="28" t="s">
        <v>1106</v>
      </c>
    </row>
    <row r="1546" spans="1:250" s="24" customFormat="1" x14ac:dyDescent="0.25">
      <c r="A1546" s="24">
        <v>73</v>
      </c>
      <c r="B1546" s="24" t="s">
        <v>1108</v>
      </c>
      <c r="C1546" s="24" t="s">
        <v>1109</v>
      </c>
      <c r="D1546" s="24">
        <v>2003</v>
      </c>
      <c r="E1546" s="24">
        <v>1988</v>
      </c>
      <c r="F1546" s="24" t="s">
        <v>1110</v>
      </c>
      <c r="G1546" s="24" t="s">
        <v>1138</v>
      </c>
      <c r="H1546" s="24" t="s">
        <v>2832</v>
      </c>
      <c r="I1546" s="24">
        <v>50.29</v>
      </c>
      <c r="J1546" s="24">
        <v>-107.8</v>
      </c>
      <c r="K1546" s="24">
        <v>757</v>
      </c>
      <c r="Q1546" s="42">
        <v>1</v>
      </c>
      <c r="R1546" s="42" t="s">
        <v>1940</v>
      </c>
      <c r="S1546" s="42" t="s">
        <v>1107</v>
      </c>
      <c r="T1546" s="42" t="s">
        <v>1115</v>
      </c>
      <c r="U1546" s="42" t="s">
        <v>1403</v>
      </c>
      <c r="V1546" s="42" t="s">
        <v>1733</v>
      </c>
      <c r="W1546" s="42" t="s">
        <v>1393</v>
      </c>
      <c r="X1546" s="42" t="s">
        <v>1421</v>
      </c>
      <c r="Y1546" s="24">
        <f>(1.37+1.36+1.41+1.61+1.69)/5</f>
        <v>1.4880000000000002</v>
      </c>
      <c r="Z1546" s="321"/>
      <c r="AA1546" s="321"/>
      <c r="AB1546" s="24" t="s">
        <v>140</v>
      </c>
      <c r="AF1546" s="24" t="s">
        <v>1360</v>
      </c>
      <c r="AG1546" s="24" t="s">
        <v>578</v>
      </c>
      <c r="AH1546" s="138" t="s">
        <v>578</v>
      </c>
      <c r="AI1546" s="24" t="s">
        <v>1540</v>
      </c>
      <c r="AJ1546" s="140" t="s">
        <v>117</v>
      </c>
      <c r="AK1546" s="24" t="s">
        <v>1099</v>
      </c>
      <c r="AL1546" s="24" t="s">
        <v>1099</v>
      </c>
      <c r="AM1546" s="24" t="s">
        <v>178</v>
      </c>
      <c r="AQ1546" s="24" t="s">
        <v>1113</v>
      </c>
      <c r="AR1546" s="24" t="s">
        <v>1114</v>
      </c>
      <c r="AS1546" s="24" t="s">
        <v>503</v>
      </c>
      <c r="AT1546" s="24" t="s">
        <v>1112</v>
      </c>
      <c r="AU1546" s="24">
        <v>3</v>
      </c>
      <c r="AW1546" s="24" t="s">
        <v>142</v>
      </c>
      <c r="BB1546" s="24" t="s">
        <v>1116</v>
      </c>
      <c r="BC1546" s="24">
        <v>1555</v>
      </c>
      <c r="BD1546" s="24">
        <v>1011</v>
      </c>
      <c r="BG1546" s="24" t="s">
        <v>1117</v>
      </c>
      <c r="BH1546" s="24">
        <v>1168</v>
      </c>
      <c r="BI1546" s="24">
        <v>700</v>
      </c>
      <c r="BL1546" s="24" t="s">
        <v>1120</v>
      </c>
      <c r="BM1546" s="395"/>
      <c r="BN1546" s="395"/>
      <c r="BR1546" s="395"/>
      <c r="BS1546" s="395"/>
      <c r="BW1546" s="24">
        <f>154*0.056</f>
        <v>8.6240000000000006</v>
      </c>
      <c r="BX1546" s="24">
        <f>86.5*0.056</f>
        <v>4.8440000000000003</v>
      </c>
      <c r="CA1546" s="24" t="s">
        <v>1682</v>
      </c>
      <c r="EY1546" s="24">
        <v>231</v>
      </c>
      <c r="EZ1546" s="24">
        <v>207</v>
      </c>
      <c r="FC1546" s="24" t="s">
        <v>1122</v>
      </c>
      <c r="FD1546" s="24">
        <v>148</v>
      </c>
      <c r="FE1546" s="24">
        <v>124</v>
      </c>
      <c r="FH1546" s="24" t="s">
        <v>1121</v>
      </c>
      <c r="IO1546" s="24" t="s">
        <v>1120</v>
      </c>
    </row>
    <row r="1547" spans="1:250" s="24" customFormat="1" x14ac:dyDescent="0.25">
      <c r="A1547" s="24">
        <v>73</v>
      </c>
      <c r="B1547" s="24" t="s">
        <v>1108</v>
      </c>
      <c r="C1547" s="24" t="s">
        <v>1109</v>
      </c>
      <c r="D1547" s="24">
        <v>2003</v>
      </c>
      <c r="E1547" s="24">
        <v>1989</v>
      </c>
      <c r="F1547" s="24" t="s">
        <v>1110</v>
      </c>
      <c r="G1547" s="24" t="s">
        <v>1138</v>
      </c>
      <c r="H1547" s="24" t="s">
        <v>2832</v>
      </c>
      <c r="I1547" s="24">
        <v>50.29</v>
      </c>
      <c r="J1547" s="24">
        <v>-107.8</v>
      </c>
      <c r="K1547" s="24">
        <v>757</v>
      </c>
      <c r="Q1547" s="42">
        <v>2</v>
      </c>
      <c r="R1547" s="42" t="s">
        <v>1940</v>
      </c>
      <c r="S1547" s="42" t="s">
        <v>1107</v>
      </c>
      <c r="T1547" s="42" t="s">
        <v>1115</v>
      </c>
      <c r="U1547" s="42" t="s">
        <v>1403</v>
      </c>
      <c r="V1547" s="42" t="s">
        <v>1733</v>
      </c>
      <c r="W1547" s="42" t="s">
        <v>1393</v>
      </c>
      <c r="X1547" s="42" t="s">
        <v>1421</v>
      </c>
      <c r="Y1547" s="24">
        <f t="shared" ref="Y1547:Y1557" si="257">(1.37+1.36+1.41+1.61+1.69)/5</f>
        <v>1.4880000000000002</v>
      </c>
      <c r="Z1547" s="321"/>
      <c r="AA1547" s="321"/>
      <c r="AB1547" s="24" t="s">
        <v>140</v>
      </c>
      <c r="AF1547" s="24" t="s">
        <v>1360</v>
      </c>
      <c r="AG1547" s="24" t="s">
        <v>578</v>
      </c>
      <c r="AH1547" s="138" t="s">
        <v>578</v>
      </c>
      <c r="AI1547" s="24" t="s">
        <v>1540</v>
      </c>
      <c r="AJ1547" s="140" t="s">
        <v>117</v>
      </c>
      <c r="AK1547" s="24" t="s">
        <v>1099</v>
      </c>
      <c r="AL1547" s="24" t="s">
        <v>1099</v>
      </c>
      <c r="AM1547" s="24" t="s">
        <v>178</v>
      </c>
      <c r="AQ1547" s="24" t="s">
        <v>1113</v>
      </c>
      <c r="AR1547" s="24" t="s">
        <v>1114</v>
      </c>
      <c r="AS1547" s="24" t="s">
        <v>503</v>
      </c>
      <c r="AT1547" s="24" t="s">
        <v>1112</v>
      </c>
      <c r="AU1547" s="24">
        <v>3</v>
      </c>
      <c r="AW1547" s="24" t="s">
        <v>142</v>
      </c>
      <c r="BB1547" s="24" t="s">
        <v>1116</v>
      </c>
      <c r="BC1547" s="24">
        <v>3024</v>
      </c>
      <c r="BD1547" s="24">
        <v>2663</v>
      </c>
      <c r="BG1547" s="24" t="s">
        <v>1117</v>
      </c>
      <c r="BH1547" s="24">
        <v>1815</v>
      </c>
      <c r="BI1547" s="24">
        <v>1626</v>
      </c>
      <c r="BL1547" s="24" t="s">
        <v>1120</v>
      </c>
      <c r="BM1547" s="395"/>
      <c r="BN1547" s="395"/>
      <c r="BR1547" s="395"/>
      <c r="BS1547" s="395"/>
      <c r="BW1547" s="24">
        <f>168.5*0.056</f>
        <v>9.4359999999999999</v>
      </c>
      <c r="BX1547" s="24">
        <f>99.7*0.056</f>
        <v>5.5832000000000006</v>
      </c>
      <c r="CA1547" s="24" t="s">
        <v>1682</v>
      </c>
      <c r="EY1547" s="24">
        <v>230</v>
      </c>
      <c r="EZ1547" s="24">
        <v>187</v>
      </c>
      <c r="FC1547" s="24" t="s">
        <v>1122</v>
      </c>
      <c r="FD1547" s="24">
        <v>147</v>
      </c>
      <c r="FE1547" s="24">
        <v>104</v>
      </c>
      <c r="FH1547" s="24" t="s">
        <v>1121</v>
      </c>
      <c r="IO1547" s="24" t="s">
        <v>1120</v>
      </c>
    </row>
    <row r="1548" spans="1:250" s="24" customFormat="1" x14ac:dyDescent="0.25">
      <c r="A1548" s="24">
        <v>73</v>
      </c>
      <c r="B1548" s="24" t="s">
        <v>1108</v>
      </c>
      <c r="C1548" s="24" t="s">
        <v>1109</v>
      </c>
      <c r="D1548" s="24">
        <v>2003</v>
      </c>
      <c r="E1548" s="24">
        <v>1990</v>
      </c>
      <c r="F1548" s="24" t="s">
        <v>1110</v>
      </c>
      <c r="G1548" s="24" t="s">
        <v>1138</v>
      </c>
      <c r="H1548" s="24" t="s">
        <v>2832</v>
      </c>
      <c r="I1548" s="24">
        <v>50.29</v>
      </c>
      <c r="J1548" s="24">
        <v>-107.8</v>
      </c>
      <c r="K1548" s="24">
        <v>757</v>
      </c>
      <c r="Q1548" s="42">
        <v>3</v>
      </c>
      <c r="R1548" s="42" t="s">
        <v>1940</v>
      </c>
      <c r="S1548" s="42" t="s">
        <v>1107</v>
      </c>
      <c r="T1548" s="42" t="s">
        <v>1115</v>
      </c>
      <c r="U1548" s="42" t="s">
        <v>1403</v>
      </c>
      <c r="V1548" s="42" t="s">
        <v>1733</v>
      </c>
      <c r="W1548" s="42" t="s">
        <v>1393</v>
      </c>
      <c r="X1548" s="42" t="s">
        <v>1421</v>
      </c>
      <c r="Y1548" s="24">
        <f t="shared" si="257"/>
        <v>1.4880000000000002</v>
      </c>
      <c r="Z1548" s="321"/>
      <c r="AA1548" s="321"/>
      <c r="AB1548" s="24" t="s">
        <v>140</v>
      </c>
      <c r="AF1548" s="24" t="s">
        <v>1360</v>
      </c>
      <c r="AG1548" s="24" t="s">
        <v>578</v>
      </c>
      <c r="AH1548" s="138" t="s">
        <v>578</v>
      </c>
      <c r="AI1548" s="24" t="s">
        <v>1540</v>
      </c>
      <c r="AJ1548" s="140" t="s">
        <v>117</v>
      </c>
      <c r="AK1548" s="24" t="s">
        <v>1099</v>
      </c>
      <c r="AL1548" s="24" t="s">
        <v>1099</v>
      </c>
      <c r="AM1548" s="24" t="s">
        <v>178</v>
      </c>
      <c r="AQ1548" s="24" t="s">
        <v>1113</v>
      </c>
      <c r="AR1548" s="24" t="s">
        <v>1114</v>
      </c>
      <c r="AS1548" s="24" t="s">
        <v>503</v>
      </c>
      <c r="AT1548" s="24" t="s">
        <v>1112</v>
      </c>
      <c r="AU1548" s="24">
        <v>3</v>
      </c>
      <c r="AW1548" s="24" t="s">
        <v>142</v>
      </c>
      <c r="BB1548" s="24" t="s">
        <v>1116</v>
      </c>
      <c r="BC1548" s="24">
        <v>4198</v>
      </c>
      <c r="BD1548" s="24">
        <v>1517</v>
      </c>
      <c r="BG1548" s="24" t="s">
        <v>1117</v>
      </c>
      <c r="BH1548" s="24">
        <v>2321</v>
      </c>
      <c r="BI1548" s="24">
        <v>1136</v>
      </c>
      <c r="BL1548" s="24" t="s">
        <v>1120</v>
      </c>
      <c r="BM1548" s="395"/>
      <c r="BN1548" s="395"/>
      <c r="BR1548" s="395"/>
      <c r="BS1548" s="395"/>
      <c r="BW1548" s="24">
        <f>168.6*0.056</f>
        <v>9.4415999999999993</v>
      </c>
      <c r="BX1548" s="24">
        <f>150.7*0.056</f>
        <v>8.4391999999999996</v>
      </c>
      <c r="CA1548" s="24" t="s">
        <v>1682</v>
      </c>
      <c r="EY1548" s="24">
        <v>277</v>
      </c>
      <c r="EZ1548" s="24">
        <v>214</v>
      </c>
      <c r="FC1548" s="24" t="s">
        <v>1122</v>
      </c>
      <c r="FD1548" s="24">
        <v>194</v>
      </c>
      <c r="FE1548" s="24">
        <v>131</v>
      </c>
      <c r="FH1548" s="24" t="s">
        <v>1121</v>
      </c>
      <c r="IO1548" s="24" t="s">
        <v>1120</v>
      </c>
    </row>
    <row r="1549" spans="1:250" s="24" customFormat="1" x14ac:dyDescent="0.25">
      <c r="A1549" s="24">
        <v>73</v>
      </c>
      <c r="B1549" s="24" t="s">
        <v>1108</v>
      </c>
      <c r="C1549" s="24" t="s">
        <v>1109</v>
      </c>
      <c r="D1549" s="24">
        <v>2003</v>
      </c>
      <c r="E1549" s="24">
        <v>1991</v>
      </c>
      <c r="F1549" s="24" t="s">
        <v>1110</v>
      </c>
      <c r="G1549" s="24" t="s">
        <v>1138</v>
      </c>
      <c r="H1549" s="24" t="s">
        <v>2832</v>
      </c>
      <c r="I1549" s="24">
        <v>50.29</v>
      </c>
      <c r="J1549" s="24">
        <v>-107.8</v>
      </c>
      <c r="K1549" s="24">
        <v>757</v>
      </c>
      <c r="Q1549" s="42">
        <v>4</v>
      </c>
      <c r="R1549" s="42" t="s">
        <v>1940</v>
      </c>
      <c r="S1549" s="42" t="s">
        <v>1107</v>
      </c>
      <c r="T1549" s="42" t="s">
        <v>1115</v>
      </c>
      <c r="U1549" s="42" t="s">
        <v>1403</v>
      </c>
      <c r="V1549" s="42" t="s">
        <v>1733</v>
      </c>
      <c r="W1549" s="42" t="s">
        <v>1393</v>
      </c>
      <c r="X1549" s="42" t="s">
        <v>1421</v>
      </c>
      <c r="Y1549" s="24">
        <f t="shared" si="257"/>
        <v>1.4880000000000002</v>
      </c>
      <c r="Z1549" s="321"/>
      <c r="AA1549" s="321"/>
      <c r="AB1549" s="24" t="s">
        <v>140</v>
      </c>
      <c r="AF1549" s="24" t="s">
        <v>1360</v>
      </c>
      <c r="AG1549" s="24" t="s">
        <v>578</v>
      </c>
      <c r="AH1549" s="138" t="s">
        <v>578</v>
      </c>
      <c r="AI1549" s="24" t="s">
        <v>1540</v>
      </c>
      <c r="AJ1549" s="140" t="s">
        <v>117</v>
      </c>
      <c r="AK1549" s="24" t="s">
        <v>1099</v>
      </c>
      <c r="AL1549" s="24" t="s">
        <v>1099</v>
      </c>
      <c r="AM1549" s="24" t="s">
        <v>178</v>
      </c>
      <c r="AQ1549" s="24" t="s">
        <v>1113</v>
      </c>
      <c r="AR1549" s="24" t="s">
        <v>1114</v>
      </c>
      <c r="AS1549" s="24" t="s">
        <v>503</v>
      </c>
      <c r="AT1549" s="24" t="s">
        <v>1112</v>
      </c>
      <c r="AU1549" s="24">
        <v>3</v>
      </c>
      <c r="AW1549" s="24" t="s">
        <v>142</v>
      </c>
      <c r="BB1549" s="24" t="s">
        <v>1116</v>
      </c>
      <c r="BC1549" s="24">
        <v>4598</v>
      </c>
      <c r="BD1549" s="24">
        <v>4374</v>
      </c>
      <c r="BG1549" s="24" t="s">
        <v>1117</v>
      </c>
      <c r="BH1549" s="24">
        <v>2478</v>
      </c>
      <c r="BI1549" s="24">
        <v>2270</v>
      </c>
      <c r="BL1549" s="24" t="s">
        <v>1120</v>
      </c>
      <c r="BM1549" s="395"/>
      <c r="BN1549" s="395"/>
      <c r="BR1549" s="395"/>
      <c r="BS1549" s="395"/>
      <c r="BW1549" s="24">
        <f>134.3*0.056</f>
        <v>7.5208000000000004</v>
      </c>
      <c r="BX1549" s="24">
        <f>170.6*0.056</f>
        <v>9.5535999999999994</v>
      </c>
      <c r="CA1549" s="24" t="s">
        <v>1682</v>
      </c>
      <c r="EY1549" s="24">
        <v>287</v>
      </c>
      <c r="EZ1549" s="24">
        <v>223</v>
      </c>
      <c r="FC1549" s="24" t="s">
        <v>1122</v>
      </c>
      <c r="FD1549" s="24">
        <v>204</v>
      </c>
      <c r="FE1549" s="24">
        <v>140</v>
      </c>
      <c r="FH1549" s="24" t="s">
        <v>1121</v>
      </c>
      <c r="IO1549" s="24" t="s">
        <v>1120</v>
      </c>
    </row>
    <row r="1550" spans="1:250" s="24" customFormat="1" x14ac:dyDescent="0.25">
      <c r="A1550" s="24">
        <v>73</v>
      </c>
      <c r="B1550" s="24" t="s">
        <v>1108</v>
      </c>
      <c r="C1550" s="24" t="s">
        <v>1109</v>
      </c>
      <c r="D1550" s="24">
        <v>2003</v>
      </c>
      <c r="E1550" s="24">
        <v>1992</v>
      </c>
      <c r="F1550" s="24" t="s">
        <v>1110</v>
      </c>
      <c r="G1550" s="24" t="s">
        <v>1138</v>
      </c>
      <c r="H1550" s="24" t="s">
        <v>2832</v>
      </c>
      <c r="I1550" s="24">
        <v>50.29</v>
      </c>
      <c r="J1550" s="24">
        <v>-107.8</v>
      </c>
      <c r="K1550" s="24">
        <v>757</v>
      </c>
      <c r="Q1550" s="42">
        <v>5</v>
      </c>
      <c r="R1550" s="42" t="s">
        <v>1940</v>
      </c>
      <c r="S1550" s="42" t="s">
        <v>1107</v>
      </c>
      <c r="T1550" s="42" t="s">
        <v>1115</v>
      </c>
      <c r="U1550" s="42" t="s">
        <v>1403</v>
      </c>
      <c r="V1550" s="42" t="s">
        <v>1733</v>
      </c>
      <c r="W1550" s="42" t="s">
        <v>1393</v>
      </c>
      <c r="X1550" s="42" t="s">
        <v>1421</v>
      </c>
      <c r="Y1550" s="24">
        <f t="shared" si="257"/>
        <v>1.4880000000000002</v>
      </c>
      <c r="Z1550" s="321"/>
      <c r="AA1550" s="321"/>
      <c r="AB1550" s="24" t="s">
        <v>140</v>
      </c>
      <c r="AF1550" s="24" t="s">
        <v>1360</v>
      </c>
      <c r="AG1550" s="24" t="s">
        <v>578</v>
      </c>
      <c r="AH1550" s="138" t="s">
        <v>578</v>
      </c>
      <c r="AI1550" s="24" t="s">
        <v>1540</v>
      </c>
      <c r="AJ1550" s="140" t="s">
        <v>117</v>
      </c>
      <c r="AK1550" s="24" t="s">
        <v>1099</v>
      </c>
      <c r="AL1550" s="24" t="s">
        <v>1099</v>
      </c>
      <c r="AM1550" s="24" t="s">
        <v>178</v>
      </c>
      <c r="AQ1550" s="24" t="s">
        <v>1113</v>
      </c>
      <c r="AR1550" s="24" t="s">
        <v>1114</v>
      </c>
      <c r="AS1550" s="24" t="s">
        <v>503</v>
      </c>
      <c r="AT1550" s="24" t="s">
        <v>1112</v>
      </c>
      <c r="AU1550" s="24">
        <v>3</v>
      </c>
      <c r="AW1550" s="24" t="s">
        <v>142</v>
      </c>
      <c r="BB1550" s="24" t="s">
        <v>1116</v>
      </c>
      <c r="BC1550" s="24">
        <v>4324</v>
      </c>
      <c r="BD1550" s="24">
        <v>3058</v>
      </c>
      <c r="BG1550" s="24" t="s">
        <v>1117</v>
      </c>
      <c r="BH1550" s="24">
        <v>2756</v>
      </c>
      <c r="BI1550" s="24">
        <v>2055</v>
      </c>
      <c r="BL1550" s="24" t="s">
        <v>1120</v>
      </c>
      <c r="BM1550" s="395"/>
      <c r="BN1550" s="395"/>
      <c r="BR1550" s="395"/>
      <c r="BS1550" s="395"/>
      <c r="BW1550" s="24">
        <f>77.4*0.056</f>
        <v>4.3344000000000005</v>
      </c>
      <c r="BX1550" s="24">
        <f>86.4*0.056</f>
        <v>4.8384</v>
      </c>
      <c r="CA1550" s="24" t="s">
        <v>1682</v>
      </c>
      <c r="EY1550" s="24">
        <v>281</v>
      </c>
      <c r="EZ1550" s="24">
        <v>218</v>
      </c>
      <c r="FC1550" s="24" t="s">
        <v>1122</v>
      </c>
      <c r="FD1550" s="24">
        <v>198</v>
      </c>
      <c r="FE1550" s="24">
        <v>135</v>
      </c>
      <c r="FH1550" s="24" t="s">
        <v>1121</v>
      </c>
      <c r="IO1550" s="24" t="s">
        <v>1120</v>
      </c>
    </row>
    <row r="1551" spans="1:250" s="24" customFormat="1" x14ac:dyDescent="0.25">
      <c r="A1551" s="24">
        <v>73</v>
      </c>
      <c r="B1551" s="24" t="s">
        <v>1108</v>
      </c>
      <c r="C1551" s="24" t="s">
        <v>1109</v>
      </c>
      <c r="D1551" s="24">
        <v>2003</v>
      </c>
      <c r="E1551" s="24">
        <v>1993</v>
      </c>
      <c r="F1551" s="24" t="s">
        <v>1110</v>
      </c>
      <c r="G1551" s="24" t="s">
        <v>1138</v>
      </c>
      <c r="H1551" s="24" t="s">
        <v>2832</v>
      </c>
      <c r="I1551" s="24">
        <v>50.29</v>
      </c>
      <c r="J1551" s="24">
        <v>-107.8</v>
      </c>
      <c r="K1551" s="24">
        <v>757</v>
      </c>
      <c r="Q1551" s="42">
        <v>6</v>
      </c>
      <c r="R1551" s="42" t="s">
        <v>1940</v>
      </c>
      <c r="S1551" s="42" t="s">
        <v>1107</v>
      </c>
      <c r="T1551" s="42" t="s">
        <v>1115</v>
      </c>
      <c r="U1551" s="42" t="s">
        <v>1403</v>
      </c>
      <c r="V1551" s="42" t="s">
        <v>1733</v>
      </c>
      <c r="W1551" s="42" t="s">
        <v>1393</v>
      </c>
      <c r="X1551" s="42" t="s">
        <v>1421</v>
      </c>
      <c r="Y1551" s="24">
        <f t="shared" si="257"/>
        <v>1.4880000000000002</v>
      </c>
      <c r="Z1551" s="321"/>
      <c r="AA1551" s="321"/>
      <c r="AB1551" s="24" t="s">
        <v>140</v>
      </c>
      <c r="AF1551" s="24" t="s">
        <v>1360</v>
      </c>
      <c r="AG1551" s="24" t="s">
        <v>578</v>
      </c>
      <c r="AH1551" s="138" t="s">
        <v>578</v>
      </c>
      <c r="AI1551" s="24" t="s">
        <v>1540</v>
      </c>
      <c r="AJ1551" s="140" t="s">
        <v>117</v>
      </c>
      <c r="AK1551" s="24" t="s">
        <v>1099</v>
      </c>
      <c r="AL1551" s="24" t="s">
        <v>1099</v>
      </c>
      <c r="AM1551" s="24" t="s">
        <v>178</v>
      </c>
      <c r="AQ1551" s="24" t="s">
        <v>1113</v>
      </c>
      <c r="AR1551" s="24" t="s">
        <v>1114</v>
      </c>
      <c r="AS1551" s="24" t="s">
        <v>503</v>
      </c>
      <c r="AT1551" s="24" t="s">
        <v>1112</v>
      </c>
      <c r="AU1551" s="24">
        <v>3</v>
      </c>
      <c r="AW1551" s="24" t="s">
        <v>142</v>
      </c>
      <c r="BB1551" s="24" t="s">
        <v>1116</v>
      </c>
      <c r="BC1551" s="24">
        <v>5476</v>
      </c>
      <c r="BD1551" s="24">
        <v>3918</v>
      </c>
      <c r="BG1551" s="24" t="s">
        <v>1117</v>
      </c>
      <c r="BH1551" s="24">
        <v>3362</v>
      </c>
      <c r="BI1551" s="24">
        <v>2533</v>
      </c>
      <c r="BL1551" s="24" t="s">
        <v>1120</v>
      </c>
      <c r="BM1551" s="395"/>
      <c r="BN1551" s="395"/>
      <c r="BR1551" s="395"/>
      <c r="BS1551" s="395"/>
      <c r="BW1551" s="24">
        <f>72*0.056</f>
        <v>4.032</v>
      </c>
      <c r="BX1551" s="24">
        <f>96.2*0.056</f>
        <v>5.3872</v>
      </c>
      <c r="CA1551" s="24" t="s">
        <v>1682</v>
      </c>
      <c r="EY1551" s="24">
        <v>300</v>
      </c>
      <c r="EZ1551" s="24">
        <v>238</v>
      </c>
      <c r="FC1551" s="24" t="s">
        <v>1122</v>
      </c>
      <c r="FD1551" s="24">
        <v>217</v>
      </c>
      <c r="FE1551" s="24">
        <v>155</v>
      </c>
      <c r="FH1551" s="24" t="s">
        <v>1121</v>
      </c>
      <c r="IO1551" s="24" t="s">
        <v>1120</v>
      </c>
    </row>
    <row r="1552" spans="1:250" s="24" customFormat="1" x14ac:dyDescent="0.25">
      <c r="A1552" s="24">
        <v>73</v>
      </c>
      <c r="B1552" s="24" t="s">
        <v>1108</v>
      </c>
      <c r="C1552" s="24" t="s">
        <v>1109</v>
      </c>
      <c r="D1552" s="24">
        <v>2003</v>
      </c>
      <c r="E1552" s="24">
        <v>1994</v>
      </c>
      <c r="F1552" s="24" t="s">
        <v>1110</v>
      </c>
      <c r="G1552" s="24" t="s">
        <v>1138</v>
      </c>
      <c r="H1552" s="24" t="s">
        <v>2832</v>
      </c>
      <c r="I1552" s="24">
        <v>50.29</v>
      </c>
      <c r="J1552" s="24">
        <v>-107.8</v>
      </c>
      <c r="K1552" s="24">
        <v>757</v>
      </c>
      <c r="Q1552" s="42">
        <v>7</v>
      </c>
      <c r="R1552" s="42" t="s">
        <v>1940</v>
      </c>
      <c r="S1552" s="42" t="s">
        <v>1107</v>
      </c>
      <c r="T1552" s="42" t="s">
        <v>1115</v>
      </c>
      <c r="U1552" s="42" t="s">
        <v>1403</v>
      </c>
      <c r="V1552" s="42" t="s">
        <v>1733</v>
      </c>
      <c r="W1552" s="42" t="s">
        <v>1393</v>
      </c>
      <c r="X1552" s="42" t="s">
        <v>1421</v>
      </c>
      <c r="Y1552" s="24">
        <f t="shared" si="257"/>
        <v>1.4880000000000002</v>
      </c>
      <c r="Z1552" s="321"/>
      <c r="AA1552" s="321"/>
      <c r="AB1552" s="24" t="s">
        <v>140</v>
      </c>
      <c r="AF1552" s="24" t="s">
        <v>1360</v>
      </c>
      <c r="AG1552" s="24" t="s">
        <v>578</v>
      </c>
      <c r="AH1552" s="138" t="s">
        <v>578</v>
      </c>
      <c r="AI1552" s="24" t="s">
        <v>1540</v>
      </c>
      <c r="AJ1552" s="140" t="s">
        <v>117</v>
      </c>
      <c r="AK1552" s="24" t="s">
        <v>1099</v>
      </c>
      <c r="AL1552" s="24" t="s">
        <v>1099</v>
      </c>
      <c r="AM1552" s="24" t="s">
        <v>178</v>
      </c>
      <c r="AQ1552" s="24" t="s">
        <v>1113</v>
      </c>
      <c r="AR1552" s="24" t="s">
        <v>1114</v>
      </c>
      <c r="AS1552" s="24" t="s">
        <v>503</v>
      </c>
      <c r="AT1552" s="24" t="s">
        <v>1112</v>
      </c>
      <c r="AU1552" s="24">
        <v>3</v>
      </c>
      <c r="AW1552" s="24" t="s">
        <v>142</v>
      </c>
      <c r="BB1552" s="24" t="s">
        <v>1116</v>
      </c>
      <c r="BC1552" s="24">
        <v>3968</v>
      </c>
      <c r="BD1552" s="24">
        <v>3837</v>
      </c>
      <c r="BG1552" s="24" t="s">
        <v>1117</v>
      </c>
      <c r="BH1552" s="24">
        <v>1992</v>
      </c>
      <c r="BI1552" s="24">
        <v>1817</v>
      </c>
      <c r="BL1552" s="24" t="s">
        <v>1120</v>
      </c>
      <c r="BM1552" s="395"/>
      <c r="BN1552" s="395"/>
      <c r="BR1552" s="395"/>
      <c r="BS1552" s="395"/>
      <c r="BW1552" s="24">
        <f>39.9*0.056</f>
        <v>2.2343999999999999</v>
      </c>
      <c r="BX1552" s="24">
        <f>67.3*0.056</f>
        <v>3.7687999999999997</v>
      </c>
      <c r="CA1552" s="24" t="s">
        <v>1682</v>
      </c>
      <c r="EY1552" s="24">
        <v>299</v>
      </c>
      <c r="EZ1552" s="24">
        <v>303</v>
      </c>
      <c r="FC1552" s="24" t="s">
        <v>1122</v>
      </c>
      <c r="FD1552" s="24">
        <v>216</v>
      </c>
      <c r="FE1552" s="24">
        <v>220</v>
      </c>
      <c r="FH1552" s="24" t="s">
        <v>1121</v>
      </c>
      <c r="IO1552" s="24" t="s">
        <v>1120</v>
      </c>
    </row>
    <row r="1553" spans="1:249" s="24" customFormat="1" x14ac:dyDescent="0.25">
      <c r="A1553" s="24">
        <v>73</v>
      </c>
      <c r="B1553" s="24" t="s">
        <v>1108</v>
      </c>
      <c r="C1553" s="24" t="s">
        <v>1109</v>
      </c>
      <c r="D1553" s="24">
        <v>2003</v>
      </c>
      <c r="E1553" s="24">
        <v>1995</v>
      </c>
      <c r="F1553" s="24" t="s">
        <v>1110</v>
      </c>
      <c r="G1553" s="24" t="s">
        <v>1138</v>
      </c>
      <c r="H1553" s="24" t="s">
        <v>2832</v>
      </c>
      <c r="I1553" s="24">
        <v>50.29</v>
      </c>
      <c r="J1553" s="24">
        <v>-107.8</v>
      </c>
      <c r="K1553" s="24">
        <v>757</v>
      </c>
      <c r="Q1553" s="42">
        <v>8</v>
      </c>
      <c r="R1553" s="42" t="s">
        <v>1940</v>
      </c>
      <c r="S1553" s="42" t="s">
        <v>1107</v>
      </c>
      <c r="T1553" s="42" t="s">
        <v>1115</v>
      </c>
      <c r="U1553" s="42" t="s">
        <v>1403</v>
      </c>
      <c r="V1553" s="42" t="s">
        <v>1733</v>
      </c>
      <c r="W1553" s="42" t="s">
        <v>1393</v>
      </c>
      <c r="X1553" s="42" t="s">
        <v>1421</v>
      </c>
      <c r="Y1553" s="24">
        <f t="shared" si="257"/>
        <v>1.4880000000000002</v>
      </c>
      <c r="Z1553" s="321"/>
      <c r="AA1553" s="321"/>
      <c r="AB1553" s="24" t="s">
        <v>140</v>
      </c>
      <c r="AF1553" s="24" t="s">
        <v>1360</v>
      </c>
      <c r="AG1553" s="24" t="s">
        <v>578</v>
      </c>
      <c r="AH1553" s="138" t="s">
        <v>578</v>
      </c>
      <c r="AI1553" s="24" t="s">
        <v>1540</v>
      </c>
      <c r="AJ1553" s="140" t="s">
        <v>117</v>
      </c>
      <c r="AK1553" s="24" t="s">
        <v>1099</v>
      </c>
      <c r="AL1553" s="24" t="s">
        <v>1099</v>
      </c>
      <c r="AM1553" s="24" t="s">
        <v>178</v>
      </c>
      <c r="AQ1553" s="24" t="s">
        <v>1113</v>
      </c>
      <c r="AR1553" s="24" t="s">
        <v>1114</v>
      </c>
      <c r="AS1553" s="24" t="s">
        <v>503</v>
      </c>
      <c r="AT1553" s="24" t="s">
        <v>1112</v>
      </c>
      <c r="AU1553" s="24">
        <v>3</v>
      </c>
      <c r="AW1553" s="24" t="s">
        <v>142</v>
      </c>
      <c r="BB1553" s="24" t="s">
        <v>1116</v>
      </c>
      <c r="BC1553" s="24">
        <v>6058</v>
      </c>
      <c r="BD1553" s="24">
        <v>6058</v>
      </c>
      <c r="BG1553" s="24" t="s">
        <v>1117</v>
      </c>
      <c r="BH1553" s="24">
        <v>3085</v>
      </c>
      <c r="BI1553" s="24">
        <v>3200</v>
      </c>
      <c r="BL1553" s="24" t="s">
        <v>1120</v>
      </c>
      <c r="BM1553" s="395"/>
      <c r="BN1553" s="395"/>
      <c r="BR1553" s="395"/>
      <c r="BS1553" s="395"/>
      <c r="BW1553" s="24">
        <f>68.7*0.056</f>
        <v>3.8472000000000004</v>
      </c>
      <c r="BX1553" s="24">
        <f>89.9*0.056</f>
        <v>5.0344000000000007</v>
      </c>
      <c r="CA1553" s="24" t="s">
        <v>1682</v>
      </c>
      <c r="EY1553" s="24">
        <v>305</v>
      </c>
      <c r="EZ1553" s="24">
        <v>274</v>
      </c>
      <c r="FC1553" s="24" t="s">
        <v>1122</v>
      </c>
      <c r="FD1553" s="24">
        <v>222</v>
      </c>
      <c r="FE1553" s="24">
        <v>191</v>
      </c>
      <c r="FH1553" s="24" t="s">
        <v>1121</v>
      </c>
      <c r="IO1553" s="24" t="s">
        <v>1120</v>
      </c>
    </row>
    <row r="1554" spans="1:249" s="24" customFormat="1" x14ac:dyDescent="0.25">
      <c r="A1554" s="24">
        <v>73</v>
      </c>
      <c r="B1554" s="24" t="s">
        <v>1108</v>
      </c>
      <c r="C1554" s="24" t="s">
        <v>1109</v>
      </c>
      <c r="D1554" s="24">
        <v>2003</v>
      </c>
      <c r="E1554" s="24">
        <v>1996</v>
      </c>
      <c r="F1554" s="24" t="s">
        <v>1110</v>
      </c>
      <c r="G1554" s="24" t="s">
        <v>1138</v>
      </c>
      <c r="H1554" s="24" t="s">
        <v>2832</v>
      </c>
      <c r="I1554" s="24">
        <v>50.29</v>
      </c>
      <c r="J1554" s="24">
        <v>-107.8</v>
      </c>
      <c r="K1554" s="24">
        <v>757</v>
      </c>
      <c r="Q1554" s="42">
        <v>9</v>
      </c>
      <c r="R1554" s="42" t="s">
        <v>1940</v>
      </c>
      <c r="S1554" s="42" t="s">
        <v>1107</v>
      </c>
      <c r="T1554" s="42" t="s">
        <v>1115</v>
      </c>
      <c r="U1554" s="42" t="s">
        <v>1403</v>
      </c>
      <c r="V1554" s="42" t="s">
        <v>1733</v>
      </c>
      <c r="W1554" s="42" t="s">
        <v>1393</v>
      </c>
      <c r="X1554" s="42" t="s">
        <v>1421</v>
      </c>
      <c r="Y1554" s="24">
        <f t="shared" si="257"/>
        <v>1.4880000000000002</v>
      </c>
      <c r="Z1554" s="321"/>
      <c r="AA1554" s="321"/>
      <c r="AB1554" s="24" t="s">
        <v>140</v>
      </c>
      <c r="AF1554" s="24" t="s">
        <v>1360</v>
      </c>
      <c r="AG1554" s="24" t="s">
        <v>578</v>
      </c>
      <c r="AH1554" s="138" t="s">
        <v>578</v>
      </c>
      <c r="AI1554" s="24" t="s">
        <v>1540</v>
      </c>
      <c r="AJ1554" s="140" t="s">
        <v>117</v>
      </c>
      <c r="AK1554" s="24" t="s">
        <v>1099</v>
      </c>
      <c r="AL1554" s="24" t="s">
        <v>1099</v>
      </c>
      <c r="AM1554" s="24" t="s">
        <v>178</v>
      </c>
      <c r="AQ1554" s="24" t="s">
        <v>1113</v>
      </c>
      <c r="AR1554" s="24" t="s">
        <v>1114</v>
      </c>
      <c r="AS1554" s="24" t="s">
        <v>503</v>
      </c>
      <c r="AT1554" s="24" t="s">
        <v>1112</v>
      </c>
      <c r="AU1554" s="24">
        <v>3</v>
      </c>
      <c r="AW1554" s="24" t="s">
        <v>142</v>
      </c>
      <c r="BB1554" s="24" t="s">
        <v>1116</v>
      </c>
      <c r="BC1554" s="24">
        <v>4721</v>
      </c>
      <c r="BD1554" s="24">
        <v>4728</v>
      </c>
      <c r="BG1554" s="24" t="s">
        <v>1117</v>
      </c>
      <c r="BH1554" s="24">
        <v>2395</v>
      </c>
      <c r="BI1554" s="24">
        <v>2501</v>
      </c>
      <c r="BL1554" s="24" t="s">
        <v>1120</v>
      </c>
      <c r="BM1554" s="395"/>
      <c r="BN1554" s="395"/>
      <c r="BR1554" s="395"/>
      <c r="BS1554" s="395"/>
      <c r="BW1554" s="24">
        <f>64.8*0.056</f>
        <v>3.6288</v>
      </c>
      <c r="BX1554" s="24">
        <f>119.1*0.056</f>
        <v>6.6696</v>
      </c>
      <c r="CA1554" s="24" t="s">
        <v>1682</v>
      </c>
      <c r="EY1554" s="24">
        <v>325</v>
      </c>
      <c r="EZ1554" s="24">
        <v>316</v>
      </c>
      <c r="FC1554" s="24" t="s">
        <v>1122</v>
      </c>
      <c r="FD1554" s="24">
        <v>242</v>
      </c>
      <c r="FE1554" s="24">
        <v>233</v>
      </c>
      <c r="FH1554" s="24" t="s">
        <v>1121</v>
      </c>
      <c r="IO1554" s="24" t="s">
        <v>1120</v>
      </c>
    </row>
    <row r="1555" spans="1:249" s="24" customFormat="1" x14ac:dyDescent="0.25">
      <c r="A1555" s="24">
        <v>73</v>
      </c>
      <c r="B1555" s="24" t="s">
        <v>1108</v>
      </c>
      <c r="C1555" s="24" t="s">
        <v>1109</v>
      </c>
      <c r="D1555" s="24">
        <v>2003</v>
      </c>
      <c r="E1555" s="24">
        <v>1997</v>
      </c>
      <c r="F1555" s="24" t="s">
        <v>1110</v>
      </c>
      <c r="G1555" s="24" t="s">
        <v>1138</v>
      </c>
      <c r="H1555" s="24" t="s">
        <v>2832</v>
      </c>
      <c r="I1555" s="24">
        <v>50.29</v>
      </c>
      <c r="J1555" s="24">
        <v>-107.8</v>
      </c>
      <c r="K1555" s="24">
        <v>757</v>
      </c>
      <c r="Q1555" s="42">
        <v>10</v>
      </c>
      <c r="R1555" s="42" t="s">
        <v>1940</v>
      </c>
      <c r="S1555" s="42" t="s">
        <v>1107</v>
      </c>
      <c r="T1555" s="42" t="s">
        <v>1115</v>
      </c>
      <c r="U1555" s="42" t="s">
        <v>1403</v>
      </c>
      <c r="V1555" s="42" t="s">
        <v>1733</v>
      </c>
      <c r="W1555" s="42" t="s">
        <v>1393</v>
      </c>
      <c r="X1555" s="42" t="s">
        <v>1421</v>
      </c>
      <c r="Y1555" s="24">
        <f t="shared" si="257"/>
        <v>1.4880000000000002</v>
      </c>
      <c r="Z1555" s="321"/>
      <c r="AA1555" s="321"/>
      <c r="AB1555" s="24" t="s">
        <v>140</v>
      </c>
      <c r="AF1555" s="24" t="s">
        <v>1360</v>
      </c>
      <c r="AG1555" s="24" t="s">
        <v>578</v>
      </c>
      <c r="AH1555" s="138" t="s">
        <v>578</v>
      </c>
      <c r="AI1555" s="24" t="s">
        <v>1540</v>
      </c>
      <c r="AJ1555" s="140" t="s">
        <v>117</v>
      </c>
      <c r="AK1555" s="24" t="s">
        <v>1099</v>
      </c>
      <c r="AL1555" s="24" t="s">
        <v>1099</v>
      </c>
      <c r="AM1555" s="24" t="s">
        <v>178</v>
      </c>
      <c r="AQ1555" s="24" t="s">
        <v>1113</v>
      </c>
      <c r="AR1555" s="24" t="s">
        <v>1114</v>
      </c>
      <c r="AS1555" s="24" t="s">
        <v>503</v>
      </c>
      <c r="AT1555" s="24" t="s">
        <v>1112</v>
      </c>
      <c r="AU1555" s="24">
        <v>3</v>
      </c>
      <c r="AW1555" s="24" t="s">
        <v>142</v>
      </c>
      <c r="BB1555" s="24" t="s">
        <v>1116</v>
      </c>
      <c r="BC1555" s="24">
        <v>4439</v>
      </c>
      <c r="BD1555" s="24">
        <v>5034</v>
      </c>
      <c r="BG1555" s="24" t="s">
        <v>1117</v>
      </c>
      <c r="BH1555" s="24">
        <v>2998</v>
      </c>
      <c r="BI1555" s="24">
        <v>3155</v>
      </c>
      <c r="BL1555" s="24" t="s">
        <v>1120</v>
      </c>
      <c r="BM1555" s="395"/>
      <c r="BN1555" s="395"/>
      <c r="BR1555" s="395"/>
      <c r="BS1555" s="395"/>
      <c r="BW1555" s="24">
        <f>66.2*0.056</f>
        <v>3.7072000000000003</v>
      </c>
      <c r="BX1555" s="24">
        <f>89.7*0.056</f>
        <v>5.0232000000000001</v>
      </c>
      <c r="CA1555" s="24" t="s">
        <v>1682</v>
      </c>
      <c r="EY1555" s="24">
        <v>324</v>
      </c>
      <c r="EZ1555" s="24">
        <v>322</v>
      </c>
      <c r="FC1555" s="24" t="s">
        <v>1122</v>
      </c>
      <c r="FD1555" s="24">
        <v>241</v>
      </c>
      <c r="FE1555" s="24">
        <v>239</v>
      </c>
      <c r="FH1555" s="24" t="s">
        <v>1121</v>
      </c>
      <c r="IO1555" s="24" t="s">
        <v>1120</v>
      </c>
    </row>
    <row r="1556" spans="1:249" s="24" customFormat="1" x14ac:dyDescent="0.25">
      <c r="A1556" s="24">
        <v>73</v>
      </c>
      <c r="B1556" s="24" t="s">
        <v>1108</v>
      </c>
      <c r="C1556" s="24" t="s">
        <v>1109</v>
      </c>
      <c r="D1556" s="24">
        <v>2003</v>
      </c>
      <c r="E1556" s="24">
        <v>1998</v>
      </c>
      <c r="F1556" s="24" t="s">
        <v>1110</v>
      </c>
      <c r="G1556" s="24" t="s">
        <v>1138</v>
      </c>
      <c r="H1556" s="24" t="s">
        <v>2832</v>
      </c>
      <c r="I1556" s="24">
        <v>50.29</v>
      </c>
      <c r="J1556" s="24">
        <v>-107.8</v>
      </c>
      <c r="K1556" s="24">
        <v>757</v>
      </c>
      <c r="Q1556" s="42">
        <v>11</v>
      </c>
      <c r="R1556" s="42" t="s">
        <v>1940</v>
      </c>
      <c r="S1556" s="42" t="s">
        <v>1107</v>
      </c>
      <c r="T1556" s="42" t="s">
        <v>1115</v>
      </c>
      <c r="U1556" s="42" t="s">
        <v>1403</v>
      </c>
      <c r="V1556" s="42" t="s">
        <v>1733</v>
      </c>
      <c r="W1556" s="42" t="s">
        <v>1393</v>
      </c>
      <c r="X1556" s="42" t="s">
        <v>1421</v>
      </c>
      <c r="Y1556" s="24">
        <f t="shared" si="257"/>
        <v>1.4880000000000002</v>
      </c>
      <c r="Z1556" s="321"/>
      <c r="AA1556" s="321"/>
      <c r="AB1556" s="24" t="s">
        <v>140</v>
      </c>
      <c r="AF1556" s="24" t="s">
        <v>1360</v>
      </c>
      <c r="AG1556" s="24" t="s">
        <v>578</v>
      </c>
      <c r="AH1556" s="138" t="s">
        <v>578</v>
      </c>
      <c r="AI1556" s="24" t="s">
        <v>1540</v>
      </c>
      <c r="AJ1556" s="140" t="s">
        <v>117</v>
      </c>
      <c r="AK1556" s="24" t="s">
        <v>1099</v>
      </c>
      <c r="AL1556" s="24" t="s">
        <v>1099</v>
      </c>
      <c r="AM1556" s="24" t="s">
        <v>178</v>
      </c>
      <c r="AQ1556" s="24" t="s">
        <v>1113</v>
      </c>
      <c r="AR1556" s="24" t="s">
        <v>1114</v>
      </c>
      <c r="AS1556" s="24" t="s">
        <v>503</v>
      </c>
      <c r="AT1556" s="24" t="s">
        <v>1112</v>
      </c>
      <c r="AU1556" s="24">
        <v>3</v>
      </c>
      <c r="AW1556" s="24" t="s">
        <v>142</v>
      </c>
      <c r="BB1556" s="24" t="s">
        <v>1116</v>
      </c>
      <c r="BC1556" s="24">
        <v>4414</v>
      </c>
      <c r="BD1556" s="24">
        <v>3843</v>
      </c>
      <c r="BG1556" s="24" t="s">
        <v>1117</v>
      </c>
      <c r="BH1556" s="24">
        <v>2587</v>
      </c>
      <c r="BI1556" s="24">
        <v>2290</v>
      </c>
      <c r="BL1556" s="24" t="s">
        <v>1120</v>
      </c>
      <c r="BM1556" s="395"/>
      <c r="BN1556" s="395"/>
      <c r="BR1556" s="395"/>
      <c r="BS1556" s="395"/>
      <c r="BW1556" s="24">
        <f>105*0.056</f>
        <v>5.88</v>
      </c>
      <c r="BX1556" s="24">
        <f>139.3*0.056</f>
        <v>7.8008000000000006</v>
      </c>
      <c r="CA1556" s="24" t="s">
        <v>1682</v>
      </c>
      <c r="EY1556" s="24">
        <v>270</v>
      </c>
      <c r="EZ1556" s="24">
        <v>248</v>
      </c>
      <c r="FC1556" s="24" t="s">
        <v>1122</v>
      </c>
      <c r="FD1556" s="24">
        <v>187</v>
      </c>
      <c r="FE1556" s="24">
        <v>165</v>
      </c>
      <c r="FH1556" s="24" t="s">
        <v>1121</v>
      </c>
      <c r="IO1556" s="24" t="s">
        <v>1120</v>
      </c>
    </row>
    <row r="1557" spans="1:249" s="24" customFormat="1" x14ac:dyDescent="0.25">
      <c r="A1557" s="24">
        <v>73</v>
      </c>
      <c r="B1557" s="24" t="s">
        <v>1108</v>
      </c>
      <c r="C1557" s="24" t="s">
        <v>1109</v>
      </c>
      <c r="D1557" s="24">
        <v>2003</v>
      </c>
      <c r="E1557" s="24">
        <v>1999</v>
      </c>
      <c r="F1557" s="24" t="s">
        <v>1110</v>
      </c>
      <c r="G1557" s="24" t="s">
        <v>1138</v>
      </c>
      <c r="H1557" s="24" t="s">
        <v>2832</v>
      </c>
      <c r="I1557" s="24">
        <v>50.29</v>
      </c>
      <c r="J1557" s="24">
        <v>-107.8</v>
      </c>
      <c r="K1557" s="24">
        <v>757</v>
      </c>
      <c r="Q1557" s="42">
        <v>12</v>
      </c>
      <c r="R1557" s="42" t="s">
        <v>1940</v>
      </c>
      <c r="S1557" s="42" t="s">
        <v>1107</v>
      </c>
      <c r="T1557" s="42" t="s">
        <v>1115</v>
      </c>
      <c r="U1557" s="42" t="s">
        <v>1403</v>
      </c>
      <c r="V1557" s="42" t="s">
        <v>1733</v>
      </c>
      <c r="W1557" s="42" t="s">
        <v>1393</v>
      </c>
      <c r="X1557" s="42" t="s">
        <v>1421</v>
      </c>
      <c r="Y1557" s="24">
        <f t="shared" si="257"/>
        <v>1.4880000000000002</v>
      </c>
      <c r="Z1557" s="321"/>
      <c r="AA1557" s="321"/>
      <c r="AB1557" s="24" t="s">
        <v>140</v>
      </c>
      <c r="AF1557" s="24" t="s">
        <v>1360</v>
      </c>
      <c r="AG1557" s="24" t="s">
        <v>578</v>
      </c>
      <c r="AH1557" s="138" t="s">
        <v>578</v>
      </c>
      <c r="AI1557" s="24" t="s">
        <v>1540</v>
      </c>
      <c r="AJ1557" s="140" t="s">
        <v>117</v>
      </c>
      <c r="AK1557" s="24" t="s">
        <v>1099</v>
      </c>
      <c r="AL1557" s="24" t="s">
        <v>1099</v>
      </c>
      <c r="AM1557" s="24" t="s">
        <v>178</v>
      </c>
      <c r="AQ1557" s="24" t="s">
        <v>1113</v>
      </c>
      <c r="AR1557" s="24" t="s">
        <v>1114</v>
      </c>
      <c r="AS1557" s="24" t="s">
        <v>503</v>
      </c>
      <c r="AT1557" s="24" t="s">
        <v>1112</v>
      </c>
      <c r="AU1557" s="24">
        <v>3</v>
      </c>
      <c r="AW1557" s="24" t="s">
        <v>142</v>
      </c>
      <c r="BB1557" s="24" t="s">
        <v>1116</v>
      </c>
      <c r="BC1557" s="24">
        <v>5728</v>
      </c>
      <c r="BD1557" s="24">
        <v>5114</v>
      </c>
      <c r="BG1557" s="24" t="s">
        <v>1117</v>
      </c>
      <c r="BH1557" s="24">
        <v>3574</v>
      </c>
      <c r="BI1557" s="24">
        <v>2876</v>
      </c>
      <c r="BL1557" s="24" t="s">
        <v>1120</v>
      </c>
      <c r="BM1557" s="395"/>
      <c r="BN1557" s="395"/>
      <c r="BR1557" s="395"/>
      <c r="BS1557" s="395"/>
      <c r="BW1557" s="24">
        <f>92.2*0.056</f>
        <v>5.1632000000000007</v>
      </c>
      <c r="BX1557" s="24">
        <f>109.2*0.056</f>
        <v>6.1152000000000006</v>
      </c>
      <c r="CA1557" s="24" t="s">
        <v>1682</v>
      </c>
      <c r="EY1557" s="24">
        <v>300</v>
      </c>
      <c r="EZ1557" s="24">
        <v>228</v>
      </c>
      <c r="FC1557" s="24" t="s">
        <v>1122</v>
      </c>
      <c r="FD1557" s="24">
        <v>217</v>
      </c>
      <c r="FE1557" s="24">
        <v>145</v>
      </c>
      <c r="FH1557" s="24" t="s">
        <v>1121</v>
      </c>
      <c r="IO1557" s="24" t="s">
        <v>1120</v>
      </c>
    </row>
    <row r="1558" spans="1:249" s="32" customFormat="1" x14ac:dyDescent="0.25">
      <c r="A1558" s="32">
        <v>73</v>
      </c>
      <c r="B1558" s="32" t="s">
        <v>1108</v>
      </c>
      <c r="C1558" s="32" t="s">
        <v>1109</v>
      </c>
      <c r="D1558" s="32">
        <v>2003</v>
      </c>
      <c r="E1558" s="32">
        <v>1988</v>
      </c>
      <c r="F1558" s="32" t="s">
        <v>1110</v>
      </c>
      <c r="G1558" s="32" t="s">
        <v>1138</v>
      </c>
      <c r="H1558" s="24" t="s">
        <v>2832</v>
      </c>
      <c r="I1558" s="32">
        <v>50.29</v>
      </c>
      <c r="J1558" s="32">
        <v>-107.8</v>
      </c>
      <c r="K1558" s="32">
        <v>757</v>
      </c>
      <c r="Q1558" s="44">
        <v>1</v>
      </c>
      <c r="R1558" s="44" t="s">
        <v>1940</v>
      </c>
      <c r="S1558" s="44" t="s">
        <v>1107</v>
      </c>
      <c r="T1558" s="44" t="s">
        <v>1115</v>
      </c>
      <c r="U1558" s="44" t="s">
        <v>1403</v>
      </c>
      <c r="V1558" s="44" t="s">
        <v>1733</v>
      </c>
      <c r="W1558" s="44" t="s">
        <v>1393</v>
      </c>
      <c r="X1558" s="44" t="s">
        <v>1421</v>
      </c>
      <c r="Y1558" s="32">
        <v>1.4880000000000002</v>
      </c>
      <c r="Z1558" s="323"/>
      <c r="AA1558" s="323"/>
      <c r="AB1558" s="32" t="s">
        <v>140</v>
      </c>
      <c r="AF1558" s="32" t="s">
        <v>1360</v>
      </c>
      <c r="AG1558" s="32" t="s">
        <v>578</v>
      </c>
      <c r="AH1558" s="138" t="s">
        <v>578</v>
      </c>
      <c r="AI1558" s="32" t="s">
        <v>1540</v>
      </c>
      <c r="AJ1558" s="140" t="s">
        <v>117</v>
      </c>
      <c r="AK1558" s="32" t="s">
        <v>1099</v>
      </c>
      <c r="AL1558" s="32" t="s">
        <v>1099</v>
      </c>
      <c r="AM1558" s="32" t="s">
        <v>178</v>
      </c>
      <c r="AQ1558" s="32" t="s">
        <v>1113</v>
      </c>
      <c r="AR1558" s="32" t="s">
        <v>1114</v>
      </c>
      <c r="AS1558" s="32" t="s">
        <v>503</v>
      </c>
      <c r="AT1558" s="32" t="s">
        <v>1112</v>
      </c>
      <c r="AU1558" s="32">
        <v>3</v>
      </c>
      <c r="AW1558" s="32" t="s">
        <v>142</v>
      </c>
      <c r="BB1558" s="32" t="s">
        <v>1123</v>
      </c>
      <c r="BC1558" s="32">
        <v>794</v>
      </c>
      <c r="BD1558" s="32">
        <v>745</v>
      </c>
      <c r="BG1558" s="32" t="s">
        <v>1117</v>
      </c>
      <c r="BH1558" s="32">
        <v>420</v>
      </c>
      <c r="BI1558" s="32">
        <v>407</v>
      </c>
      <c r="BL1558" s="32" t="s">
        <v>1120</v>
      </c>
      <c r="BM1558" s="397"/>
      <c r="BN1558" s="397"/>
      <c r="BR1558" s="397"/>
      <c r="BS1558" s="397"/>
      <c r="EY1558" s="32">
        <v>188</v>
      </c>
      <c r="EZ1558" s="32">
        <v>179</v>
      </c>
      <c r="FC1558" s="32" t="s">
        <v>1122</v>
      </c>
      <c r="FD1558" s="32">
        <v>105</v>
      </c>
      <c r="FE1558" s="32">
        <v>96</v>
      </c>
      <c r="FH1558" s="32" t="s">
        <v>1121</v>
      </c>
      <c r="IO1558" s="32" t="s">
        <v>1120</v>
      </c>
    </row>
    <row r="1559" spans="1:249" s="32" customFormat="1" x14ac:dyDescent="0.25">
      <c r="A1559" s="32">
        <v>73</v>
      </c>
      <c r="B1559" s="32" t="s">
        <v>1108</v>
      </c>
      <c r="C1559" s="32" t="s">
        <v>1109</v>
      </c>
      <c r="D1559" s="32">
        <v>2003</v>
      </c>
      <c r="E1559" s="32">
        <v>1989</v>
      </c>
      <c r="F1559" s="32" t="s">
        <v>1110</v>
      </c>
      <c r="G1559" s="32" t="s">
        <v>1138</v>
      </c>
      <c r="H1559" s="24" t="s">
        <v>2832</v>
      </c>
      <c r="I1559" s="32">
        <v>50.29</v>
      </c>
      <c r="J1559" s="32">
        <v>-107.8</v>
      </c>
      <c r="K1559" s="32">
        <v>757</v>
      </c>
      <c r="Q1559" s="44">
        <v>2</v>
      </c>
      <c r="R1559" s="44" t="s">
        <v>1940</v>
      </c>
      <c r="S1559" s="44" t="s">
        <v>1107</v>
      </c>
      <c r="T1559" s="44" t="s">
        <v>1115</v>
      </c>
      <c r="U1559" s="44" t="s">
        <v>1403</v>
      </c>
      <c r="V1559" s="44" t="s">
        <v>1733</v>
      </c>
      <c r="W1559" s="44" t="s">
        <v>1393</v>
      </c>
      <c r="X1559" s="44" t="s">
        <v>1421</v>
      </c>
      <c r="Y1559" s="32">
        <v>1.4880000000000002</v>
      </c>
      <c r="Z1559" s="323"/>
      <c r="AA1559" s="323"/>
      <c r="AB1559" s="32" t="s">
        <v>140</v>
      </c>
      <c r="AF1559" s="32" t="s">
        <v>1360</v>
      </c>
      <c r="AG1559" s="32" t="s">
        <v>578</v>
      </c>
      <c r="AH1559" s="138" t="s">
        <v>578</v>
      </c>
      <c r="AI1559" s="32" t="s">
        <v>1540</v>
      </c>
      <c r="AJ1559" s="140" t="s">
        <v>117</v>
      </c>
      <c r="AK1559" s="32" t="s">
        <v>1099</v>
      </c>
      <c r="AL1559" s="32" t="s">
        <v>1099</v>
      </c>
      <c r="AM1559" s="32" t="s">
        <v>178</v>
      </c>
      <c r="AQ1559" s="32" t="s">
        <v>1113</v>
      </c>
      <c r="AR1559" s="32" t="s">
        <v>1114</v>
      </c>
      <c r="AS1559" s="32" t="s">
        <v>503</v>
      </c>
      <c r="AT1559" s="32" t="s">
        <v>1112</v>
      </c>
      <c r="AU1559" s="32">
        <v>3</v>
      </c>
      <c r="AW1559" s="32" t="s">
        <v>142</v>
      </c>
      <c r="BB1559" s="32" t="s">
        <v>1123</v>
      </c>
      <c r="BC1559" s="32">
        <v>2732</v>
      </c>
      <c r="BD1559" s="32">
        <v>2926</v>
      </c>
      <c r="BG1559" s="32" t="s">
        <v>1117</v>
      </c>
      <c r="BH1559" s="32">
        <v>1655</v>
      </c>
      <c r="BI1559" s="32">
        <v>1738</v>
      </c>
      <c r="BL1559" s="32" t="s">
        <v>1120</v>
      </c>
      <c r="BM1559" s="397"/>
      <c r="BN1559" s="397"/>
      <c r="BR1559" s="397"/>
      <c r="BS1559" s="397"/>
      <c r="EY1559" s="32">
        <v>191</v>
      </c>
      <c r="EZ1559" s="32">
        <v>198</v>
      </c>
      <c r="FC1559" s="32" t="s">
        <v>1122</v>
      </c>
      <c r="FD1559" s="32">
        <v>108</v>
      </c>
      <c r="FE1559" s="32">
        <v>115</v>
      </c>
      <c r="FH1559" s="32" t="s">
        <v>1121</v>
      </c>
      <c r="IO1559" s="32" t="s">
        <v>1120</v>
      </c>
    </row>
    <row r="1560" spans="1:249" s="32" customFormat="1" x14ac:dyDescent="0.25">
      <c r="A1560" s="32">
        <v>73</v>
      </c>
      <c r="B1560" s="32" t="s">
        <v>1108</v>
      </c>
      <c r="C1560" s="32" t="s">
        <v>1109</v>
      </c>
      <c r="D1560" s="32">
        <v>2003</v>
      </c>
      <c r="E1560" s="32">
        <v>1990</v>
      </c>
      <c r="F1560" s="32" t="s">
        <v>1110</v>
      </c>
      <c r="G1560" s="32" t="s">
        <v>1138</v>
      </c>
      <c r="H1560" s="24" t="s">
        <v>2832</v>
      </c>
      <c r="I1560" s="32">
        <v>50.29</v>
      </c>
      <c r="J1560" s="32">
        <v>-107.8</v>
      </c>
      <c r="K1560" s="32">
        <v>757</v>
      </c>
      <c r="Q1560" s="44">
        <v>3</v>
      </c>
      <c r="R1560" s="44" t="s">
        <v>1940</v>
      </c>
      <c r="S1560" s="44" t="s">
        <v>1107</v>
      </c>
      <c r="T1560" s="44" t="s">
        <v>1115</v>
      </c>
      <c r="U1560" s="44" t="s">
        <v>1403</v>
      </c>
      <c r="V1560" s="44" t="s">
        <v>1733</v>
      </c>
      <c r="W1560" s="44" t="s">
        <v>1393</v>
      </c>
      <c r="X1560" s="44" t="s">
        <v>1421</v>
      </c>
      <c r="Y1560" s="32">
        <v>1.4880000000000002</v>
      </c>
      <c r="Z1560" s="323"/>
      <c r="AA1560" s="323"/>
      <c r="AB1560" s="32" t="s">
        <v>140</v>
      </c>
      <c r="AF1560" s="32" t="s">
        <v>1360</v>
      </c>
      <c r="AG1560" s="32" t="s">
        <v>578</v>
      </c>
      <c r="AH1560" s="138" t="s">
        <v>578</v>
      </c>
      <c r="AI1560" s="32" t="s">
        <v>1540</v>
      </c>
      <c r="AJ1560" s="140" t="s">
        <v>117</v>
      </c>
      <c r="AK1560" s="32" t="s">
        <v>1099</v>
      </c>
      <c r="AL1560" s="32" t="s">
        <v>1099</v>
      </c>
      <c r="AM1560" s="32" t="s">
        <v>178</v>
      </c>
      <c r="AQ1560" s="32" t="s">
        <v>1113</v>
      </c>
      <c r="AR1560" s="32" t="s">
        <v>1114</v>
      </c>
      <c r="AS1560" s="32" t="s">
        <v>503</v>
      </c>
      <c r="AT1560" s="32" t="s">
        <v>1112</v>
      </c>
      <c r="AU1560" s="32">
        <v>3</v>
      </c>
      <c r="AW1560" s="32" t="s">
        <v>142</v>
      </c>
      <c r="BB1560" s="32" t="s">
        <v>1123</v>
      </c>
      <c r="BC1560" s="32">
        <v>2395</v>
      </c>
      <c r="BD1560" s="32">
        <v>2729</v>
      </c>
      <c r="BG1560" s="32" t="s">
        <v>1117</v>
      </c>
      <c r="BH1560" s="32">
        <v>1778</v>
      </c>
      <c r="BI1560" s="32">
        <v>1879</v>
      </c>
      <c r="BL1560" s="32" t="s">
        <v>1120</v>
      </c>
      <c r="BM1560" s="397"/>
      <c r="BN1560" s="397"/>
      <c r="BR1560" s="397"/>
      <c r="BS1560" s="397"/>
      <c r="EY1560" s="32">
        <v>231</v>
      </c>
      <c r="EZ1560" s="32">
        <v>244</v>
      </c>
      <c r="FC1560" s="32" t="s">
        <v>1122</v>
      </c>
      <c r="FD1560" s="32">
        <v>148</v>
      </c>
      <c r="FE1560" s="32">
        <v>161</v>
      </c>
      <c r="FH1560" s="32" t="s">
        <v>1121</v>
      </c>
      <c r="IO1560" s="32" t="s">
        <v>1120</v>
      </c>
    </row>
    <row r="1561" spans="1:249" s="32" customFormat="1" x14ac:dyDescent="0.25">
      <c r="A1561" s="32">
        <v>73</v>
      </c>
      <c r="B1561" s="32" t="s">
        <v>1108</v>
      </c>
      <c r="C1561" s="32" t="s">
        <v>1109</v>
      </c>
      <c r="D1561" s="32">
        <v>2003</v>
      </c>
      <c r="E1561" s="32">
        <v>1991</v>
      </c>
      <c r="F1561" s="32" t="s">
        <v>1110</v>
      </c>
      <c r="G1561" s="32" t="s">
        <v>1138</v>
      </c>
      <c r="H1561" s="24" t="s">
        <v>2832</v>
      </c>
      <c r="I1561" s="32">
        <v>50.29</v>
      </c>
      <c r="J1561" s="32">
        <v>-107.8</v>
      </c>
      <c r="K1561" s="32">
        <v>757</v>
      </c>
      <c r="Q1561" s="44">
        <v>4</v>
      </c>
      <c r="R1561" s="44" t="s">
        <v>1940</v>
      </c>
      <c r="S1561" s="44" t="s">
        <v>1107</v>
      </c>
      <c r="T1561" s="44" t="s">
        <v>1115</v>
      </c>
      <c r="U1561" s="44" t="s">
        <v>1403</v>
      </c>
      <c r="V1561" s="44" t="s">
        <v>1733</v>
      </c>
      <c r="W1561" s="44" t="s">
        <v>1393</v>
      </c>
      <c r="X1561" s="44" t="s">
        <v>1421</v>
      </c>
      <c r="Y1561" s="32">
        <v>1.4880000000000002</v>
      </c>
      <c r="Z1561" s="323"/>
      <c r="AA1561" s="323"/>
      <c r="AB1561" s="32" t="s">
        <v>140</v>
      </c>
      <c r="AF1561" s="32" t="s">
        <v>1360</v>
      </c>
      <c r="AG1561" s="32" t="s">
        <v>578</v>
      </c>
      <c r="AH1561" s="138" t="s">
        <v>578</v>
      </c>
      <c r="AI1561" s="32" t="s">
        <v>1540</v>
      </c>
      <c r="AJ1561" s="140" t="s">
        <v>117</v>
      </c>
      <c r="AK1561" s="32" t="s">
        <v>1099</v>
      </c>
      <c r="AL1561" s="32" t="s">
        <v>1099</v>
      </c>
      <c r="AM1561" s="32" t="s">
        <v>178</v>
      </c>
      <c r="AQ1561" s="32" t="s">
        <v>1113</v>
      </c>
      <c r="AR1561" s="32" t="s">
        <v>1114</v>
      </c>
      <c r="AS1561" s="32" t="s">
        <v>503</v>
      </c>
      <c r="AT1561" s="32" t="s">
        <v>1112</v>
      </c>
      <c r="AU1561" s="32">
        <v>3</v>
      </c>
      <c r="AW1561" s="32" t="s">
        <v>142</v>
      </c>
      <c r="BB1561" s="32" t="s">
        <v>1123</v>
      </c>
      <c r="BC1561" s="32">
        <v>4339</v>
      </c>
      <c r="BD1561" s="32">
        <v>4550</v>
      </c>
      <c r="BG1561" s="32" t="s">
        <v>1117</v>
      </c>
      <c r="BH1561" s="32">
        <v>2581</v>
      </c>
      <c r="BI1561" s="32">
        <v>2638</v>
      </c>
      <c r="BL1561" s="32" t="s">
        <v>1120</v>
      </c>
      <c r="BM1561" s="397"/>
      <c r="BN1561" s="397"/>
      <c r="BR1561" s="397"/>
      <c r="BS1561" s="397"/>
      <c r="EY1561" s="32">
        <v>260</v>
      </c>
      <c r="EZ1561" s="32">
        <v>257</v>
      </c>
      <c r="FC1561" s="32" t="s">
        <v>1122</v>
      </c>
      <c r="FD1561" s="32">
        <v>177</v>
      </c>
      <c r="FE1561" s="32">
        <v>174</v>
      </c>
      <c r="FH1561" s="32" t="s">
        <v>1121</v>
      </c>
      <c r="IO1561" s="32" t="s">
        <v>1120</v>
      </c>
    </row>
    <row r="1562" spans="1:249" s="32" customFormat="1" x14ac:dyDescent="0.25">
      <c r="A1562" s="32">
        <v>73</v>
      </c>
      <c r="B1562" s="32" t="s">
        <v>1108</v>
      </c>
      <c r="C1562" s="32" t="s">
        <v>1109</v>
      </c>
      <c r="D1562" s="32">
        <v>2003</v>
      </c>
      <c r="E1562" s="32">
        <v>1992</v>
      </c>
      <c r="F1562" s="32" t="s">
        <v>1110</v>
      </c>
      <c r="G1562" s="32" t="s">
        <v>1138</v>
      </c>
      <c r="H1562" s="24" t="s">
        <v>2832</v>
      </c>
      <c r="I1562" s="32">
        <v>50.29</v>
      </c>
      <c r="J1562" s="32">
        <v>-107.8</v>
      </c>
      <c r="K1562" s="32">
        <v>757</v>
      </c>
      <c r="Q1562" s="44">
        <v>5</v>
      </c>
      <c r="R1562" s="44" t="s">
        <v>1940</v>
      </c>
      <c r="S1562" s="44" t="s">
        <v>1107</v>
      </c>
      <c r="T1562" s="44" t="s">
        <v>1115</v>
      </c>
      <c r="U1562" s="44" t="s">
        <v>1403</v>
      </c>
      <c r="V1562" s="44" t="s">
        <v>1733</v>
      </c>
      <c r="W1562" s="44" t="s">
        <v>1393</v>
      </c>
      <c r="X1562" s="44" t="s">
        <v>1421</v>
      </c>
      <c r="Y1562" s="32">
        <v>1.4880000000000002</v>
      </c>
      <c r="Z1562" s="323"/>
      <c r="AA1562" s="323"/>
      <c r="AB1562" s="32" t="s">
        <v>140</v>
      </c>
      <c r="AF1562" s="32" t="s">
        <v>1360</v>
      </c>
      <c r="AG1562" s="32" t="s">
        <v>578</v>
      </c>
      <c r="AH1562" s="138" t="s">
        <v>578</v>
      </c>
      <c r="AI1562" s="32" t="s">
        <v>1540</v>
      </c>
      <c r="AJ1562" s="140" t="s">
        <v>117</v>
      </c>
      <c r="AK1562" s="32" t="s">
        <v>1099</v>
      </c>
      <c r="AL1562" s="32" t="s">
        <v>1099</v>
      </c>
      <c r="AM1562" s="32" t="s">
        <v>178</v>
      </c>
      <c r="AQ1562" s="32" t="s">
        <v>1113</v>
      </c>
      <c r="AR1562" s="32" t="s">
        <v>1114</v>
      </c>
      <c r="AS1562" s="32" t="s">
        <v>503</v>
      </c>
      <c r="AT1562" s="32" t="s">
        <v>1112</v>
      </c>
      <c r="AU1562" s="32">
        <v>3</v>
      </c>
      <c r="AW1562" s="32" t="s">
        <v>142</v>
      </c>
      <c r="BB1562" s="32" t="s">
        <v>1123</v>
      </c>
      <c r="BC1562" s="32">
        <v>2475</v>
      </c>
      <c r="BD1562" s="32">
        <v>2985</v>
      </c>
      <c r="BG1562" s="32" t="s">
        <v>1117</v>
      </c>
      <c r="BH1562" s="32">
        <v>1521</v>
      </c>
      <c r="BI1562" s="32">
        <v>1616</v>
      </c>
      <c r="BL1562" s="32" t="s">
        <v>1120</v>
      </c>
      <c r="BM1562" s="397"/>
      <c r="BN1562" s="397"/>
      <c r="BR1562" s="397"/>
      <c r="BS1562" s="397"/>
      <c r="EY1562" s="32">
        <v>217</v>
      </c>
      <c r="EZ1562" s="32">
        <v>183</v>
      </c>
      <c r="FC1562" s="32" t="s">
        <v>1122</v>
      </c>
      <c r="FD1562" s="32">
        <v>134</v>
      </c>
      <c r="FE1562" s="32">
        <v>100</v>
      </c>
      <c r="FH1562" s="32" t="s">
        <v>1121</v>
      </c>
      <c r="IO1562" s="32" t="s">
        <v>1120</v>
      </c>
    </row>
    <row r="1563" spans="1:249" s="32" customFormat="1" x14ac:dyDescent="0.25">
      <c r="A1563" s="32">
        <v>73</v>
      </c>
      <c r="B1563" s="32" t="s">
        <v>1108</v>
      </c>
      <c r="C1563" s="32" t="s">
        <v>1109</v>
      </c>
      <c r="D1563" s="32">
        <v>2003</v>
      </c>
      <c r="E1563" s="32">
        <v>1993</v>
      </c>
      <c r="F1563" s="32" t="s">
        <v>1110</v>
      </c>
      <c r="G1563" s="32" t="s">
        <v>1138</v>
      </c>
      <c r="H1563" s="24" t="s">
        <v>2832</v>
      </c>
      <c r="I1563" s="32">
        <v>50.29</v>
      </c>
      <c r="J1563" s="32">
        <v>-107.8</v>
      </c>
      <c r="K1563" s="32">
        <v>757</v>
      </c>
      <c r="Q1563" s="44">
        <v>6</v>
      </c>
      <c r="R1563" s="44" t="s">
        <v>1940</v>
      </c>
      <c r="S1563" s="44" t="s">
        <v>1107</v>
      </c>
      <c r="T1563" s="44" t="s">
        <v>1115</v>
      </c>
      <c r="U1563" s="44" t="s">
        <v>1403</v>
      </c>
      <c r="V1563" s="44" t="s">
        <v>1733</v>
      </c>
      <c r="W1563" s="44" t="s">
        <v>1393</v>
      </c>
      <c r="X1563" s="44" t="s">
        <v>1421</v>
      </c>
      <c r="Y1563" s="32">
        <v>1.4880000000000002</v>
      </c>
      <c r="Z1563" s="323"/>
      <c r="AA1563" s="323"/>
      <c r="AB1563" s="32" t="s">
        <v>140</v>
      </c>
      <c r="AF1563" s="32" t="s">
        <v>1360</v>
      </c>
      <c r="AG1563" s="32" t="s">
        <v>578</v>
      </c>
      <c r="AH1563" s="138" t="s">
        <v>578</v>
      </c>
      <c r="AI1563" s="32" t="s">
        <v>1540</v>
      </c>
      <c r="AJ1563" s="140" t="s">
        <v>117</v>
      </c>
      <c r="AK1563" s="32" t="s">
        <v>1099</v>
      </c>
      <c r="AL1563" s="32" t="s">
        <v>1099</v>
      </c>
      <c r="AM1563" s="32" t="s">
        <v>178</v>
      </c>
      <c r="AQ1563" s="32" t="s">
        <v>1113</v>
      </c>
      <c r="AR1563" s="32" t="s">
        <v>1114</v>
      </c>
      <c r="AS1563" s="32" t="s">
        <v>503</v>
      </c>
      <c r="AT1563" s="32" t="s">
        <v>1112</v>
      </c>
      <c r="AU1563" s="32">
        <v>3</v>
      </c>
      <c r="AW1563" s="32" t="s">
        <v>142</v>
      </c>
      <c r="BB1563" s="32" t="s">
        <v>1123</v>
      </c>
      <c r="BC1563" s="32">
        <v>3183</v>
      </c>
      <c r="BD1563" s="32">
        <v>3049</v>
      </c>
      <c r="BG1563" s="32" t="s">
        <v>1117</v>
      </c>
      <c r="BH1563" s="32">
        <v>2232</v>
      </c>
      <c r="BI1563" s="32">
        <v>2030</v>
      </c>
      <c r="BL1563" s="32" t="s">
        <v>1120</v>
      </c>
      <c r="BM1563" s="397"/>
      <c r="BN1563" s="397"/>
      <c r="BR1563" s="397"/>
      <c r="BS1563" s="397"/>
      <c r="EY1563" s="32">
        <v>214</v>
      </c>
      <c r="EZ1563" s="32">
        <v>221</v>
      </c>
      <c r="FC1563" s="32" t="s">
        <v>1122</v>
      </c>
      <c r="FD1563" s="32">
        <v>131</v>
      </c>
      <c r="FE1563" s="32">
        <v>138</v>
      </c>
      <c r="FH1563" s="32" t="s">
        <v>1121</v>
      </c>
      <c r="IO1563" s="32" t="s">
        <v>1120</v>
      </c>
    </row>
    <row r="1564" spans="1:249" s="32" customFormat="1" x14ac:dyDescent="0.25">
      <c r="A1564" s="32">
        <v>73</v>
      </c>
      <c r="B1564" s="32" t="s">
        <v>1108</v>
      </c>
      <c r="C1564" s="32" t="s">
        <v>1109</v>
      </c>
      <c r="D1564" s="32">
        <v>2003</v>
      </c>
      <c r="E1564" s="32">
        <v>1994</v>
      </c>
      <c r="F1564" s="32" t="s">
        <v>1110</v>
      </c>
      <c r="G1564" s="32" t="s">
        <v>1138</v>
      </c>
      <c r="H1564" s="24" t="s">
        <v>2832</v>
      </c>
      <c r="I1564" s="32">
        <v>50.29</v>
      </c>
      <c r="J1564" s="32">
        <v>-107.8</v>
      </c>
      <c r="K1564" s="32">
        <v>757</v>
      </c>
      <c r="Q1564" s="44">
        <v>7</v>
      </c>
      <c r="R1564" s="44" t="s">
        <v>1940</v>
      </c>
      <c r="S1564" s="44" t="s">
        <v>1107</v>
      </c>
      <c r="T1564" s="44" t="s">
        <v>1115</v>
      </c>
      <c r="U1564" s="44" t="s">
        <v>1403</v>
      </c>
      <c r="V1564" s="44" t="s">
        <v>1733</v>
      </c>
      <c r="W1564" s="44" t="s">
        <v>1393</v>
      </c>
      <c r="X1564" s="44" t="s">
        <v>1421</v>
      </c>
      <c r="Y1564" s="32">
        <v>1.4880000000000002</v>
      </c>
      <c r="Z1564" s="323"/>
      <c r="AA1564" s="323"/>
      <c r="AB1564" s="32" t="s">
        <v>140</v>
      </c>
      <c r="AF1564" s="32" t="s">
        <v>1360</v>
      </c>
      <c r="AG1564" s="32" t="s">
        <v>578</v>
      </c>
      <c r="AH1564" s="138" t="s">
        <v>578</v>
      </c>
      <c r="AI1564" s="32" t="s">
        <v>1540</v>
      </c>
      <c r="AJ1564" s="140" t="s">
        <v>117</v>
      </c>
      <c r="AK1564" s="32" t="s">
        <v>1099</v>
      </c>
      <c r="AL1564" s="32" t="s">
        <v>1099</v>
      </c>
      <c r="AM1564" s="32" t="s">
        <v>178</v>
      </c>
      <c r="AQ1564" s="32" t="s">
        <v>1113</v>
      </c>
      <c r="AR1564" s="32" t="s">
        <v>1114</v>
      </c>
      <c r="AS1564" s="32" t="s">
        <v>503</v>
      </c>
      <c r="AT1564" s="32" t="s">
        <v>1112</v>
      </c>
      <c r="AU1564" s="32">
        <v>3</v>
      </c>
      <c r="AW1564" s="32" t="s">
        <v>142</v>
      </c>
      <c r="BB1564" s="32" t="s">
        <v>1123</v>
      </c>
      <c r="BC1564" s="32">
        <v>2961</v>
      </c>
      <c r="BD1564" s="32">
        <v>4238</v>
      </c>
      <c r="BG1564" s="32" t="s">
        <v>1117</v>
      </c>
      <c r="BH1564" s="32">
        <v>1546</v>
      </c>
      <c r="BI1564" s="32">
        <v>2112</v>
      </c>
      <c r="BL1564" s="32" t="s">
        <v>1120</v>
      </c>
      <c r="BM1564" s="397"/>
      <c r="BN1564" s="397"/>
      <c r="BR1564" s="397"/>
      <c r="BS1564" s="397"/>
      <c r="EY1564" s="32">
        <v>293</v>
      </c>
      <c r="EZ1564" s="32">
        <v>282</v>
      </c>
      <c r="FC1564" s="32" t="s">
        <v>1122</v>
      </c>
      <c r="FD1564" s="32">
        <v>210</v>
      </c>
      <c r="FE1564" s="32">
        <v>199</v>
      </c>
      <c r="FH1564" s="32" t="s">
        <v>1121</v>
      </c>
      <c r="IO1564" s="32" t="s">
        <v>1120</v>
      </c>
    </row>
    <row r="1565" spans="1:249" s="32" customFormat="1" x14ac:dyDescent="0.25">
      <c r="A1565" s="32">
        <v>73</v>
      </c>
      <c r="B1565" s="32" t="s">
        <v>1108</v>
      </c>
      <c r="C1565" s="32" t="s">
        <v>1109</v>
      </c>
      <c r="D1565" s="32">
        <v>2003</v>
      </c>
      <c r="E1565" s="32">
        <v>1995</v>
      </c>
      <c r="F1565" s="32" t="s">
        <v>1110</v>
      </c>
      <c r="G1565" s="32" t="s">
        <v>1138</v>
      </c>
      <c r="H1565" s="24" t="s">
        <v>2832</v>
      </c>
      <c r="I1565" s="32">
        <v>50.29</v>
      </c>
      <c r="J1565" s="32">
        <v>-107.8</v>
      </c>
      <c r="K1565" s="32">
        <v>757</v>
      </c>
      <c r="Q1565" s="44">
        <v>8</v>
      </c>
      <c r="R1565" s="44" t="s">
        <v>1940</v>
      </c>
      <c r="S1565" s="44" t="s">
        <v>1107</v>
      </c>
      <c r="T1565" s="44" t="s">
        <v>1115</v>
      </c>
      <c r="U1565" s="44" t="s">
        <v>1403</v>
      </c>
      <c r="V1565" s="44" t="s">
        <v>1733</v>
      </c>
      <c r="W1565" s="44" t="s">
        <v>1393</v>
      </c>
      <c r="X1565" s="44" t="s">
        <v>1421</v>
      </c>
      <c r="Y1565" s="32">
        <v>1.4880000000000002</v>
      </c>
      <c r="Z1565" s="323"/>
      <c r="AA1565" s="323"/>
      <c r="AB1565" s="32" t="s">
        <v>140</v>
      </c>
      <c r="AF1565" s="32" t="s">
        <v>1360</v>
      </c>
      <c r="AG1565" s="32" t="s">
        <v>578</v>
      </c>
      <c r="AH1565" s="138" t="s">
        <v>578</v>
      </c>
      <c r="AI1565" s="32" t="s">
        <v>1540</v>
      </c>
      <c r="AJ1565" s="140" t="s">
        <v>117</v>
      </c>
      <c r="AK1565" s="32" t="s">
        <v>1099</v>
      </c>
      <c r="AL1565" s="32" t="s">
        <v>1099</v>
      </c>
      <c r="AM1565" s="32" t="s">
        <v>178</v>
      </c>
      <c r="AQ1565" s="32" t="s">
        <v>1113</v>
      </c>
      <c r="AR1565" s="32" t="s">
        <v>1114</v>
      </c>
      <c r="AS1565" s="32" t="s">
        <v>503</v>
      </c>
      <c r="AT1565" s="32" t="s">
        <v>1112</v>
      </c>
      <c r="AU1565" s="32">
        <v>3</v>
      </c>
      <c r="AW1565" s="32" t="s">
        <v>142</v>
      </c>
      <c r="BB1565" s="32" t="s">
        <v>1123</v>
      </c>
      <c r="BC1565" s="32">
        <v>4791</v>
      </c>
      <c r="BD1565" s="32">
        <v>4694</v>
      </c>
      <c r="BG1565" s="32" t="s">
        <v>1117</v>
      </c>
      <c r="BH1565" s="32">
        <v>2703</v>
      </c>
      <c r="BI1565" s="32">
        <v>2673</v>
      </c>
      <c r="BL1565" s="32" t="s">
        <v>1120</v>
      </c>
      <c r="BM1565" s="397"/>
      <c r="BN1565" s="397"/>
      <c r="BR1565" s="397"/>
      <c r="BS1565" s="397"/>
      <c r="EY1565" s="32">
        <v>256</v>
      </c>
      <c r="EZ1565" s="32">
        <v>282</v>
      </c>
      <c r="FC1565" s="32" t="s">
        <v>1122</v>
      </c>
      <c r="FD1565" s="32">
        <v>173</v>
      </c>
      <c r="FE1565" s="32">
        <v>199</v>
      </c>
      <c r="FH1565" s="32" t="s">
        <v>1121</v>
      </c>
      <c r="IO1565" s="32" t="s">
        <v>1120</v>
      </c>
    </row>
    <row r="1566" spans="1:249" s="32" customFormat="1" x14ac:dyDescent="0.25">
      <c r="A1566" s="32">
        <v>73</v>
      </c>
      <c r="B1566" s="32" t="s">
        <v>1108</v>
      </c>
      <c r="C1566" s="32" t="s">
        <v>1109</v>
      </c>
      <c r="D1566" s="32">
        <v>2003</v>
      </c>
      <c r="E1566" s="32">
        <v>1996</v>
      </c>
      <c r="F1566" s="32" t="s">
        <v>1110</v>
      </c>
      <c r="G1566" s="32" t="s">
        <v>1138</v>
      </c>
      <c r="H1566" s="24" t="s">
        <v>2832</v>
      </c>
      <c r="I1566" s="32">
        <v>50.29</v>
      </c>
      <c r="J1566" s="32">
        <v>-107.8</v>
      </c>
      <c r="K1566" s="32">
        <v>757</v>
      </c>
      <c r="Q1566" s="44">
        <v>9</v>
      </c>
      <c r="R1566" s="44" t="s">
        <v>1940</v>
      </c>
      <c r="S1566" s="44" t="s">
        <v>1107</v>
      </c>
      <c r="T1566" s="44" t="s">
        <v>1115</v>
      </c>
      <c r="U1566" s="44" t="s">
        <v>1403</v>
      </c>
      <c r="V1566" s="44" t="s">
        <v>1733</v>
      </c>
      <c r="W1566" s="44" t="s">
        <v>1393</v>
      </c>
      <c r="X1566" s="44" t="s">
        <v>1421</v>
      </c>
      <c r="Y1566" s="32">
        <v>1.4880000000000002</v>
      </c>
      <c r="Z1566" s="323"/>
      <c r="AA1566" s="323"/>
      <c r="AB1566" s="32" t="s">
        <v>140</v>
      </c>
      <c r="AF1566" s="32" t="s">
        <v>1360</v>
      </c>
      <c r="AG1566" s="32" t="s">
        <v>578</v>
      </c>
      <c r="AH1566" s="138" t="s">
        <v>578</v>
      </c>
      <c r="AI1566" s="32" t="s">
        <v>1540</v>
      </c>
      <c r="AJ1566" s="140" t="s">
        <v>117</v>
      </c>
      <c r="AK1566" s="32" t="s">
        <v>1099</v>
      </c>
      <c r="AL1566" s="32" t="s">
        <v>1099</v>
      </c>
      <c r="AM1566" s="32" t="s">
        <v>178</v>
      </c>
      <c r="AQ1566" s="32" t="s">
        <v>1113</v>
      </c>
      <c r="AR1566" s="32" t="s">
        <v>1114</v>
      </c>
      <c r="AS1566" s="32" t="s">
        <v>503</v>
      </c>
      <c r="AT1566" s="32" t="s">
        <v>1112</v>
      </c>
      <c r="AU1566" s="32">
        <v>3</v>
      </c>
      <c r="AW1566" s="32" t="s">
        <v>142</v>
      </c>
      <c r="BB1566" s="32" t="s">
        <v>1123</v>
      </c>
      <c r="BC1566" s="32">
        <v>4196</v>
      </c>
      <c r="BD1566" s="32">
        <v>4044</v>
      </c>
      <c r="BG1566" s="32" t="s">
        <v>1117</v>
      </c>
      <c r="BH1566" s="32">
        <v>2566</v>
      </c>
      <c r="BI1566" s="32">
        <v>2488</v>
      </c>
      <c r="BL1566" s="32" t="s">
        <v>1120</v>
      </c>
      <c r="BM1566" s="397"/>
      <c r="BN1566" s="397"/>
      <c r="BR1566" s="397"/>
      <c r="BS1566" s="397"/>
      <c r="EY1566" s="32">
        <v>279</v>
      </c>
      <c r="EZ1566" s="32">
        <v>282</v>
      </c>
      <c r="FC1566" s="32" t="s">
        <v>1122</v>
      </c>
      <c r="FD1566" s="32">
        <v>196</v>
      </c>
      <c r="FE1566" s="32">
        <v>199</v>
      </c>
      <c r="FH1566" s="32" t="s">
        <v>1121</v>
      </c>
      <c r="IO1566" s="32" t="s">
        <v>1120</v>
      </c>
    </row>
    <row r="1567" spans="1:249" s="32" customFormat="1" x14ac:dyDescent="0.25">
      <c r="A1567" s="32">
        <v>73</v>
      </c>
      <c r="B1567" s="32" t="s">
        <v>1108</v>
      </c>
      <c r="C1567" s="32" t="s">
        <v>1109</v>
      </c>
      <c r="D1567" s="32">
        <v>2003</v>
      </c>
      <c r="E1567" s="32">
        <v>1997</v>
      </c>
      <c r="F1567" s="32" t="s">
        <v>1110</v>
      </c>
      <c r="G1567" s="32" t="s">
        <v>1138</v>
      </c>
      <c r="H1567" s="24" t="s">
        <v>2832</v>
      </c>
      <c r="I1567" s="32">
        <v>50.29</v>
      </c>
      <c r="J1567" s="32">
        <v>-107.8</v>
      </c>
      <c r="K1567" s="32">
        <v>757</v>
      </c>
      <c r="Q1567" s="44">
        <v>10</v>
      </c>
      <c r="R1567" s="44" t="s">
        <v>1940</v>
      </c>
      <c r="S1567" s="44" t="s">
        <v>1107</v>
      </c>
      <c r="T1567" s="44" t="s">
        <v>1115</v>
      </c>
      <c r="U1567" s="44" t="s">
        <v>1403</v>
      </c>
      <c r="V1567" s="44" t="s">
        <v>1733</v>
      </c>
      <c r="W1567" s="44" t="s">
        <v>1393</v>
      </c>
      <c r="X1567" s="44" t="s">
        <v>1421</v>
      </c>
      <c r="Y1567" s="32">
        <v>1.4880000000000002</v>
      </c>
      <c r="Z1567" s="323"/>
      <c r="AA1567" s="323"/>
      <c r="AB1567" s="32" t="s">
        <v>140</v>
      </c>
      <c r="AF1567" s="32" t="s">
        <v>1360</v>
      </c>
      <c r="AG1567" s="32" t="s">
        <v>578</v>
      </c>
      <c r="AH1567" s="138" t="s">
        <v>578</v>
      </c>
      <c r="AI1567" s="32" t="s">
        <v>1540</v>
      </c>
      <c r="AJ1567" s="140" t="s">
        <v>117</v>
      </c>
      <c r="AK1567" s="32" t="s">
        <v>1099</v>
      </c>
      <c r="AL1567" s="32" t="s">
        <v>1099</v>
      </c>
      <c r="AM1567" s="32" t="s">
        <v>178</v>
      </c>
      <c r="AQ1567" s="32" t="s">
        <v>1113</v>
      </c>
      <c r="AR1567" s="32" t="s">
        <v>1114</v>
      </c>
      <c r="AS1567" s="32" t="s">
        <v>503</v>
      </c>
      <c r="AT1567" s="32" t="s">
        <v>1112</v>
      </c>
      <c r="AU1567" s="32">
        <v>3</v>
      </c>
      <c r="AW1567" s="32" t="s">
        <v>142</v>
      </c>
      <c r="BB1567" s="32" t="s">
        <v>1123</v>
      </c>
      <c r="BC1567" s="32">
        <v>3869</v>
      </c>
      <c r="BD1567" s="32">
        <v>4507</v>
      </c>
      <c r="BG1567" s="32" t="s">
        <v>1117</v>
      </c>
      <c r="BH1567" s="32">
        <v>2647</v>
      </c>
      <c r="BI1567" s="32">
        <v>3075</v>
      </c>
      <c r="BL1567" s="32" t="s">
        <v>1120</v>
      </c>
      <c r="BM1567" s="397"/>
      <c r="BN1567" s="397"/>
      <c r="BR1567" s="397"/>
      <c r="BS1567" s="397"/>
      <c r="EY1567" s="32">
        <v>285</v>
      </c>
      <c r="EZ1567" s="32">
        <v>288</v>
      </c>
      <c r="FC1567" s="32" t="s">
        <v>1122</v>
      </c>
      <c r="FD1567" s="32">
        <v>202</v>
      </c>
      <c r="FE1567" s="32">
        <v>205</v>
      </c>
      <c r="FH1567" s="32" t="s">
        <v>1121</v>
      </c>
      <c r="IO1567" s="32" t="s">
        <v>1120</v>
      </c>
    </row>
    <row r="1568" spans="1:249" s="32" customFormat="1" x14ac:dyDescent="0.25">
      <c r="A1568" s="32">
        <v>73</v>
      </c>
      <c r="B1568" s="32" t="s">
        <v>1108</v>
      </c>
      <c r="C1568" s="32" t="s">
        <v>1109</v>
      </c>
      <c r="D1568" s="32">
        <v>2003</v>
      </c>
      <c r="E1568" s="32">
        <v>1998</v>
      </c>
      <c r="F1568" s="32" t="s">
        <v>1110</v>
      </c>
      <c r="G1568" s="32" t="s">
        <v>1138</v>
      </c>
      <c r="H1568" s="24" t="s">
        <v>2832</v>
      </c>
      <c r="I1568" s="32">
        <v>50.29</v>
      </c>
      <c r="J1568" s="32">
        <v>-107.8</v>
      </c>
      <c r="K1568" s="32">
        <v>757</v>
      </c>
      <c r="Q1568" s="44">
        <v>11</v>
      </c>
      <c r="R1568" s="44" t="s">
        <v>1940</v>
      </c>
      <c r="S1568" s="44" t="s">
        <v>1107</v>
      </c>
      <c r="T1568" s="44" t="s">
        <v>1115</v>
      </c>
      <c r="U1568" s="44" t="s">
        <v>1403</v>
      </c>
      <c r="V1568" s="44" t="s">
        <v>1733</v>
      </c>
      <c r="W1568" s="44" t="s">
        <v>1393</v>
      </c>
      <c r="X1568" s="44" t="s">
        <v>1421</v>
      </c>
      <c r="Y1568" s="32">
        <v>1.4880000000000002</v>
      </c>
      <c r="Z1568" s="323"/>
      <c r="AA1568" s="323"/>
      <c r="AB1568" s="32" t="s">
        <v>140</v>
      </c>
      <c r="AF1568" s="32" t="s">
        <v>1360</v>
      </c>
      <c r="AG1568" s="32" t="s">
        <v>578</v>
      </c>
      <c r="AH1568" s="138" t="s">
        <v>578</v>
      </c>
      <c r="AI1568" s="32" t="s">
        <v>1540</v>
      </c>
      <c r="AJ1568" s="140" t="s">
        <v>117</v>
      </c>
      <c r="AK1568" s="32" t="s">
        <v>1099</v>
      </c>
      <c r="AL1568" s="32" t="s">
        <v>1099</v>
      </c>
      <c r="AM1568" s="32" t="s">
        <v>178</v>
      </c>
      <c r="AQ1568" s="32" t="s">
        <v>1113</v>
      </c>
      <c r="AR1568" s="32" t="s">
        <v>1114</v>
      </c>
      <c r="AS1568" s="32" t="s">
        <v>503</v>
      </c>
      <c r="AT1568" s="32" t="s">
        <v>1112</v>
      </c>
      <c r="AU1568" s="32">
        <v>3</v>
      </c>
      <c r="AW1568" s="32" t="s">
        <v>142</v>
      </c>
      <c r="BB1568" s="32" t="s">
        <v>1123</v>
      </c>
      <c r="BC1568" s="32">
        <v>2248</v>
      </c>
      <c r="BD1568" s="32">
        <v>2210</v>
      </c>
      <c r="BG1568" s="32" t="s">
        <v>1117</v>
      </c>
      <c r="BH1568" s="32">
        <v>870</v>
      </c>
      <c r="BI1568" s="32">
        <v>657</v>
      </c>
      <c r="BL1568" s="32" t="s">
        <v>1120</v>
      </c>
      <c r="BM1568" s="397"/>
      <c r="BN1568" s="397"/>
      <c r="BR1568" s="397"/>
      <c r="BS1568" s="397"/>
      <c r="EY1568" s="32">
        <v>196</v>
      </c>
      <c r="EZ1568" s="32">
        <v>182</v>
      </c>
      <c r="FC1568" s="32" t="s">
        <v>1122</v>
      </c>
      <c r="FD1568" s="32">
        <v>113</v>
      </c>
      <c r="FE1568" s="32">
        <v>99</v>
      </c>
      <c r="FH1568" s="32" t="s">
        <v>1121</v>
      </c>
      <c r="IO1568" s="32" t="s">
        <v>1120</v>
      </c>
    </row>
    <row r="1569" spans="1:249" s="32" customFormat="1" x14ac:dyDescent="0.25">
      <c r="A1569" s="32">
        <v>73</v>
      </c>
      <c r="B1569" s="32" t="s">
        <v>1108</v>
      </c>
      <c r="C1569" s="32" t="s">
        <v>1109</v>
      </c>
      <c r="D1569" s="32">
        <v>2003</v>
      </c>
      <c r="E1569" s="32">
        <v>1999</v>
      </c>
      <c r="F1569" s="32" t="s">
        <v>1110</v>
      </c>
      <c r="G1569" s="32" t="s">
        <v>1138</v>
      </c>
      <c r="H1569" s="24" t="s">
        <v>2832</v>
      </c>
      <c r="I1569" s="32">
        <v>50.29</v>
      </c>
      <c r="J1569" s="32">
        <v>-107.8</v>
      </c>
      <c r="K1569" s="32">
        <v>757</v>
      </c>
      <c r="Q1569" s="44">
        <v>12</v>
      </c>
      <c r="R1569" s="44" t="s">
        <v>1940</v>
      </c>
      <c r="S1569" s="44" t="s">
        <v>1107</v>
      </c>
      <c r="T1569" s="44" t="s">
        <v>1115</v>
      </c>
      <c r="U1569" s="44" t="s">
        <v>1403</v>
      </c>
      <c r="V1569" s="44" t="s">
        <v>1733</v>
      </c>
      <c r="W1569" s="44" t="s">
        <v>1393</v>
      </c>
      <c r="X1569" s="44" t="s">
        <v>1421</v>
      </c>
      <c r="Y1569" s="32">
        <v>1.4880000000000002</v>
      </c>
      <c r="Z1569" s="323"/>
      <c r="AA1569" s="323"/>
      <c r="AB1569" s="32" t="s">
        <v>140</v>
      </c>
      <c r="AF1569" s="32" t="s">
        <v>1360</v>
      </c>
      <c r="AG1569" s="32" t="s">
        <v>578</v>
      </c>
      <c r="AH1569" s="138" t="s">
        <v>578</v>
      </c>
      <c r="AI1569" s="32" t="s">
        <v>1540</v>
      </c>
      <c r="AJ1569" s="140" t="s">
        <v>117</v>
      </c>
      <c r="AK1569" s="32" t="s">
        <v>1099</v>
      </c>
      <c r="AL1569" s="32" t="s">
        <v>1099</v>
      </c>
      <c r="AM1569" s="32" t="s">
        <v>178</v>
      </c>
      <c r="AQ1569" s="32" t="s">
        <v>1113</v>
      </c>
      <c r="AR1569" s="32" t="s">
        <v>1114</v>
      </c>
      <c r="AS1569" s="32" t="s">
        <v>503</v>
      </c>
      <c r="AT1569" s="32" t="s">
        <v>1112</v>
      </c>
      <c r="AU1569" s="32">
        <v>3</v>
      </c>
      <c r="AW1569" s="32" t="s">
        <v>142</v>
      </c>
      <c r="BB1569" s="32" t="s">
        <v>1123</v>
      </c>
      <c r="BC1569" s="32">
        <v>5009</v>
      </c>
      <c r="BD1569" s="32">
        <v>5363</v>
      </c>
      <c r="BG1569" s="32" t="s">
        <v>1117</v>
      </c>
      <c r="BH1569" s="32">
        <v>3014</v>
      </c>
      <c r="BI1569" s="32">
        <v>2961</v>
      </c>
      <c r="BL1569" s="32" t="s">
        <v>1120</v>
      </c>
      <c r="BM1569" s="397"/>
      <c r="BN1569" s="397"/>
      <c r="BR1569" s="397"/>
      <c r="BS1569" s="397"/>
      <c r="EY1569" s="32">
        <v>207</v>
      </c>
      <c r="EZ1569" s="32">
        <v>234</v>
      </c>
      <c r="FC1569" s="32" t="s">
        <v>1122</v>
      </c>
      <c r="FD1569" s="32">
        <v>124</v>
      </c>
      <c r="FE1569" s="32">
        <v>151</v>
      </c>
      <c r="FH1569" s="32" t="s">
        <v>1121</v>
      </c>
      <c r="IO1569" s="32" t="s">
        <v>1120</v>
      </c>
    </row>
    <row r="1570" spans="1:249" s="101" customFormat="1" x14ac:dyDescent="0.25">
      <c r="A1570" s="101">
        <v>73</v>
      </c>
      <c r="B1570" s="101" t="s">
        <v>1108</v>
      </c>
      <c r="C1570" s="101" t="s">
        <v>1109</v>
      </c>
      <c r="D1570" s="101">
        <v>2003</v>
      </c>
      <c r="E1570" s="101">
        <v>1988</v>
      </c>
      <c r="F1570" s="101" t="s">
        <v>1110</v>
      </c>
      <c r="G1570" s="101" t="s">
        <v>1138</v>
      </c>
      <c r="H1570" s="24" t="s">
        <v>2832</v>
      </c>
      <c r="I1570" s="101">
        <v>50.29</v>
      </c>
      <c r="J1570" s="101">
        <v>-107.8</v>
      </c>
      <c r="K1570" s="101">
        <v>757</v>
      </c>
      <c r="Q1570" s="102">
        <v>1</v>
      </c>
      <c r="R1570" s="102" t="s">
        <v>1940</v>
      </c>
      <c r="S1570" s="102" t="s">
        <v>1107</v>
      </c>
      <c r="T1570" s="102" t="s">
        <v>1115</v>
      </c>
      <c r="U1570" s="102" t="s">
        <v>1393</v>
      </c>
      <c r="V1570" s="102" t="s">
        <v>1727</v>
      </c>
      <c r="W1570" s="102" t="s">
        <v>1393</v>
      </c>
      <c r="X1570" s="102" t="s">
        <v>1421</v>
      </c>
      <c r="Y1570" s="101">
        <v>1.365</v>
      </c>
      <c r="Z1570" s="352"/>
      <c r="AA1570" s="352"/>
      <c r="AB1570" s="101" t="s">
        <v>140</v>
      </c>
      <c r="AF1570" s="101" t="s">
        <v>1360</v>
      </c>
      <c r="AG1570" s="101" t="s">
        <v>578</v>
      </c>
      <c r="AH1570" s="138" t="s">
        <v>578</v>
      </c>
      <c r="AI1570" s="101" t="s">
        <v>1540</v>
      </c>
      <c r="AJ1570" s="145" t="s">
        <v>117</v>
      </c>
      <c r="AK1570" s="101" t="s">
        <v>1099</v>
      </c>
      <c r="AL1570" s="101" t="s">
        <v>1099</v>
      </c>
      <c r="AM1570" s="101" t="s">
        <v>178</v>
      </c>
      <c r="AQ1570" s="101" t="s">
        <v>1113</v>
      </c>
      <c r="AR1570" s="101" t="s">
        <v>1114</v>
      </c>
      <c r="AS1570" s="101" t="s">
        <v>503</v>
      </c>
      <c r="AT1570" s="101" t="s">
        <v>1112</v>
      </c>
      <c r="AU1570" s="101">
        <v>3</v>
      </c>
      <c r="AW1570" s="101" t="s">
        <v>142</v>
      </c>
      <c r="BB1570" s="101" t="s">
        <v>1116</v>
      </c>
      <c r="BM1570" s="427"/>
      <c r="BN1570" s="427"/>
      <c r="BR1570" s="427"/>
      <c r="BS1570" s="427"/>
      <c r="BW1570" s="101">
        <f>73*(1000000/(100*100*0.3*1.365*1000))</f>
        <v>17.826617826617827</v>
      </c>
      <c r="BX1570" s="101">
        <f>33.5*(1000000/(100*100*0.3*1.365*1000))</f>
        <v>8.1807081807081801</v>
      </c>
      <c r="CA1570" s="101" t="s">
        <v>1682</v>
      </c>
      <c r="IO1570" s="101" t="s">
        <v>1120</v>
      </c>
    </row>
    <row r="1571" spans="1:249" s="101" customFormat="1" x14ac:dyDescent="0.25">
      <c r="A1571" s="101">
        <v>73</v>
      </c>
      <c r="B1571" s="101" t="s">
        <v>1108</v>
      </c>
      <c r="C1571" s="101" t="s">
        <v>1109</v>
      </c>
      <c r="D1571" s="101">
        <v>2003</v>
      </c>
      <c r="E1571" s="101">
        <v>1989</v>
      </c>
      <c r="F1571" s="101" t="s">
        <v>1110</v>
      </c>
      <c r="G1571" s="101" t="s">
        <v>1138</v>
      </c>
      <c r="H1571" s="24" t="s">
        <v>2832</v>
      </c>
      <c r="I1571" s="101">
        <v>50.29</v>
      </c>
      <c r="J1571" s="101">
        <v>-107.8</v>
      </c>
      <c r="K1571" s="101">
        <v>757</v>
      </c>
      <c r="Q1571" s="102">
        <v>2</v>
      </c>
      <c r="R1571" s="102" t="s">
        <v>1940</v>
      </c>
      <c r="S1571" s="102" t="s">
        <v>1107</v>
      </c>
      <c r="T1571" s="102" t="s">
        <v>1115</v>
      </c>
      <c r="U1571" s="102" t="s">
        <v>1393</v>
      </c>
      <c r="V1571" s="102" t="s">
        <v>1727</v>
      </c>
      <c r="W1571" s="102" t="s">
        <v>1393</v>
      </c>
      <c r="X1571" s="102" t="s">
        <v>1421</v>
      </c>
      <c r="Y1571" s="101">
        <v>1.365</v>
      </c>
      <c r="Z1571" s="352"/>
      <c r="AA1571" s="352"/>
      <c r="AB1571" s="101" t="s">
        <v>140</v>
      </c>
      <c r="AF1571" s="101" t="s">
        <v>1360</v>
      </c>
      <c r="AG1571" s="101" t="s">
        <v>578</v>
      </c>
      <c r="AH1571" s="138" t="s">
        <v>578</v>
      </c>
      <c r="AI1571" s="101" t="s">
        <v>1540</v>
      </c>
      <c r="AJ1571" s="145" t="s">
        <v>117</v>
      </c>
      <c r="AK1571" s="101" t="s">
        <v>1099</v>
      </c>
      <c r="AL1571" s="101" t="s">
        <v>1099</v>
      </c>
      <c r="AM1571" s="101" t="s">
        <v>178</v>
      </c>
      <c r="AQ1571" s="101" t="s">
        <v>1113</v>
      </c>
      <c r="AR1571" s="101" t="s">
        <v>1114</v>
      </c>
      <c r="AS1571" s="101" t="s">
        <v>503</v>
      </c>
      <c r="AT1571" s="101" t="s">
        <v>1112</v>
      </c>
      <c r="AU1571" s="101">
        <v>3</v>
      </c>
      <c r="AW1571" s="101" t="s">
        <v>142</v>
      </c>
      <c r="BB1571" s="101" t="s">
        <v>1116</v>
      </c>
      <c r="BM1571" s="427"/>
      <c r="BN1571" s="427"/>
      <c r="BR1571" s="427"/>
      <c r="BS1571" s="427"/>
      <c r="BW1571" s="101">
        <f>52.2*(1000000/(100*100*0.3*1.365*1000))</f>
        <v>12.747252747252748</v>
      </c>
      <c r="BX1571" s="101">
        <f>29.1*(1000000/(100*100*0.3*1.365*1000))</f>
        <v>7.1062271062271067</v>
      </c>
      <c r="CA1571" s="101" t="s">
        <v>1682</v>
      </c>
      <c r="IO1571" s="101" t="s">
        <v>1120</v>
      </c>
    </row>
    <row r="1572" spans="1:249" s="101" customFormat="1" x14ac:dyDescent="0.25">
      <c r="A1572" s="101">
        <v>73</v>
      </c>
      <c r="B1572" s="101" t="s">
        <v>1108</v>
      </c>
      <c r="C1572" s="101" t="s">
        <v>1109</v>
      </c>
      <c r="D1572" s="101">
        <v>2003</v>
      </c>
      <c r="E1572" s="101">
        <v>1990</v>
      </c>
      <c r="F1572" s="101" t="s">
        <v>1110</v>
      </c>
      <c r="G1572" s="101" t="s">
        <v>1138</v>
      </c>
      <c r="H1572" s="24" t="s">
        <v>2832</v>
      </c>
      <c r="I1572" s="101">
        <v>50.29</v>
      </c>
      <c r="J1572" s="101">
        <v>-107.8</v>
      </c>
      <c r="K1572" s="101">
        <v>757</v>
      </c>
      <c r="Q1572" s="102">
        <v>3</v>
      </c>
      <c r="R1572" s="102" t="s">
        <v>1940</v>
      </c>
      <c r="S1572" s="102" t="s">
        <v>1107</v>
      </c>
      <c r="T1572" s="102" t="s">
        <v>1115</v>
      </c>
      <c r="U1572" s="102" t="s">
        <v>1393</v>
      </c>
      <c r="V1572" s="102" t="s">
        <v>1727</v>
      </c>
      <c r="W1572" s="102" t="s">
        <v>1393</v>
      </c>
      <c r="X1572" s="102" t="s">
        <v>1421</v>
      </c>
      <c r="Y1572" s="101">
        <v>1.365</v>
      </c>
      <c r="Z1572" s="352"/>
      <c r="AA1572" s="352"/>
      <c r="AB1572" s="101" t="s">
        <v>140</v>
      </c>
      <c r="AF1572" s="101" t="s">
        <v>1360</v>
      </c>
      <c r="AG1572" s="101" t="s">
        <v>578</v>
      </c>
      <c r="AH1572" s="138" t="s">
        <v>578</v>
      </c>
      <c r="AI1572" s="101" t="s">
        <v>1540</v>
      </c>
      <c r="AJ1572" s="145" t="s">
        <v>117</v>
      </c>
      <c r="AK1572" s="101" t="s">
        <v>1099</v>
      </c>
      <c r="AL1572" s="101" t="s">
        <v>1099</v>
      </c>
      <c r="AM1572" s="101" t="s">
        <v>178</v>
      </c>
      <c r="AQ1572" s="101" t="s">
        <v>1113</v>
      </c>
      <c r="AR1572" s="101" t="s">
        <v>1114</v>
      </c>
      <c r="AS1572" s="101" t="s">
        <v>503</v>
      </c>
      <c r="AT1572" s="101" t="s">
        <v>1112</v>
      </c>
      <c r="AU1572" s="101">
        <v>3</v>
      </c>
      <c r="AW1572" s="101" t="s">
        <v>142</v>
      </c>
      <c r="BB1572" s="101" t="s">
        <v>1116</v>
      </c>
      <c r="BM1572" s="427"/>
      <c r="BN1572" s="427"/>
      <c r="BR1572" s="427"/>
      <c r="BS1572" s="427"/>
      <c r="BW1572" s="101">
        <f>66.6*(1000000/(100*100*0.3*1.365*1000))</f>
        <v>16.263736263736263</v>
      </c>
      <c r="BX1572" s="101">
        <f>53.2*(1000000/(100*100*0.3*1.365*1000))</f>
        <v>12.991452991452991</v>
      </c>
      <c r="CA1572" s="101" t="s">
        <v>1682</v>
      </c>
      <c r="IO1572" s="101" t="s">
        <v>1120</v>
      </c>
    </row>
    <row r="1573" spans="1:249" s="101" customFormat="1" x14ac:dyDescent="0.25">
      <c r="A1573" s="101">
        <v>73</v>
      </c>
      <c r="B1573" s="101" t="s">
        <v>1108</v>
      </c>
      <c r="C1573" s="101" t="s">
        <v>1109</v>
      </c>
      <c r="D1573" s="101">
        <v>2003</v>
      </c>
      <c r="E1573" s="101">
        <v>1991</v>
      </c>
      <c r="F1573" s="101" t="s">
        <v>1110</v>
      </c>
      <c r="G1573" s="101" t="s">
        <v>1138</v>
      </c>
      <c r="H1573" s="24" t="s">
        <v>2832</v>
      </c>
      <c r="I1573" s="101">
        <v>50.29</v>
      </c>
      <c r="J1573" s="101">
        <v>-107.8</v>
      </c>
      <c r="K1573" s="101">
        <v>757</v>
      </c>
      <c r="Q1573" s="102">
        <v>4</v>
      </c>
      <c r="R1573" s="102" t="s">
        <v>1940</v>
      </c>
      <c r="S1573" s="102" t="s">
        <v>1107</v>
      </c>
      <c r="T1573" s="102" t="s">
        <v>1115</v>
      </c>
      <c r="U1573" s="102" t="s">
        <v>1393</v>
      </c>
      <c r="V1573" s="102" t="s">
        <v>1727</v>
      </c>
      <c r="W1573" s="102" t="s">
        <v>1393</v>
      </c>
      <c r="X1573" s="102" t="s">
        <v>1421</v>
      </c>
      <c r="Y1573" s="101">
        <v>1.365</v>
      </c>
      <c r="Z1573" s="352"/>
      <c r="AA1573" s="352"/>
      <c r="AB1573" s="101" t="s">
        <v>140</v>
      </c>
      <c r="AF1573" s="101" t="s">
        <v>1360</v>
      </c>
      <c r="AG1573" s="101" t="s">
        <v>578</v>
      </c>
      <c r="AH1573" s="138" t="s">
        <v>578</v>
      </c>
      <c r="AI1573" s="101" t="s">
        <v>1540</v>
      </c>
      <c r="AJ1573" s="145" t="s">
        <v>117</v>
      </c>
      <c r="AK1573" s="101" t="s">
        <v>1099</v>
      </c>
      <c r="AL1573" s="101" t="s">
        <v>1099</v>
      </c>
      <c r="AM1573" s="101" t="s">
        <v>178</v>
      </c>
      <c r="AQ1573" s="101" t="s">
        <v>1113</v>
      </c>
      <c r="AR1573" s="101" t="s">
        <v>1114</v>
      </c>
      <c r="AS1573" s="101" t="s">
        <v>503</v>
      </c>
      <c r="AT1573" s="101" t="s">
        <v>1112</v>
      </c>
      <c r="AU1573" s="101">
        <v>3</v>
      </c>
      <c r="AW1573" s="101" t="s">
        <v>142</v>
      </c>
      <c r="BB1573" s="101" t="s">
        <v>1116</v>
      </c>
      <c r="BM1573" s="427"/>
      <c r="BN1573" s="427"/>
      <c r="BR1573" s="427"/>
      <c r="BS1573" s="427"/>
      <c r="BW1573" s="101">
        <f>44.7*(1000000/(100*100*0.3*1.365*1000))</f>
        <v>10.915750915750916</v>
      </c>
      <c r="BX1573" s="101">
        <f>56.3*(1000000/(100*100*0.3*1.365*1000))</f>
        <v>13.748473748473748</v>
      </c>
      <c r="CA1573" s="101" t="s">
        <v>1682</v>
      </c>
      <c r="IO1573" s="101" t="s">
        <v>1120</v>
      </c>
    </row>
    <row r="1574" spans="1:249" s="101" customFormat="1" x14ac:dyDescent="0.25">
      <c r="A1574" s="101">
        <v>73</v>
      </c>
      <c r="B1574" s="101" t="s">
        <v>1108</v>
      </c>
      <c r="C1574" s="101" t="s">
        <v>1109</v>
      </c>
      <c r="D1574" s="101">
        <v>2003</v>
      </c>
      <c r="E1574" s="101">
        <v>1992</v>
      </c>
      <c r="F1574" s="101" t="s">
        <v>1110</v>
      </c>
      <c r="G1574" s="101" t="s">
        <v>1138</v>
      </c>
      <c r="H1574" s="24" t="s">
        <v>2832</v>
      </c>
      <c r="I1574" s="101">
        <v>50.29</v>
      </c>
      <c r="J1574" s="101">
        <v>-107.8</v>
      </c>
      <c r="K1574" s="101">
        <v>757</v>
      </c>
      <c r="Q1574" s="102">
        <v>5</v>
      </c>
      <c r="R1574" s="102" t="s">
        <v>1940</v>
      </c>
      <c r="S1574" s="102" t="s">
        <v>1107</v>
      </c>
      <c r="T1574" s="102" t="s">
        <v>1115</v>
      </c>
      <c r="U1574" s="102" t="s">
        <v>1393</v>
      </c>
      <c r="V1574" s="102" t="s">
        <v>1727</v>
      </c>
      <c r="W1574" s="102" t="s">
        <v>1393</v>
      </c>
      <c r="X1574" s="102" t="s">
        <v>1421</v>
      </c>
      <c r="Y1574" s="101">
        <v>1.365</v>
      </c>
      <c r="Z1574" s="352"/>
      <c r="AA1574" s="352"/>
      <c r="AB1574" s="101" t="s">
        <v>140</v>
      </c>
      <c r="AF1574" s="101" t="s">
        <v>1360</v>
      </c>
      <c r="AG1574" s="101" t="s">
        <v>578</v>
      </c>
      <c r="AH1574" s="138" t="s">
        <v>578</v>
      </c>
      <c r="AI1574" s="101" t="s">
        <v>1540</v>
      </c>
      <c r="AJ1574" s="145" t="s">
        <v>117</v>
      </c>
      <c r="AK1574" s="101" t="s">
        <v>1099</v>
      </c>
      <c r="AL1574" s="101" t="s">
        <v>1099</v>
      </c>
      <c r="AM1574" s="101" t="s">
        <v>178</v>
      </c>
      <c r="AQ1574" s="101" t="s">
        <v>1113</v>
      </c>
      <c r="AR1574" s="101" t="s">
        <v>1114</v>
      </c>
      <c r="AS1574" s="101" t="s">
        <v>503</v>
      </c>
      <c r="AT1574" s="101" t="s">
        <v>1112</v>
      </c>
      <c r="AU1574" s="101">
        <v>3</v>
      </c>
      <c r="AW1574" s="101" t="s">
        <v>142</v>
      </c>
      <c r="BB1574" s="101" t="s">
        <v>1116</v>
      </c>
      <c r="BM1574" s="427"/>
      <c r="BN1574" s="427"/>
      <c r="BR1574" s="427"/>
      <c r="BS1574" s="427"/>
      <c r="BW1574" s="101">
        <f>33.4*(1000000/(100*100*0.3*1.365*1000))</f>
        <v>8.1562881562881557</v>
      </c>
      <c r="BX1574" s="101">
        <f>19.7*(1000000/(100*100*0.3*1.365*1000))</f>
        <v>4.8107448107448105</v>
      </c>
      <c r="CA1574" s="101" t="s">
        <v>1682</v>
      </c>
      <c r="IO1574" s="101" t="s">
        <v>1120</v>
      </c>
    </row>
    <row r="1575" spans="1:249" s="101" customFormat="1" x14ac:dyDescent="0.25">
      <c r="A1575" s="101">
        <v>73</v>
      </c>
      <c r="B1575" s="101" t="s">
        <v>1108</v>
      </c>
      <c r="C1575" s="101" t="s">
        <v>1109</v>
      </c>
      <c r="D1575" s="101">
        <v>2003</v>
      </c>
      <c r="E1575" s="101">
        <v>1993</v>
      </c>
      <c r="F1575" s="101" t="s">
        <v>1110</v>
      </c>
      <c r="G1575" s="101" t="s">
        <v>1138</v>
      </c>
      <c r="H1575" s="24" t="s">
        <v>2832</v>
      </c>
      <c r="I1575" s="101">
        <v>50.29</v>
      </c>
      <c r="J1575" s="101">
        <v>-107.8</v>
      </c>
      <c r="K1575" s="101">
        <v>757</v>
      </c>
      <c r="Q1575" s="102">
        <v>6</v>
      </c>
      <c r="R1575" s="102" t="s">
        <v>1940</v>
      </c>
      <c r="S1575" s="102" t="s">
        <v>1107</v>
      </c>
      <c r="T1575" s="102" t="s">
        <v>1115</v>
      </c>
      <c r="U1575" s="102" t="s">
        <v>1393</v>
      </c>
      <c r="V1575" s="102" t="s">
        <v>1727</v>
      </c>
      <c r="W1575" s="102" t="s">
        <v>1393</v>
      </c>
      <c r="X1575" s="102" t="s">
        <v>1421</v>
      </c>
      <c r="Y1575" s="101">
        <v>1.365</v>
      </c>
      <c r="Z1575" s="352"/>
      <c r="AA1575" s="352"/>
      <c r="AB1575" s="101" t="s">
        <v>140</v>
      </c>
      <c r="AF1575" s="101" t="s">
        <v>1360</v>
      </c>
      <c r="AG1575" s="101" t="s">
        <v>578</v>
      </c>
      <c r="AH1575" s="138" t="s">
        <v>578</v>
      </c>
      <c r="AI1575" s="101" t="s">
        <v>1540</v>
      </c>
      <c r="AJ1575" s="145" t="s">
        <v>117</v>
      </c>
      <c r="AK1575" s="101" t="s">
        <v>1099</v>
      </c>
      <c r="AL1575" s="101" t="s">
        <v>1099</v>
      </c>
      <c r="AM1575" s="101" t="s">
        <v>178</v>
      </c>
      <c r="AQ1575" s="101" t="s">
        <v>1113</v>
      </c>
      <c r="AR1575" s="101" t="s">
        <v>1114</v>
      </c>
      <c r="AS1575" s="101" t="s">
        <v>503</v>
      </c>
      <c r="AT1575" s="101" t="s">
        <v>1112</v>
      </c>
      <c r="AU1575" s="101">
        <v>3</v>
      </c>
      <c r="AW1575" s="101" t="s">
        <v>142</v>
      </c>
      <c r="BB1575" s="101" t="s">
        <v>1116</v>
      </c>
      <c r="BM1575" s="427"/>
      <c r="BN1575" s="427"/>
      <c r="BR1575" s="427"/>
      <c r="BS1575" s="427"/>
      <c r="BW1575" s="101">
        <f>23*(1000000/(100*100*0.3*1.365*1000))</f>
        <v>5.6166056166056162</v>
      </c>
      <c r="BX1575" s="101">
        <f>44.7*(1000000/(100*100*0.3*1.365*1000))</f>
        <v>10.915750915750916</v>
      </c>
      <c r="CA1575" s="101" t="s">
        <v>1682</v>
      </c>
      <c r="IO1575" s="101" t="s">
        <v>1120</v>
      </c>
    </row>
    <row r="1576" spans="1:249" s="101" customFormat="1" x14ac:dyDescent="0.25">
      <c r="A1576" s="101">
        <v>73</v>
      </c>
      <c r="B1576" s="101" t="s">
        <v>1108</v>
      </c>
      <c r="C1576" s="101" t="s">
        <v>1109</v>
      </c>
      <c r="D1576" s="101">
        <v>2003</v>
      </c>
      <c r="E1576" s="101">
        <v>1994</v>
      </c>
      <c r="F1576" s="101" t="s">
        <v>1110</v>
      </c>
      <c r="G1576" s="101" t="s">
        <v>1138</v>
      </c>
      <c r="H1576" s="24" t="s">
        <v>2832</v>
      </c>
      <c r="I1576" s="101">
        <v>50.29</v>
      </c>
      <c r="J1576" s="101">
        <v>-107.8</v>
      </c>
      <c r="K1576" s="101">
        <v>757</v>
      </c>
      <c r="Q1576" s="102">
        <v>7</v>
      </c>
      <c r="R1576" s="102" t="s">
        <v>1940</v>
      </c>
      <c r="S1576" s="102" t="s">
        <v>1107</v>
      </c>
      <c r="T1576" s="102" t="s">
        <v>1115</v>
      </c>
      <c r="U1576" s="102" t="s">
        <v>1393</v>
      </c>
      <c r="V1576" s="102" t="s">
        <v>1727</v>
      </c>
      <c r="W1576" s="102" t="s">
        <v>1393</v>
      </c>
      <c r="X1576" s="102" t="s">
        <v>1421</v>
      </c>
      <c r="Y1576" s="101">
        <v>1.365</v>
      </c>
      <c r="Z1576" s="352"/>
      <c r="AA1576" s="352"/>
      <c r="AB1576" s="101" t="s">
        <v>140</v>
      </c>
      <c r="AF1576" s="101" t="s">
        <v>1360</v>
      </c>
      <c r="AG1576" s="101" t="s">
        <v>578</v>
      </c>
      <c r="AH1576" s="138" t="s">
        <v>578</v>
      </c>
      <c r="AI1576" s="101" t="s">
        <v>1540</v>
      </c>
      <c r="AJ1576" s="145" t="s">
        <v>117</v>
      </c>
      <c r="AK1576" s="101" t="s">
        <v>1099</v>
      </c>
      <c r="AL1576" s="101" t="s">
        <v>1099</v>
      </c>
      <c r="AM1576" s="101" t="s">
        <v>178</v>
      </c>
      <c r="AQ1576" s="101" t="s">
        <v>1113</v>
      </c>
      <c r="AR1576" s="101" t="s">
        <v>1114</v>
      </c>
      <c r="AS1576" s="101" t="s">
        <v>503</v>
      </c>
      <c r="AT1576" s="101" t="s">
        <v>1112</v>
      </c>
      <c r="AU1576" s="101">
        <v>3</v>
      </c>
      <c r="AW1576" s="101" t="s">
        <v>142</v>
      </c>
      <c r="BB1576" s="101" t="s">
        <v>1116</v>
      </c>
      <c r="BM1576" s="427"/>
      <c r="BN1576" s="427"/>
      <c r="BR1576" s="427"/>
      <c r="BS1576" s="427"/>
      <c r="BW1576" s="101">
        <f>15.1*(1000000/(100*100*0.3*1.365*1000))</f>
        <v>3.6874236874236872</v>
      </c>
      <c r="BX1576" s="101">
        <f>27.9*(1000000/(100*100*0.3*1.365*1000))</f>
        <v>6.813186813186813</v>
      </c>
      <c r="CA1576" s="101" t="s">
        <v>1682</v>
      </c>
      <c r="IO1576" s="101" t="s">
        <v>1120</v>
      </c>
    </row>
    <row r="1577" spans="1:249" s="101" customFormat="1" x14ac:dyDescent="0.25">
      <c r="A1577" s="101">
        <v>73</v>
      </c>
      <c r="B1577" s="101" t="s">
        <v>1108</v>
      </c>
      <c r="C1577" s="101" t="s">
        <v>1109</v>
      </c>
      <c r="D1577" s="101">
        <v>2003</v>
      </c>
      <c r="E1577" s="101">
        <v>1995</v>
      </c>
      <c r="F1577" s="101" t="s">
        <v>1110</v>
      </c>
      <c r="G1577" s="101" t="s">
        <v>1138</v>
      </c>
      <c r="H1577" s="24" t="s">
        <v>2832</v>
      </c>
      <c r="I1577" s="101">
        <v>50.29</v>
      </c>
      <c r="J1577" s="101">
        <v>-107.8</v>
      </c>
      <c r="K1577" s="101">
        <v>757</v>
      </c>
      <c r="Q1577" s="102">
        <v>8</v>
      </c>
      <c r="R1577" s="102" t="s">
        <v>1940</v>
      </c>
      <c r="S1577" s="102" t="s">
        <v>1107</v>
      </c>
      <c r="T1577" s="102" t="s">
        <v>1115</v>
      </c>
      <c r="U1577" s="102" t="s">
        <v>1393</v>
      </c>
      <c r="V1577" s="102" t="s">
        <v>1727</v>
      </c>
      <c r="W1577" s="102" t="s">
        <v>1393</v>
      </c>
      <c r="X1577" s="102" t="s">
        <v>1421</v>
      </c>
      <c r="Y1577" s="101">
        <v>1.365</v>
      </c>
      <c r="Z1577" s="352"/>
      <c r="AA1577" s="352"/>
      <c r="AB1577" s="101" t="s">
        <v>140</v>
      </c>
      <c r="AF1577" s="101" t="s">
        <v>1360</v>
      </c>
      <c r="AG1577" s="101" t="s">
        <v>578</v>
      </c>
      <c r="AH1577" s="138" t="s">
        <v>578</v>
      </c>
      <c r="AI1577" s="101" t="s">
        <v>1540</v>
      </c>
      <c r="AJ1577" s="145" t="s">
        <v>117</v>
      </c>
      <c r="AK1577" s="101" t="s">
        <v>1099</v>
      </c>
      <c r="AL1577" s="101" t="s">
        <v>1099</v>
      </c>
      <c r="AM1577" s="101" t="s">
        <v>178</v>
      </c>
      <c r="AQ1577" s="101" t="s">
        <v>1113</v>
      </c>
      <c r="AR1577" s="101" t="s">
        <v>1114</v>
      </c>
      <c r="AS1577" s="101" t="s">
        <v>503</v>
      </c>
      <c r="AT1577" s="101" t="s">
        <v>1112</v>
      </c>
      <c r="AU1577" s="101">
        <v>3</v>
      </c>
      <c r="AW1577" s="101" t="s">
        <v>142</v>
      </c>
      <c r="BB1577" s="101" t="s">
        <v>1116</v>
      </c>
      <c r="BM1577" s="427"/>
      <c r="BN1577" s="427"/>
      <c r="BR1577" s="427"/>
      <c r="BS1577" s="427"/>
      <c r="BW1577" s="101">
        <f>39.9*(1000000/(100*100*0.3*1.365*1000))</f>
        <v>9.7435897435897427</v>
      </c>
      <c r="BX1577" s="101">
        <f>54.1*(1000000/(100*100*0.3*1.365*1000))</f>
        <v>13.21123321123321</v>
      </c>
      <c r="CA1577" s="101" t="s">
        <v>1682</v>
      </c>
      <c r="IO1577" s="101" t="s">
        <v>1120</v>
      </c>
    </row>
    <row r="1578" spans="1:249" s="101" customFormat="1" x14ac:dyDescent="0.25">
      <c r="A1578" s="101">
        <v>73</v>
      </c>
      <c r="B1578" s="101" t="s">
        <v>1108</v>
      </c>
      <c r="C1578" s="101" t="s">
        <v>1109</v>
      </c>
      <c r="D1578" s="101">
        <v>2003</v>
      </c>
      <c r="E1578" s="101">
        <v>1996</v>
      </c>
      <c r="F1578" s="101" t="s">
        <v>1110</v>
      </c>
      <c r="G1578" s="101" t="s">
        <v>1138</v>
      </c>
      <c r="H1578" s="24" t="s">
        <v>2832</v>
      </c>
      <c r="I1578" s="101">
        <v>50.29</v>
      </c>
      <c r="J1578" s="101">
        <v>-107.8</v>
      </c>
      <c r="K1578" s="101">
        <v>757</v>
      </c>
      <c r="Q1578" s="102">
        <v>9</v>
      </c>
      <c r="R1578" s="102" t="s">
        <v>1940</v>
      </c>
      <c r="S1578" s="102" t="s">
        <v>1107</v>
      </c>
      <c r="T1578" s="102" t="s">
        <v>1115</v>
      </c>
      <c r="U1578" s="102" t="s">
        <v>1393</v>
      </c>
      <c r="V1578" s="102" t="s">
        <v>1727</v>
      </c>
      <c r="W1578" s="102" t="s">
        <v>1393</v>
      </c>
      <c r="X1578" s="102" t="s">
        <v>1421</v>
      </c>
      <c r="Y1578" s="101">
        <v>1.365</v>
      </c>
      <c r="Z1578" s="352"/>
      <c r="AA1578" s="352"/>
      <c r="AB1578" s="101" t="s">
        <v>140</v>
      </c>
      <c r="AF1578" s="101" t="s">
        <v>1360</v>
      </c>
      <c r="AG1578" s="101" t="s">
        <v>578</v>
      </c>
      <c r="AH1578" s="138" t="s">
        <v>578</v>
      </c>
      <c r="AI1578" s="101" t="s">
        <v>1540</v>
      </c>
      <c r="AJ1578" s="145" t="s">
        <v>117</v>
      </c>
      <c r="AK1578" s="101" t="s">
        <v>1099</v>
      </c>
      <c r="AL1578" s="101" t="s">
        <v>1099</v>
      </c>
      <c r="AM1578" s="101" t="s">
        <v>178</v>
      </c>
      <c r="AQ1578" s="101" t="s">
        <v>1113</v>
      </c>
      <c r="AR1578" s="101" t="s">
        <v>1114</v>
      </c>
      <c r="AS1578" s="101" t="s">
        <v>503</v>
      </c>
      <c r="AT1578" s="101" t="s">
        <v>1112</v>
      </c>
      <c r="AU1578" s="101">
        <v>3</v>
      </c>
      <c r="AW1578" s="101" t="s">
        <v>142</v>
      </c>
      <c r="BB1578" s="101" t="s">
        <v>1116</v>
      </c>
      <c r="BM1578" s="427"/>
      <c r="BN1578" s="427"/>
      <c r="BR1578" s="427"/>
      <c r="BS1578" s="427"/>
      <c r="BW1578" s="101">
        <f>29.2*(1000000/(100*100*0.3*1.365*1000))</f>
        <v>7.1306471306471302</v>
      </c>
      <c r="BX1578" s="101">
        <f>54.6*(1000000/(100*100*0.3*1.365*1000))</f>
        <v>13.333333333333334</v>
      </c>
      <c r="CA1578" s="101" t="s">
        <v>1682</v>
      </c>
      <c r="IO1578" s="101" t="s">
        <v>1120</v>
      </c>
    </row>
    <row r="1579" spans="1:249" s="101" customFormat="1" x14ac:dyDescent="0.25">
      <c r="A1579" s="101">
        <v>73</v>
      </c>
      <c r="B1579" s="101" t="s">
        <v>1108</v>
      </c>
      <c r="C1579" s="101" t="s">
        <v>1109</v>
      </c>
      <c r="D1579" s="101">
        <v>2003</v>
      </c>
      <c r="E1579" s="101">
        <v>1997</v>
      </c>
      <c r="F1579" s="101" t="s">
        <v>1110</v>
      </c>
      <c r="G1579" s="101" t="s">
        <v>1138</v>
      </c>
      <c r="H1579" s="24" t="s">
        <v>2832</v>
      </c>
      <c r="I1579" s="101">
        <v>50.29</v>
      </c>
      <c r="J1579" s="101">
        <v>-107.8</v>
      </c>
      <c r="K1579" s="101">
        <v>757</v>
      </c>
      <c r="Q1579" s="102">
        <v>10</v>
      </c>
      <c r="R1579" s="102" t="s">
        <v>1940</v>
      </c>
      <c r="S1579" s="102" t="s">
        <v>1107</v>
      </c>
      <c r="T1579" s="102" t="s">
        <v>1115</v>
      </c>
      <c r="U1579" s="102" t="s">
        <v>1393</v>
      </c>
      <c r="V1579" s="102" t="s">
        <v>1727</v>
      </c>
      <c r="W1579" s="102" t="s">
        <v>1393</v>
      </c>
      <c r="X1579" s="102" t="s">
        <v>1421</v>
      </c>
      <c r="Y1579" s="101">
        <v>1.365</v>
      </c>
      <c r="Z1579" s="352"/>
      <c r="AA1579" s="352"/>
      <c r="AB1579" s="101" t="s">
        <v>140</v>
      </c>
      <c r="AF1579" s="101" t="s">
        <v>1360</v>
      </c>
      <c r="AG1579" s="101" t="s">
        <v>578</v>
      </c>
      <c r="AH1579" s="138" t="s">
        <v>578</v>
      </c>
      <c r="AI1579" s="101" t="s">
        <v>1540</v>
      </c>
      <c r="AJ1579" s="145" t="s">
        <v>117</v>
      </c>
      <c r="AK1579" s="101" t="s">
        <v>1099</v>
      </c>
      <c r="AL1579" s="101" t="s">
        <v>1099</v>
      </c>
      <c r="AM1579" s="101" t="s">
        <v>178</v>
      </c>
      <c r="AQ1579" s="101" t="s">
        <v>1113</v>
      </c>
      <c r="AR1579" s="101" t="s">
        <v>1114</v>
      </c>
      <c r="AS1579" s="101" t="s">
        <v>503</v>
      </c>
      <c r="AT1579" s="101" t="s">
        <v>1112</v>
      </c>
      <c r="AU1579" s="101">
        <v>3</v>
      </c>
      <c r="AW1579" s="101" t="s">
        <v>142</v>
      </c>
      <c r="BB1579" s="101" t="s">
        <v>1116</v>
      </c>
      <c r="BM1579" s="427"/>
      <c r="BN1579" s="427"/>
      <c r="BR1579" s="427"/>
      <c r="BS1579" s="427"/>
      <c r="BW1579" s="101">
        <f>18.4*(1000000/(100*100*0.3*1.365*1000))</f>
        <v>4.4932844932844924</v>
      </c>
      <c r="BX1579" s="101">
        <f>24.9*(1000000/(100*100*0.3*1.365*1000))</f>
        <v>6.0805860805860803</v>
      </c>
      <c r="CA1579" s="101" t="s">
        <v>1682</v>
      </c>
      <c r="IO1579" s="101" t="s">
        <v>1120</v>
      </c>
    </row>
    <row r="1580" spans="1:249" s="101" customFormat="1" x14ac:dyDescent="0.25">
      <c r="A1580" s="101">
        <v>73</v>
      </c>
      <c r="B1580" s="101" t="s">
        <v>1108</v>
      </c>
      <c r="C1580" s="101" t="s">
        <v>1109</v>
      </c>
      <c r="D1580" s="101">
        <v>2003</v>
      </c>
      <c r="E1580" s="101">
        <v>1998</v>
      </c>
      <c r="F1580" s="101" t="s">
        <v>1110</v>
      </c>
      <c r="G1580" s="101" t="s">
        <v>1138</v>
      </c>
      <c r="H1580" s="24" t="s">
        <v>2832</v>
      </c>
      <c r="I1580" s="101">
        <v>50.29</v>
      </c>
      <c r="J1580" s="101">
        <v>-107.8</v>
      </c>
      <c r="K1580" s="101">
        <v>757</v>
      </c>
      <c r="Q1580" s="102">
        <v>11</v>
      </c>
      <c r="R1580" s="102" t="s">
        <v>1940</v>
      </c>
      <c r="S1580" s="102" t="s">
        <v>1107</v>
      </c>
      <c r="T1580" s="102" t="s">
        <v>1115</v>
      </c>
      <c r="U1580" s="102" t="s">
        <v>1393</v>
      </c>
      <c r="V1580" s="102" t="s">
        <v>1727</v>
      </c>
      <c r="W1580" s="102" t="s">
        <v>1393</v>
      </c>
      <c r="X1580" s="102" t="s">
        <v>1421</v>
      </c>
      <c r="Y1580" s="101">
        <v>1.365</v>
      </c>
      <c r="Z1580" s="352"/>
      <c r="AA1580" s="352"/>
      <c r="AB1580" s="101" t="s">
        <v>140</v>
      </c>
      <c r="AF1580" s="101" t="s">
        <v>1360</v>
      </c>
      <c r="AG1580" s="101" t="s">
        <v>578</v>
      </c>
      <c r="AH1580" s="138" t="s">
        <v>578</v>
      </c>
      <c r="AI1580" s="101" t="s">
        <v>1540</v>
      </c>
      <c r="AJ1580" s="145" t="s">
        <v>117</v>
      </c>
      <c r="AK1580" s="101" t="s">
        <v>1099</v>
      </c>
      <c r="AL1580" s="101" t="s">
        <v>1099</v>
      </c>
      <c r="AM1580" s="101" t="s">
        <v>178</v>
      </c>
      <c r="AQ1580" s="101" t="s">
        <v>1113</v>
      </c>
      <c r="AR1580" s="101" t="s">
        <v>1114</v>
      </c>
      <c r="AS1580" s="101" t="s">
        <v>503</v>
      </c>
      <c r="AT1580" s="101" t="s">
        <v>1112</v>
      </c>
      <c r="AU1580" s="101">
        <v>3</v>
      </c>
      <c r="AW1580" s="101" t="s">
        <v>142</v>
      </c>
      <c r="BB1580" s="101" t="s">
        <v>1116</v>
      </c>
      <c r="BM1580" s="427"/>
      <c r="BN1580" s="427"/>
      <c r="BR1580" s="427"/>
      <c r="BS1580" s="427"/>
      <c r="BW1580" s="101">
        <f>55*(1000000/(100*100*0.3*1.365*1000))</f>
        <v>13.431013431013431</v>
      </c>
      <c r="BX1580" s="101">
        <f>65.7*(1000000/(100*100*0.3*1.365*1000))</f>
        <v>16.043956043956044</v>
      </c>
      <c r="CA1580" s="101" t="s">
        <v>1682</v>
      </c>
      <c r="IO1580" s="101" t="s">
        <v>1120</v>
      </c>
    </row>
    <row r="1581" spans="1:249" s="101" customFormat="1" x14ac:dyDescent="0.25">
      <c r="A1581" s="101">
        <v>73</v>
      </c>
      <c r="B1581" s="101" t="s">
        <v>1108</v>
      </c>
      <c r="C1581" s="101" t="s">
        <v>1109</v>
      </c>
      <c r="D1581" s="101">
        <v>2003</v>
      </c>
      <c r="E1581" s="101">
        <v>1999</v>
      </c>
      <c r="F1581" s="101" t="s">
        <v>1110</v>
      </c>
      <c r="G1581" s="101" t="s">
        <v>1138</v>
      </c>
      <c r="H1581" s="24" t="s">
        <v>2832</v>
      </c>
      <c r="I1581" s="101">
        <v>50.29</v>
      </c>
      <c r="J1581" s="101">
        <v>-107.8</v>
      </c>
      <c r="K1581" s="101">
        <v>757</v>
      </c>
      <c r="Q1581" s="102">
        <v>12</v>
      </c>
      <c r="R1581" s="102" t="s">
        <v>1940</v>
      </c>
      <c r="S1581" s="102" t="s">
        <v>1107</v>
      </c>
      <c r="T1581" s="102" t="s">
        <v>1115</v>
      </c>
      <c r="U1581" s="102" t="s">
        <v>1393</v>
      </c>
      <c r="V1581" s="102" t="s">
        <v>1727</v>
      </c>
      <c r="W1581" s="102" t="s">
        <v>1393</v>
      </c>
      <c r="X1581" s="102" t="s">
        <v>1421</v>
      </c>
      <c r="Y1581" s="101">
        <v>1.365</v>
      </c>
      <c r="Z1581" s="352"/>
      <c r="AA1581" s="352"/>
      <c r="AB1581" s="101" t="s">
        <v>140</v>
      </c>
      <c r="AF1581" s="101" t="s">
        <v>1360</v>
      </c>
      <c r="AG1581" s="101" t="s">
        <v>578</v>
      </c>
      <c r="AH1581" s="138" t="s">
        <v>578</v>
      </c>
      <c r="AI1581" s="101" t="s">
        <v>1540</v>
      </c>
      <c r="AJ1581" s="145" t="s">
        <v>117</v>
      </c>
      <c r="AK1581" s="101" t="s">
        <v>1099</v>
      </c>
      <c r="AL1581" s="101" t="s">
        <v>1099</v>
      </c>
      <c r="AM1581" s="101" t="s">
        <v>178</v>
      </c>
      <c r="AQ1581" s="101" t="s">
        <v>1113</v>
      </c>
      <c r="AR1581" s="101" t="s">
        <v>1114</v>
      </c>
      <c r="AS1581" s="101" t="s">
        <v>503</v>
      </c>
      <c r="AT1581" s="101" t="s">
        <v>1112</v>
      </c>
      <c r="AU1581" s="101">
        <v>3</v>
      </c>
      <c r="AW1581" s="101" t="s">
        <v>142</v>
      </c>
      <c r="BB1581" s="101" t="s">
        <v>1116</v>
      </c>
      <c r="BM1581" s="427"/>
      <c r="BN1581" s="427"/>
      <c r="BR1581" s="427"/>
      <c r="BS1581" s="427"/>
      <c r="BW1581" s="101">
        <f>42.9*(1000000/(100*100*0.3*1.365*1000))</f>
        <v>10.476190476190476</v>
      </c>
      <c r="BX1581" s="101">
        <f>54*(1000000/(100*100*0.3*1.365*1000))</f>
        <v>13.186813186813186</v>
      </c>
      <c r="CA1581" s="101" t="s">
        <v>1682</v>
      </c>
      <c r="IO1581" s="101" t="s">
        <v>1120</v>
      </c>
    </row>
    <row r="1582" spans="1:249" s="103" customFormat="1" x14ac:dyDescent="0.25">
      <c r="A1582" s="103">
        <v>73</v>
      </c>
      <c r="B1582" s="103" t="s">
        <v>1108</v>
      </c>
      <c r="C1582" s="103" t="s">
        <v>1109</v>
      </c>
      <c r="D1582" s="103">
        <v>2003</v>
      </c>
      <c r="E1582" s="103">
        <v>1988</v>
      </c>
      <c r="F1582" s="103" t="s">
        <v>1110</v>
      </c>
      <c r="G1582" s="103" t="s">
        <v>1138</v>
      </c>
      <c r="H1582" s="24" t="s">
        <v>2832</v>
      </c>
      <c r="I1582" s="103">
        <v>50.29</v>
      </c>
      <c r="J1582" s="103">
        <v>-107.8</v>
      </c>
      <c r="K1582" s="103">
        <v>757</v>
      </c>
      <c r="Q1582" s="104">
        <v>1</v>
      </c>
      <c r="R1582" s="104" t="s">
        <v>1940</v>
      </c>
      <c r="S1582" s="104" t="s">
        <v>1107</v>
      </c>
      <c r="T1582" s="104" t="s">
        <v>1115</v>
      </c>
      <c r="U1582" s="104" t="s">
        <v>1406</v>
      </c>
      <c r="V1582" s="104" t="s">
        <v>1727</v>
      </c>
      <c r="W1582" s="104" t="s">
        <v>1393</v>
      </c>
      <c r="X1582" s="104" t="s">
        <v>1421</v>
      </c>
      <c r="Y1582" s="103">
        <v>1.41</v>
      </c>
      <c r="Z1582" s="353"/>
      <c r="AA1582" s="353"/>
      <c r="AB1582" s="103" t="s">
        <v>140</v>
      </c>
      <c r="AF1582" s="103" t="s">
        <v>1360</v>
      </c>
      <c r="AG1582" s="103" t="s">
        <v>578</v>
      </c>
      <c r="AH1582" s="138" t="s">
        <v>578</v>
      </c>
      <c r="AI1582" s="103" t="s">
        <v>1540</v>
      </c>
      <c r="AJ1582" s="145" t="s">
        <v>117</v>
      </c>
      <c r="AK1582" s="103" t="s">
        <v>1099</v>
      </c>
      <c r="AL1582" s="103" t="s">
        <v>1099</v>
      </c>
      <c r="AM1582" s="103" t="s">
        <v>178</v>
      </c>
      <c r="AQ1582" s="103" t="s">
        <v>1113</v>
      </c>
      <c r="AR1582" s="103" t="s">
        <v>1114</v>
      </c>
      <c r="AS1582" s="103" t="s">
        <v>503</v>
      </c>
      <c r="AT1582" s="103" t="s">
        <v>1112</v>
      </c>
      <c r="AU1582" s="103">
        <v>3</v>
      </c>
      <c r="AW1582" s="103" t="s">
        <v>142</v>
      </c>
      <c r="BB1582" s="103" t="s">
        <v>1116</v>
      </c>
      <c r="BM1582" s="428"/>
      <c r="BN1582" s="428"/>
      <c r="BR1582" s="428"/>
      <c r="BS1582" s="428"/>
      <c r="BW1582" s="103">
        <f>26.9*(1000000/(100*100*0.3*1.41*1000))</f>
        <v>6.3593380614657207</v>
      </c>
      <c r="BX1582" s="103">
        <f>(1000000/(100*100*0.3*1.41*1000))*15.8</f>
        <v>3.7352245862884166</v>
      </c>
      <c r="CA1582" s="103" t="s">
        <v>1682</v>
      </c>
      <c r="IO1582" s="103" t="s">
        <v>1120</v>
      </c>
    </row>
    <row r="1583" spans="1:249" s="103" customFormat="1" x14ac:dyDescent="0.25">
      <c r="A1583" s="103">
        <v>73</v>
      </c>
      <c r="B1583" s="103" t="s">
        <v>1108</v>
      </c>
      <c r="C1583" s="103" t="s">
        <v>1109</v>
      </c>
      <c r="D1583" s="103">
        <v>2003</v>
      </c>
      <c r="E1583" s="103">
        <v>1989</v>
      </c>
      <c r="F1583" s="103" t="s">
        <v>1110</v>
      </c>
      <c r="G1583" s="103" t="s">
        <v>1138</v>
      </c>
      <c r="H1583" s="24" t="s">
        <v>2832</v>
      </c>
      <c r="I1583" s="103">
        <v>50.29</v>
      </c>
      <c r="J1583" s="103">
        <v>-107.8</v>
      </c>
      <c r="K1583" s="103">
        <v>757</v>
      </c>
      <c r="Q1583" s="104">
        <v>2</v>
      </c>
      <c r="R1583" s="104" t="s">
        <v>1940</v>
      </c>
      <c r="S1583" s="104" t="s">
        <v>1107</v>
      </c>
      <c r="T1583" s="104" t="s">
        <v>1115</v>
      </c>
      <c r="U1583" s="104" t="s">
        <v>1406</v>
      </c>
      <c r="V1583" s="104" t="s">
        <v>1727</v>
      </c>
      <c r="W1583" s="104" t="s">
        <v>1393</v>
      </c>
      <c r="X1583" s="104" t="s">
        <v>1421</v>
      </c>
      <c r="Y1583" s="103">
        <v>1.41</v>
      </c>
      <c r="Z1583" s="353"/>
      <c r="AA1583" s="353"/>
      <c r="AB1583" s="103" t="s">
        <v>140</v>
      </c>
      <c r="AF1583" s="103" t="s">
        <v>1360</v>
      </c>
      <c r="AG1583" s="103" t="s">
        <v>578</v>
      </c>
      <c r="AH1583" s="138" t="s">
        <v>578</v>
      </c>
      <c r="AI1583" s="103" t="s">
        <v>1540</v>
      </c>
      <c r="AJ1583" s="145" t="s">
        <v>117</v>
      </c>
      <c r="AK1583" s="103" t="s">
        <v>1099</v>
      </c>
      <c r="AL1583" s="103" t="s">
        <v>1099</v>
      </c>
      <c r="AM1583" s="103" t="s">
        <v>178</v>
      </c>
      <c r="AQ1583" s="103" t="s">
        <v>1113</v>
      </c>
      <c r="AR1583" s="103" t="s">
        <v>1114</v>
      </c>
      <c r="AS1583" s="103" t="s">
        <v>503</v>
      </c>
      <c r="AT1583" s="103" t="s">
        <v>1112</v>
      </c>
      <c r="AU1583" s="103">
        <v>3</v>
      </c>
      <c r="AW1583" s="103" t="s">
        <v>142</v>
      </c>
      <c r="BB1583" s="103" t="s">
        <v>1116</v>
      </c>
      <c r="BM1583" s="428"/>
      <c r="BN1583" s="428"/>
      <c r="BR1583" s="428"/>
      <c r="BS1583" s="428"/>
      <c r="BW1583" s="103">
        <f>65.2*(1000000/(100*100*0.3*1.41*1000))</f>
        <v>15.413711583924352</v>
      </c>
      <c r="BX1583" s="103">
        <f>(1000000/(100*100*0.3*1.41*1000))*19.1</f>
        <v>4.5153664302600474</v>
      </c>
      <c r="CA1583" s="103" t="s">
        <v>1682</v>
      </c>
      <c r="IO1583" s="103" t="s">
        <v>1120</v>
      </c>
    </row>
    <row r="1584" spans="1:249" s="103" customFormat="1" x14ac:dyDescent="0.25">
      <c r="A1584" s="103">
        <v>73</v>
      </c>
      <c r="B1584" s="103" t="s">
        <v>1108</v>
      </c>
      <c r="C1584" s="103" t="s">
        <v>1109</v>
      </c>
      <c r="D1584" s="103">
        <v>2003</v>
      </c>
      <c r="E1584" s="103">
        <v>1990</v>
      </c>
      <c r="F1584" s="103" t="s">
        <v>1110</v>
      </c>
      <c r="G1584" s="103" t="s">
        <v>1138</v>
      </c>
      <c r="H1584" s="24" t="s">
        <v>2832</v>
      </c>
      <c r="I1584" s="103">
        <v>50.29</v>
      </c>
      <c r="J1584" s="103">
        <v>-107.8</v>
      </c>
      <c r="K1584" s="103">
        <v>757</v>
      </c>
      <c r="Q1584" s="104">
        <v>3</v>
      </c>
      <c r="R1584" s="104" t="s">
        <v>1940</v>
      </c>
      <c r="S1584" s="104" t="s">
        <v>1107</v>
      </c>
      <c r="T1584" s="104" t="s">
        <v>1115</v>
      </c>
      <c r="U1584" s="104" t="s">
        <v>1406</v>
      </c>
      <c r="V1584" s="104" t="s">
        <v>1727</v>
      </c>
      <c r="W1584" s="104" t="s">
        <v>1393</v>
      </c>
      <c r="X1584" s="104" t="s">
        <v>1421</v>
      </c>
      <c r="Y1584" s="103">
        <v>1.41</v>
      </c>
      <c r="Z1584" s="353"/>
      <c r="AA1584" s="353"/>
      <c r="AB1584" s="103" t="s">
        <v>140</v>
      </c>
      <c r="AF1584" s="103" t="s">
        <v>1360</v>
      </c>
      <c r="AG1584" s="103" t="s">
        <v>578</v>
      </c>
      <c r="AH1584" s="138" t="s">
        <v>578</v>
      </c>
      <c r="AI1584" s="103" t="s">
        <v>1540</v>
      </c>
      <c r="AJ1584" s="145" t="s">
        <v>117</v>
      </c>
      <c r="AK1584" s="103" t="s">
        <v>1099</v>
      </c>
      <c r="AL1584" s="103" t="s">
        <v>1099</v>
      </c>
      <c r="AM1584" s="103" t="s">
        <v>178</v>
      </c>
      <c r="AQ1584" s="103" t="s">
        <v>1113</v>
      </c>
      <c r="AR1584" s="103" t="s">
        <v>1114</v>
      </c>
      <c r="AS1584" s="103" t="s">
        <v>503</v>
      </c>
      <c r="AT1584" s="103" t="s">
        <v>1112</v>
      </c>
      <c r="AU1584" s="103">
        <v>3</v>
      </c>
      <c r="AW1584" s="103" t="s">
        <v>142</v>
      </c>
      <c r="BB1584" s="103" t="s">
        <v>1116</v>
      </c>
      <c r="BM1584" s="428"/>
      <c r="BN1584" s="428"/>
      <c r="BR1584" s="428"/>
      <c r="BS1584" s="428"/>
      <c r="BW1584" s="103">
        <f>(1000000/(100*100*0.3*1.41*1000))*30.9</f>
        <v>7.3049645390070923</v>
      </c>
      <c r="BX1584" s="103">
        <f>(1000000/(100*100*0.3*1.41*1000))*32.1</f>
        <v>7.5886524822695041</v>
      </c>
      <c r="CA1584" s="103" t="s">
        <v>1682</v>
      </c>
      <c r="IO1584" s="103" t="s">
        <v>1120</v>
      </c>
    </row>
    <row r="1585" spans="1:249" s="103" customFormat="1" x14ac:dyDescent="0.25">
      <c r="A1585" s="103">
        <v>73</v>
      </c>
      <c r="B1585" s="103" t="s">
        <v>1108</v>
      </c>
      <c r="C1585" s="103" t="s">
        <v>1109</v>
      </c>
      <c r="D1585" s="103">
        <v>2003</v>
      </c>
      <c r="E1585" s="103">
        <v>1991</v>
      </c>
      <c r="F1585" s="103" t="s">
        <v>1110</v>
      </c>
      <c r="G1585" s="103" t="s">
        <v>1138</v>
      </c>
      <c r="H1585" s="24" t="s">
        <v>2832</v>
      </c>
      <c r="I1585" s="103">
        <v>50.29</v>
      </c>
      <c r="J1585" s="103">
        <v>-107.8</v>
      </c>
      <c r="K1585" s="103">
        <v>757</v>
      </c>
      <c r="Q1585" s="104">
        <v>4</v>
      </c>
      <c r="R1585" s="104" t="s">
        <v>1940</v>
      </c>
      <c r="S1585" s="104" t="s">
        <v>1107</v>
      </c>
      <c r="T1585" s="104" t="s">
        <v>1115</v>
      </c>
      <c r="U1585" s="104" t="s">
        <v>1406</v>
      </c>
      <c r="V1585" s="104" t="s">
        <v>1727</v>
      </c>
      <c r="W1585" s="104" t="s">
        <v>1393</v>
      </c>
      <c r="X1585" s="104" t="s">
        <v>1421</v>
      </c>
      <c r="Y1585" s="103">
        <v>1.41</v>
      </c>
      <c r="Z1585" s="353"/>
      <c r="AA1585" s="353"/>
      <c r="AB1585" s="103" t="s">
        <v>140</v>
      </c>
      <c r="AF1585" s="103" t="s">
        <v>1360</v>
      </c>
      <c r="AG1585" s="103" t="s">
        <v>578</v>
      </c>
      <c r="AH1585" s="138" t="s">
        <v>578</v>
      </c>
      <c r="AI1585" s="103" t="s">
        <v>1540</v>
      </c>
      <c r="AJ1585" s="145" t="s">
        <v>117</v>
      </c>
      <c r="AK1585" s="103" t="s">
        <v>1099</v>
      </c>
      <c r="AL1585" s="103" t="s">
        <v>1099</v>
      </c>
      <c r="AM1585" s="103" t="s">
        <v>178</v>
      </c>
      <c r="AQ1585" s="103" t="s">
        <v>1113</v>
      </c>
      <c r="AR1585" s="103" t="s">
        <v>1114</v>
      </c>
      <c r="AS1585" s="103" t="s">
        <v>503</v>
      </c>
      <c r="AT1585" s="103" t="s">
        <v>1112</v>
      </c>
      <c r="AU1585" s="103">
        <v>3</v>
      </c>
      <c r="AW1585" s="103" t="s">
        <v>142</v>
      </c>
      <c r="BB1585" s="103" t="s">
        <v>1116</v>
      </c>
      <c r="BM1585" s="428"/>
      <c r="BN1585" s="428"/>
      <c r="BR1585" s="428"/>
      <c r="BS1585" s="428"/>
      <c r="BW1585" s="103">
        <f>(1000000/(100*100*0.3*1.41*1000))*25.2</f>
        <v>5.957446808510638</v>
      </c>
      <c r="BX1585" s="103">
        <f>(1000000/(100*100*0.3*1.41*1000))*27.9</f>
        <v>6.5957446808510634</v>
      </c>
      <c r="CA1585" s="103" t="s">
        <v>1682</v>
      </c>
      <c r="IO1585" s="103" t="s">
        <v>1120</v>
      </c>
    </row>
    <row r="1586" spans="1:249" s="103" customFormat="1" x14ac:dyDescent="0.25">
      <c r="A1586" s="103">
        <v>73</v>
      </c>
      <c r="B1586" s="103" t="s">
        <v>1108</v>
      </c>
      <c r="C1586" s="103" t="s">
        <v>1109</v>
      </c>
      <c r="D1586" s="103">
        <v>2003</v>
      </c>
      <c r="E1586" s="103">
        <v>1992</v>
      </c>
      <c r="F1586" s="103" t="s">
        <v>1110</v>
      </c>
      <c r="G1586" s="103" t="s">
        <v>1138</v>
      </c>
      <c r="H1586" s="24" t="s">
        <v>2832</v>
      </c>
      <c r="I1586" s="103">
        <v>50.29</v>
      </c>
      <c r="J1586" s="103">
        <v>-107.8</v>
      </c>
      <c r="K1586" s="103">
        <v>757</v>
      </c>
      <c r="Q1586" s="104">
        <v>5</v>
      </c>
      <c r="R1586" s="104" t="s">
        <v>1940</v>
      </c>
      <c r="S1586" s="104" t="s">
        <v>1107</v>
      </c>
      <c r="T1586" s="104" t="s">
        <v>1115</v>
      </c>
      <c r="U1586" s="104" t="s">
        <v>1406</v>
      </c>
      <c r="V1586" s="104" t="s">
        <v>1727</v>
      </c>
      <c r="W1586" s="104" t="s">
        <v>1393</v>
      </c>
      <c r="X1586" s="104" t="s">
        <v>1421</v>
      </c>
      <c r="Y1586" s="103">
        <v>1.41</v>
      </c>
      <c r="Z1586" s="353"/>
      <c r="AA1586" s="353"/>
      <c r="AB1586" s="103" t="s">
        <v>140</v>
      </c>
      <c r="AF1586" s="103" t="s">
        <v>1360</v>
      </c>
      <c r="AG1586" s="103" t="s">
        <v>578</v>
      </c>
      <c r="AH1586" s="138" t="s">
        <v>578</v>
      </c>
      <c r="AI1586" s="103" t="s">
        <v>1540</v>
      </c>
      <c r="AJ1586" s="145" t="s">
        <v>117</v>
      </c>
      <c r="AK1586" s="103" t="s">
        <v>1099</v>
      </c>
      <c r="AL1586" s="103" t="s">
        <v>1099</v>
      </c>
      <c r="AM1586" s="103" t="s">
        <v>178</v>
      </c>
      <c r="AQ1586" s="103" t="s">
        <v>1113</v>
      </c>
      <c r="AR1586" s="103" t="s">
        <v>1114</v>
      </c>
      <c r="AS1586" s="103" t="s">
        <v>503</v>
      </c>
      <c r="AT1586" s="103" t="s">
        <v>1112</v>
      </c>
      <c r="AU1586" s="103">
        <v>3</v>
      </c>
      <c r="AW1586" s="103" t="s">
        <v>142</v>
      </c>
      <c r="BB1586" s="103" t="s">
        <v>1116</v>
      </c>
      <c r="BM1586" s="428"/>
      <c r="BN1586" s="428"/>
      <c r="BR1586" s="428"/>
      <c r="BS1586" s="428"/>
      <c r="BW1586" s="103">
        <f>(1000000/(100*100*0.3*1.41*1000))*17.8</f>
        <v>4.208037825059102</v>
      </c>
      <c r="BX1586" s="103">
        <f>(1000000/(100*100*0.3*1.41*1000))*11.1</f>
        <v>2.624113475177305</v>
      </c>
      <c r="CA1586" s="103" t="s">
        <v>1682</v>
      </c>
      <c r="IO1586" s="103" t="s">
        <v>1120</v>
      </c>
    </row>
    <row r="1587" spans="1:249" s="103" customFormat="1" x14ac:dyDescent="0.25">
      <c r="A1587" s="103">
        <v>73</v>
      </c>
      <c r="B1587" s="103" t="s">
        <v>1108</v>
      </c>
      <c r="C1587" s="103" t="s">
        <v>1109</v>
      </c>
      <c r="D1587" s="103">
        <v>2003</v>
      </c>
      <c r="E1587" s="103">
        <v>1993</v>
      </c>
      <c r="F1587" s="103" t="s">
        <v>1110</v>
      </c>
      <c r="G1587" s="103" t="s">
        <v>1138</v>
      </c>
      <c r="H1587" s="24" t="s">
        <v>2832</v>
      </c>
      <c r="I1587" s="103">
        <v>50.29</v>
      </c>
      <c r="J1587" s="103">
        <v>-107.8</v>
      </c>
      <c r="K1587" s="103">
        <v>757</v>
      </c>
      <c r="Q1587" s="104">
        <v>6</v>
      </c>
      <c r="R1587" s="104" t="s">
        <v>1940</v>
      </c>
      <c r="S1587" s="104" t="s">
        <v>1107</v>
      </c>
      <c r="T1587" s="104" t="s">
        <v>1115</v>
      </c>
      <c r="U1587" s="104" t="s">
        <v>1406</v>
      </c>
      <c r="V1587" s="104" t="s">
        <v>1727</v>
      </c>
      <c r="W1587" s="104" t="s">
        <v>1393</v>
      </c>
      <c r="X1587" s="104" t="s">
        <v>1421</v>
      </c>
      <c r="Y1587" s="103">
        <v>1.41</v>
      </c>
      <c r="Z1587" s="353"/>
      <c r="AA1587" s="353"/>
      <c r="AB1587" s="103" t="s">
        <v>140</v>
      </c>
      <c r="AF1587" s="103" t="s">
        <v>1360</v>
      </c>
      <c r="AG1587" s="103" t="s">
        <v>578</v>
      </c>
      <c r="AH1587" s="138" t="s">
        <v>578</v>
      </c>
      <c r="AI1587" s="103" t="s">
        <v>1540</v>
      </c>
      <c r="AJ1587" s="145" t="s">
        <v>117</v>
      </c>
      <c r="AK1587" s="103" t="s">
        <v>1099</v>
      </c>
      <c r="AL1587" s="103" t="s">
        <v>1099</v>
      </c>
      <c r="AM1587" s="103" t="s">
        <v>178</v>
      </c>
      <c r="AQ1587" s="103" t="s">
        <v>1113</v>
      </c>
      <c r="AR1587" s="103" t="s">
        <v>1114</v>
      </c>
      <c r="AS1587" s="103" t="s">
        <v>503</v>
      </c>
      <c r="AT1587" s="103" t="s">
        <v>1112</v>
      </c>
      <c r="AU1587" s="103">
        <v>3</v>
      </c>
      <c r="AW1587" s="103" t="s">
        <v>142</v>
      </c>
      <c r="BB1587" s="103" t="s">
        <v>1116</v>
      </c>
      <c r="BM1587" s="428"/>
      <c r="BN1587" s="428"/>
      <c r="BR1587" s="428"/>
      <c r="BS1587" s="428"/>
      <c r="BW1587" s="103">
        <f>(1000000/(100*100*0.3*1.41*1000))*22.1</f>
        <v>5.2245862884160763</v>
      </c>
      <c r="BX1587" s="103">
        <f>(1000000/(100*100*0.3*1.41*1000))*22.6</f>
        <v>5.3427895981087472</v>
      </c>
      <c r="CA1587" s="103" t="s">
        <v>1682</v>
      </c>
      <c r="IO1587" s="103" t="s">
        <v>1120</v>
      </c>
    </row>
    <row r="1588" spans="1:249" s="103" customFormat="1" x14ac:dyDescent="0.25">
      <c r="A1588" s="103">
        <v>73</v>
      </c>
      <c r="B1588" s="103" t="s">
        <v>1108</v>
      </c>
      <c r="C1588" s="103" t="s">
        <v>1109</v>
      </c>
      <c r="D1588" s="103">
        <v>2003</v>
      </c>
      <c r="E1588" s="103">
        <v>1994</v>
      </c>
      <c r="F1588" s="103" t="s">
        <v>1110</v>
      </c>
      <c r="G1588" s="103" t="s">
        <v>1138</v>
      </c>
      <c r="H1588" s="24" t="s">
        <v>2832</v>
      </c>
      <c r="I1588" s="103">
        <v>50.29</v>
      </c>
      <c r="J1588" s="103">
        <v>-107.8</v>
      </c>
      <c r="K1588" s="103">
        <v>757</v>
      </c>
      <c r="Q1588" s="104">
        <v>7</v>
      </c>
      <c r="R1588" s="104" t="s">
        <v>1940</v>
      </c>
      <c r="S1588" s="104" t="s">
        <v>1107</v>
      </c>
      <c r="T1588" s="104" t="s">
        <v>1115</v>
      </c>
      <c r="U1588" s="104" t="s">
        <v>1406</v>
      </c>
      <c r="V1588" s="104" t="s">
        <v>1727</v>
      </c>
      <c r="W1588" s="104" t="s">
        <v>1393</v>
      </c>
      <c r="X1588" s="104" t="s">
        <v>1421</v>
      </c>
      <c r="Y1588" s="103">
        <v>1.41</v>
      </c>
      <c r="Z1588" s="353"/>
      <c r="AA1588" s="353"/>
      <c r="AB1588" s="103" t="s">
        <v>140</v>
      </c>
      <c r="AF1588" s="103" t="s">
        <v>1360</v>
      </c>
      <c r="AG1588" s="103" t="s">
        <v>578</v>
      </c>
      <c r="AH1588" s="138" t="s">
        <v>578</v>
      </c>
      <c r="AI1588" s="103" t="s">
        <v>1540</v>
      </c>
      <c r="AJ1588" s="145" t="s">
        <v>117</v>
      </c>
      <c r="AK1588" s="103" t="s">
        <v>1099</v>
      </c>
      <c r="AL1588" s="103" t="s">
        <v>1099</v>
      </c>
      <c r="AM1588" s="103" t="s">
        <v>178</v>
      </c>
      <c r="AQ1588" s="103" t="s">
        <v>1113</v>
      </c>
      <c r="AR1588" s="103" t="s">
        <v>1114</v>
      </c>
      <c r="AS1588" s="103" t="s">
        <v>503</v>
      </c>
      <c r="AT1588" s="103" t="s">
        <v>1112</v>
      </c>
      <c r="AU1588" s="103">
        <v>3</v>
      </c>
      <c r="AW1588" s="103" t="s">
        <v>142</v>
      </c>
      <c r="BB1588" s="103" t="s">
        <v>1116</v>
      </c>
      <c r="BM1588" s="428"/>
      <c r="BN1588" s="428"/>
      <c r="BR1588" s="428"/>
      <c r="BS1588" s="428"/>
      <c r="BW1588" s="103">
        <f>(1000000/(100*100*0.3*1.41*1000))*9</f>
        <v>2.1276595744680851</v>
      </c>
      <c r="BX1588" s="103">
        <f>(1000000/(100*100*0.3*1.41*1000))*14.6</f>
        <v>3.4515366430260048</v>
      </c>
      <c r="CA1588" s="103" t="s">
        <v>1682</v>
      </c>
      <c r="IO1588" s="103" t="s">
        <v>1120</v>
      </c>
    </row>
    <row r="1589" spans="1:249" s="103" customFormat="1" x14ac:dyDescent="0.25">
      <c r="A1589" s="103">
        <v>73</v>
      </c>
      <c r="B1589" s="103" t="s">
        <v>1108</v>
      </c>
      <c r="C1589" s="103" t="s">
        <v>1109</v>
      </c>
      <c r="D1589" s="103">
        <v>2003</v>
      </c>
      <c r="E1589" s="103">
        <v>1995</v>
      </c>
      <c r="F1589" s="103" t="s">
        <v>1110</v>
      </c>
      <c r="G1589" s="103" t="s">
        <v>1138</v>
      </c>
      <c r="H1589" s="24" t="s">
        <v>2832</v>
      </c>
      <c r="I1589" s="103">
        <v>50.29</v>
      </c>
      <c r="J1589" s="103">
        <v>-107.8</v>
      </c>
      <c r="K1589" s="103">
        <v>757</v>
      </c>
      <c r="Q1589" s="104">
        <v>8</v>
      </c>
      <c r="R1589" s="104" t="s">
        <v>1940</v>
      </c>
      <c r="S1589" s="104" t="s">
        <v>1107</v>
      </c>
      <c r="T1589" s="104" t="s">
        <v>1115</v>
      </c>
      <c r="U1589" s="104" t="s">
        <v>1406</v>
      </c>
      <c r="V1589" s="104" t="s">
        <v>1727</v>
      </c>
      <c r="W1589" s="104" t="s">
        <v>1393</v>
      </c>
      <c r="X1589" s="104" t="s">
        <v>1421</v>
      </c>
      <c r="Y1589" s="103">
        <v>1.41</v>
      </c>
      <c r="Z1589" s="353"/>
      <c r="AA1589" s="353"/>
      <c r="AB1589" s="103" t="s">
        <v>140</v>
      </c>
      <c r="AF1589" s="103" t="s">
        <v>1360</v>
      </c>
      <c r="AG1589" s="103" t="s">
        <v>578</v>
      </c>
      <c r="AH1589" s="138" t="s">
        <v>578</v>
      </c>
      <c r="AI1589" s="103" t="s">
        <v>1540</v>
      </c>
      <c r="AJ1589" s="145" t="s">
        <v>117</v>
      </c>
      <c r="AK1589" s="103" t="s">
        <v>1099</v>
      </c>
      <c r="AL1589" s="103" t="s">
        <v>1099</v>
      </c>
      <c r="AM1589" s="103" t="s">
        <v>178</v>
      </c>
      <c r="AQ1589" s="103" t="s">
        <v>1113</v>
      </c>
      <c r="AR1589" s="103" t="s">
        <v>1114</v>
      </c>
      <c r="AS1589" s="103" t="s">
        <v>503</v>
      </c>
      <c r="AT1589" s="103" t="s">
        <v>1112</v>
      </c>
      <c r="AU1589" s="103">
        <v>3</v>
      </c>
      <c r="AW1589" s="103" t="s">
        <v>142</v>
      </c>
      <c r="BB1589" s="103" t="s">
        <v>1116</v>
      </c>
      <c r="BM1589" s="428"/>
      <c r="BN1589" s="428"/>
      <c r="BR1589" s="428"/>
      <c r="BS1589" s="428"/>
      <c r="BW1589" s="103">
        <f>(1000000/(100*100*0.3*1.41*1000))*16.9</f>
        <v>3.9952718676122929</v>
      </c>
      <c r="BX1589" s="103">
        <f>(1000000/(100*100*0.3*1.41*1000))*15.8</f>
        <v>3.7352245862884166</v>
      </c>
      <c r="CA1589" s="103" t="s">
        <v>1682</v>
      </c>
      <c r="IO1589" s="103" t="s">
        <v>1120</v>
      </c>
    </row>
    <row r="1590" spans="1:249" s="103" customFormat="1" x14ac:dyDescent="0.25">
      <c r="A1590" s="103">
        <v>73</v>
      </c>
      <c r="B1590" s="103" t="s">
        <v>1108</v>
      </c>
      <c r="C1590" s="103" t="s">
        <v>1109</v>
      </c>
      <c r="D1590" s="103">
        <v>2003</v>
      </c>
      <c r="E1590" s="103">
        <v>1996</v>
      </c>
      <c r="F1590" s="103" t="s">
        <v>1110</v>
      </c>
      <c r="G1590" s="103" t="s">
        <v>1138</v>
      </c>
      <c r="H1590" s="24" t="s">
        <v>2832</v>
      </c>
      <c r="I1590" s="103">
        <v>50.29</v>
      </c>
      <c r="J1590" s="103">
        <v>-107.8</v>
      </c>
      <c r="K1590" s="103">
        <v>757</v>
      </c>
      <c r="Q1590" s="104">
        <v>9</v>
      </c>
      <c r="R1590" s="104" t="s">
        <v>1940</v>
      </c>
      <c r="S1590" s="104" t="s">
        <v>1107</v>
      </c>
      <c r="T1590" s="104" t="s">
        <v>1115</v>
      </c>
      <c r="U1590" s="104" t="s">
        <v>1406</v>
      </c>
      <c r="V1590" s="104" t="s">
        <v>1727</v>
      </c>
      <c r="W1590" s="104" t="s">
        <v>1393</v>
      </c>
      <c r="X1590" s="104" t="s">
        <v>1421</v>
      </c>
      <c r="Y1590" s="103">
        <v>1.41</v>
      </c>
      <c r="Z1590" s="353"/>
      <c r="AA1590" s="353"/>
      <c r="AB1590" s="103" t="s">
        <v>140</v>
      </c>
      <c r="AF1590" s="103" t="s">
        <v>1360</v>
      </c>
      <c r="AG1590" s="103" t="s">
        <v>578</v>
      </c>
      <c r="AH1590" s="138" t="s">
        <v>578</v>
      </c>
      <c r="AI1590" s="103" t="s">
        <v>1540</v>
      </c>
      <c r="AJ1590" s="145" t="s">
        <v>117</v>
      </c>
      <c r="AK1590" s="103" t="s">
        <v>1099</v>
      </c>
      <c r="AL1590" s="103" t="s">
        <v>1099</v>
      </c>
      <c r="AM1590" s="103" t="s">
        <v>178</v>
      </c>
      <c r="AQ1590" s="103" t="s">
        <v>1113</v>
      </c>
      <c r="AR1590" s="103" t="s">
        <v>1114</v>
      </c>
      <c r="AS1590" s="103" t="s">
        <v>503</v>
      </c>
      <c r="AT1590" s="103" t="s">
        <v>1112</v>
      </c>
      <c r="AU1590" s="103">
        <v>3</v>
      </c>
      <c r="AW1590" s="103" t="s">
        <v>142</v>
      </c>
      <c r="BB1590" s="103" t="s">
        <v>1116</v>
      </c>
      <c r="BM1590" s="428"/>
      <c r="BN1590" s="428"/>
      <c r="BR1590" s="428"/>
      <c r="BS1590" s="428"/>
      <c r="BW1590" s="103">
        <f>(1000000/(100*100*0.3*1.41*1000))*16.6</f>
        <v>3.9243498817966906</v>
      </c>
      <c r="BX1590" s="103">
        <f>(1000000/(100*100*0.3*1.41*1000))*36.1</f>
        <v>8.5342789598108748</v>
      </c>
      <c r="CA1590" s="103" t="s">
        <v>1682</v>
      </c>
      <c r="IO1590" s="103" t="s">
        <v>1120</v>
      </c>
    </row>
    <row r="1591" spans="1:249" s="103" customFormat="1" x14ac:dyDescent="0.25">
      <c r="A1591" s="103">
        <v>73</v>
      </c>
      <c r="B1591" s="103" t="s">
        <v>1108</v>
      </c>
      <c r="C1591" s="103" t="s">
        <v>1109</v>
      </c>
      <c r="D1591" s="103">
        <v>2003</v>
      </c>
      <c r="E1591" s="103">
        <v>1997</v>
      </c>
      <c r="F1591" s="103" t="s">
        <v>1110</v>
      </c>
      <c r="G1591" s="103" t="s">
        <v>1138</v>
      </c>
      <c r="H1591" s="24" t="s">
        <v>2832</v>
      </c>
      <c r="I1591" s="103">
        <v>50.29</v>
      </c>
      <c r="J1591" s="103">
        <v>-107.8</v>
      </c>
      <c r="K1591" s="103">
        <v>757</v>
      </c>
      <c r="Q1591" s="104">
        <v>10</v>
      </c>
      <c r="R1591" s="104" t="s">
        <v>1940</v>
      </c>
      <c r="S1591" s="104" t="s">
        <v>1107</v>
      </c>
      <c r="T1591" s="104" t="s">
        <v>1115</v>
      </c>
      <c r="U1591" s="104" t="s">
        <v>1406</v>
      </c>
      <c r="V1591" s="104" t="s">
        <v>1727</v>
      </c>
      <c r="W1591" s="104" t="s">
        <v>1393</v>
      </c>
      <c r="X1591" s="104" t="s">
        <v>1421</v>
      </c>
      <c r="Y1591" s="103">
        <v>1.41</v>
      </c>
      <c r="Z1591" s="353"/>
      <c r="AA1591" s="353"/>
      <c r="AB1591" s="103" t="s">
        <v>140</v>
      </c>
      <c r="AF1591" s="103" t="s">
        <v>1360</v>
      </c>
      <c r="AG1591" s="103" t="s">
        <v>578</v>
      </c>
      <c r="AH1591" s="138" t="s">
        <v>578</v>
      </c>
      <c r="AI1591" s="103" t="s">
        <v>1540</v>
      </c>
      <c r="AJ1591" s="145" t="s">
        <v>117</v>
      </c>
      <c r="AK1591" s="103" t="s">
        <v>1099</v>
      </c>
      <c r="AL1591" s="103" t="s">
        <v>1099</v>
      </c>
      <c r="AM1591" s="103" t="s">
        <v>178</v>
      </c>
      <c r="AQ1591" s="103" t="s">
        <v>1113</v>
      </c>
      <c r="AR1591" s="103" t="s">
        <v>1114</v>
      </c>
      <c r="AS1591" s="103" t="s">
        <v>503</v>
      </c>
      <c r="AT1591" s="103" t="s">
        <v>1112</v>
      </c>
      <c r="AU1591" s="103">
        <v>3</v>
      </c>
      <c r="AW1591" s="103" t="s">
        <v>142</v>
      </c>
      <c r="BB1591" s="103" t="s">
        <v>1116</v>
      </c>
      <c r="BM1591" s="428"/>
      <c r="BN1591" s="428"/>
      <c r="BR1591" s="428"/>
      <c r="BS1591" s="428"/>
      <c r="BW1591" s="103">
        <f>(1000000/(100*100*0.3*1.41*1000))*26.4</f>
        <v>6.2411347517730498</v>
      </c>
      <c r="BX1591" s="103">
        <f>(1000000/(100*100*0.3*1.41*1000))*35.9</f>
        <v>8.4869976359338057</v>
      </c>
      <c r="CA1591" s="103" t="s">
        <v>1682</v>
      </c>
      <c r="IO1591" s="103" t="s">
        <v>1120</v>
      </c>
    </row>
    <row r="1592" spans="1:249" s="103" customFormat="1" x14ac:dyDescent="0.25">
      <c r="A1592" s="103">
        <v>73</v>
      </c>
      <c r="B1592" s="103" t="s">
        <v>1108</v>
      </c>
      <c r="C1592" s="103" t="s">
        <v>1109</v>
      </c>
      <c r="D1592" s="103">
        <v>2003</v>
      </c>
      <c r="E1592" s="103">
        <v>1998</v>
      </c>
      <c r="F1592" s="103" t="s">
        <v>1110</v>
      </c>
      <c r="G1592" s="103" t="s">
        <v>1138</v>
      </c>
      <c r="H1592" s="24" t="s">
        <v>2832</v>
      </c>
      <c r="I1592" s="103">
        <v>50.29</v>
      </c>
      <c r="J1592" s="103">
        <v>-107.8</v>
      </c>
      <c r="K1592" s="103">
        <v>757</v>
      </c>
      <c r="Q1592" s="104">
        <v>11</v>
      </c>
      <c r="R1592" s="104" t="s">
        <v>1940</v>
      </c>
      <c r="S1592" s="104" t="s">
        <v>1107</v>
      </c>
      <c r="T1592" s="104" t="s">
        <v>1115</v>
      </c>
      <c r="U1592" s="104" t="s">
        <v>1406</v>
      </c>
      <c r="V1592" s="104" t="s">
        <v>1727</v>
      </c>
      <c r="W1592" s="104" t="s">
        <v>1393</v>
      </c>
      <c r="X1592" s="104" t="s">
        <v>1421</v>
      </c>
      <c r="Y1592" s="103">
        <v>1.41</v>
      </c>
      <c r="Z1592" s="353"/>
      <c r="AA1592" s="353"/>
      <c r="AB1592" s="103" t="s">
        <v>140</v>
      </c>
      <c r="AF1592" s="103" t="s">
        <v>1360</v>
      </c>
      <c r="AG1592" s="103" t="s">
        <v>578</v>
      </c>
      <c r="AH1592" s="138" t="s">
        <v>578</v>
      </c>
      <c r="AI1592" s="103" t="s">
        <v>1540</v>
      </c>
      <c r="AJ1592" s="145" t="s">
        <v>117</v>
      </c>
      <c r="AK1592" s="103" t="s">
        <v>1099</v>
      </c>
      <c r="AL1592" s="103" t="s">
        <v>1099</v>
      </c>
      <c r="AM1592" s="103" t="s">
        <v>178</v>
      </c>
      <c r="AQ1592" s="103" t="s">
        <v>1113</v>
      </c>
      <c r="AR1592" s="103" t="s">
        <v>1114</v>
      </c>
      <c r="AS1592" s="103" t="s">
        <v>503</v>
      </c>
      <c r="AT1592" s="103" t="s">
        <v>1112</v>
      </c>
      <c r="AU1592" s="103">
        <v>3</v>
      </c>
      <c r="AW1592" s="103" t="s">
        <v>142</v>
      </c>
      <c r="BB1592" s="103" t="s">
        <v>1116</v>
      </c>
      <c r="BM1592" s="428"/>
      <c r="BN1592" s="428"/>
      <c r="BR1592" s="428"/>
      <c r="BS1592" s="428"/>
      <c r="BW1592" s="103">
        <f>(1000000/(100*100*0.3*1.41*1000))*18.2</f>
        <v>4.3026004728132383</v>
      </c>
      <c r="BX1592" s="103">
        <f>(1000000/(100*100*0.3*1.41*1000))*21.3</f>
        <v>5.0354609929078018</v>
      </c>
      <c r="CA1592" s="103" t="s">
        <v>1682</v>
      </c>
      <c r="IO1592" s="103" t="s">
        <v>1120</v>
      </c>
    </row>
    <row r="1593" spans="1:249" s="103" customFormat="1" x14ac:dyDescent="0.25">
      <c r="A1593" s="103">
        <v>73</v>
      </c>
      <c r="B1593" s="103" t="s">
        <v>1108</v>
      </c>
      <c r="C1593" s="103" t="s">
        <v>1109</v>
      </c>
      <c r="D1593" s="103">
        <v>2003</v>
      </c>
      <c r="E1593" s="103">
        <v>1999</v>
      </c>
      <c r="F1593" s="103" t="s">
        <v>1110</v>
      </c>
      <c r="G1593" s="103" t="s">
        <v>1138</v>
      </c>
      <c r="H1593" s="24" t="s">
        <v>2832</v>
      </c>
      <c r="I1593" s="103">
        <v>50.29</v>
      </c>
      <c r="J1593" s="103">
        <v>-107.8</v>
      </c>
      <c r="K1593" s="103">
        <v>757</v>
      </c>
      <c r="Q1593" s="104">
        <v>12</v>
      </c>
      <c r="R1593" s="104" t="s">
        <v>1940</v>
      </c>
      <c r="S1593" s="104" t="s">
        <v>1107</v>
      </c>
      <c r="T1593" s="104" t="s">
        <v>1115</v>
      </c>
      <c r="U1593" s="104" t="s">
        <v>1406</v>
      </c>
      <c r="V1593" s="104" t="s">
        <v>1727</v>
      </c>
      <c r="W1593" s="104" t="s">
        <v>1393</v>
      </c>
      <c r="X1593" s="104" t="s">
        <v>1421</v>
      </c>
      <c r="Y1593" s="103">
        <v>1.41</v>
      </c>
      <c r="Z1593" s="353"/>
      <c r="AA1593" s="353"/>
      <c r="AB1593" s="103" t="s">
        <v>140</v>
      </c>
      <c r="AF1593" s="103" t="s">
        <v>1360</v>
      </c>
      <c r="AG1593" s="103" t="s">
        <v>578</v>
      </c>
      <c r="AH1593" s="138" t="s">
        <v>578</v>
      </c>
      <c r="AI1593" s="103" t="s">
        <v>1540</v>
      </c>
      <c r="AJ1593" s="145" t="s">
        <v>117</v>
      </c>
      <c r="AK1593" s="103" t="s">
        <v>1099</v>
      </c>
      <c r="AL1593" s="103" t="s">
        <v>1099</v>
      </c>
      <c r="AM1593" s="103" t="s">
        <v>178</v>
      </c>
      <c r="AQ1593" s="103" t="s">
        <v>1113</v>
      </c>
      <c r="AR1593" s="103" t="s">
        <v>1114</v>
      </c>
      <c r="AS1593" s="103" t="s">
        <v>503</v>
      </c>
      <c r="AT1593" s="103" t="s">
        <v>1112</v>
      </c>
      <c r="AU1593" s="103">
        <v>3</v>
      </c>
      <c r="AW1593" s="103" t="s">
        <v>142</v>
      </c>
      <c r="BB1593" s="103" t="s">
        <v>1116</v>
      </c>
      <c r="BM1593" s="428"/>
      <c r="BN1593" s="428"/>
      <c r="BR1593" s="428"/>
      <c r="BS1593" s="428"/>
      <c r="BW1593" s="103">
        <f>(1000000/(100*100*0.3*1.41*1000))*28.1</f>
        <v>6.6430260047281333</v>
      </c>
      <c r="BX1593" s="103">
        <f>(1000000/(100*100*0.3*1.41*1000))*14.3</f>
        <v>3.3806146572104021</v>
      </c>
      <c r="CA1593" s="103" t="s">
        <v>1682</v>
      </c>
      <c r="IO1593" s="103" t="s">
        <v>1120</v>
      </c>
    </row>
    <row r="1594" spans="1:249" s="101" customFormat="1" x14ac:dyDescent="0.25">
      <c r="A1594" s="101">
        <v>73</v>
      </c>
      <c r="B1594" s="101" t="s">
        <v>1108</v>
      </c>
      <c r="C1594" s="101" t="s">
        <v>1109</v>
      </c>
      <c r="D1594" s="101">
        <v>2003</v>
      </c>
      <c r="E1594" s="101">
        <v>1988</v>
      </c>
      <c r="F1594" s="101" t="s">
        <v>1110</v>
      </c>
      <c r="G1594" s="101" t="s">
        <v>1138</v>
      </c>
      <c r="H1594" s="24" t="s">
        <v>2832</v>
      </c>
      <c r="I1594" s="101">
        <v>50.29</v>
      </c>
      <c r="J1594" s="101">
        <v>-107.8</v>
      </c>
      <c r="K1594" s="101">
        <v>757</v>
      </c>
      <c r="Q1594" s="102">
        <v>1</v>
      </c>
      <c r="R1594" s="102" t="s">
        <v>1940</v>
      </c>
      <c r="S1594" s="102" t="s">
        <v>1107</v>
      </c>
      <c r="T1594" s="102" t="s">
        <v>1115</v>
      </c>
      <c r="U1594" s="102" t="s">
        <v>1407</v>
      </c>
      <c r="V1594" s="102" t="s">
        <v>1727</v>
      </c>
      <c r="W1594" s="102" t="s">
        <v>1393</v>
      </c>
      <c r="X1594" s="102" t="s">
        <v>1421</v>
      </c>
      <c r="Y1594" s="101">
        <v>1.61</v>
      </c>
      <c r="Z1594" s="352"/>
      <c r="AA1594" s="352"/>
      <c r="AB1594" s="101" t="s">
        <v>140</v>
      </c>
      <c r="AF1594" s="101" t="s">
        <v>1360</v>
      </c>
      <c r="AG1594" s="101" t="s">
        <v>578</v>
      </c>
      <c r="AH1594" s="138" t="s">
        <v>578</v>
      </c>
      <c r="AI1594" s="101" t="s">
        <v>1540</v>
      </c>
      <c r="AJ1594" s="145" t="s">
        <v>117</v>
      </c>
      <c r="AK1594" s="101" t="s">
        <v>1099</v>
      </c>
      <c r="AL1594" s="101" t="s">
        <v>1099</v>
      </c>
      <c r="AM1594" s="101" t="s">
        <v>178</v>
      </c>
      <c r="AQ1594" s="101" t="s">
        <v>1113</v>
      </c>
      <c r="AR1594" s="101" t="s">
        <v>1114</v>
      </c>
      <c r="AS1594" s="101" t="s">
        <v>503</v>
      </c>
      <c r="AT1594" s="101" t="s">
        <v>1112</v>
      </c>
      <c r="AU1594" s="101">
        <v>3</v>
      </c>
      <c r="AW1594" s="101" t="s">
        <v>142</v>
      </c>
      <c r="BB1594" s="101" t="s">
        <v>1116</v>
      </c>
      <c r="BM1594" s="427"/>
      <c r="BN1594" s="427"/>
      <c r="BR1594" s="427"/>
      <c r="BS1594" s="427"/>
      <c r="BW1594" s="101">
        <f>(1000000/(100*100*0.3*1.61*1000))*31.7</f>
        <v>6.5631469979296071</v>
      </c>
      <c r="BX1594" s="101">
        <f>(1000000/(100*100*0.3*1.61*1000))*14.3</f>
        <v>2.9606625258799175</v>
      </c>
      <c r="CA1594" s="101" t="s">
        <v>1682</v>
      </c>
      <c r="IO1594" s="101" t="s">
        <v>1120</v>
      </c>
    </row>
    <row r="1595" spans="1:249" s="101" customFormat="1" x14ac:dyDescent="0.25">
      <c r="A1595" s="101">
        <v>73</v>
      </c>
      <c r="B1595" s="101" t="s">
        <v>1108</v>
      </c>
      <c r="C1595" s="101" t="s">
        <v>1109</v>
      </c>
      <c r="D1595" s="101">
        <v>2003</v>
      </c>
      <c r="E1595" s="101">
        <v>1989</v>
      </c>
      <c r="F1595" s="101" t="s">
        <v>1110</v>
      </c>
      <c r="G1595" s="101" t="s">
        <v>1138</v>
      </c>
      <c r="H1595" s="24" t="s">
        <v>2832</v>
      </c>
      <c r="I1595" s="101">
        <v>50.29</v>
      </c>
      <c r="J1595" s="101">
        <v>-107.8</v>
      </c>
      <c r="K1595" s="101">
        <v>757</v>
      </c>
      <c r="Q1595" s="102">
        <v>2</v>
      </c>
      <c r="R1595" s="102" t="s">
        <v>1940</v>
      </c>
      <c r="S1595" s="102" t="s">
        <v>1107</v>
      </c>
      <c r="T1595" s="102" t="s">
        <v>1115</v>
      </c>
      <c r="U1595" s="102" t="s">
        <v>1407</v>
      </c>
      <c r="V1595" s="102" t="s">
        <v>1727</v>
      </c>
      <c r="W1595" s="102" t="s">
        <v>1393</v>
      </c>
      <c r="X1595" s="102" t="s">
        <v>1421</v>
      </c>
      <c r="Y1595" s="101">
        <v>1.61</v>
      </c>
      <c r="Z1595" s="352"/>
      <c r="AA1595" s="352"/>
      <c r="AB1595" s="101" t="s">
        <v>140</v>
      </c>
      <c r="AF1595" s="101" t="s">
        <v>1360</v>
      </c>
      <c r="AG1595" s="101" t="s">
        <v>578</v>
      </c>
      <c r="AH1595" s="138" t="s">
        <v>578</v>
      </c>
      <c r="AI1595" s="101" t="s">
        <v>1540</v>
      </c>
      <c r="AJ1595" s="145" t="s">
        <v>117</v>
      </c>
      <c r="AK1595" s="101" t="s">
        <v>1099</v>
      </c>
      <c r="AL1595" s="101" t="s">
        <v>1099</v>
      </c>
      <c r="AM1595" s="101" t="s">
        <v>178</v>
      </c>
      <c r="AQ1595" s="101" t="s">
        <v>1113</v>
      </c>
      <c r="AR1595" s="101" t="s">
        <v>1114</v>
      </c>
      <c r="AS1595" s="101" t="s">
        <v>503</v>
      </c>
      <c r="AT1595" s="101" t="s">
        <v>1112</v>
      </c>
      <c r="AU1595" s="101">
        <v>3</v>
      </c>
      <c r="AW1595" s="101" t="s">
        <v>142</v>
      </c>
      <c r="BB1595" s="101" t="s">
        <v>1116</v>
      </c>
      <c r="BM1595" s="427"/>
      <c r="BN1595" s="427"/>
      <c r="BR1595" s="427"/>
      <c r="BS1595" s="427"/>
      <c r="BW1595" s="101">
        <f>(1000000/(100*100*0.3*1.61*1000))*22.1</f>
        <v>4.5755693581780541</v>
      </c>
      <c r="BX1595" s="101">
        <f>(1000000/(100*100*0.3*1.61*1000))*17.2</f>
        <v>3.5610766045548656</v>
      </c>
      <c r="CA1595" s="101" t="s">
        <v>1682</v>
      </c>
      <c r="IO1595" s="101" t="s">
        <v>1120</v>
      </c>
    </row>
    <row r="1596" spans="1:249" s="101" customFormat="1" x14ac:dyDescent="0.25">
      <c r="A1596" s="101">
        <v>73</v>
      </c>
      <c r="B1596" s="101" t="s">
        <v>1108</v>
      </c>
      <c r="C1596" s="101" t="s">
        <v>1109</v>
      </c>
      <c r="D1596" s="101">
        <v>2003</v>
      </c>
      <c r="E1596" s="101">
        <v>1990</v>
      </c>
      <c r="F1596" s="101" t="s">
        <v>1110</v>
      </c>
      <c r="G1596" s="101" t="s">
        <v>1138</v>
      </c>
      <c r="H1596" s="24" t="s">
        <v>2832</v>
      </c>
      <c r="I1596" s="101">
        <v>50.29</v>
      </c>
      <c r="J1596" s="101">
        <v>-107.8</v>
      </c>
      <c r="K1596" s="101">
        <v>757</v>
      </c>
      <c r="Q1596" s="102">
        <v>3</v>
      </c>
      <c r="R1596" s="102" t="s">
        <v>1940</v>
      </c>
      <c r="S1596" s="102" t="s">
        <v>1107</v>
      </c>
      <c r="T1596" s="102" t="s">
        <v>1115</v>
      </c>
      <c r="U1596" s="102" t="s">
        <v>1407</v>
      </c>
      <c r="V1596" s="102" t="s">
        <v>1727</v>
      </c>
      <c r="W1596" s="102" t="s">
        <v>1393</v>
      </c>
      <c r="X1596" s="102" t="s">
        <v>1421</v>
      </c>
      <c r="Y1596" s="101">
        <v>1.61</v>
      </c>
      <c r="Z1596" s="352"/>
      <c r="AA1596" s="352"/>
      <c r="AB1596" s="101" t="s">
        <v>140</v>
      </c>
      <c r="AF1596" s="101" t="s">
        <v>1360</v>
      </c>
      <c r="AG1596" s="101" t="s">
        <v>578</v>
      </c>
      <c r="AH1596" s="138" t="s">
        <v>578</v>
      </c>
      <c r="AI1596" s="101" t="s">
        <v>1540</v>
      </c>
      <c r="AJ1596" s="145" t="s">
        <v>117</v>
      </c>
      <c r="AK1596" s="101" t="s">
        <v>1099</v>
      </c>
      <c r="AL1596" s="101" t="s">
        <v>1099</v>
      </c>
      <c r="AM1596" s="101" t="s">
        <v>178</v>
      </c>
      <c r="AQ1596" s="101" t="s">
        <v>1113</v>
      </c>
      <c r="AR1596" s="101" t="s">
        <v>1114</v>
      </c>
      <c r="AS1596" s="101" t="s">
        <v>503</v>
      </c>
      <c r="AT1596" s="101" t="s">
        <v>1112</v>
      </c>
      <c r="AU1596" s="101">
        <v>3</v>
      </c>
      <c r="AW1596" s="101" t="s">
        <v>142</v>
      </c>
      <c r="BB1596" s="101" t="s">
        <v>1116</v>
      </c>
      <c r="BM1596" s="427"/>
      <c r="BN1596" s="427"/>
      <c r="BR1596" s="427"/>
      <c r="BS1596" s="427"/>
      <c r="BW1596" s="101">
        <f>(1000000/(100*100*0.3*1.61*1000))*37.6</f>
        <v>7.7846790890269162</v>
      </c>
      <c r="BX1596" s="101">
        <f>(1000000/(100*100*0.3*1.61*1000))*30.6</f>
        <v>6.3354037267080754</v>
      </c>
      <c r="CA1596" s="101" t="s">
        <v>1682</v>
      </c>
      <c r="IO1596" s="101" t="s">
        <v>1120</v>
      </c>
    </row>
    <row r="1597" spans="1:249" s="101" customFormat="1" x14ac:dyDescent="0.25">
      <c r="A1597" s="101">
        <v>73</v>
      </c>
      <c r="B1597" s="101" t="s">
        <v>1108</v>
      </c>
      <c r="C1597" s="101" t="s">
        <v>1109</v>
      </c>
      <c r="D1597" s="101">
        <v>2003</v>
      </c>
      <c r="E1597" s="101">
        <v>1991</v>
      </c>
      <c r="F1597" s="101" t="s">
        <v>1110</v>
      </c>
      <c r="G1597" s="101" t="s">
        <v>1138</v>
      </c>
      <c r="H1597" s="24" t="s">
        <v>2832</v>
      </c>
      <c r="I1597" s="101">
        <v>50.29</v>
      </c>
      <c r="J1597" s="101">
        <v>-107.8</v>
      </c>
      <c r="K1597" s="101">
        <v>757</v>
      </c>
      <c r="Q1597" s="102">
        <v>4</v>
      </c>
      <c r="R1597" s="102" t="s">
        <v>1940</v>
      </c>
      <c r="S1597" s="102" t="s">
        <v>1107</v>
      </c>
      <c r="T1597" s="102" t="s">
        <v>1115</v>
      </c>
      <c r="U1597" s="102" t="s">
        <v>1407</v>
      </c>
      <c r="V1597" s="102" t="s">
        <v>1727</v>
      </c>
      <c r="W1597" s="102" t="s">
        <v>1393</v>
      </c>
      <c r="X1597" s="102" t="s">
        <v>1421</v>
      </c>
      <c r="Y1597" s="101">
        <v>1.61</v>
      </c>
      <c r="Z1597" s="352"/>
      <c r="AA1597" s="352"/>
      <c r="AB1597" s="101" t="s">
        <v>140</v>
      </c>
      <c r="AF1597" s="101" t="s">
        <v>1360</v>
      </c>
      <c r="AG1597" s="101" t="s">
        <v>578</v>
      </c>
      <c r="AH1597" s="138" t="s">
        <v>578</v>
      </c>
      <c r="AI1597" s="101" t="s">
        <v>1540</v>
      </c>
      <c r="AJ1597" s="145" t="s">
        <v>117</v>
      </c>
      <c r="AK1597" s="101" t="s">
        <v>1099</v>
      </c>
      <c r="AL1597" s="101" t="s">
        <v>1099</v>
      </c>
      <c r="AM1597" s="101" t="s">
        <v>178</v>
      </c>
      <c r="AQ1597" s="101" t="s">
        <v>1113</v>
      </c>
      <c r="AR1597" s="101" t="s">
        <v>1114</v>
      </c>
      <c r="AS1597" s="101" t="s">
        <v>503</v>
      </c>
      <c r="AT1597" s="101" t="s">
        <v>1112</v>
      </c>
      <c r="AU1597" s="101">
        <v>3</v>
      </c>
      <c r="AW1597" s="101" t="s">
        <v>142</v>
      </c>
      <c r="BB1597" s="101" t="s">
        <v>1116</v>
      </c>
      <c r="BM1597" s="427"/>
      <c r="BN1597" s="427"/>
      <c r="BR1597" s="427"/>
      <c r="BS1597" s="427"/>
      <c r="BW1597" s="101">
        <f>(1000000/(100*100*0.3*1.61*1000))*33.6</f>
        <v>6.9565217391304355</v>
      </c>
      <c r="BX1597" s="101">
        <f>(1000000/(100*100*0.3*1.61*1000))*50</f>
        <v>10.351966873706004</v>
      </c>
      <c r="CA1597" s="101" t="s">
        <v>1682</v>
      </c>
      <c r="IO1597" s="101" t="s">
        <v>1120</v>
      </c>
    </row>
    <row r="1598" spans="1:249" s="101" customFormat="1" x14ac:dyDescent="0.25">
      <c r="A1598" s="101">
        <v>73</v>
      </c>
      <c r="B1598" s="101" t="s">
        <v>1108</v>
      </c>
      <c r="C1598" s="101" t="s">
        <v>1109</v>
      </c>
      <c r="D1598" s="101">
        <v>2003</v>
      </c>
      <c r="E1598" s="101">
        <v>1992</v>
      </c>
      <c r="F1598" s="101" t="s">
        <v>1110</v>
      </c>
      <c r="G1598" s="101" t="s">
        <v>1138</v>
      </c>
      <c r="H1598" s="24" t="s">
        <v>2832</v>
      </c>
      <c r="I1598" s="101">
        <v>50.29</v>
      </c>
      <c r="J1598" s="101">
        <v>-107.8</v>
      </c>
      <c r="K1598" s="101">
        <v>757</v>
      </c>
      <c r="Q1598" s="102">
        <v>5</v>
      </c>
      <c r="R1598" s="102" t="s">
        <v>1940</v>
      </c>
      <c r="S1598" s="102" t="s">
        <v>1107</v>
      </c>
      <c r="T1598" s="102" t="s">
        <v>1115</v>
      </c>
      <c r="U1598" s="102" t="s">
        <v>1407</v>
      </c>
      <c r="V1598" s="102" t="s">
        <v>1727</v>
      </c>
      <c r="W1598" s="102" t="s">
        <v>1393</v>
      </c>
      <c r="X1598" s="102" t="s">
        <v>1421</v>
      </c>
      <c r="Y1598" s="101">
        <v>1.61</v>
      </c>
      <c r="Z1598" s="352"/>
      <c r="AA1598" s="352"/>
      <c r="AB1598" s="101" t="s">
        <v>140</v>
      </c>
      <c r="AF1598" s="101" t="s">
        <v>1360</v>
      </c>
      <c r="AG1598" s="101" t="s">
        <v>578</v>
      </c>
      <c r="AH1598" s="138" t="s">
        <v>578</v>
      </c>
      <c r="AI1598" s="101" t="s">
        <v>1540</v>
      </c>
      <c r="AJ1598" s="145" t="s">
        <v>117</v>
      </c>
      <c r="AK1598" s="101" t="s">
        <v>1099</v>
      </c>
      <c r="AL1598" s="101" t="s">
        <v>1099</v>
      </c>
      <c r="AM1598" s="101" t="s">
        <v>178</v>
      </c>
      <c r="AQ1598" s="101" t="s">
        <v>1113</v>
      </c>
      <c r="AR1598" s="101" t="s">
        <v>1114</v>
      </c>
      <c r="AS1598" s="101" t="s">
        <v>503</v>
      </c>
      <c r="AT1598" s="101" t="s">
        <v>1112</v>
      </c>
      <c r="AU1598" s="101">
        <v>3</v>
      </c>
      <c r="AW1598" s="101" t="s">
        <v>142</v>
      </c>
      <c r="BB1598" s="101" t="s">
        <v>1116</v>
      </c>
      <c r="BM1598" s="427"/>
      <c r="BN1598" s="427"/>
      <c r="BR1598" s="427"/>
      <c r="BS1598" s="427"/>
      <c r="BW1598" s="101">
        <f>(1000000/(100*100*0.3*1.61*1000))*13.4</f>
        <v>2.7743271221532093</v>
      </c>
      <c r="BX1598" s="101">
        <f>(1000000/(100*100*0.3*1.61*1000))*17.6</f>
        <v>3.643892339544514</v>
      </c>
      <c r="CA1598" s="101" t="s">
        <v>1682</v>
      </c>
      <c r="IO1598" s="101" t="s">
        <v>1120</v>
      </c>
    </row>
    <row r="1599" spans="1:249" s="101" customFormat="1" x14ac:dyDescent="0.25">
      <c r="A1599" s="101">
        <v>73</v>
      </c>
      <c r="B1599" s="101" t="s">
        <v>1108</v>
      </c>
      <c r="C1599" s="101" t="s">
        <v>1109</v>
      </c>
      <c r="D1599" s="101">
        <v>2003</v>
      </c>
      <c r="E1599" s="101">
        <v>1993</v>
      </c>
      <c r="F1599" s="101" t="s">
        <v>1110</v>
      </c>
      <c r="G1599" s="101" t="s">
        <v>1138</v>
      </c>
      <c r="H1599" s="24" t="s">
        <v>2832</v>
      </c>
      <c r="I1599" s="101">
        <v>50.29</v>
      </c>
      <c r="J1599" s="101">
        <v>-107.8</v>
      </c>
      <c r="K1599" s="101">
        <v>757</v>
      </c>
      <c r="Q1599" s="102">
        <v>6</v>
      </c>
      <c r="R1599" s="102" t="s">
        <v>1940</v>
      </c>
      <c r="S1599" s="102" t="s">
        <v>1107</v>
      </c>
      <c r="T1599" s="102" t="s">
        <v>1115</v>
      </c>
      <c r="U1599" s="102" t="s">
        <v>1407</v>
      </c>
      <c r="V1599" s="102" t="s">
        <v>1727</v>
      </c>
      <c r="W1599" s="102" t="s">
        <v>1393</v>
      </c>
      <c r="X1599" s="102" t="s">
        <v>1421</v>
      </c>
      <c r="Y1599" s="101">
        <v>1.61</v>
      </c>
      <c r="Z1599" s="352"/>
      <c r="AA1599" s="352"/>
      <c r="AB1599" s="101" t="s">
        <v>140</v>
      </c>
      <c r="AF1599" s="101" t="s">
        <v>1360</v>
      </c>
      <c r="AG1599" s="101" t="s">
        <v>578</v>
      </c>
      <c r="AH1599" s="138" t="s">
        <v>578</v>
      </c>
      <c r="AI1599" s="101" t="s">
        <v>1540</v>
      </c>
      <c r="AJ1599" s="145" t="s">
        <v>117</v>
      </c>
      <c r="AK1599" s="101" t="s">
        <v>1099</v>
      </c>
      <c r="AL1599" s="101" t="s">
        <v>1099</v>
      </c>
      <c r="AM1599" s="101" t="s">
        <v>178</v>
      </c>
      <c r="AQ1599" s="101" t="s">
        <v>1113</v>
      </c>
      <c r="AR1599" s="101" t="s">
        <v>1114</v>
      </c>
      <c r="AS1599" s="101" t="s">
        <v>503</v>
      </c>
      <c r="AT1599" s="101" t="s">
        <v>1112</v>
      </c>
      <c r="AU1599" s="101">
        <v>3</v>
      </c>
      <c r="AW1599" s="101" t="s">
        <v>142</v>
      </c>
      <c r="BB1599" s="101" t="s">
        <v>1116</v>
      </c>
      <c r="BM1599" s="427"/>
      <c r="BN1599" s="427"/>
      <c r="BR1599" s="427"/>
      <c r="BS1599" s="427"/>
      <c r="BW1599" s="101">
        <f>(1000000/(100*100*0.3*1.61*1000))*15.2</f>
        <v>3.1469979296066253</v>
      </c>
      <c r="BX1599" s="101">
        <f>(1000000/(100*100*0.3*1.61*1000))*11.3</f>
        <v>2.3395445134575574</v>
      </c>
      <c r="CA1599" s="101" t="s">
        <v>1682</v>
      </c>
      <c r="IO1599" s="101" t="s">
        <v>1120</v>
      </c>
    </row>
    <row r="1600" spans="1:249" s="101" customFormat="1" x14ac:dyDescent="0.25">
      <c r="A1600" s="101">
        <v>73</v>
      </c>
      <c r="B1600" s="101" t="s">
        <v>1108</v>
      </c>
      <c r="C1600" s="101" t="s">
        <v>1109</v>
      </c>
      <c r="D1600" s="101">
        <v>2003</v>
      </c>
      <c r="E1600" s="101">
        <v>1994</v>
      </c>
      <c r="F1600" s="101" t="s">
        <v>1110</v>
      </c>
      <c r="G1600" s="101" t="s">
        <v>1138</v>
      </c>
      <c r="H1600" s="24" t="s">
        <v>2832</v>
      </c>
      <c r="I1600" s="101">
        <v>50.29</v>
      </c>
      <c r="J1600" s="101">
        <v>-107.8</v>
      </c>
      <c r="K1600" s="101">
        <v>757</v>
      </c>
      <c r="Q1600" s="102">
        <v>7</v>
      </c>
      <c r="R1600" s="102" t="s">
        <v>1940</v>
      </c>
      <c r="S1600" s="102" t="s">
        <v>1107</v>
      </c>
      <c r="T1600" s="102" t="s">
        <v>1115</v>
      </c>
      <c r="U1600" s="102" t="s">
        <v>1407</v>
      </c>
      <c r="V1600" s="102" t="s">
        <v>1727</v>
      </c>
      <c r="W1600" s="102" t="s">
        <v>1393</v>
      </c>
      <c r="X1600" s="102" t="s">
        <v>1421</v>
      </c>
      <c r="Y1600" s="101">
        <v>1.61</v>
      </c>
      <c r="Z1600" s="352"/>
      <c r="AA1600" s="352"/>
      <c r="AB1600" s="101" t="s">
        <v>140</v>
      </c>
      <c r="AF1600" s="101" t="s">
        <v>1360</v>
      </c>
      <c r="AG1600" s="101" t="s">
        <v>578</v>
      </c>
      <c r="AH1600" s="138" t="s">
        <v>578</v>
      </c>
      <c r="AI1600" s="101" t="s">
        <v>1540</v>
      </c>
      <c r="AJ1600" s="145" t="s">
        <v>117</v>
      </c>
      <c r="AK1600" s="101" t="s">
        <v>1099</v>
      </c>
      <c r="AL1600" s="101" t="s">
        <v>1099</v>
      </c>
      <c r="AM1600" s="101" t="s">
        <v>178</v>
      </c>
      <c r="AQ1600" s="101" t="s">
        <v>1113</v>
      </c>
      <c r="AR1600" s="101" t="s">
        <v>1114</v>
      </c>
      <c r="AS1600" s="101" t="s">
        <v>503</v>
      </c>
      <c r="AT1600" s="101" t="s">
        <v>1112</v>
      </c>
      <c r="AU1600" s="101">
        <v>3</v>
      </c>
      <c r="AW1600" s="101" t="s">
        <v>142</v>
      </c>
      <c r="BB1600" s="101" t="s">
        <v>1116</v>
      </c>
      <c r="BM1600" s="427"/>
      <c r="BN1600" s="427"/>
      <c r="BR1600" s="427"/>
      <c r="BS1600" s="427"/>
      <c r="BW1600" s="101">
        <f>(1000000/(100*100*0.3*1.61*1000))*7.7</f>
        <v>1.5942028985507248</v>
      </c>
      <c r="BX1600" s="101">
        <f>(1000000/(100*100*0.3*1.61*1000))*10.7</f>
        <v>2.2153209109730847</v>
      </c>
      <c r="CA1600" s="101" t="s">
        <v>1682</v>
      </c>
      <c r="IO1600" s="101" t="s">
        <v>1120</v>
      </c>
    </row>
    <row r="1601" spans="1:249" s="101" customFormat="1" x14ac:dyDescent="0.25">
      <c r="A1601" s="101">
        <v>73</v>
      </c>
      <c r="B1601" s="101" t="s">
        <v>1108</v>
      </c>
      <c r="C1601" s="101" t="s">
        <v>1109</v>
      </c>
      <c r="D1601" s="101">
        <v>2003</v>
      </c>
      <c r="E1601" s="101">
        <v>1995</v>
      </c>
      <c r="F1601" s="101" t="s">
        <v>1110</v>
      </c>
      <c r="G1601" s="101" t="s">
        <v>1138</v>
      </c>
      <c r="H1601" s="24" t="s">
        <v>2832</v>
      </c>
      <c r="I1601" s="101">
        <v>50.29</v>
      </c>
      <c r="J1601" s="101">
        <v>-107.8</v>
      </c>
      <c r="K1601" s="101">
        <v>757</v>
      </c>
      <c r="Q1601" s="102">
        <v>8</v>
      </c>
      <c r="R1601" s="102" t="s">
        <v>1940</v>
      </c>
      <c r="S1601" s="102" t="s">
        <v>1107</v>
      </c>
      <c r="T1601" s="102" t="s">
        <v>1115</v>
      </c>
      <c r="U1601" s="102" t="s">
        <v>1407</v>
      </c>
      <c r="V1601" s="102" t="s">
        <v>1727</v>
      </c>
      <c r="W1601" s="102" t="s">
        <v>1393</v>
      </c>
      <c r="X1601" s="102" t="s">
        <v>1421</v>
      </c>
      <c r="Y1601" s="101">
        <v>1.61</v>
      </c>
      <c r="Z1601" s="352"/>
      <c r="AA1601" s="352"/>
      <c r="AB1601" s="101" t="s">
        <v>140</v>
      </c>
      <c r="AF1601" s="101" t="s">
        <v>1360</v>
      </c>
      <c r="AG1601" s="101" t="s">
        <v>578</v>
      </c>
      <c r="AH1601" s="138" t="s">
        <v>578</v>
      </c>
      <c r="AI1601" s="101" t="s">
        <v>1540</v>
      </c>
      <c r="AJ1601" s="145" t="s">
        <v>117</v>
      </c>
      <c r="AK1601" s="101" t="s">
        <v>1099</v>
      </c>
      <c r="AL1601" s="101" t="s">
        <v>1099</v>
      </c>
      <c r="AM1601" s="101" t="s">
        <v>178</v>
      </c>
      <c r="AQ1601" s="101" t="s">
        <v>1113</v>
      </c>
      <c r="AR1601" s="101" t="s">
        <v>1114</v>
      </c>
      <c r="AS1601" s="101" t="s">
        <v>503</v>
      </c>
      <c r="AT1601" s="101" t="s">
        <v>1112</v>
      </c>
      <c r="AU1601" s="101">
        <v>3</v>
      </c>
      <c r="AW1601" s="101" t="s">
        <v>142</v>
      </c>
      <c r="BB1601" s="101" t="s">
        <v>1116</v>
      </c>
      <c r="BM1601" s="427"/>
      <c r="BN1601" s="427"/>
      <c r="BR1601" s="427"/>
      <c r="BS1601" s="427"/>
      <c r="BW1601" s="101">
        <f>(1000000/(100*100*0.3*1.61*1000))*7.3</f>
        <v>1.5113871635610767</v>
      </c>
      <c r="BX1601" s="101">
        <f>(1000000/(100*100*0.3*1.61*1000))*8.8</f>
        <v>1.821946169772257</v>
      </c>
      <c r="CA1601" s="101" t="s">
        <v>1682</v>
      </c>
      <c r="IO1601" s="101" t="s">
        <v>1120</v>
      </c>
    </row>
    <row r="1602" spans="1:249" s="101" customFormat="1" x14ac:dyDescent="0.25">
      <c r="A1602" s="101">
        <v>73</v>
      </c>
      <c r="B1602" s="101" t="s">
        <v>1108</v>
      </c>
      <c r="C1602" s="101" t="s">
        <v>1109</v>
      </c>
      <c r="D1602" s="101">
        <v>2003</v>
      </c>
      <c r="E1602" s="101">
        <v>1996</v>
      </c>
      <c r="F1602" s="101" t="s">
        <v>1110</v>
      </c>
      <c r="G1602" s="101" t="s">
        <v>1138</v>
      </c>
      <c r="H1602" s="24" t="s">
        <v>2832</v>
      </c>
      <c r="I1602" s="101">
        <v>50.29</v>
      </c>
      <c r="J1602" s="101">
        <v>-107.8</v>
      </c>
      <c r="K1602" s="101">
        <v>757</v>
      </c>
      <c r="Q1602" s="102">
        <v>9</v>
      </c>
      <c r="R1602" s="102" t="s">
        <v>1940</v>
      </c>
      <c r="S1602" s="102" t="s">
        <v>1107</v>
      </c>
      <c r="T1602" s="102" t="s">
        <v>1115</v>
      </c>
      <c r="U1602" s="102" t="s">
        <v>1407</v>
      </c>
      <c r="V1602" s="102" t="s">
        <v>1727</v>
      </c>
      <c r="W1602" s="102" t="s">
        <v>1393</v>
      </c>
      <c r="X1602" s="102" t="s">
        <v>1421</v>
      </c>
      <c r="Y1602" s="101">
        <v>1.61</v>
      </c>
      <c r="Z1602" s="352"/>
      <c r="AA1602" s="352"/>
      <c r="AB1602" s="101" t="s">
        <v>140</v>
      </c>
      <c r="AF1602" s="101" t="s">
        <v>1360</v>
      </c>
      <c r="AG1602" s="101" t="s">
        <v>578</v>
      </c>
      <c r="AH1602" s="138" t="s">
        <v>578</v>
      </c>
      <c r="AI1602" s="101" t="s">
        <v>1540</v>
      </c>
      <c r="AJ1602" s="145" t="s">
        <v>117</v>
      </c>
      <c r="AK1602" s="101" t="s">
        <v>1099</v>
      </c>
      <c r="AL1602" s="101" t="s">
        <v>1099</v>
      </c>
      <c r="AM1602" s="101" t="s">
        <v>178</v>
      </c>
      <c r="AQ1602" s="101" t="s">
        <v>1113</v>
      </c>
      <c r="AR1602" s="101" t="s">
        <v>1114</v>
      </c>
      <c r="AS1602" s="101" t="s">
        <v>503</v>
      </c>
      <c r="AT1602" s="101" t="s">
        <v>1112</v>
      </c>
      <c r="AU1602" s="101">
        <v>3</v>
      </c>
      <c r="AW1602" s="101" t="s">
        <v>142</v>
      </c>
      <c r="BB1602" s="101" t="s">
        <v>1116</v>
      </c>
      <c r="BM1602" s="427"/>
      <c r="BN1602" s="427"/>
      <c r="BR1602" s="427"/>
      <c r="BS1602" s="427"/>
      <c r="BW1602" s="101">
        <f>(1000000/(100*100*0.3*1.61*1000))*11.3</f>
        <v>2.3395445134575574</v>
      </c>
      <c r="BX1602" s="101">
        <f>(1000000/(100*100*0.3*1.61*1000))*11.4</f>
        <v>2.360248447204969</v>
      </c>
      <c r="CA1602" s="101" t="s">
        <v>1682</v>
      </c>
      <c r="IO1602" s="101" t="s">
        <v>1120</v>
      </c>
    </row>
    <row r="1603" spans="1:249" s="101" customFormat="1" x14ac:dyDescent="0.25">
      <c r="A1603" s="101">
        <v>73</v>
      </c>
      <c r="B1603" s="101" t="s">
        <v>1108</v>
      </c>
      <c r="C1603" s="101" t="s">
        <v>1109</v>
      </c>
      <c r="D1603" s="101">
        <v>2003</v>
      </c>
      <c r="E1603" s="101">
        <v>1997</v>
      </c>
      <c r="F1603" s="101" t="s">
        <v>1110</v>
      </c>
      <c r="G1603" s="101" t="s">
        <v>1138</v>
      </c>
      <c r="H1603" s="24" t="s">
        <v>2832</v>
      </c>
      <c r="I1603" s="101">
        <v>50.29</v>
      </c>
      <c r="J1603" s="101">
        <v>-107.8</v>
      </c>
      <c r="K1603" s="101">
        <v>757</v>
      </c>
      <c r="Q1603" s="102">
        <v>10</v>
      </c>
      <c r="R1603" s="102" t="s">
        <v>1940</v>
      </c>
      <c r="S1603" s="102" t="s">
        <v>1107</v>
      </c>
      <c r="T1603" s="102" t="s">
        <v>1115</v>
      </c>
      <c r="U1603" s="102" t="s">
        <v>1407</v>
      </c>
      <c r="V1603" s="102" t="s">
        <v>1727</v>
      </c>
      <c r="W1603" s="102" t="s">
        <v>1393</v>
      </c>
      <c r="X1603" s="102" t="s">
        <v>1421</v>
      </c>
      <c r="Y1603" s="101">
        <v>1.61</v>
      </c>
      <c r="Z1603" s="352"/>
      <c r="AA1603" s="352"/>
      <c r="AB1603" s="101" t="s">
        <v>140</v>
      </c>
      <c r="AF1603" s="101" t="s">
        <v>1360</v>
      </c>
      <c r="AG1603" s="101" t="s">
        <v>578</v>
      </c>
      <c r="AH1603" s="138" t="s">
        <v>578</v>
      </c>
      <c r="AI1603" s="101" t="s">
        <v>1540</v>
      </c>
      <c r="AJ1603" s="145" t="s">
        <v>117</v>
      </c>
      <c r="AK1603" s="101" t="s">
        <v>1099</v>
      </c>
      <c r="AL1603" s="101" t="s">
        <v>1099</v>
      </c>
      <c r="AM1603" s="101" t="s">
        <v>178</v>
      </c>
      <c r="AQ1603" s="101" t="s">
        <v>1113</v>
      </c>
      <c r="AR1603" s="101" t="s">
        <v>1114</v>
      </c>
      <c r="AS1603" s="101" t="s">
        <v>503</v>
      </c>
      <c r="AT1603" s="101" t="s">
        <v>1112</v>
      </c>
      <c r="AU1603" s="101">
        <v>3</v>
      </c>
      <c r="AW1603" s="101" t="s">
        <v>142</v>
      </c>
      <c r="BB1603" s="101" t="s">
        <v>1116</v>
      </c>
      <c r="BM1603" s="427"/>
      <c r="BN1603" s="427"/>
      <c r="BR1603" s="427"/>
      <c r="BS1603" s="427"/>
      <c r="BW1603" s="101">
        <f>(1000000/(100*100*0.3*1.61*1000))*13.9</f>
        <v>2.8778467908902692</v>
      </c>
      <c r="BX1603" s="101">
        <f>(1000000/(100*100*0.3*1.61*1000))*10.4</f>
        <v>2.1532091097308492</v>
      </c>
      <c r="CA1603" s="101" t="s">
        <v>1682</v>
      </c>
      <c r="IO1603" s="101" t="s">
        <v>1120</v>
      </c>
    </row>
    <row r="1604" spans="1:249" s="101" customFormat="1" x14ac:dyDescent="0.25">
      <c r="A1604" s="101">
        <v>73</v>
      </c>
      <c r="B1604" s="101" t="s">
        <v>1108</v>
      </c>
      <c r="C1604" s="101" t="s">
        <v>1109</v>
      </c>
      <c r="D1604" s="101">
        <v>2003</v>
      </c>
      <c r="E1604" s="101">
        <v>1998</v>
      </c>
      <c r="F1604" s="101" t="s">
        <v>1110</v>
      </c>
      <c r="G1604" s="101" t="s">
        <v>1138</v>
      </c>
      <c r="H1604" s="24" t="s">
        <v>2832</v>
      </c>
      <c r="I1604" s="101">
        <v>50.29</v>
      </c>
      <c r="J1604" s="101">
        <v>-107.8</v>
      </c>
      <c r="K1604" s="101">
        <v>757</v>
      </c>
      <c r="Q1604" s="102">
        <v>11</v>
      </c>
      <c r="R1604" s="102" t="s">
        <v>1940</v>
      </c>
      <c r="S1604" s="102" t="s">
        <v>1107</v>
      </c>
      <c r="T1604" s="102" t="s">
        <v>1115</v>
      </c>
      <c r="U1604" s="102" t="s">
        <v>1407</v>
      </c>
      <c r="V1604" s="102" t="s">
        <v>1727</v>
      </c>
      <c r="W1604" s="102" t="s">
        <v>1393</v>
      </c>
      <c r="X1604" s="102" t="s">
        <v>1421</v>
      </c>
      <c r="Y1604" s="101">
        <v>1.61</v>
      </c>
      <c r="Z1604" s="352"/>
      <c r="AA1604" s="352"/>
      <c r="AB1604" s="101" t="s">
        <v>140</v>
      </c>
      <c r="AF1604" s="101" t="s">
        <v>1360</v>
      </c>
      <c r="AG1604" s="101" t="s">
        <v>578</v>
      </c>
      <c r="AH1604" s="138" t="s">
        <v>578</v>
      </c>
      <c r="AI1604" s="101" t="s">
        <v>1540</v>
      </c>
      <c r="AJ1604" s="145" t="s">
        <v>117</v>
      </c>
      <c r="AK1604" s="101" t="s">
        <v>1099</v>
      </c>
      <c r="AL1604" s="101" t="s">
        <v>1099</v>
      </c>
      <c r="AM1604" s="101" t="s">
        <v>178</v>
      </c>
      <c r="AQ1604" s="101" t="s">
        <v>1113</v>
      </c>
      <c r="AR1604" s="101" t="s">
        <v>1114</v>
      </c>
      <c r="AS1604" s="101" t="s">
        <v>503</v>
      </c>
      <c r="AT1604" s="101" t="s">
        <v>1112</v>
      </c>
      <c r="AU1604" s="101">
        <v>3</v>
      </c>
      <c r="AW1604" s="101" t="s">
        <v>142</v>
      </c>
      <c r="BB1604" s="101" t="s">
        <v>1116</v>
      </c>
      <c r="BM1604" s="427"/>
      <c r="BN1604" s="427"/>
      <c r="BR1604" s="427"/>
      <c r="BS1604" s="427"/>
      <c r="BW1604" s="101">
        <f>(1000000/(100*100*0.3*1.61*1000))*15.4</f>
        <v>3.1884057971014497</v>
      </c>
      <c r="BX1604" s="101">
        <f>(1000000/(100*100*0.3*1.61*1000))*11.3</f>
        <v>2.3395445134575574</v>
      </c>
      <c r="CA1604" s="101" t="s">
        <v>1682</v>
      </c>
      <c r="IO1604" s="101" t="s">
        <v>1120</v>
      </c>
    </row>
    <row r="1605" spans="1:249" s="101" customFormat="1" x14ac:dyDescent="0.25">
      <c r="A1605" s="101">
        <v>73</v>
      </c>
      <c r="B1605" s="101" t="s">
        <v>1108</v>
      </c>
      <c r="C1605" s="101" t="s">
        <v>1109</v>
      </c>
      <c r="D1605" s="101">
        <v>2003</v>
      </c>
      <c r="E1605" s="101">
        <v>1999</v>
      </c>
      <c r="F1605" s="101" t="s">
        <v>1110</v>
      </c>
      <c r="G1605" s="101" t="s">
        <v>1138</v>
      </c>
      <c r="H1605" s="24" t="s">
        <v>2832</v>
      </c>
      <c r="I1605" s="101">
        <v>50.29</v>
      </c>
      <c r="J1605" s="101">
        <v>-107.8</v>
      </c>
      <c r="K1605" s="101">
        <v>757</v>
      </c>
      <c r="Q1605" s="102">
        <v>12</v>
      </c>
      <c r="R1605" s="102" t="s">
        <v>1940</v>
      </c>
      <c r="S1605" s="102" t="s">
        <v>1107</v>
      </c>
      <c r="T1605" s="102" t="s">
        <v>1115</v>
      </c>
      <c r="U1605" s="102" t="s">
        <v>1407</v>
      </c>
      <c r="V1605" s="102" t="s">
        <v>1727</v>
      </c>
      <c r="W1605" s="102" t="s">
        <v>1393</v>
      </c>
      <c r="X1605" s="102" t="s">
        <v>1421</v>
      </c>
      <c r="Y1605" s="101">
        <v>1.61</v>
      </c>
      <c r="Z1605" s="352"/>
      <c r="AA1605" s="352"/>
      <c r="AB1605" s="101" t="s">
        <v>140</v>
      </c>
      <c r="AF1605" s="101" t="s">
        <v>1360</v>
      </c>
      <c r="AG1605" s="101" t="s">
        <v>578</v>
      </c>
      <c r="AH1605" s="138" t="s">
        <v>578</v>
      </c>
      <c r="AI1605" s="101" t="s">
        <v>1540</v>
      </c>
      <c r="AJ1605" s="145" t="s">
        <v>117</v>
      </c>
      <c r="AK1605" s="101" t="s">
        <v>1099</v>
      </c>
      <c r="AL1605" s="101" t="s">
        <v>1099</v>
      </c>
      <c r="AM1605" s="101" t="s">
        <v>178</v>
      </c>
      <c r="AQ1605" s="101" t="s">
        <v>1113</v>
      </c>
      <c r="AR1605" s="101" t="s">
        <v>1114</v>
      </c>
      <c r="AS1605" s="101" t="s">
        <v>503</v>
      </c>
      <c r="AT1605" s="101" t="s">
        <v>1112</v>
      </c>
      <c r="AU1605" s="101">
        <v>3</v>
      </c>
      <c r="AW1605" s="101" t="s">
        <v>142</v>
      </c>
      <c r="BB1605" s="101" t="s">
        <v>1116</v>
      </c>
      <c r="BM1605" s="427"/>
      <c r="BN1605" s="427"/>
      <c r="BR1605" s="427"/>
      <c r="BS1605" s="427"/>
      <c r="BW1605" s="101">
        <f>(1000000/(100*100*0.3*1.61*1000))*11.3</f>
        <v>2.3395445134575574</v>
      </c>
      <c r="BX1605" s="101">
        <f>(1000000/(100*100*0.3*1.61*1000))*12</f>
        <v>2.4844720496894412</v>
      </c>
      <c r="CA1605" s="101" t="s">
        <v>1682</v>
      </c>
      <c r="IO1605" s="101" t="s">
        <v>1120</v>
      </c>
    </row>
    <row r="1606" spans="1:249" s="103" customFormat="1" x14ac:dyDescent="0.25">
      <c r="A1606" s="103">
        <v>73</v>
      </c>
      <c r="B1606" s="103" t="s">
        <v>1108</v>
      </c>
      <c r="C1606" s="103" t="s">
        <v>1109</v>
      </c>
      <c r="D1606" s="103">
        <v>2003</v>
      </c>
      <c r="E1606" s="103">
        <v>1988</v>
      </c>
      <c r="F1606" s="103" t="s">
        <v>1110</v>
      </c>
      <c r="G1606" s="103" t="s">
        <v>1138</v>
      </c>
      <c r="H1606" s="24" t="s">
        <v>2832</v>
      </c>
      <c r="I1606" s="103">
        <v>50.29</v>
      </c>
      <c r="J1606" s="103">
        <v>-107.8</v>
      </c>
      <c r="K1606" s="103">
        <v>757</v>
      </c>
      <c r="Q1606" s="104">
        <v>1</v>
      </c>
      <c r="R1606" s="104" t="s">
        <v>1940</v>
      </c>
      <c r="S1606" s="104" t="s">
        <v>1107</v>
      </c>
      <c r="T1606" s="104" t="s">
        <v>1115</v>
      </c>
      <c r="U1606" s="104" t="s">
        <v>1419</v>
      </c>
      <c r="V1606" s="104" t="s">
        <v>1727</v>
      </c>
      <c r="W1606" s="104" t="s">
        <v>1393</v>
      </c>
      <c r="X1606" s="104" t="s">
        <v>1421</v>
      </c>
      <c r="Y1606" s="103">
        <v>1.69</v>
      </c>
      <c r="Z1606" s="353"/>
      <c r="AA1606" s="353"/>
      <c r="AB1606" s="103" t="s">
        <v>140</v>
      </c>
      <c r="AF1606" s="103" t="s">
        <v>1360</v>
      </c>
      <c r="AG1606" s="103" t="s">
        <v>578</v>
      </c>
      <c r="AH1606" s="138" t="s">
        <v>578</v>
      </c>
      <c r="AI1606" s="103" t="s">
        <v>1540</v>
      </c>
      <c r="AJ1606" s="145" t="s">
        <v>117</v>
      </c>
      <c r="AK1606" s="103" t="s">
        <v>1099</v>
      </c>
      <c r="AL1606" s="103" t="s">
        <v>1099</v>
      </c>
      <c r="AM1606" s="103" t="s">
        <v>178</v>
      </c>
      <c r="AQ1606" s="103" t="s">
        <v>1113</v>
      </c>
      <c r="AR1606" s="103" t="s">
        <v>1114</v>
      </c>
      <c r="AS1606" s="103" t="s">
        <v>503</v>
      </c>
      <c r="AT1606" s="103" t="s">
        <v>1112</v>
      </c>
      <c r="AU1606" s="103">
        <v>3</v>
      </c>
      <c r="AW1606" s="103" t="s">
        <v>142</v>
      </c>
      <c r="BB1606" s="103" t="s">
        <v>1116</v>
      </c>
      <c r="BM1606" s="428"/>
      <c r="BN1606" s="428"/>
      <c r="BR1606" s="428"/>
      <c r="BS1606" s="428"/>
      <c r="BW1606" s="103">
        <f>(1000000/(100*100*0.3*1.69*1000))*22.4</f>
        <v>4.4181459566074945</v>
      </c>
      <c r="BX1606" s="103">
        <f>(1000000/(100*100*0.3*1.69*1000))*22.9</f>
        <v>4.5167652859960548</v>
      </c>
      <c r="CA1606" s="103" t="s">
        <v>1682</v>
      </c>
      <c r="IO1606" s="103" t="s">
        <v>1120</v>
      </c>
    </row>
    <row r="1607" spans="1:249" s="103" customFormat="1" x14ac:dyDescent="0.25">
      <c r="A1607" s="103">
        <v>73</v>
      </c>
      <c r="B1607" s="103" t="s">
        <v>1108</v>
      </c>
      <c r="C1607" s="103" t="s">
        <v>1109</v>
      </c>
      <c r="D1607" s="103">
        <v>2003</v>
      </c>
      <c r="E1607" s="103">
        <v>1989</v>
      </c>
      <c r="F1607" s="103" t="s">
        <v>1110</v>
      </c>
      <c r="G1607" s="103" t="s">
        <v>1138</v>
      </c>
      <c r="H1607" s="24" t="s">
        <v>2832</v>
      </c>
      <c r="I1607" s="103">
        <v>50.29</v>
      </c>
      <c r="J1607" s="103">
        <v>-107.8</v>
      </c>
      <c r="K1607" s="103">
        <v>757</v>
      </c>
      <c r="Q1607" s="104">
        <v>2</v>
      </c>
      <c r="R1607" s="104" t="s">
        <v>1940</v>
      </c>
      <c r="S1607" s="104" t="s">
        <v>1107</v>
      </c>
      <c r="T1607" s="104" t="s">
        <v>1115</v>
      </c>
      <c r="U1607" s="104" t="s">
        <v>1419</v>
      </c>
      <c r="V1607" s="104" t="s">
        <v>1727</v>
      </c>
      <c r="W1607" s="104" t="s">
        <v>1393</v>
      </c>
      <c r="X1607" s="104" t="s">
        <v>1421</v>
      </c>
      <c r="Y1607" s="103">
        <v>1.69</v>
      </c>
      <c r="Z1607" s="353"/>
      <c r="AA1607" s="353"/>
      <c r="AB1607" s="103" t="s">
        <v>140</v>
      </c>
      <c r="AF1607" s="103" t="s">
        <v>1360</v>
      </c>
      <c r="AG1607" s="103" t="s">
        <v>578</v>
      </c>
      <c r="AH1607" s="138" t="s">
        <v>578</v>
      </c>
      <c r="AI1607" s="103" t="s">
        <v>1540</v>
      </c>
      <c r="AJ1607" s="145" t="s">
        <v>117</v>
      </c>
      <c r="AK1607" s="103" t="s">
        <v>1099</v>
      </c>
      <c r="AL1607" s="103" t="s">
        <v>1099</v>
      </c>
      <c r="AM1607" s="103" t="s">
        <v>178</v>
      </c>
      <c r="AQ1607" s="103" t="s">
        <v>1113</v>
      </c>
      <c r="AR1607" s="103" t="s">
        <v>1114</v>
      </c>
      <c r="AS1607" s="103" t="s">
        <v>503</v>
      </c>
      <c r="AT1607" s="103" t="s">
        <v>1112</v>
      </c>
      <c r="AU1607" s="103">
        <v>3</v>
      </c>
      <c r="AW1607" s="103" t="s">
        <v>142</v>
      </c>
      <c r="BB1607" s="103" t="s">
        <v>1116</v>
      </c>
      <c r="BM1607" s="428"/>
      <c r="BN1607" s="428"/>
      <c r="BR1607" s="428"/>
      <c r="BS1607" s="428"/>
      <c r="BW1607" s="103">
        <f>(1000000/(100*100*0.3*1.69*1000))*26.3</f>
        <v>5.1873767258382646</v>
      </c>
      <c r="BX1607" s="103">
        <f>(1000000/(100*100*0.3*1.69*1000))*34.3</f>
        <v>6.7652859960552263</v>
      </c>
      <c r="CA1607" s="103" t="s">
        <v>1682</v>
      </c>
      <c r="IO1607" s="103" t="s">
        <v>1120</v>
      </c>
    </row>
    <row r="1608" spans="1:249" s="103" customFormat="1" x14ac:dyDescent="0.25">
      <c r="A1608" s="103">
        <v>73</v>
      </c>
      <c r="B1608" s="103" t="s">
        <v>1108</v>
      </c>
      <c r="C1608" s="103" t="s">
        <v>1109</v>
      </c>
      <c r="D1608" s="103">
        <v>2003</v>
      </c>
      <c r="E1608" s="103">
        <v>1990</v>
      </c>
      <c r="F1608" s="103" t="s">
        <v>1110</v>
      </c>
      <c r="G1608" s="103" t="s">
        <v>1138</v>
      </c>
      <c r="H1608" s="24" t="s">
        <v>2832</v>
      </c>
      <c r="I1608" s="103">
        <v>50.29</v>
      </c>
      <c r="J1608" s="103">
        <v>-107.8</v>
      </c>
      <c r="K1608" s="103">
        <v>757</v>
      </c>
      <c r="Q1608" s="104">
        <v>3</v>
      </c>
      <c r="R1608" s="104" t="s">
        <v>1940</v>
      </c>
      <c r="S1608" s="104" t="s">
        <v>1107</v>
      </c>
      <c r="T1608" s="104" t="s">
        <v>1115</v>
      </c>
      <c r="U1608" s="104" t="s">
        <v>1419</v>
      </c>
      <c r="V1608" s="104" t="s">
        <v>1727</v>
      </c>
      <c r="W1608" s="104" t="s">
        <v>1393</v>
      </c>
      <c r="X1608" s="104" t="s">
        <v>1421</v>
      </c>
      <c r="Y1608" s="103">
        <v>1.69</v>
      </c>
      <c r="Z1608" s="353"/>
      <c r="AA1608" s="353"/>
      <c r="AB1608" s="103" t="s">
        <v>140</v>
      </c>
      <c r="AF1608" s="103" t="s">
        <v>1360</v>
      </c>
      <c r="AG1608" s="103" t="s">
        <v>578</v>
      </c>
      <c r="AH1608" s="138" t="s">
        <v>578</v>
      </c>
      <c r="AI1608" s="103" t="s">
        <v>1540</v>
      </c>
      <c r="AJ1608" s="145" t="s">
        <v>117</v>
      </c>
      <c r="AK1608" s="103" t="s">
        <v>1099</v>
      </c>
      <c r="AL1608" s="103" t="s">
        <v>1099</v>
      </c>
      <c r="AM1608" s="103" t="s">
        <v>178</v>
      </c>
      <c r="AQ1608" s="103" t="s">
        <v>1113</v>
      </c>
      <c r="AR1608" s="103" t="s">
        <v>1114</v>
      </c>
      <c r="AS1608" s="103" t="s">
        <v>503</v>
      </c>
      <c r="AT1608" s="103" t="s">
        <v>1112</v>
      </c>
      <c r="AU1608" s="103">
        <v>3</v>
      </c>
      <c r="AW1608" s="103" t="s">
        <v>142</v>
      </c>
      <c r="BB1608" s="103" t="s">
        <v>1116</v>
      </c>
      <c r="BM1608" s="428"/>
      <c r="BN1608" s="428"/>
      <c r="BR1608" s="428"/>
      <c r="BS1608" s="428"/>
      <c r="BW1608" s="103">
        <f>(1000000/(100*100*0.3*1.69*1000))*33.5</f>
        <v>6.607495069033531</v>
      </c>
      <c r="BX1608" s="103">
        <f>(1000000/(100*100*0.3*1.69*1000))*34.8</f>
        <v>6.8639053254437865</v>
      </c>
      <c r="CA1608" s="103" t="s">
        <v>1682</v>
      </c>
      <c r="IO1608" s="103" t="s">
        <v>1120</v>
      </c>
    </row>
    <row r="1609" spans="1:249" s="103" customFormat="1" x14ac:dyDescent="0.25">
      <c r="A1609" s="103">
        <v>73</v>
      </c>
      <c r="B1609" s="103" t="s">
        <v>1108</v>
      </c>
      <c r="C1609" s="103" t="s">
        <v>1109</v>
      </c>
      <c r="D1609" s="103">
        <v>2003</v>
      </c>
      <c r="E1609" s="103">
        <v>1991</v>
      </c>
      <c r="F1609" s="103" t="s">
        <v>1110</v>
      </c>
      <c r="G1609" s="103" t="s">
        <v>1138</v>
      </c>
      <c r="H1609" s="24" t="s">
        <v>2832</v>
      </c>
      <c r="I1609" s="103">
        <v>50.29</v>
      </c>
      <c r="J1609" s="103">
        <v>-107.8</v>
      </c>
      <c r="K1609" s="103">
        <v>757</v>
      </c>
      <c r="Q1609" s="104">
        <v>4</v>
      </c>
      <c r="R1609" s="104" t="s">
        <v>1940</v>
      </c>
      <c r="S1609" s="104" t="s">
        <v>1107</v>
      </c>
      <c r="T1609" s="104" t="s">
        <v>1115</v>
      </c>
      <c r="U1609" s="104" t="s">
        <v>1419</v>
      </c>
      <c r="V1609" s="104" t="s">
        <v>1727</v>
      </c>
      <c r="W1609" s="104" t="s">
        <v>1393</v>
      </c>
      <c r="X1609" s="104" t="s">
        <v>1421</v>
      </c>
      <c r="Y1609" s="103">
        <v>1.69</v>
      </c>
      <c r="Z1609" s="353"/>
      <c r="AA1609" s="353"/>
      <c r="AB1609" s="103" t="s">
        <v>140</v>
      </c>
      <c r="AF1609" s="103" t="s">
        <v>1360</v>
      </c>
      <c r="AG1609" s="103" t="s">
        <v>578</v>
      </c>
      <c r="AH1609" s="138" t="s">
        <v>578</v>
      </c>
      <c r="AI1609" s="103" t="s">
        <v>1540</v>
      </c>
      <c r="AJ1609" s="145" t="s">
        <v>117</v>
      </c>
      <c r="AK1609" s="103" t="s">
        <v>1099</v>
      </c>
      <c r="AL1609" s="103" t="s">
        <v>1099</v>
      </c>
      <c r="AM1609" s="103" t="s">
        <v>178</v>
      </c>
      <c r="AQ1609" s="103" t="s">
        <v>1113</v>
      </c>
      <c r="AR1609" s="103" t="s">
        <v>1114</v>
      </c>
      <c r="AS1609" s="103" t="s">
        <v>503</v>
      </c>
      <c r="AT1609" s="103" t="s">
        <v>1112</v>
      </c>
      <c r="AU1609" s="103">
        <v>3</v>
      </c>
      <c r="AW1609" s="103" t="s">
        <v>142</v>
      </c>
      <c r="BB1609" s="103" t="s">
        <v>1116</v>
      </c>
      <c r="BM1609" s="428"/>
      <c r="BN1609" s="428"/>
      <c r="BR1609" s="428"/>
      <c r="BS1609" s="428"/>
      <c r="BW1609" s="103">
        <f>(1000000/(100*100*0.3*1.69*1000))*30.8</f>
        <v>6.0749506903353065</v>
      </c>
      <c r="BX1609" s="103">
        <f>(1000000/(100*100*0.3*1.69*1000))*36.4</f>
        <v>7.1794871794871797</v>
      </c>
      <c r="CA1609" s="103" t="s">
        <v>1682</v>
      </c>
      <c r="IO1609" s="103" t="s">
        <v>1120</v>
      </c>
    </row>
    <row r="1610" spans="1:249" s="103" customFormat="1" x14ac:dyDescent="0.25">
      <c r="A1610" s="103">
        <v>73</v>
      </c>
      <c r="B1610" s="103" t="s">
        <v>1108</v>
      </c>
      <c r="C1610" s="103" t="s">
        <v>1109</v>
      </c>
      <c r="D1610" s="103">
        <v>2003</v>
      </c>
      <c r="E1610" s="103">
        <v>1992</v>
      </c>
      <c r="F1610" s="103" t="s">
        <v>1110</v>
      </c>
      <c r="G1610" s="103" t="s">
        <v>1138</v>
      </c>
      <c r="H1610" s="24" t="s">
        <v>2832</v>
      </c>
      <c r="I1610" s="103">
        <v>50.29</v>
      </c>
      <c r="J1610" s="103">
        <v>-107.8</v>
      </c>
      <c r="K1610" s="103">
        <v>757</v>
      </c>
      <c r="Q1610" s="104">
        <v>5</v>
      </c>
      <c r="R1610" s="104" t="s">
        <v>1940</v>
      </c>
      <c r="S1610" s="104" t="s">
        <v>1107</v>
      </c>
      <c r="T1610" s="104" t="s">
        <v>1115</v>
      </c>
      <c r="U1610" s="104" t="s">
        <v>1419</v>
      </c>
      <c r="V1610" s="104" t="s">
        <v>1727</v>
      </c>
      <c r="W1610" s="104" t="s">
        <v>1393</v>
      </c>
      <c r="X1610" s="104" t="s">
        <v>1421</v>
      </c>
      <c r="Y1610" s="103">
        <v>1.69</v>
      </c>
      <c r="Z1610" s="353"/>
      <c r="AA1610" s="353"/>
      <c r="AB1610" s="103" t="s">
        <v>140</v>
      </c>
      <c r="AF1610" s="103" t="s">
        <v>1360</v>
      </c>
      <c r="AG1610" s="103" t="s">
        <v>578</v>
      </c>
      <c r="AH1610" s="138" t="s">
        <v>578</v>
      </c>
      <c r="AI1610" s="103" t="s">
        <v>1540</v>
      </c>
      <c r="AJ1610" s="145" t="s">
        <v>117</v>
      </c>
      <c r="AK1610" s="103" t="s">
        <v>1099</v>
      </c>
      <c r="AL1610" s="103" t="s">
        <v>1099</v>
      </c>
      <c r="AM1610" s="103" t="s">
        <v>178</v>
      </c>
      <c r="AQ1610" s="103" t="s">
        <v>1113</v>
      </c>
      <c r="AR1610" s="103" t="s">
        <v>1114</v>
      </c>
      <c r="AS1610" s="103" t="s">
        <v>503</v>
      </c>
      <c r="AT1610" s="103" t="s">
        <v>1112</v>
      </c>
      <c r="AU1610" s="103">
        <v>3</v>
      </c>
      <c r="AW1610" s="103" t="s">
        <v>142</v>
      </c>
      <c r="BB1610" s="103" t="s">
        <v>1116</v>
      </c>
      <c r="BM1610" s="428"/>
      <c r="BN1610" s="428"/>
      <c r="BR1610" s="428"/>
      <c r="BS1610" s="428"/>
      <c r="BW1610" s="103">
        <f>(1000000/(100*100*0.3*1.69*1000))*12.8</f>
        <v>2.5246548323471405</v>
      </c>
      <c r="BX1610" s="103">
        <f>(1000000/(100*100*0.3*1.69*1000))*38</f>
        <v>7.4950690335305721</v>
      </c>
      <c r="CA1610" s="103" t="s">
        <v>1682</v>
      </c>
      <c r="IO1610" s="103" t="s">
        <v>1120</v>
      </c>
    </row>
    <row r="1611" spans="1:249" s="103" customFormat="1" x14ac:dyDescent="0.25">
      <c r="A1611" s="103">
        <v>73</v>
      </c>
      <c r="B1611" s="103" t="s">
        <v>1108</v>
      </c>
      <c r="C1611" s="103" t="s">
        <v>1109</v>
      </c>
      <c r="D1611" s="103">
        <v>2003</v>
      </c>
      <c r="E1611" s="103">
        <v>1993</v>
      </c>
      <c r="F1611" s="103" t="s">
        <v>1110</v>
      </c>
      <c r="G1611" s="103" t="s">
        <v>1138</v>
      </c>
      <c r="H1611" s="24" t="s">
        <v>2832</v>
      </c>
      <c r="I1611" s="103">
        <v>50.29</v>
      </c>
      <c r="J1611" s="103">
        <v>-107.8</v>
      </c>
      <c r="K1611" s="103">
        <v>757</v>
      </c>
      <c r="Q1611" s="104">
        <v>6</v>
      </c>
      <c r="R1611" s="104" t="s">
        <v>1940</v>
      </c>
      <c r="S1611" s="104" t="s">
        <v>1107</v>
      </c>
      <c r="T1611" s="104" t="s">
        <v>1115</v>
      </c>
      <c r="U1611" s="104" t="s">
        <v>1419</v>
      </c>
      <c r="V1611" s="104" t="s">
        <v>1727</v>
      </c>
      <c r="W1611" s="104" t="s">
        <v>1393</v>
      </c>
      <c r="X1611" s="104" t="s">
        <v>1421</v>
      </c>
      <c r="Y1611" s="103">
        <v>1.69</v>
      </c>
      <c r="Z1611" s="353"/>
      <c r="AA1611" s="353"/>
      <c r="AB1611" s="103" t="s">
        <v>140</v>
      </c>
      <c r="AF1611" s="103" t="s">
        <v>1360</v>
      </c>
      <c r="AG1611" s="103" t="s">
        <v>578</v>
      </c>
      <c r="AH1611" s="138" t="s">
        <v>578</v>
      </c>
      <c r="AI1611" s="103" t="s">
        <v>1540</v>
      </c>
      <c r="AJ1611" s="145" t="s">
        <v>117</v>
      </c>
      <c r="AK1611" s="103" t="s">
        <v>1099</v>
      </c>
      <c r="AL1611" s="103" t="s">
        <v>1099</v>
      </c>
      <c r="AM1611" s="103" t="s">
        <v>178</v>
      </c>
      <c r="AQ1611" s="103" t="s">
        <v>1113</v>
      </c>
      <c r="AR1611" s="103" t="s">
        <v>1114</v>
      </c>
      <c r="AS1611" s="103" t="s">
        <v>503</v>
      </c>
      <c r="AT1611" s="103" t="s">
        <v>1112</v>
      </c>
      <c r="AU1611" s="103">
        <v>3</v>
      </c>
      <c r="AW1611" s="103" t="s">
        <v>142</v>
      </c>
      <c r="BB1611" s="103" t="s">
        <v>1116</v>
      </c>
      <c r="BM1611" s="428"/>
      <c r="BN1611" s="428"/>
      <c r="BR1611" s="428"/>
      <c r="BS1611" s="428"/>
      <c r="BW1611" s="103">
        <f>(1000000/(100*100*0.3*1.69*1000))*11.7</f>
        <v>2.3076923076923075</v>
      </c>
      <c r="BX1611" s="103">
        <f>(1000000/(100*100*0.3*1.69*1000))*17.6</f>
        <v>3.471400394477318</v>
      </c>
      <c r="CA1611" s="103" t="s">
        <v>1682</v>
      </c>
      <c r="IO1611" s="103" t="s">
        <v>1120</v>
      </c>
    </row>
    <row r="1612" spans="1:249" s="103" customFormat="1" x14ac:dyDescent="0.25">
      <c r="A1612" s="103">
        <v>73</v>
      </c>
      <c r="B1612" s="103" t="s">
        <v>1108</v>
      </c>
      <c r="C1612" s="103" t="s">
        <v>1109</v>
      </c>
      <c r="D1612" s="103">
        <v>2003</v>
      </c>
      <c r="E1612" s="103">
        <v>1994</v>
      </c>
      <c r="F1612" s="103" t="s">
        <v>1110</v>
      </c>
      <c r="G1612" s="103" t="s">
        <v>1138</v>
      </c>
      <c r="H1612" s="24" t="s">
        <v>2832</v>
      </c>
      <c r="I1612" s="103">
        <v>50.29</v>
      </c>
      <c r="J1612" s="103">
        <v>-107.8</v>
      </c>
      <c r="K1612" s="103">
        <v>757</v>
      </c>
      <c r="Q1612" s="104">
        <v>7</v>
      </c>
      <c r="R1612" s="104" t="s">
        <v>1940</v>
      </c>
      <c r="S1612" s="104" t="s">
        <v>1107</v>
      </c>
      <c r="T1612" s="104" t="s">
        <v>1115</v>
      </c>
      <c r="U1612" s="104" t="s">
        <v>1419</v>
      </c>
      <c r="V1612" s="104" t="s">
        <v>1727</v>
      </c>
      <c r="W1612" s="104" t="s">
        <v>1393</v>
      </c>
      <c r="X1612" s="104" t="s">
        <v>1421</v>
      </c>
      <c r="Y1612" s="103">
        <v>1.69</v>
      </c>
      <c r="Z1612" s="353"/>
      <c r="AA1612" s="353"/>
      <c r="AB1612" s="103" t="s">
        <v>140</v>
      </c>
      <c r="AF1612" s="103" t="s">
        <v>1360</v>
      </c>
      <c r="AG1612" s="103" t="s">
        <v>578</v>
      </c>
      <c r="AH1612" s="138" t="s">
        <v>578</v>
      </c>
      <c r="AI1612" s="103" t="s">
        <v>1540</v>
      </c>
      <c r="AJ1612" s="145" t="s">
        <v>117</v>
      </c>
      <c r="AK1612" s="103" t="s">
        <v>1099</v>
      </c>
      <c r="AL1612" s="103" t="s">
        <v>1099</v>
      </c>
      <c r="AM1612" s="103" t="s">
        <v>178</v>
      </c>
      <c r="AQ1612" s="103" t="s">
        <v>1113</v>
      </c>
      <c r="AR1612" s="103" t="s">
        <v>1114</v>
      </c>
      <c r="AS1612" s="103" t="s">
        <v>503</v>
      </c>
      <c r="AT1612" s="103" t="s">
        <v>1112</v>
      </c>
      <c r="AU1612" s="103">
        <v>3</v>
      </c>
      <c r="AW1612" s="103" t="s">
        <v>142</v>
      </c>
      <c r="BB1612" s="103" t="s">
        <v>1116</v>
      </c>
      <c r="BM1612" s="428"/>
      <c r="BN1612" s="428"/>
      <c r="BR1612" s="428"/>
      <c r="BS1612" s="428"/>
      <c r="BW1612" s="103">
        <f>(1000000/(100*100*0.3*1.69*1000))*8.1</f>
        <v>1.5976331360946745</v>
      </c>
      <c r="BX1612" s="103">
        <f>(1000000/(100*100*0.3*1.69*1000))*14.1</f>
        <v>2.7810650887573964</v>
      </c>
      <c r="CA1612" s="103" t="s">
        <v>1682</v>
      </c>
      <c r="IO1612" s="103" t="s">
        <v>1120</v>
      </c>
    </row>
    <row r="1613" spans="1:249" s="103" customFormat="1" x14ac:dyDescent="0.25">
      <c r="A1613" s="103">
        <v>73</v>
      </c>
      <c r="B1613" s="103" t="s">
        <v>1108</v>
      </c>
      <c r="C1613" s="103" t="s">
        <v>1109</v>
      </c>
      <c r="D1613" s="103">
        <v>2003</v>
      </c>
      <c r="E1613" s="103">
        <v>1995</v>
      </c>
      <c r="F1613" s="103" t="s">
        <v>1110</v>
      </c>
      <c r="G1613" s="103" t="s">
        <v>1138</v>
      </c>
      <c r="H1613" s="24" t="s">
        <v>2832</v>
      </c>
      <c r="I1613" s="103">
        <v>50.29</v>
      </c>
      <c r="J1613" s="103">
        <v>-107.8</v>
      </c>
      <c r="K1613" s="103">
        <v>757</v>
      </c>
      <c r="Q1613" s="104">
        <v>8</v>
      </c>
      <c r="R1613" s="104" t="s">
        <v>1940</v>
      </c>
      <c r="S1613" s="104" t="s">
        <v>1107</v>
      </c>
      <c r="T1613" s="104" t="s">
        <v>1115</v>
      </c>
      <c r="U1613" s="104" t="s">
        <v>1419</v>
      </c>
      <c r="V1613" s="104" t="s">
        <v>1727</v>
      </c>
      <c r="W1613" s="104" t="s">
        <v>1393</v>
      </c>
      <c r="X1613" s="104" t="s">
        <v>1421</v>
      </c>
      <c r="Y1613" s="103">
        <v>1.69</v>
      </c>
      <c r="Z1613" s="353"/>
      <c r="AA1613" s="353"/>
      <c r="AB1613" s="103" t="s">
        <v>140</v>
      </c>
      <c r="AF1613" s="103" t="s">
        <v>1360</v>
      </c>
      <c r="AG1613" s="103" t="s">
        <v>578</v>
      </c>
      <c r="AH1613" s="138" t="s">
        <v>578</v>
      </c>
      <c r="AI1613" s="103" t="s">
        <v>1540</v>
      </c>
      <c r="AJ1613" s="145" t="s">
        <v>117</v>
      </c>
      <c r="AK1613" s="103" t="s">
        <v>1099</v>
      </c>
      <c r="AL1613" s="103" t="s">
        <v>1099</v>
      </c>
      <c r="AM1613" s="103" t="s">
        <v>178</v>
      </c>
      <c r="AQ1613" s="103" t="s">
        <v>1113</v>
      </c>
      <c r="AR1613" s="103" t="s">
        <v>1114</v>
      </c>
      <c r="AS1613" s="103" t="s">
        <v>503</v>
      </c>
      <c r="AT1613" s="103" t="s">
        <v>1112</v>
      </c>
      <c r="AU1613" s="103">
        <v>3</v>
      </c>
      <c r="AW1613" s="103" t="s">
        <v>142</v>
      </c>
      <c r="BB1613" s="103" t="s">
        <v>1116</v>
      </c>
      <c r="BM1613" s="428"/>
      <c r="BN1613" s="428"/>
      <c r="BR1613" s="428"/>
      <c r="BS1613" s="428"/>
      <c r="BW1613" s="103">
        <f>(1000000/(100*100*0.3*1.69*1000))*4.6</f>
        <v>0.90729783037475342</v>
      </c>
      <c r="BX1613" s="103">
        <f>(1000000/(100*100*0.3*1.69*1000))*11.2</f>
        <v>2.2090729783037473</v>
      </c>
      <c r="CA1613" s="103" t="s">
        <v>1682</v>
      </c>
      <c r="IO1613" s="103" t="s">
        <v>1120</v>
      </c>
    </row>
    <row r="1614" spans="1:249" s="103" customFormat="1" x14ac:dyDescent="0.25">
      <c r="A1614" s="103">
        <v>73</v>
      </c>
      <c r="B1614" s="103" t="s">
        <v>1108</v>
      </c>
      <c r="C1614" s="103" t="s">
        <v>1109</v>
      </c>
      <c r="D1614" s="103">
        <v>2003</v>
      </c>
      <c r="E1614" s="103">
        <v>1996</v>
      </c>
      <c r="F1614" s="103" t="s">
        <v>1110</v>
      </c>
      <c r="G1614" s="103" t="s">
        <v>1138</v>
      </c>
      <c r="H1614" s="24" t="s">
        <v>2832</v>
      </c>
      <c r="I1614" s="103">
        <v>50.29</v>
      </c>
      <c r="J1614" s="103">
        <v>-107.8</v>
      </c>
      <c r="K1614" s="103">
        <v>757</v>
      </c>
      <c r="Q1614" s="104">
        <v>9</v>
      </c>
      <c r="R1614" s="104" t="s">
        <v>1940</v>
      </c>
      <c r="S1614" s="104" t="s">
        <v>1107</v>
      </c>
      <c r="T1614" s="104" t="s">
        <v>1115</v>
      </c>
      <c r="U1614" s="104" t="s">
        <v>1419</v>
      </c>
      <c r="V1614" s="104" t="s">
        <v>1727</v>
      </c>
      <c r="W1614" s="104" t="s">
        <v>1393</v>
      </c>
      <c r="X1614" s="104" t="s">
        <v>1421</v>
      </c>
      <c r="Y1614" s="103">
        <v>1.69</v>
      </c>
      <c r="Z1614" s="353"/>
      <c r="AA1614" s="353"/>
      <c r="AB1614" s="103" t="s">
        <v>140</v>
      </c>
      <c r="AF1614" s="103" t="s">
        <v>1360</v>
      </c>
      <c r="AG1614" s="103" t="s">
        <v>578</v>
      </c>
      <c r="AH1614" s="138" t="s">
        <v>578</v>
      </c>
      <c r="AI1614" s="103" t="s">
        <v>1540</v>
      </c>
      <c r="AJ1614" s="145" t="s">
        <v>117</v>
      </c>
      <c r="AK1614" s="103" t="s">
        <v>1099</v>
      </c>
      <c r="AL1614" s="103" t="s">
        <v>1099</v>
      </c>
      <c r="AM1614" s="103" t="s">
        <v>178</v>
      </c>
      <c r="AQ1614" s="103" t="s">
        <v>1113</v>
      </c>
      <c r="AR1614" s="103" t="s">
        <v>1114</v>
      </c>
      <c r="AS1614" s="103" t="s">
        <v>503</v>
      </c>
      <c r="AT1614" s="103" t="s">
        <v>1112</v>
      </c>
      <c r="AU1614" s="103">
        <v>3</v>
      </c>
      <c r="AW1614" s="103" t="s">
        <v>142</v>
      </c>
      <c r="BB1614" s="103" t="s">
        <v>1116</v>
      </c>
      <c r="BM1614" s="428"/>
      <c r="BN1614" s="428"/>
      <c r="BR1614" s="428"/>
      <c r="BS1614" s="428"/>
      <c r="BW1614" s="103">
        <f>(1000000/(100*100*0.3*1.69*1000))*7.7</f>
        <v>1.5187376725838266</v>
      </c>
      <c r="BX1614" s="103">
        <f>(1000000/(100*100*0.3*1.69*1000))*17</f>
        <v>3.3530571992110456</v>
      </c>
      <c r="CA1614" s="103" t="s">
        <v>1682</v>
      </c>
      <c r="IO1614" s="103" t="s">
        <v>1120</v>
      </c>
    </row>
    <row r="1615" spans="1:249" s="103" customFormat="1" x14ac:dyDescent="0.25">
      <c r="A1615" s="103">
        <v>73</v>
      </c>
      <c r="B1615" s="103" t="s">
        <v>1108</v>
      </c>
      <c r="C1615" s="103" t="s">
        <v>1109</v>
      </c>
      <c r="D1615" s="103">
        <v>2003</v>
      </c>
      <c r="E1615" s="103">
        <v>1997</v>
      </c>
      <c r="F1615" s="103" t="s">
        <v>1110</v>
      </c>
      <c r="G1615" s="103" t="s">
        <v>1138</v>
      </c>
      <c r="H1615" s="24" t="s">
        <v>2832</v>
      </c>
      <c r="I1615" s="103">
        <v>50.29</v>
      </c>
      <c r="J1615" s="103">
        <v>-107.8</v>
      </c>
      <c r="K1615" s="103">
        <v>757</v>
      </c>
      <c r="Q1615" s="104">
        <v>10</v>
      </c>
      <c r="R1615" s="104" t="s">
        <v>1940</v>
      </c>
      <c r="S1615" s="104" t="s">
        <v>1107</v>
      </c>
      <c r="T1615" s="104" t="s">
        <v>1115</v>
      </c>
      <c r="U1615" s="104" t="s">
        <v>1419</v>
      </c>
      <c r="V1615" s="104" t="s">
        <v>1727</v>
      </c>
      <c r="W1615" s="104" t="s">
        <v>1393</v>
      </c>
      <c r="X1615" s="104" t="s">
        <v>1421</v>
      </c>
      <c r="Y1615" s="103">
        <v>1.69</v>
      </c>
      <c r="Z1615" s="353"/>
      <c r="AA1615" s="353"/>
      <c r="AB1615" s="103" t="s">
        <v>140</v>
      </c>
      <c r="AF1615" s="103" t="s">
        <v>1360</v>
      </c>
      <c r="AG1615" s="103" t="s">
        <v>578</v>
      </c>
      <c r="AH1615" s="138" t="s">
        <v>578</v>
      </c>
      <c r="AI1615" s="103" t="s">
        <v>1540</v>
      </c>
      <c r="AJ1615" s="145" t="s">
        <v>117</v>
      </c>
      <c r="AK1615" s="103" t="s">
        <v>1099</v>
      </c>
      <c r="AL1615" s="103" t="s">
        <v>1099</v>
      </c>
      <c r="AM1615" s="103" t="s">
        <v>178</v>
      </c>
      <c r="AQ1615" s="103" t="s">
        <v>1113</v>
      </c>
      <c r="AR1615" s="103" t="s">
        <v>1114</v>
      </c>
      <c r="AS1615" s="103" t="s">
        <v>503</v>
      </c>
      <c r="AT1615" s="103" t="s">
        <v>1112</v>
      </c>
      <c r="AU1615" s="103">
        <v>3</v>
      </c>
      <c r="AW1615" s="103" t="s">
        <v>142</v>
      </c>
      <c r="BB1615" s="103" t="s">
        <v>1116</v>
      </c>
      <c r="BM1615" s="428"/>
      <c r="BN1615" s="428"/>
      <c r="BR1615" s="428"/>
      <c r="BS1615" s="428"/>
      <c r="BW1615" s="103">
        <f>(1000000/(100*100*0.3*1.69*1000))*7.5</f>
        <v>1.4792899408284024</v>
      </c>
      <c r="BX1615" s="103">
        <f>(1000000/(100*100*0.3*1.69*1000))*18.5</f>
        <v>3.6489151873767258</v>
      </c>
      <c r="CA1615" s="103" t="s">
        <v>1682</v>
      </c>
      <c r="IO1615" s="103" t="s">
        <v>1120</v>
      </c>
    </row>
    <row r="1616" spans="1:249" s="103" customFormat="1" x14ac:dyDescent="0.25">
      <c r="A1616" s="103">
        <v>73</v>
      </c>
      <c r="B1616" s="103" t="s">
        <v>1108</v>
      </c>
      <c r="C1616" s="103" t="s">
        <v>1109</v>
      </c>
      <c r="D1616" s="103">
        <v>2003</v>
      </c>
      <c r="E1616" s="103">
        <v>1998</v>
      </c>
      <c r="F1616" s="103" t="s">
        <v>1110</v>
      </c>
      <c r="G1616" s="103" t="s">
        <v>1138</v>
      </c>
      <c r="H1616" s="24" t="s">
        <v>2832</v>
      </c>
      <c r="I1616" s="103">
        <v>50.29</v>
      </c>
      <c r="J1616" s="103">
        <v>-107.8</v>
      </c>
      <c r="K1616" s="103">
        <v>757</v>
      </c>
      <c r="Q1616" s="104">
        <v>11</v>
      </c>
      <c r="R1616" s="104" t="s">
        <v>1940</v>
      </c>
      <c r="S1616" s="104" t="s">
        <v>1107</v>
      </c>
      <c r="T1616" s="104" t="s">
        <v>1115</v>
      </c>
      <c r="U1616" s="104" t="s">
        <v>1419</v>
      </c>
      <c r="V1616" s="104" t="s">
        <v>1727</v>
      </c>
      <c r="W1616" s="104" t="s">
        <v>1393</v>
      </c>
      <c r="X1616" s="104" t="s">
        <v>1421</v>
      </c>
      <c r="Y1616" s="103">
        <v>1.69</v>
      </c>
      <c r="Z1616" s="353"/>
      <c r="AA1616" s="353"/>
      <c r="AB1616" s="103" t="s">
        <v>140</v>
      </c>
      <c r="AF1616" s="103" t="s">
        <v>1360</v>
      </c>
      <c r="AG1616" s="103" t="s">
        <v>578</v>
      </c>
      <c r="AH1616" s="138" t="s">
        <v>578</v>
      </c>
      <c r="AI1616" s="103" t="s">
        <v>1540</v>
      </c>
      <c r="AJ1616" s="145" t="s">
        <v>117</v>
      </c>
      <c r="AK1616" s="103" t="s">
        <v>1099</v>
      </c>
      <c r="AL1616" s="103" t="s">
        <v>1099</v>
      </c>
      <c r="AM1616" s="103" t="s">
        <v>178</v>
      </c>
      <c r="AQ1616" s="103" t="s">
        <v>1113</v>
      </c>
      <c r="AR1616" s="103" t="s">
        <v>1114</v>
      </c>
      <c r="AS1616" s="103" t="s">
        <v>503</v>
      </c>
      <c r="AT1616" s="103" t="s">
        <v>1112</v>
      </c>
      <c r="AU1616" s="103">
        <v>3</v>
      </c>
      <c r="AW1616" s="103" t="s">
        <v>142</v>
      </c>
      <c r="BB1616" s="103" t="s">
        <v>1116</v>
      </c>
      <c r="BM1616" s="428"/>
      <c r="BN1616" s="428"/>
      <c r="BR1616" s="428"/>
      <c r="BS1616" s="428"/>
      <c r="BW1616" s="103">
        <f>(1000000/(100*100*0.3*1.69*1000))*16.4</f>
        <v>3.2347140039447728</v>
      </c>
      <c r="BX1616" s="103">
        <f>(1000000/(100*100*0.3*1.69*1000))*41</f>
        <v>8.0867850098619325</v>
      </c>
      <c r="CA1616" s="103" t="s">
        <v>1682</v>
      </c>
      <c r="IO1616" s="103" t="s">
        <v>1120</v>
      </c>
    </row>
    <row r="1617" spans="1:249" s="103" customFormat="1" x14ac:dyDescent="0.25">
      <c r="A1617" s="103">
        <v>73</v>
      </c>
      <c r="B1617" s="103" t="s">
        <v>1108</v>
      </c>
      <c r="C1617" s="103" t="s">
        <v>1109</v>
      </c>
      <c r="D1617" s="103">
        <v>2003</v>
      </c>
      <c r="E1617" s="103">
        <v>1999</v>
      </c>
      <c r="F1617" s="103" t="s">
        <v>1110</v>
      </c>
      <c r="G1617" s="103" t="s">
        <v>1138</v>
      </c>
      <c r="H1617" s="24" t="s">
        <v>2832</v>
      </c>
      <c r="I1617" s="103">
        <v>50.29</v>
      </c>
      <c r="J1617" s="103">
        <v>-107.8</v>
      </c>
      <c r="K1617" s="103">
        <v>757</v>
      </c>
      <c r="Q1617" s="104">
        <v>12</v>
      </c>
      <c r="R1617" s="104" t="s">
        <v>1940</v>
      </c>
      <c r="S1617" s="104" t="s">
        <v>1107</v>
      </c>
      <c r="T1617" s="104" t="s">
        <v>1115</v>
      </c>
      <c r="U1617" s="104" t="s">
        <v>1419</v>
      </c>
      <c r="V1617" s="104" t="s">
        <v>1727</v>
      </c>
      <c r="W1617" s="104" t="s">
        <v>1393</v>
      </c>
      <c r="X1617" s="104" t="s">
        <v>1421</v>
      </c>
      <c r="Y1617" s="103">
        <v>1.69</v>
      </c>
      <c r="Z1617" s="353"/>
      <c r="AA1617" s="353"/>
      <c r="AB1617" s="103" t="s">
        <v>140</v>
      </c>
      <c r="AF1617" s="103" t="s">
        <v>1360</v>
      </c>
      <c r="AG1617" s="103" t="s">
        <v>578</v>
      </c>
      <c r="AH1617" s="138" t="s">
        <v>578</v>
      </c>
      <c r="AI1617" s="103" t="s">
        <v>1540</v>
      </c>
      <c r="AJ1617" s="145" t="s">
        <v>117</v>
      </c>
      <c r="AK1617" s="103" t="s">
        <v>1099</v>
      </c>
      <c r="AL1617" s="103" t="s">
        <v>1099</v>
      </c>
      <c r="AM1617" s="103" t="s">
        <v>178</v>
      </c>
      <c r="AQ1617" s="103" t="s">
        <v>1113</v>
      </c>
      <c r="AR1617" s="103" t="s">
        <v>1114</v>
      </c>
      <c r="AS1617" s="103" t="s">
        <v>503</v>
      </c>
      <c r="AT1617" s="103" t="s">
        <v>1112</v>
      </c>
      <c r="AU1617" s="103">
        <v>3</v>
      </c>
      <c r="AW1617" s="103" t="s">
        <v>142</v>
      </c>
      <c r="BB1617" s="103" t="s">
        <v>1116</v>
      </c>
      <c r="BM1617" s="428"/>
      <c r="BN1617" s="428"/>
      <c r="BR1617" s="428"/>
      <c r="BS1617" s="428"/>
      <c r="BW1617" s="103">
        <f>(1000000/(100*100*0.3*1.69*1000))*9.9</f>
        <v>1.9526627218934913</v>
      </c>
      <c r="BX1617" s="103">
        <f>(1000000/(100*100*0.3*1.69*1000))*28.9</f>
        <v>5.7001972386587774</v>
      </c>
      <c r="CA1617" s="103" t="s">
        <v>1682</v>
      </c>
      <c r="IO1617" s="103" t="s">
        <v>1120</v>
      </c>
    </row>
    <row r="1618" spans="1:249" s="33" customFormat="1" x14ac:dyDescent="0.25">
      <c r="A1618" s="33">
        <v>74</v>
      </c>
      <c r="B1618" s="33" t="s">
        <v>1126</v>
      </c>
      <c r="C1618" s="33" t="s">
        <v>1127</v>
      </c>
      <c r="D1618" s="33">
        <v>2013</v>
      </c>
      <c r="E1618" s="33">
        <v>2011</v>
      </c>
      <c r="F1618" s="33" t="s">
        <v>1128</v>
      </c>
      <c r="G1618" s="33" t="s">
        <v>1129</v>
      </c>
      <c r="H1618" s="33" t="s">
        <v>2831</v>
      </c>
      <c r="I1618" s="33">
        <v>32.24</v>
      </c>
      <c r="J1618" s="33">
        <v>-98.2</v>
      </c>
      <c r="K1618" s="33">
        <v>390.7</v>
      </c>
      <c r="Q1618" s="47">
        <v>1</v>
      </c>
      <c r="R1618" s="47">
        <v>1</v>
      </c>
      <c r="S1618" s="47"/>
      <c r="T1618" s="47"/>
      <c r="U1618" s="47" t="s">
        <v>1381</v>
      </c>
      <c r="V1618" s="47" t="s">
        <v>1381</v>
      </c>
      <c r="W1618" s="47" t="s">
        <v>1381</v>
      </c>
      <c r="X1618" s="47" t="s">
        <v>1381</v>
      </c>
      <c r="Z1618" s="327">
        <v>3</v>
      </c>
      <c r="AA1618" s="327">
        <v>32</v>
      </c>
      <c r="AB1618" s="33" t="s">
        <v>421</v>
      </c>
      <c r="AF1618" s="33" t="s">
        <v>1361</v>
      </c>
      <c r="AG1618" s="33" t="s">
        <v>1131</v>
      </c>
      <c r="AH1618" s="138" t="s">
        <v>1131</v>
      </c>
      <c r="AI1618" s="33" t="s">
        <v>1130</v>
      </c>
      <c r="AJ1618" s="141" t="s">
        <v>1621</v>
      </c>
      <c r="AK1618" s="33" t="s">
        <v>120</v>
      </c>
      <c r="AT1618" s="33" t="s">
        <v>120</v>
      </c>
      <c r="AU1618" s="33">
        <v>4</v>
      </c>
      <c r="AW1618" s="33" t="s">
        <v>336</v>
      </c>
      <c r="BB1618" s="33" t="s">
        <v>1133</v>
      </c>
      <c r="BM1618" s="402"/>
      <c r="BN1618" s="402"/>
      <c r="BR1618" s="402"/>
      <c r="BS1618" s="402"/>
      <c r="FN1618" s="33">
        <v>4.3</v>
      </c>
      <c r="FO1618" s="33">
        <v>3.3</v>
      </c>
      <c r="FR1618" s="33" t="s">
        <v>1132</v>
      </c>
    </row>
    <row r="1619" spans="1:249" s="33" customFormat="1" x14ac:dyDescent="0.25">
      <c r="A1619" s="33">
        <v>74</v>
      </c>
      <c r="B1619" s="33" t="s">
        <v>1126</v>
      </c>
      <c r="C1619" s="33" t="s">
        <v>1127</v>
      </c>
      <c r="D1619" s="33">
        <v>2013</v>
      </c>
      <c r="E1619" s="33">
        <v>2011</v>
      </c>
      <c r="F1619" s="33" t="s">
        <v>1128</v>
      </c>
      <c r="G1619" s="33" t="s">
        <v>1129</v>
      </c>
      <c r="H1619" s="33" t="s">
        <v>2831</v>
      </c>
      <c r="I1619" s="33">
        <v>32.24</v>
      </c>
      <c r="J1619" s="33">
        <v>-98.2</v>
      </c>
      <c r="K1619" s="33">
        <v>390.7</v>
      </c>
      <c r="Q1619" s="47">
        <v>1</v>
      </c>
      <c r="R1619" s="47">
        <v>1</v>
      </c>
      <c r="S1619" s="47"/>
      <c r="T1619" s="47"/>
      <c r="U1619" s="47" t="s">
        <v>1381</v>
      </c>
      <c r="V1619" s="47" t="s">
        <v>1381</v>
      </c>
      <c r="W1619" s="47" t="s">
        <v>1381</v>
      </c>
      <c r="X1619" s="47" t="s">
        <v>1381</v>
      </c>
      <c r="Z1619" s="327">
        <v>3</v>
      </c>
      <c r="AA1619" s="327">
        <v>32</v>
      </c>
      <c r="AB1619" s="33" t="s">
        <v>421</v>
      </c>
      <c r="AF1619" s="33" t="s">
        <v>1361</v>
      </c>
      <c r="AG1619" s="33" t="s">
        <v>1131</v>
      </c>
      <c r="AH1619" s="138" t="s">
        <v>1131</v>
      </c>
      <c r="AI1619" s="33" t="s">
        <v>1130</v>
      </c>
      <c r="AJ1619" s="141" t="s">
        <v>1621</v>
      </c>
      <c r="AK1619" s="33" t="s">
        <v>120</v>
      </c>
      <c r="AT1619" s="33" t="s">
        <v>120</v>
      </c>
      <c r="AU1619" s="33">
        <v>4</v>
      </c>
      <c r="AW1619" s="33" t="s">
        <v>336</v>
      </c>
      <c r="BB1619" s="33" t="s">
        <v>1134</v>
      </c>
      <c r="BM1619" s="402"/>
      <c r="BN1619" s="402"/>
      <c r="BR1619" s="402"/>
      <c r="BS1619" s="402"/>
      <c r="FN1619" s="33">
        <v>3</v>
      </c>
      <c r="FO1619" s="33">
        <v>2.5</v>
      </c>
      <c r="FR1619" s="33" t="s">
        <v>1132</v>
      </c>
    </row>
    <row r="1620" spans="1:249" s="33" customFormat="1" x14ac:dyDescent="0.25">
      <c r="A1620" s="33">
        <v>74</v>
      </c>
      <c r="B1620" s="33" t="s">
        <v>1126</v>
      </c>
      <c r="C1620" s="33" t="s">
        <v>1127</v>
      </c>
      <c r="D1620" s="33">
        <v>2013</v>
      </c>
      <c r="E1620" s="33">
        <v>2011</v>
      </c>
      <c r="F1620" s="33" t="s">
        <v>1128</v>
      </c>
      <c r="G1620" s="33" t="s">
        <v>1129</v>
      </c>
      <c r="H1620" s="33" t="s">
        <v>2831</v>
      </c>
      <c r="I1620" s="33">
        <v>32.24</v>
      </c>
      <c r="J1620" s="33">
        <v>-98.2</v>
      </c>
      <c r="K1620" s="33">
        <v>390.7</v>
      </c>
      <c r="Q1620" s="47">
        <v>1</v>
      </c>
      <c r="R1620" s="47">
        <v>1</v>
      </c>
      <c r="S1620" s="47"/>
      <c r="T1620" s="47"/>
      <c r="U1620" s="47" t="s">
        <v>1381</v>
      </c>
      <c r="V1620" s="47" t="s">
        <v>1381</v>
      </c>
      <c r="W1620" s="47" t="s">
        <v>1381</v>
      </c>
      <c r="X1620" s="47" t="s">
        <v>1381</v>
      </c>
      <c r="Z1620" s="327">
        <v>3</v>
      </c>
      <c r="AA1620" s="327">
        <v>32</v>
      </c>
      <c r="AB1620" s="33" t="s">
        <v>421</v>
      </c>
      <c r="AF1620" s="33" t="s">
        <v>1361</v>
      </c>
      <c r="AG1620" s="33" t="s">
        <v>1131</v>
      </c>
      <c r="AH1620" s="138" t="s">
        <v>1131</v>
      </c>
      <c r="AI1620" s="33" t="s">
        <v>1130</v>
      </c>
      <c r="AJ1620" s="141" t="s">
        <v>1621</v>
      </c>
      <c r="AK1620" s="33" t="s">
        <v>120</v>
      </c>
      <c r="AT1620" s="33" t="s">
        <v>120</v>
      </c>
      <c r="AU1620" s="33">
        <v>4</v>
      </c>
      <c r="AW1620" s="33" t="s">
        <v>336</v>
      </c>
      <c r="BB1620" s="33" t="s">
        <v>1135</v>
      </c>
      <c r="BM1620" s="402"/>
      <c r="BN1620" s="402"/>
      <c r="BR1620" s="402"/>
      <c r="BS1620" s="402"/>
      <c r="FN1620" s="33">
        <v>1.3</v>
      </c>
      <c r="FO1620" s="33">
        <v>0.3</v>
      </c>
      <c r="FR1620" s="33" t="s">
        <v>1132</v>
      </c>
    </row>
    <row r="1621" spans="1:249" s="33" customFormat="1" x14ac:dyDescent="0.25">
      <c r="A1621" s="33">
        <v>74</v>
      </c>
      <c r="B1621" s="33" t="s">
        <v>1126</v>
      </c>
      <c r="C1621" s="33" t="s">
        <v>1127</v>
      </c>
      <c r="D1621" s="33">
        <v>2013</v>
      </c>
      <c r="E1621" s="33">
        <v>2011</v>
      </c>
      <c r="F1621" s="33" t="s">
        <v>1128</v>
      </c>
      <c r="G1621" s="33" t="s">
        <v>1129</v>
      </c>
      <c r="H1621" s="33" t="s">
        <v>2831</v>
      </c>
      <c r="I1621" s="33">
        <v>32.24</v>
      </c>
      <c r="J1621" s="33">
        <v>-98.2</v>
      </c>
      <c r="K1621" s="33">
        <v>390.7</v>
      </c>
      <c r="Q1621" s="47">
        <v>1</v>
      </c>
      <c r="R1621" s="47">
        <v>1</v>
      </c>
      <c r="S1621" s="47"/>
      <c r="T1621" s="47"/>
      <c r="U1621" s="47" t="s">
        <v>1381</v>
      </c>
      <c r="V1621" s="47" t="s">
        <v>1381</v>
      </c>
      <c r="W1621" s="47" t="s">
        <v>1381</v>
      </c>
      <c r="X1621" s="47" t="s">
        <v>1381</v>
      </c>
      <c r="Z1621" s="327">
        <v>3</v>
      </c>
      <c r="AA1621" s="327">
        <v>32</v>
      </c>
      <c r="AB1621" s="33" t="s">
        <v>421</v>
      </c>
      <c r="AF1621" s="33" t="s">
        <v>1361</v>
      </c>
      <c r="AG1621" s="33" t="s">
        <v>1131</v>
      </c>
      <c r="AH1621" s="138" t="s">
        <v>1131</v>
      </c>
      <c r="AI1621" s="33" t="s">
        <v>1130</v>
      </c>
      <c r="AJ1621" s="141" t="s">
        <v>1621</v>
      </c>
      <c r="AK1621" s="33" t="s">
        <v>120</v>
      </c>
      <c r="AT1621" s="33" t="s">
        <v>120</v>
      </c>
      <c r="AU1621" s="33">
        <v>4</v>
      </c>
      <c r="AW1621" s="33" t="s">
        <v>336</v>
      </c>
      <c r="BB1621" s="33" t="s">
        <v>1136</v>
      </c>
      <c r="BM1621" s="402"/>
      <c r="BN1621" s="402"/>
      <c r="BR1621" s="402"/>
      <c r="BS1621" s="402"/>
      <c r="FN1621" s="33">
        <v>0.3</v>
      </c>
      <c r="FO1621" s="33">
        <v>0</v>
      </c>
      <c r="FR1621" s="33" t="s">
        <v>1132</v>
      </c>
    </row>
    <row r="1622" spans="1:249" s="33" customFormat="1" x14ac:dyDescent="0.25">
      <c r="A1622" s="33">
        <v>74</v>
      </c>
      <c r="B1622" s="33" t="s">
        <v>1126</v>
      </c>
      <c r="C1622" s="33" t="s">
        <v>1127</v>
      </c>
      <c r="D1622" s="33">
        <v>2013</v>
      </c>
      <c r="E1622" s="33">
        <v>2011</v>
      </c>
      <c r="F1622" s="33" t="s">
        <v>1128</v>
      </c>
      <c r="G1622" s="33" t="s">
        <v>1129</v>
      </c>
      <c r="H1622" s="33" t="s">
        <v>2831</v>
      </c>
      <c r="I1622" s="33">
        <v>32.24</v>
      </c>
      <c r="J1622" s="33">
        <v>-98.2</v>
      </c>
      <c r="K1622" s="33">
        <v>390.7</v>
      </c>
      <c r="Q1622" s="47">
        <v>1</v>
      </c>
      <c r="R1622" s="47">
        <v>1</v>
      </c>
      <c r="S1622" s="47"/>
      <c r="T1622" s="47"/>
      <c r="U1622" s="47" t="s">
        <v>1381</v>
      </c>
      <c r="V1622" s="47" t="s">
        <v>1381</v>
      </c>
      <c r="W1622" s="47" t="s">
        <v>1381</v>
      </c>
      <c r="X1622" s="47" t="s">
        <v>1381</v>
      </c>
      <c r="Z1622" s="327">
        <v>3</v>
      </c>
      <c r="AA1622" s="327">
        <v>32</v>
      </c>
      <c r="AB1622" s="33" t="s">
        <v>421</v>
      </c>
      <c r="AF1622" s="33" t="s">
        <v>1361</v>
      </c>
      <c r="AG1622" s="33" t="s">
        <v>1131</v>
      </c>
      <c r="AH1622" s="138" t="s">
        <v>1131</v>
      </c>
      <c r="AI1622" s="33" t="s">
        <v>1130</v>
      </c>
      <c r="AJ1622" s="141" t="s">
        <v>1621</v>
      </c>
      <c r="AK1622" s="33" t="s">
        <v>120</v>
      </c>
      <c r="AT1622" s="33" t="s">
        <v>120</v>
      </c>
      <c r="AU1622" s="33">
        <v>4</v>
      </c>
      <c r="AW1622" s="33" t="s">
        <v>336</v>
      </c>
      <c r="BB1622" s="33" t="s">
        <v>1137</v>
      </c>
      <c r="BM1622" s="402"/>
      <c r="BN1622" s="402"/>
      <c r="BR1622" s="402"/>
      <c r="BS1622" s="402"/>
      <c r="FN1622" s="33">
        <v>2.2999999999999998</v>
      </c>
      <c r="FO1622" s="33">
        <v>1</v>
      </c>
      <c r="FR1622" s="33" t="s">
        <v>1132</v>
      </c>
    </row>
    <row r="1623" spans="1:249" s="24" customFormat="1" x14ac:dyDescent="0.25">
      <c r="A1623" s="24">
        <v>75</v>
      </c>
      <c r="B1623" s="24" t="s">
        <v>1139</v>
      </c>
      <c r="C1623" s="24" t="s">
        <v>1140</v>
      </c>
      <c r="D1623" s="24">
        <v>1989</v>
      </c>
      <c r="E1623" s="24">
        <v>1985</v>
      </c>
      <c r="F1623" s="24" t="s">
        <v>419</v>
      </c>
      <c r="G1623" s="24" t="s">
        <v>1141</v>
      </c>
      <c r="H1623" s="24" t="s">
        <v>2831</v>
      </c>
      <c r="I1623" s="24">
        <v>38.950000000000003</v>
      </c>
      <c r="J1623" s="24">
        <v>-91.94</v>
      </c>
      <c r="K1623" s="24">
        <v>251.9</v>
      </c>
      <c r="Q1623" s="42" t="s">
        <v>1856</v>
      </c>
      <c r="R1623" s="42" t="s">
        <v>1867</v>
      </c>
      <c r="S1623" s="42" t="s">
        <v>1146</v>
      </c>
      <c r="T1623" s="42" t="s">
        <v>2015</v>
      </c>
      <c r="U1623" s="42" t="s">
        <v>1381</v>
      </c>
      <c r="V1623" s="42" t="s">
        <v>1381</v>
      </c>
      <c r="W1623" s="42" t="s">
        <v>1381</v>
      </c>
      <c r="X1623" s="42" t="s">
        <v>1381</v>
      </c>
      <c r="Z1623" s="321"/>
      <c r="AA1623" s="321"/>
      <c r="AB1623" s="24" t="s">
        <v>451</v>
      </c>
      <c r="AF1623" s="24" t="s">
        <v>1362</v>
      </c>
      <c r="AG1623" s="24" t="s">
        <v>1545</v>
      </c>
      <c r="AH1623" s="138" t="s">
        <v>1588</v>
      </c>
      <c r="AI1623" s="24" t="s">
        <v>159</v>
      </c>
      <c r="AJ1623" s="140" t="s">
        <v>159</v>
      </c>
      <c r="AK1623" s="24" t="s">
        <v>120</v>
      </c>
      <c r="AQ1623" s="24" t="s">
        <v>1147</v>
      </c>
      <c r="AR1623" s="24" t="s">
        <v>1147</v>
      </c>
      <c r="AS1623" s="24" t="s">
        <v>178</v>
      </c>
      <c r="AT1623" s="24" t="s">
        <v>161</v>
      </c>
      <c r="AU1623" s="24">
        <v>2</v>
      </c>
      <c r="AW1623" s="24" t="s">
        <v>142</v>
      </c>
      <c r="BM1623" s="395"/>
      <c r="BN1623" s="395"/>
      <c r="BR1623" s="395"/>
      <c r="BS1623" s="395"/>
      <c r="EE1623" s="24">
        <v>336</v>
      </c>
      <c r="EF1623" s="24">
        <v>0</v>
      </c>
      <c r="EI1623" s="24" t="s">
        <v>1149</v>
      </c>
      <c r="EJ1623" s="24">
        <v>4</v>
      </c>
      <c r="EK1623" s="24">
        <v>0</v>
      </c>
      <c r="EN1623" s="24" t="s">
        <v>1148</v>
      </c>
    </row>
    <row r="1624" spans="1:249" s="24" customFormat="1" x14ac:dyDescent="0.25">
      <c r="A1624" s="24">
        <v>75</v>
      </c>
      <c r="B1624" s="24" t="s">
        <v>1139</v>
      </c>
      <c r="C1624" s="24" t="s">
        <v>1140</v>
      </c>
      <c r="D1624" s="24">
        <v>1989</v>
      </c>
      <c r="E1624" s="24">
        <v>1985</v>
      </c>
      <c r="F1624" s="24" t="s">
        <v>419</v>
      </c>
      <c r="G1624" s="24" t="s">
        <v>1141</v>
      </c>
      <c r="H1624" s="24" t="s">
        <v>2831</v>
      </c>
      <c r="I1624" s="24">
        <v>38.950000000000003</v>
      </c>
      <c r="J1624" s="24">
        <v>-91.94</v>
      </c>
      <c r="K1624" s="24">
        <v>251.9</v>
      </c>
      <c r="Q1624" s="42" t="s">
        <v>1856</v>
      </c>
      <c r="R1624" s="42" t="s">
        <v>1867</v>
      </c>
      <c r="S1624" s="42" t="s">
        <v>1142</v>
      </c>
      <c r="T1624" s="42" t="s">
        <v>2015</v>
      </c>
      <c r="U1624" s="42" t="s">
        <v>1381</v>
      </c>
      <c r="V1624" s="42" t="s">
        <v>1381</v>
      </c>
      <c r="W1624" s="42" t="s">
        <v>1381</v>
      </c>
      <c r="X1624" s="42" t="s">
        <v>1381</v>
      </c>
      <c r="Z1624" s="321"/>
      <c r="AA1624" s="321"/>
      <c r="AB1624" s="24" t="s">
        <v>451</v>
      </c>
      <c r="AF1624" s="24" t="s">
        <v>1362</v>
      </c>
      <c r="AG1624" s="24" t="s">
        <v>1545</v>
      </c>
      <c r="AH1624" s="138" t="s">
        <v>1588</v>
      </c>
      <c r="AI1624" s="24" t="s">
        <v>159</v>
      </c>
      <c r="AJ1624" s="140" t="s">
        <v>159</v>
      </c>
      <c r="AK1624" s="24" t="s">
        <v>120</v>
      </c>
      <c r="AQ1624" s="24" t="s">
        <v>1147</v>
      </c>
      <c r="AR1624" s="24" t="s">
        <v>1147</v>
      </c>
      <c r="AS1624" s="24" t="s">
        <v>178</v>
      </c>
      <c r="AT1624" s="24" t="s">
        <v>161</v>
      </c>
      <c r="AU1624" s="24">
        <v>2</v>
      </c>
      <c r="AW1624" s="24" t="s">
        <v>142</v>
      </c>
      <c r="BM1624" s="395"/>
      <c r="BN1624" s="395"/>
      <c r="BR1624" s="395"/>
      <c r="BS1624" s="395"/>
      <c r="EE1624" s="24">
        <v>1984</v>
      </c>
      <c r="EF1624" s="24">
        <v>381</v>
      </c>
      <c r="EI1624" s="24" t="s">
        <v>1149</v>
      </c>
      <c r="EJ1624" s="24">
        <v>53</v>
      </c>
      <c r="EK1624" s="24">
        <v>31</v>
      </c>
      <c r="EN1624" s="24" t="s">
        <v>1148</v>
      </c>
    </row>
    <row r="1625" spans="1:249" s="24" customFormat="1" x14ac:dyDescent="0.25">
      <c r="A1625" s="24">
        <v>75</v>
      </c>
      <c r="B1625" s="24" t="s">
        <v>1139</v>
      </c>
      <c r="C1625" s="24" t="s">
        <v>1140</v>
      </c>
      <c r="D1625" s="24">
        <v>1989</v>
      </c>
      <c r="E1625" s="24">
        <v>1985</v>
      </c>
      <c r="F1625" s="24" t="s">
        <v>419</v>
      </c>
      <c r="G1625" s="24" t="s">
        <v>1141</v>
      </c>
      <c r="H1625" s="24" t="s">
        <v>2831</v>
      </c>
      <c r="I1625" s="24">
        <v>38.950000000000003</v>
      </c>
      <c r="J1625" s="24">
        <v>-91.94</v>
      </c>
      <c r="K1625" s="24">
        <v>251.9</v>
      </c>
      <c r="Q1625" s="42" t="s">
        <v>1856</v>
      </c>
      <c r="R1625" s="42" t="s">
        <v>1867</v>
      </c>
      <c r="S1625" s="42" t="s">
        <v>1143</v>
      </c>
      <c r="T1625" s="42" t="s">
        <v>2015</v>
      </c>
      <c r="U1625" s="42" t="s">
        <v>1381</v>
      </c>
      <c r="V1625" s="42" t="s">
        <v>1381</v>
      </c>
      <c r="W1625" s="42" t="s">
        <v>1381</v>
      </c>
      <c r="X1625" s="42" t="s">
        <v>1381</v>
      </c>
      <c r="Z1625" s="321"/>
      <c r="AA1625" s="321"/>
      <c r="AB1625" s="24" t="s">
        <v>451</v>
      </c>
      <c r="AF1625" s="24" t="s">
        <v>1362</v>
      </c>
      <c r="AG1625" s="24" t="s">
        <v>1545</v>
      </c>
      <c r="AH1625" s="138" t="s">
        <v>1588</v>
      </c>
      <c r="AI1625" s="24" t="s">
        <v>159</v>
      </c>
      <c r="AJ1625" s="140" t="s">
        <v>159</v>
      </c>
      <c r="AK1625" s="24" t="s">
        <v>120</v>
      </c>
      <c r="AQ1625" s="24" t="s">
        <v>1147</v>
      </c>
      <c r="AR1625" s="24" t="s">
        <v>1147</v>
      </c>
      <c r="AS1625" s="24" t="s">
        <v>178</v>
      </c>
      <c r="AT1625" s="24" t="s">
        <v>161</v>
      </c>
      <c r="AU1625" s="24">
        <v>2</v>
      </c>
      <c r="AW1625" s="24" t="s">
        <v>142</v>
      </c>
      <c r="BM1625" s="395"/>
      <c r="BN1625" s="395"/>
      <c r="BR1625" s="395"/>
      <c r="BS1625" s="395"/>
      <c r="EE1625" s="24">
        <v>1E-3</v>
      </c>
      <c r="EF1625" s="24">
        <v>0</v>
      </c>
      <c r="EI1625" s="24" t="s">
        <v>1149</v>
      </c>
      <c r="EJ1625" s="24">
        <v>3</v>
      </c>
      <c r="EK1625" s="24">
        <v>0</v>
      </c>
      <c r="EN1625" s="24" t="s">
        <v>1148</v>
      </c>
    </row>
    <row r="1626" spans="1:249" s="24" customFormat="1" x14ac:dyDescent="0.25">
      <c r="A1626" s="24">
        <v>75</v>
      </c>
      <c r="B1626" s="24" t="s">
        <v>1139</v>
      </c>
      <c r="C1626" s="24" t="s">
        <v>1140</v>
      </c>
      <c r="D1626" s="24">
        <v>1989</v>
      </c>
      <c r="E1626" s="24">
        <v>1985</v>
      </c>
      <c r="F1626" s="24" t="s">
        <v>419</v>
      </c>
      <c r="G1626" s="24" t="s">
        <v>1141</v>
      </c>
      <c r="H1626" s="24" t="s">
        <v>2831</v>
      </c>
      <c r="I1626" s="24">
        <v>38.950000000000003</v>
      </c>
      <c r="J1626" s="24">
        <v>-91.94</v>
      </c>
      <c r="K1626" s="24">
        <v>251.9</v>
      </c>
      <c r="Q1626" s="42" t="s">
        <v>1856</v>
      </c>
      <c r="R1626" s="42" t="s">
        <v>1867</v>
      </c>
      <c r="S1626" s="42" t="s">
        <v>1144</v>
      </c>
      <c r="T1626" s="42" t="s">
        <v>2015</v>
      </c>
      <c r="U1626" s="42" t="s">
        <v>1381</v>
      </c>
      <c r="V1626" s="42" t="s">
        <v>1381</v>
      </c>
      <c r="W1626" s="42" t="s">
        <v>1381</v>
      </c>
      <c r="X1626" s="42" t="s">
        <v>1381</v>
      </c>
      <c r="Z1626" s="321"/>
      <c r="AA1626" s="321"/>
      <c r="AB1626" s="24" t="s">
        <v>451</v>
      </c>
      <c r="AF1626" s="24" t="s">
        <v>1362</v>
      </c>
      <c r="AG1626" s="24" t="s">
        <v>1545</v>
      </c>
      <c r="AH1626" s="138" t="s">
        <v>1588</v>
      </c>
      <c r="AI1626" s="24" t="s">
        <v>159</v>
      </c>
      <c r="AJ1626" s="140" t="s">
        <v>159</v>
      </c>
      <c r="AK1626" s="24" t="s">
        <v>120</v>
      </c>
      <c r="AQ1626" s="24" t="s">
        <v>1147</v>
      </c>
      <c r="AR1626" s="24" t="s">
        <v>1147</v>
      </c>
      <c r="AS1626" s="24" t="s">
        <v>178</v>
      </c>
      <c r="AT1626" s="24" t="s">
        <v>161</v>
      </c>
      <c r="AU1626" s="24">
        <v>2</v>
      </c>
      <c r="AW1626" s="24" t="s">
        <v>142</v>
      </c>
      <c r="BM1626" s="395"/>
      <c r="BN1626" s="395"/>
      <c r="BR1626" s="395"/>
      <c r="BS1626" s="395"/>
      <c r="EE1626" s="24">
        <v>1E-3</v>
      </c>
      <c r="EF1626" s="24">
        <v>0</v>
      </c>
      <c r="EI1626" s="24" t="s">
        <v>1149</v>
      </c>
      <c r="EJ1626" s="24">
        <v>258</v>
      </c>
      <c r="EK1626" s="24">
        <v>156</v>
      </c>
      <c r="EN1626" s="24" t="s">
        <v>1148</v>
      </c>
    </row>
    <row r="1627" spans="1:249" s="24" customFormat="1" x14ac:dyDescent="0.25">
      <c r="A1627" s="24">
        <v>75</v>
      </c>
      <c r="B1627" s="24" t="s">
        <v>1139</v>
      </c>
      <c r="C1627" s="24" t="s">
        <v>1140</v>
      </c>
      <c r="D1627" s="24">
        <v>1989</v>
      </c>
      <c r="E1627" s="24">
        <v>1985</v>
      </c>
      <c r="F1627" s="24" t="s">
        <v>419</v>
      </c>
      <c r="G1627" s="24" t="s">
        <v>1141</v>
      </c>
      <c r="H1627" s="24" t="s">
        <v>2831</v>
      </c>
      <c r="I1627" s="24">
        <v>38.950000000000003</v>
      </c>
      <c r="J1627" s="24">
        <v>-91.94</v>
      </c>
      <c r="K1627" s="24">
        <v>251.9</v>
      </c>
      <c r="Q1627" s="42" t="s">
        <v>1856</v>
      </c>
      <c r="R1627" s="42" t="s">
        <v>1867</v>
      </c>
      <c r="S1627" s="42" t="s">
        <v>1145</v>
      </c>
      <c r="T1627" s="42" t="s">
        <v>2015</v>
      </c>
      <c r="U1627" s="42" t="s">
        <v>1381</v>
      </c>
      <c r="V1627" s="42" t="s">
        <v>1381</v>
      </c>
      <c r="W1627" s="42" t="s">
        <v>1381</v>
      </c>
      <c r="X1627" s="42" t="s">
        <v>1381</v>
      </c>
      <c r="Z1627" s="321"/>
      <c r="AA1627" s="321"/>
      <c r="AB1627" s="24" t="s">
        <v>451</v>
      </c>
      <c r="AF1627" s="24" t="s">
        <v>1362</v>
      </c>
      <c r="AG1627" s="24" t="s">
        <v>1545</v>
      </c>
      <c r="AH1627" s="138" t="s">
        <v>1588</v>
      </c>
      <c r="AI1627" s="24" t="s">
        <v>159</v>
      </c>
      <c r="AJ1627" s="140" t="s">
        <v>159</v>
      </c>
      <c r="AK1627" s="24" t="s">
        <v>120</v>
      </c>
      <c r="AQ1627" s="24" t="s">
        <v>1147</v>
      </c>
      <c r="AR1627" s="24" t="s">
        <v>1147</v>
      </c>
      <c r="AS1627" s="24" t="s">
        <v>178</v>
      </c>
      <c r="AT1627" s="24" t="s">
        <v>161</v>
      </c>
      <c r="AU1627" s="24">
        <v>2</v>
      </c>
      <c r="AW1627" s="24" t="s">
        <v>142</v>
      </c>
      <c r="BM1627" s="395"/>
      <c r="BN1627" s="395"/>
      <c r="BR1627" s="395"/>
      <c r="BS1627" s="395"/>
      <c r="EE1627" s="24">
        <v>2454</v>
      </c>
      <c r="EF1627" s="24">
        <v>420</v>
      </c>
      <c r="EI1627" s="24" t="s">
        <v>1149</v>
      </c>
      <c r="EJ1627" s="24">
        <v>311</v>
      </c>
      <c r="EK1627" s="24">
        <v>213</v>
      </c>
      <c r="EN1627" s="24" t="s">
        <v>1148</v>
      </c>
    </row>
    <row r="1628" spans="1:249" s="32" customFormat="1" x14ac:dyDescent="0.25">
      <c r="A1628" s="32">
        <v>75</v>
      </c>
      <c r="B1628" s="32" t="s">
        <v>1139</v>
      </c>
      <c r="C1628" s="32" t="s">
        <v>1140</v>
      </c>
      <c r="D1628" s="32">
        <v>1989</v>
      </c>
      <c r="E1628" s="32">
        <v>1985</v>
      </c>
      <c r="F1628" s="32" t="s">
        <v>419</v>
      </c>
      <c r="G1628" s="32" t="s">
        <v>1141</v>
      </c>
      <c r="H1628" s="24" t="s">
        <v>2831</v>
      </c>
      <c r="I1628" s="32">
        <v>38.950000000000003</v>
      </c>
      <c r="J1628" s="32">
        <v>-91.94</v>
      </c>
      <c r="K1628" s="32">
        <v>251.9</v>
      </c>
      <c r="Q1628" s="44" t="s">
        <v>1856</v>
      </c>
      <c r="R1628" s="44" t="s">
        <v>1867</v>
      </c>
      <c r="S1628" s="44" t="s">
        <v>1146</v>
      </c>
      <c r="T1628" s="44" t="s">
        <v>2015</v>
      </c>
      <c r="U1628" s="44" t="s">
        <v>1381</v>
      </c>
      <c r="V1628" s="44" t="s">
        <v>1381</v>
      </c>
      <c r="W1628" s="44" t="s">
        <v>1381</v>
      </c>
      <c r="X1628" s="44" t="s">
        <v>1381</v>
      </c>
      <c r="Z1628" s="323"/>
      <c r="AA1628" s="323"/>
      <c r="AB1628" s="32" t="s">
        <v>451</v>
      </c>
      <c r="AF1628" s="32" t="s">
        <v>1362</v>
      </c>
      <c r="AG1628" s="32" t="s">
        <v>1546</v>
      </c>
      <c r="AH1628" s="138" t="s">
        <v>1585</v>
      </c>
      <c r="AI1628" s="32" t="s">
        <v>159</v>
      </c>
      <c r="AJ1628" s="140" t="s">
        <v>159</v>
      </c>
      <c r="AK1628" s="32" t="s">
        <v>120</v>
      </c>
      <c r="AQ1628" s="32" t="s">
        <v>1147</v>
      </c>
      <c r="AR1628" s="32" t="s">
        <v>1147</v>
      </c>
      <c r="AS1628" s="32" t="s">
        <v>178</v>
      </c>
      <c r="AT1628" s="24" t="s">
        <v>161</v>
      </c>
      <c r="AU1628" s="32">
        <v>2</v>
      </c>
      <c r="AW1628" s="32" t="s">
        <v>142</v>
      </c>
      <c r="BM1628" s="397"/>
      <c r="BN1628" s="397"/>
      <c r="BR1628" s="397"/>
      <c r="BS1628" s="397"/>
      <c r="EE1628" s="32">
        <v>336</v>
      </c>
      <c r="EF1628" s="32">
        <v>0</v>
      </c>
      <c r="EI1628" s="32" t="s">
        <v>1149</v>
      </c>
      <c r="EJ1628" s="32">
        <v>4</v>
      </c>
      <c r="EK1628" s="32">
        <v>0</v>
      </c>
      <c r="EN1628" s="32" t="s">
        <v>1148</v>
      </c>
    </row>
    <row r="1629" spans="1:249" s="32" customFormat="1" x14ac:dyDescent="0.25">
      <c r="A1629" s="32">
        <v>75</v>
      </c>
      <c r="B1629" s="32" t="s">
        <v>1139</v>
      </c>
      <c r="C1629" s="32" t="s">
        <v>1140</v>
      </c>
      <c r="D1629" s="32">
        <v>1989</v>
      </c>
      <c r="E1629" s="32">
        <v>1985</v>
      </c>
      <c r="F1629" s="32" t="s">
        <v>419</v>
      </c>
      <c r="G1629" s="32" t="s">
        <v>1141</v>
      </c>
      <c r="H1629" s="24" t="s">
        <v>2831</v>
      </c>
      <c r="I1629" s="32">
        <v>38.950000000000003</v>
      </c>
      <c r="J1629" s="32">
        <v>-91.94</v>
      </c>
      <c r="K1629" s="32">
        <v>251.9</v>
      </c>
      <c r="Q1629" s="44" t="s">
        <v>1856</v>
      </c>
      <c r="R1629" s="44" t="s">
        <v>1867</v>
      </c>
      <c r="S1629" s="44" t="s">
        <v>1142</v>
      </c>
      <c r="T1629" s="44" t="s">
        <v>2015</v>
      </c>
      <c r="U1629" s="44" t="s">
        <v>1381</v>
      </c>
      <c r="V1629" s="44" t="s">
        <v>1381</v>
      </c>
      <c r="W1629" s="44" t="s">
        <v>1381</v>
      </c>
      <c r="X1629" s="44" t="s">
        <v>1381</v>
      </c>
      <c r="Z1629" s="323"/>
      <c r="AA1629" s="323"/>
      <c r="AB1629" s="32" t="s">
        <v>451</v>
      </c>
      <c r="AF1629" s="32" t="s">
        <v>1362</v>
      </c>
      <c r="AG1629" s="32" t="s">
        <v>1546</v>
      </c>
      <c r="AH1629" s="138" t="s">
        <v>1585</v>
      </c>
      <c r="AI1629" s="32" t="s">
        <v>159</v>
      </c>
      <c r="AJ1629" s="140" t="s">
        <v>159</v>
      </c>
      <c r="AK1629" s="32" t="s">
        <v>120</v>
      </c>
      <c r="AQ1629" s="32" t="s">
        <v>1147</v>
      </c>
      <c r="AR1629" s="32" t="s">
        <v>1147</v>
      </c>
      <c r="AS1629" s="32" t="s">
        <v>178</v>
      </c>
      <c r="AT1629" s="24" t="s">
        <v>161</v>
      </c>
      <c r="AU1629" s="32">
        <v>2</v>
      </c>
      <c r="AW1629" s="32" t="s">
        <v>142</v>
      </c>
      <c r="BM1629" s="397"/>
      <c r="BN1629" s="397"/>
      <c r="BR1629" s="397"/>
      <c r="BS1629" s="397"/>
      <c r="EE1629" s="32">
        <v>1984</v>
      </c>
      <c r="EF1629" s="32">
        <v>168</v>
      </c>
      <c r="EI1629" s="32" t="s">
        <v>1149</v>
      </c>
      <c r="EJ1629" s="32">
        <v>53</v>
      </c>
      <c r="EK1629" s="32">
        <v>34</v>
      </c>
      <c r="EN1629" s="32" t="s">
        <v>1148</v>
      </c>
    </row>
    <row r="1630" spans="1:249" s="32" customFormat="1" x14ac:dyDescent="0.25">
      <c r="A1630" s="32">
        <v>75</v>
      </c>
      <c r="B1630" s="32" t="s">
        <v>1139</v>
      </c>
      <c r="C1630" s="32" t="s">
        <v>1140</v>
      </c>
      <c r="D1630" s="32">
        <v>1989</v>
      </c>
      <c r="E1630" s="32">
        <v>1985</v>
      </c>
      <c r="F1630" s="32" t="s">
        <v>419</v>
      </c>
      <c r="G1630" s="32" t="s">
        <v>1141</v>
      </c>
      <c r="H1630" s="24" t="s">
        <v>2831</v>
      </c>
      <c r="I1630" s="32">
        <v>38.950000000000003</v>
      </c>
      <c r="J1630" s="32">
        <v>-91.94</v>
      </c>
      <c r="K1630" s="32">
        <v>251.9</v>
      </c>
      <c r="Q1630" s="44" t="s">
        <v>1856</v>
      </c>
      <c r="R1630" s="44" t="s">
        <v>1867</v>
      </c>
      <c r="S1630" s="44" t="s">
        <v>1143</v>
      </c>
      <c r="T1630" s="44" t="s">
        <v>2015</v>
      </c>
      <c r="U1630" s="44" t="s">
        <v>1381</v>
      </c>
      <c r="V1630" s="44" t="s">
        <v>1381</v>
      </c>
      <c r="W1630" s="44" t="s">
        <v>1381</v>
      </c>
      <c r="X1630" s="44" t="s">
        <v>1381</v>
      </c>
      <c r="Z1630" s="323"/>
      <c r="AA1630" s="323"/>
      <c r="AB1630" s="32" t="s">
        <v>451</v>
      </c>
      <c r="AF1630" s="32" t="s">
        <v>1362</v>
      </c>
      <c r="AG1630" s="32" t="s">
        <v>1546</v>
      </c>
      <c r="AH1630" s="138" t="s">
        <v>1585</v>
      </c>
      <c r="AI1630" s="32" t="s">
        <v>159</v>
      </c>
      <c r="AJ1630" s="140" t="s">
        <v>159</v>
      </c>
      <c r="AK1630" s="32" t="s">
        <v>120</v>
      </c>
      <c r="AQ1630" s="32" t="s">
        <v>1147</v>
      </c>
      <c r="AR1630" s="32" t="s">
        <v>1147</v>
      </c>
      <c r="AS1630" s="32" t="s">
        <v>178</v>
      </c>
      <c r="AT1630" s="24" t="s">
        <v>161</v>
      </c>
      <c r="AU1630" s="32">
        <v>2</v>
      </c>
      <c r="AW1630" s="32" t="s">
        <v>142</v>
      </c>
      <c r="BM1630" s="397"/>
      <c r="BN1630" s="397"/>
      <c r="BR1630" s="397"/>
      <c r="BS1630" s="397"/>
      <c r="EE1630" s="32">
        <v>1E-3</v>
      </c>
      <c r="EF1630" s="32">
        <v>0</v>
      </c>
      <c r="EI1630" s="32" t="s">
        <v>1149</v>
      </c>
      <c r="EJ1630" s="32">
        <v>3</v>
      </c>
      <c r="EK1630" s="32">
        <v>0</v>
      </c>
      <c r="EN1630" s="32" t="s">
        <v>1148</v>
      </c>
    </row>
    <row r="1631" spans="1:249" s="32" customFormat="1" x14ac:dyDescent="0.25">
      <c r="A1631" s="32">
        <v>75</v>
      </c>
      <c r="B1631" s="32" t="s">
        <v>1139</v>
      </c>
      <c r="C1631" s="32" t="s">
        <v>1140</v>
      </c>
      <c r="D1631" s="32">
        <v>1989</v>
      </c>
      <c r="E1631" s="32">
        <v>1985</v>
      </c>
      <c r="F1631" s="32" t="s">
        <v>419</v>
      </c>
      <c r="G1631" s="32" t="s">
        <v>1141</v>
      </c>
      <c r="H1631" s="24" t="s">
        <v>2831</v>
      </c>
      <c r="I1631" s="32">
        <v>38.950000000000003</v>
      </c>
      <c r="J1631" s="32">
        <v>-91.94</v>
      </c>
      <c r="K1631" s="32">
        <v>251.9</v>
      </c>
      <c r="Q1631" s="44" t="s">
        <v>1856</v>
      </c>
      <c r="R1631" s="44" t="s">
        <v>1867</v>
      </c>
      <c r="S1631" s="44" t="s">
        <v>1144</v>
      </c>
      <c r="T1631" s="44" t="s">
        <v>2015</v>
      </c>
      <c r="U1631" s="44" t="s">
        <v>1381</v>
      </c>
      <c r="V1631" s="44" t="s">
        <v>1381</v>
      </c>
      <c r="W1631" s="44" t="s">
        <v>1381</v>
      </c>
      <c r="X1631" s="44" t="s">
        <v>1381</v>
      </c>
      <c r="Z1631" s="323"/>
      <c r="AA1631" s="323"/>
      <c r="AB1631" s="32" t="s">
        <v>451</v>
      </c>
      <c r="AF1631" s="32" t="s">
        <v>1362</v>
      </c>
      <c r="AG1631" s="32" t="s">
        <v>1546</v>
      </c>
      <c r="AH1631" s="138" t="s">
        <v>1585</v>
      </c>
      <c r="AI1631" s="32" t="s">
        <v>159</v>
      </c>
      <c r="AJ1631" s="140" t="s">
        <v>159</v>
      </c>
      <c r="AK1631" s="32" t="s">
        <v>120</v>
      </c>
      <c r="AQ1631" s="32" t="s">
        <v>1147</v>
      </c>
      <c r="AR1631" s="32" t="s">
        <v>1147</v>
      </c>
      <c r="AS1631" s="32" t="s">
        <v>178</v>
      </c>
      <c r="AT1631" s="24" t="s">
        <v>161</v>
      </c>
      <c r="AU1631" s="32">
        <v>2</v>
      </c>
      <c r="AW1631" s="32" t="s">
        <v>142</v>
      </c>
      <c r="BM1631" s="397"/>
      <c r="BN1631" s="397"/>
      <c r="BR1631" s="397"/>
      <c r="BS1631" s="397"/>
      <c r="EE1631" s="32">
        <v>1E-3</v>
      </c>
      <c r="EF1631" s="32">
        <v>0</v>
      </c>
      <c r="EI1631" s="32" t="s">
        <v>1149</v>
      </c>
      <c r="EJ1631" s="32">
        <v>258</v>
      </c>
      <c r="EK1631" s="32">
        <v>180</v>
      </c>
      <c r="EN1631" s="32" t="s">
        <v>1148</v>
      </c>
    </row>
    <row r="1632" spans="1:249" s="32" customFormat="1" x14ac:dyDescent="0.25">
      <c r="A1632" s="32">
        <v>75</v>
      </c>
      <c r="B1632" s="32" t="s">
        <v>1139</v>
      </c>
      <c r="C1632" s="32" t="s">
        <v>1140</v>
      </c>
      <c r="D1632" s="32">
        <v>1989</v>
      </c>
      <c r="E1632" s="32">
        <v>1985</v>
      </c>
      <c r="F1632" s="32" t="s">
        <v>419</v>
      </c>
      <c r="G1632" s="32" t="s">
        <v>1141</v>
      </c>
      <c r="H1632" s="24" t="s">
        <v>2831</v>
      </c>
      <c r="I1632" s="32">
        <v>38.950000000000003</v>
      </c>
      <c r="J1632" s="32">
        <v>-91.94</v>
      </c>
      <c r="K1632" s="32">
        <v>251.9</v>
      </c>
      <c r="Q1632" s="44" t="s">
        <v>1937</v>
      </c>
      <c r="R1632" s="44" t="s">
        <v>1867</v>
      </c>
      <c r="S1632" s="44" t="s">
        <v>1145</v>
      </c>
      <c r="T1632" s="44" t="s">
        <v>2015</v>
      </c>
      <c r="U1632" s="44" t="s">
        <v>1381</v>
      </c>
      <c r="V1632" s="44" t="s">
        <v>1381</v>
      </c>
      <c r="W1632" s="44" t="s">
        <v>1381</v>
      </c>
      <c r="X1632" s="44" t="s">
        <v>1381</v>
      </c>
      <c r="Z1632" s="323"/>
      <c r="AA1632" s="323"/>
      <c r="AB1632" s="32" t="s">
        <v>451</v>
      </c>
      <c r="AF1632" s="32" t="s">
        <v>1362</v>
      </c>
      <c r="AG1632" s="32" t="s">
        <v>1546</v>
      </c>
      <c r="AH1632" s="138" t="s">
        <v>1585</v>
      </c>
      <c r="AI1632" s="32" t="s">
        <v>159</v>
      </c>
      <c r="AJ1632" s="140" t="s">
        <v>159</v>
      </c>
      <c r="AK1632" s="32" t="s">
        <v>120</v>
      </c>
      <c r="AQ1632" s="32" t="s">
        <v>1147</v>
      </c>
      <c r="AR1632" s="32" t="s">
        <v>1147</v>
      </c>
      <c r="AS1632" s="32" t="s">
        <v>178</v>
      </c>
      <c r="AT1632" s="24" t="s">
        <v>161</v>
      </c>
      <c r="AU1632" s="32">
        <v>2</v>
      </c>
      <c r="AW1632" s="32" t="s">
        <v>142</v>
      </c>
      <c r="BM1632" s="397"/>
      <c r="BN1632" s="397"/>
      <c r="BR1632" s="397"/>
      <c r="BS1632" s="397"/>
      <c r="EE1632" s="32">
        <v>2454</v>
      </c>
      <c r="EF1632" s="32">
        <v>185</v>
      </c>
      <c r="EI1632" s="32" t="s">
        <v>1149</v>
      </c>
      <c r="EJ1632" s="32">
        <v>311</v>
      </c>
      <c r="EK1632" s="32">
        <v>217</v>
      </c>
      <c r="EN1632" s="32" t="s">
        <v>1148</v>
      </c>
    </row>
    <row r="1633" spans="1:144" s="24" customFormat="1" x14ac:dyDescent="0.25">
      <c r="A1633" s="24">
        <v>75</v>
      </c>
      <c r="B1633" s="24" t="s">
        <v>1139</v>
      </c>
      <c r="C1633" s="24" t="s">
        <v>1140</v>
      </c>
      <c r="D1633" s="24">
        <v>1989</v>
      </c>
      <c r="E1633" s="24">
        <v>1985</v>
      </c>
      <c r="F1633" s="24" t="s">
        <v>419</v>
      </c>
      <c r="G1633" s="24" t="s">
        <v>1141</v>
      </c>
      <c r="H1633" s="24" t="s">
        <v>2831</v>
      </c>
      <c r="I1633" s="24">
        <v>38.950000000000003</v>
      </c>
      <c r="J1633" s="24">
        <v>-91.94</v>
      </c>
      <c r="K1633" s="24">
        <v>251.9</v>
      </c>
      <c r="Q1633" s="42" t="s">
        <v>1856</v>
      </c>
      <c r="R1633" s="42" t="s">
        <v>1867</v>
      </c>
      <c r="S1633" s="42" t="s">
        <v>1146</v>
      </c>
      <c r="T1633" s="42" t="s">
        <v>2015</v>
      </c>
      <c r="U1633" s="42" t="s">
        <v>1381</v>
      </c>
      <c r="V1633" s="42" t="s">
        <v>1381</v>
      </c>
      <c r="W1633" s="42" t="s">
        <v>1381</v>
      </c>
      <c r="X1633" s="42" t="s">
        <v>1381</v>
      </c>
      <c r="Z1633" s="321"/>
      <c r="AA1633" s="321"/>
      <c r="AB1633" s="24" t="s">
        <v>451</v>
      </c>
      <c r="AF1633" s="24" t="s">
        <v>1362</v>
      </c>
      <c r="AG1633" s="24" t="s">
        <v>1547</v>
      </c>
      <c r="AH1633" s="138" t="s">
        <v>132</v>
      </c>
      <c r="AI1633" s="24" t="s">
        <v>159</v>
      </c>
      <c r="AJ1633" s="140" t="s">
        <v>159</v>
      </c>
      <c r="AK1633" s="24" t="s">
        <v>120</v>
      </c>
      <c r="AQ1633" s="24" t="s">
        <v>1147</v>
      </c>
      <c r="AR1633" s="24" t="s">
        <v>1147</v>
      </c>
      <c r="AS1633" s="24" t="s">
        <v>178</v>
      </c>
      <c r="AT1633" s="24" t="s">
        <v>161</v>
      </c>
      <c r="AU1633" s="24">
        <v>2</v>
      </c>
      <c r="AW1633" s="24" t="s">
        <v>142</v>
      </c>
      <c r="BM1633" s="395"/>
      <c r="BN1633" s="395"/>
      <c r="BR1633" s="395"/>
      <c r="BS1633" s="395"/>
      <c r="EE1633" s="24">
        <v>336</v>
      </c>
      <c r="EF1633" s="24">
        <v>0</v>
      </c>
      <c r="EI1633" s="24" t="s">
        <v>1149</v>
      </c>
      <c r="EJ1633" s="24">
        <v>4</v>
      </c>
      <c r="EK1633" s="24">
        <v>0</v>
      </c>
      <c r="EN1633" s="24" t="s">
        <v>1148</v>
      </c>
    </row>
    <row r="1634" spans="1:144" s="24" customFormat="1" x14ac:dyDescent="0.25">
      <c r="A1634" s="24">
        <v>75</v>
      </c>
      <c r="B1634" s="24" t="s">
        <v>1139</v>
      </c>
      <c r="C1634" s="24" t="s">
        <v>1140</v>
      </c>
      <c r="D1634" s="24">
        <v>1989</v>
      </c>
      <c r="E1634" s="24">
        <v>1985</v>
      </c>
      <c r="F1634" s="24" t="s">
        <v>419</v>
      </c>
      <c r="G1634" s="24" t="s">
        <v>1141</v>
      </c>
      <c r="H1634" s="24" t="s">
        <v>2831</v>
      </c>
      <c r="I1634" s="24">
        <v>38.950000000000003</v>
      </c>
      <c r="J1634" s="24">
        <v>-91.94</v>
      </c>
      <c r="K1634" s="24">
        <v>251.9</v>
      </c>
      <c r="Q1634" s="42" t="s">
        <v>1856</v>
      </c>
      <c r="R1634" s="42" t="s">
        <v>1867</v>
      </c>
      <c r="S1634" s="42" t="s">
        <v>1142</v>
      </c>
      <c r="T1634" s="42" t="s">
        <v>2015</v>
      </c>
      <c r="U1634" s="42" t="s">
        <v>1381</v>
      </c>
      <c r="V1634" s="42" t="s">
        <v>1381</v>
      </c>
      <c r="W1634" s="42" t="s">
        <v>1381</v>
      </c>
      <c r="X1634" s="42" t="s">
        <v>1381</v>
      </c>
      <c r="Z1634" s="321"/>
      <c r="AA1634" s="321"/>
      <c r="AB1634" s="24" t="s">
        <v>451</v>
      </c>
      <c r="AF1634" s="24" t="s">
        <v>1362</v>
      </c>
      <c r="AG1634" s="24" t="s">
        <v>1547</v>
      </c>
      <c r="AH1634" s="138" t="s">
        <v>132</v>
      </c>
      <c r="AI1634" s="24" t="s">
        <v>159</v>
      </c>
      <c r="AJ1634" s="140" t="s">
        <v>159</v>
      </c>
      <c r="AK1634" s="24" t="s">
        <v>120</v>
      </c>
      <c r="AQ1634" s="24" t="s">
        <v>1147</v>
      </c>
      <c r="AR1634" s="24" t="s">
        <v>1147</v>
      </c>
      <c r="AS1634" s="24" t="s">
        <v>178</v>
      </c>
      <c r="AT1634" s="24" t="s">
        <v>161</v>
      </c>
      <c r="AU1634" s="24">
        <v>2</v>
      </c>
      <c r="AW1634" s="24" t="s">
        <v>142</v>
      </c>
      <c r="BM1634" s="395"/>
      <c r="BN1634" s="395"/>
      <c r="BR1634" s="395"/>
      <c r="BS1634" s="395"/>
      <c r="EE1634" s="24">
        <v>1984</v>
      </c>
      <c r="EF1634" s="24">
        <v>213</v>
      </c>
      <c r="EI1634" s="24" t="s">
        <v>1149</v>
      </c>
      <c r="EJ1634" s="24">
        <v>53</v>
      </c>
      <c r="EK1634" s="24">
        <v>25</v>
      </c>
      <c r="EN1634" s="24" t="s">
        <v>1148</v>
      </c>
    </row>
    <row r="1635" spans="1:144" s="24" customFormat="1" x14ac:dyDescent="0.25">
      <c r="A1635" s="24">
        <v>75</v>
      </c>
      <c r="B1635" s="24" t="s">
        <v>1139</v>
      </c>
      <c r="C1635" s="24" t="s">
        <v>1140</v>
      </c>
      <c r="D1635" s="24">
        <v>1989</v>
      </c>
      <c r="E1635" s="24">
        <v>1985</v>
      </c>
      <c r="F1635" s="24" t="s">
        <v>419</v>
      </c>
      <c r="G1635" s="24" t="s">
        <v>1141</v>
      </c>
      <c r="H1635" s="24" t="s">
        <v>2831</v>
      </c>
      <c r="I1635" s="24">
        <v>38.950000000000003</v>
      </c>
      <c r="J1635" s="24">
        <v>-91.94</v>
      </c>
      <c r="K1635" s="24">
        <v>251.9</v>
      </c>
      <c r="Q1635" s="42" t="s">
        <v>1856</v>
      </c>
      <c r="R1635" s="42" t="s">
        <v>1867</v>
      </c>
      <c r="S1635" s="42" t="s">
        <v>1143</v>
      </c>
      <c r="T1635" s="42" t="s">
        <v>2015</v>
      </c>
      <c r="U1635" s="42" t="s">
        <v>1381</v>
      </c>
      <c r="V1635" s="42" t="s">
        <v>1381</v>
      </c>
      <c r="W1635" s="42" t="s">
        <v>1381</v>
      </c>
      <c r="X1635" s="42" t="s">
        <v>1381</v>
      </c>
      <c r="Z1635" s="321"/>
      <c r="AA1635" s="321"/>
      <c r="AB1635" s="24" t="s">
        <v>451</v>
      </c>
      <c r="AF1635" s="24" t="s">
        <v>1362</v>
      </c>
      <c r="AG1635" s="24" t="s">
        <v>1547</v>
      </c>
      <c r="AH1635" s="138" t="s">
        <v>132</v>
      </c>
      <c r="AI1635" s="24" t="s">
        <v>159</v>
      </c>
      <c r="AJ1635" s="140" t="s">
        <v>159</v>
      </c>
      <c r="AK1635" s="24" t="s">
        <v>120</v>
      </c>
      <c r="AQ1635" s="24" t="s">
        <v>1147</v>
      </c>
      <c r="AR1635" s="24" t="s">
        <v>1147</v>
      </c>
      <c r="AS1635" s="24" t="s">
        <v>178</v>
      </c>
      <c r="AT1635" s="24" t="s">
        <v>161</v>
      </c>
      <c r="AU1635" s="24">
        <v>2</v>
      </c>
      <c r="AW1635" s="24" t="s">
        <v>142</v>
      </c>
      <c r="BM1635" s="395"/>
      <c r="BN1635" s="395"/>
      <c r="BR1635" s="395"/>
      <c r="BS1635" s="395"/>
      <c r="EE1635" s="24">
        <v>1E-3</v>
      </c>
      <c r="EF1635" s="24">
        <v>0</v>
      </c>
      <c r="EI1635" s="24" t="s">
        <v>1149</v>
      </c>
      <c r="EJ1635" s="24">
        <v>3</v>
      </c>
      <c r="EK1635" s="24">
        <v>0</v>
      </c>
      <c r="EN1635" s="24" t="s">
        <v>1148</v>
      </c>
    </row>
    <row r="1636" spans="1:144" s="24" customFormat="1" x14ac:dyDescent="0.25">
      <c r="A1636" s="24">
        <v>75</v>
      </c>
      <c r="B1636" s="24" t="s">
        <v>1139</v>
      </c>
      <c r="C1636" s="24" t="s">
        <v>1140</v>
      </c>
      <c r="D1636" s="24">
        <v>1989</v>
      </c>
      <c r="E1636" s="24">
        <v>1985</v>
      </c>
      <c r="F1636" s="24" t="s">
        <v>419</v>
      </c>
      <c r="G1636" s="24" t="s">
        <v>1141</v>
      </c>
      <c r="H1636" s="24" t="s">
        <v>2831</v>
      </c>
      <c r="I1636" s="24">
        <v>38.950000000000003</v>
      </c>
      <c r="J1636" s="24">
        <v>-91.94</v>
      </c>
      <c r="K1636" s="24">
        <v>251.9</v>
      </c>
      <c r="Q1636" s="42" t="s">
        <v>1856</v>
      </c>
      <c r="R1636" s="42" t="s">
        <v>1867</v>
      </c>
      <c r="S1636" s="42" t="s">
        <v>1144</v>
      </c>
      <c r="T1636" s="42" t="s">
        <v>2015</v>
      </c>
      <c r="U1636" s="42" t="s">
        <v>1381</v>
      </c>
      <c r="V1636" s="42" t="s">
        <v>1381</v>
      </c>
      <c r="W1636" s="42" t="s">
        <v>1381</v>
      </c>
      <c r="X1636" s="42" t="s">
        <v>1381</v>
      </c>
      <c r="Z1636" s="321"/>
      <c r="AA1636" s="321"/>
      <c r="AB1636" s="24" t="s">
        <v>451</v>
      </c>
      <c r="AF1636" s="24" t="s">
        <v>1362</v>
      </c>
      <c r="AG1636" s="24" t="s">
        <v>1547</v>
      </c>
      <c r="AH1636" s="138" t="s">
        <v>132</v>
      </c>
      <c r="AI1636" s="24" t="s">
        <v>159</v>
      </c>
      <c r="AJ1636" s="140" t="s">
        <v>159</v>
      </c>
      <c r="AK1636" s="24" t="s">
        <v>120</v>
      </c>
      <c r="AQ1636" s="24" t="s">
        <v>1147</v>
      </c>
      <c r="AR1636" s="24" t="s">
        <v>1147</v>
      </c>
      <c r="AS1636" s="24" t="s">
        <v>178</v>
      </c>
      <c r="AT1636" s="24" t="s">
        <v>161</v>
      </c>
      <c r="AU1636" s="24">
        <v>2</v>
      </c>
      <c r="AW1636" s="24" t="s">
        <v>142</v>
      </c>
      <c r="BM1636" s="395"/>
      <c r="BN1636" s="395"/>
      <c r="BR1636" s="395"/>
      <c r="BS1636" s="395"/>
      <c r="EE1636" s="24">
        <v>1E-3</v>
      </c>
      <c r="EF1636" s="24">
        <v>0</v>
      </c>
      <c r="EI1636" s="24" t="s">
        <v>1149</v>
      </c>
      <c r="EJ1636" s="24">
        <v>258</v>
      </c>
      <c r="EK1636" s="24">
        <v>136</v>
      </c>
      <c r="EN1636" s="24" t="s">
        <v>1148</v>
      </c>
    </row>
    <row r="1637" spans="1:144" s="24" customFormat="1" x14ac:dyDescent="0.25">
      <c r="A1637" s="24">
        <v>75</v>
      </c>
      <c r="B1637" s="24" t="s">
        <v>1139</v>
      </c>
      <c r="C1637" s="24" t="s">
        <v>1140</v>
      </c>
      <c r="D1637" s="24">
        <v>1989</v>
      </c>
      <c r="E1637" s="24">
        <v>1985</v>
      </c>
      <c r="F1637" s="24" t="s">
        <v>419</v>
      </c>
      <c r="G1637" s="24" t="s">
        <v>1141</v>
      </c>
      <c r="H1637" s="24" t="s">
        <v>2831</v>
      </c>
      <c r="I1637" s="24">
        <v>38.950000000000003</v>
      </c>
      <c r="J1637" s="24">
        <v>-91.94</v>
      </c>
      <c r="K1637" s="24">
        <v>251.9</v>
      </c>
      <c r="Q1637" s="42" t="s">
        <v>1856</v>
      </c>
      <c r="R1637" s="42" t="s">
        <v>1867</v>
      </c>
      <c r="S1637" s="42" t="s">
        <v>1145</v>
      </c>
      <c r="T1637" s="42" t="s">
        <v>2015</v>
      </c>
      <c r="U1637" s="42" t="s">
        <v>1381</v>
      </c>
      <c r="V1637" s="42" t="s">
        <v>1381</v>
      </c>
      <c r="W1637" s="42" t="s">
        <v>1381</v>
      </c>
      <c r="X1637" s="42" t="s">
        <v>1381</v>
      </c>
      <c r="Z1637" s="321"/>
      <c r="AA1637" s="321"/>
      <c r="AB1637" s="24" t="s">
        <v>451</v>
      </c>
      <c r="AF1637" s="24" t="s">
        <v>1362</v>
      </c>
      <c r="AG1637" s="24" t="s">
        <v>1547</v>
      </c>
      <c r="AH1637" s="138" t="s">
        <v>132</v>
      </c>
      <c r="AI1637" s="24" t="s">
        <v>159</v>
      </c>
      <c r="AJ1637" s="140" t="s">
        <v>159</v>
      </c>
      <c r="AK1637" s="24" t="s">
        <v>120</v>
      </c>
      <c r="AQ1637" s="24" t="s">
        <v>1147</v>
      </c>
      <c r="AR1637" s="24" t="s">
        <v>1147</v>
      </c>
      <c r="AS1637" s="24" t="s">
        <v>178</v>
      </c>
      <c r="AT1637" s="24" t="s">
        <v>161</v>
      </c>
      <c r="AU1637" s="24">
        <v>2</v>
      </c>
      <c r="AW1637" s="24" t="s">
        <v>142</v>
      </c>
      <c r="BM1637" s="395"/>
      <c r="BN1637" s="395"/>
      <c r="BR1637" s="395"/>
      <c r="BS1637" s="395"/>
      <c r="EE1637" s="24">
        <v>2454</v>
      </c>
      <c r="EF1637" s="24">
        <v>235</v>
      </c>
      <c r="EI1637" s="24" t="s">
        <v>1149</v>
      </c>
      <c r="EJ1637" s="24">
        <v>311</v>
      </c>
      <c r="EK1637" s="24">
        <v>200</v>
      </c>
      <c r="EN1637" s="24" t="s">
        <v>1148</v>
      </c>
    </row>
    <row r="1638" spans="1:144" s="101" customFormat="1" x14ac:dyDescent="0.25">
      <c r="A1638" s="101">
        <v>75</v>
      </c>
      <c r="B1638" s="101" t="s">
        <v>1139</v>
      </c>
      <c r="C1638" s="101" t="s">
        <v>1140</v>
      </c>
      <c r="D1638" s="101">
        <v>1989</v>
      </c>
      <c r="E1638" s="101">
        <v>1986</v>
      </c>
      <c r="F1638" s="101" t="s">
        <v>419</v>
      </c>
      <c r="G1638" s="101" t="s">
        <v>1141</v>
      </c>
      <c r="H1638" s="24" t="s">
        <v>2831</v>
      </c>
      <c r="I1638" s="101">
        <v>38.950000000000003</v>
      </c>
      <c r="J1638" s="101">
        <v>-91.94</v>
      </c>
      <c r="K1638" s="101">
        <v>251.9</v>
      </c>
      <c r="Q1638" s="102" t="s">
        <v>1735</v>
      </c>
      <c r="R1638" s="102" t="s">
        <v>1867</v>
      </c>
      <c r="S1638" s="102" t="s">
        <v>1146</v>
      </c>
      <c r="T1638" s="42" t="s">
        <v>2015</v>
      </c>
      <c r="U1638" s="42" t="s">
        <v>1381</v>
      </c>
      <c r="V1638" s="42" t="s">
        <v>1381</v>
      </c>
      <c r="W1638" s="42" t="s">
        <v>1381</v>
      </c>
      <c r="X1638" s="42" t="s">
        <v>1381</v>
      </c>
      <c r="Z1638" s="352"/>
      <c r="AA1638" s="352"/>
      <c r="AB1638" s="101" t="s">
        <v>451</v>
      </c>
      <c r="AF1638" s="101" t="s">
        <v>1362</v>
      </c>
      <c r="AG1638" s="101" t="s">
        <v>1545</v>
      </c>
      <c r="AH1638" s="138" t="s">
        <v>1588</v>
      </c>
      <c r="AI1638" s="101" t="s">
        <v>159</v>
      </c>
      <c r="AJ1638" s="145" t="s">
        <v>159</v>
      </c>
      <c r="AK1638" s="101" t="s">
        <v>120</v>
      </c>
      <c r="AQ1638" s="101" t="s">
        <v>1147</v>
      </c>
      <c r="AR1638" s="101" t="s">
        <v>1147</v>
      </c>
      <c r="AS1638" s="101" t="s">
        <v>178</v>
      </c>
      <c r="AT1638" s="24" t="s">
        <v>161</v>
      </c>
      <c r="AU1638" s="101">
        <v>2</v>
      </c>
      <c r="AW1638" s="101" t="s">
        <v>142</v>
      </c>
      <c r="BM1638" s="427"/>
      <c r="BN1638" s="427"/>
      <c r="BR1638" s="427"/>
      <c r="BS1638" s="427"/>
      <c r="EE1638" s="101">
        <v>562</v>
      </c>
      <c r="EF1638" s="101">
        <v>45</v>
      </c>
      <c r="EI1638" s="101" t="s">
        <v>1149</v>
      </c>
      <c r="EJ1638" s="101">
        <v>10</v>
      </c>
      <c r="EK1638" s="101">
        <v>1</v>
      </c>
      <c r="EN1638" s="101" t="s">
        <v>1148</v>
      </c>
    </row>
    <row r="1639" spans="1:144" s="101" customFormat="1" x14ac:dyDescent="0.25">
      <c r="A1639" s="101">
        <v>75</v>
      </c>
      <c r="B1639" s="101" t="s">
        <v>1139</v>
      </c>
      <c r="C1639" s="101" t="s">
        <v>1140</v>
      </c>
      <c r="D1639" s="101">
        <v>1989</v>
      </c>
      <c r="E1639" s="101">
        <v>1986</v>
      </c>
      <c r="F1639" s="101" t="s">
        <v>419</v>
      </c>
      <c r="G1639" s="101" t="s">
        <v>1141</v>
      </c>
      <c r="H1639" s="24" t="s">
        <v>2831</v>
      </c>
      <c r="I1639" s="101">
        <v>38.950000000000003</v>
      </c>
      <c r="J1639" s="101">
        <v>-91.94</v>
      </c>
      <c r="K1639" s="101">
        <v>251.9</v>
      </c>
      <c r="Q1639" s="102" t="s">
        <v>1735</v>
      </c>
      <c r="R1639" s="102" t="s">
        <v>1867</v>
      </c>
      <c r="S1639" s="102" t="s">
        <v>1142</v>
      </c>
      <c r="T1639" s="42" t="s">
        <v>2015</v>
      </c>
      <c r="U1639" s="42" t="s">
        <v>1381</v>
      </c>
      <c r="V1639" s="42" t="s">
        <v>1381</v>
      </c>
      <c r="W1639" s="42" t="s">
        <v>1381</v>
      </c>
      <c r="X1639" s="42" t="s">
        <v>1381</v>
      </c>
      <c r="Z1639" s="352"/>
      <c r="AA1639" s="352"/>
      <c r="AB1639" s="101" t="s">
        <v>451</v>
      </c>
      <c r="AF1639" s="101" t="s">
        <v>1362</v>
      </c>
      <c r="AG1639" s="101" t="s">
        <v>1545</v>
      </c>
      <c r="AH1639" s="138" t="s">
        <v>1588</v>
      </c>
      <c r="AI1639" s="101" t="s">
        <v>159</v>
      </c>
      <c r="AJ1639" s="145" t="s">
        <v>159</v>
      </c>
      <c r="AK1639" s="101" t="s">
        <v>120</v>
      </c>
      <c r="AQ1639" s="101" t="s">
        <v>1147</v>
      </c>
      <c r="AR1639" s="101" t="s">
        <v>1147</v>
      </c>
      <c r="AS1639" s="101" t="s">
        <v>178</v>
      </c>
      <c r="AT1639" s="24" t="s">
        <v>161</v>
      </c>
      <c r="AU1639" s="101">
        <v>2</v>
      </c>
      <c r="AW1639" s="101" t="s">
        <v>142</v>
      </c>
      <c r="BM1639" s="427"/>
      <c r="BN1639" s="427"/>
      <c r="BR1639" s="427"/>
      <c r="BS1639" s="427"/>
      <c r="EE1639" s="101">
        <v>1E-3</v>
      </c>
      <c r="EF1639" s="101">
        <v>0</v>
      </c>
      <c r="EI1639" s="101" t="s">
        <v>1149</v>
      </c>
      <c r="EJ1639" s="101">
        <v>1</v>
      </c>
      <c r="EK1639" s="101">
        <v>0</v>
      </c>
      <c r="EN1639" s="101" t="s">
        <v>1148</v>
      </c>
    </row>
    <row r="1640" spans="1:144" s="101" customFormat="1" x14ac:dyDescent="0.25">
      <c r="A1640" s="101">
        <v>75</v>
      </c>
      <c r="B1640" s="101" t="s">
        <v>1139</v>
      </c>
      <c r="C1640" s="101" t="s">
        <v>1140</v>
      </c>
      <c r="D1640" s="101">
        <v>1989</v>
      </c>
      <c r="E1640" s="101">
        <v>1986</v>
      </c>
      <c r="F1640" s="101" t="s">
        <v>419</v>
      </c>
      <c r="G1640" s="101" t="s">
        <v>1141</v>
      </c>
      <c r="H1640" s="24" t="s">
        <v>2831</v>
      </c>
      <c r="I1640" s="101">
        <v>38.950000000000003</v>
      </c>
      <c r="J1640" s="101">
        <v>-91.94</v>
      </c>
      <c r="K1640" s="101">
        <v>251.9</v>
      </c>
      <c r="Q1640" s="102" t="s">
        <v>1735</v>
      </c>
      <c r="R1640" s="102" t="s">
        <v>1867</v>
      </c>
      <c r="S1640" s="102" t="s">
        <v>1143</v>
      </c>
      <c r="T1640" s="42" t="s">
        <v>2015</v>
      </c>
      <c r="U1640" s="42" t="s">
        <v>1381</v>
      </c>
      <c r="V1640" s="42" t="s">
        <v>1381</v>
      </c>
      <c r="W1640" s="42" t="s">
        <v>1381</v>
      </c>
      <c r="X1640" s="42" t="s">
        <v>1381</v>
      </c>
      <c r="Z1640" s="352"/>
      <c r="AA1640" s="352"/>
      <c r="AB1640" s="101" t="s">
        <v>451</v>
      </c>
      <c r="AF1640" s="101" t="s">
        <v>1362</v>
      </c>
      <c r="AG1640" s="101" t="s">
        <v>1545</v>
      </c>
      <c r="AH1640" s="138" t="s">
        <v>1588</v>
      </c>
      <c r="AI1640" s="101" t="s">
        <v>159</v>
      </c>
      <c r="AJ1640" s="145" t="s">
        <v>159</v>
      </c>
      <c r="AK1640" s="101" t="s">
        <v>120</v>
      </c>
      <c r="AQ1640" s="101" t="s">
        <v>1147</v>
      </c>
      <c r="AR1640" s="101" t="s">
        <v>1147</v>
      </c>
      <c r="AS1640" s="101" t="s">
        <v>178</v>
      </c>
      <c r="AT1640" s="24" t="s">
        <v>161</v>
      </c>
      <c r="AU1640" s="101">
        <v>2</v>
      </c>
      <c r="AW1640" s="101" t="s">
        <v>142</v>
      </c>
      <c r="BM1640" s="427"/>
      <c r="BN1640" s="427"/>
      <c r="BR1640" s="427"/>
      <c r="BS1640" s="427"/>
      <c r="EE1640" s="101">
        <v>1E-3</v>
      </c>
      <c r="EF1640" s="101">
        <v>0</v>
      </c>
      <c r="EI1640" s="101" t="s">
        <v>1149</v>
      </c>
      <c r="EJ1640" s="101">
        <v>7</v>
      </c>
      <c r="EK1640" s="101">
        <v>1</v>
      </c>
      <c r="EN1640" s="101" t="s">
        <v>1148</v>
      </c>
    </row>
    <row r="1641" spans="1:144" s="101" customFormat="1" x14ac:dyDescent="0.25">
      <c r="A1641" s="101">
        <v>75</v>
      </c>
      <c r="B1641" s="101" t="s">
        <v>1139</v>
      </c>
      <c r="C1641" s="101" t="s">
        <v>1140</v>
      </c>
      <c r="D1641" s="101">
        <v>1989</v>
      </c>
      <c r="E1641" s="101">
        <v>1986</v>
      </c>
      <c r="F1641" s="101" t="s">
        <v>419</v>
      </c>
      <c r="G1641" s="101" t="s">
        <v>1141</v>
      </c>
      <c r="H1641" s="24" t="s">
        <v>2831</v>
      </c>
      <c r="I1641" s="101">
        <v>38.950000000000003</v>
      </c>
      <c r="J1641" s="101">
        <v>-91.94</v>
      </c>
      <c r="K1641" s="101">
        <v>251.9</v>
      </c>
      <c r="Q1641" s="102" t="s">
        <v>1735</v>
      </c>
      <c r="R1641" s="102" t="s">
        <v>1867</v>
      </c>
      <c r="S1641" s="102" t="s">
        <v>1144</v>
      </c>
      <c r="T1641" s="42" t="s">
        <v>2015</v>
      </c>
      <c r="U1641" s="42" t="s">
        <v>1381</v>
      </c>
      <c r="V1641" s="42" t="s">
        <v>1381</v>
      </c>
      <c r="W1641" s="42" t="s">
        <v>1381</v>
      </c>
      <c r="X1641" s="42" t="s">
        <v>1381</v>
      </c>
      <c r="Z1641" s="352"/>
      <c r="AA1641" s="352"/>
      <c r="AB1641" s="101" t="s">
        <v>451</v>
      </c>
      <c r="AF1641" s="101" t="s">
        <v>1362</v>
      </c>
      <c r="AG1641" s="101" t="s">
        <v>1545</v>
      </c>
      <c r="AH1641" s="138" t="s">
        <v>1588</v>
      </c>
      <c r="AI1641" s="101" t="s">
        <v>159</v>
      </c>
      <c r="AJ1641" s="145" t="s">
        <v>159</v>
      </c>
      <c r="AK1641" s="101" t="s">
        <v>120</v>
      </c>
      <c r="AQ1641" s="101" t="s">
        <v>1147</v>
      </c>
      <c r="AR1641" s="101" t="s">
        <v>1147</v>
      </c>
      <c r="AS1641" s="101" t="s">
        <v>178</v>
      </c>
      <c r="AT1641" s="24" t="s">
        <v>161</v>
      </c>
      <c r="AU1641" s="101">
        <v>2</v>
      </c>
      <c r="AW1641" s="101" t="s">
        <v>142</v>
      </c>
      <c r="BM1641" s="427"/>
      <c r="BN1641" s="427"/>
      <c r="BR1641" s="427"/>
      <c r="BS1641" s="427"/>
      <c r="EE1641" s="101">
        <v>1E-3</v>
      </c>
      <c r="EF1641" s="101">
        <v>0</v>
      </c>
      <c r="EI1641" s="101" t="s">
        <v>1149</v>
      </c>
      <c r="EJ1641" s="101">
        <v>92</v>
      </c>
      <c r="EK1641" s="101">
        <v>15</v>
      </c>
      <c r="EN1641" s="101" t="s">
        <v>1148</v>
      </c>
    </row>
    <row r="1642" spans="1:144" s="101" customFormat="1" x14ac:dyDescent="0.25">
      <c r="A1642" s="101">
        <v>75</v>
      </c>
      <c r="B1642" s="101" t="s">
        <v>1139</v>
      </c>
      <c r="C1642" s="101" t="s">
        <v>1140</v>
      </c>
      <c r="D1642" s="101">
        <v>1989</v>
      </c>
      <c r="E1642" s="101">
        <v>1986</v>
      </c>
      <c r="F1642" s="101" t="s">
        <v>419</v>
      </c>
      <c r="G1642" s="101" t="s">
        <v>1141</v>
      </c>
      <c r="H1642" s="24" t="s">
        <v>2831</v>
      </c>
      <c r="I1642" s="101">
        <v>38.950000000000003</v>
      </c>
      <c r="J1642" s="101">
        <v>-91.94</v>
      </c>
      <c r="K1642" s="101">
        <v>251.9</v>
      </c>
      <c r="Q1642" s="102" t="s">
        <v>1735</v>
      </c>
      <c r="R1642" s="102" t="s">
        <v>1867</v>
      </c>
      <c r="S1642" s="102" t="s">
        <v>1145</v>
      </c>
      <c r="T1642" s="42" t="s">
        <v>2015</v>
      </c>
      <c r="U1642" s="42" t="s">
        <v>1381</v>
      </c>
      <c r="V1642" s="42" t="s">
        <v>1381</v>
      </c>
      <c r="W1642" s="42" t="s">
        <v>1381</v>
      </c>
      <c r="X1642" s="42" t="s">
        <v>1381</v>
      </c>
      <c r="Z1642" s="352"/>
      <c r="AA1642" s="352"/>
      <c r="AB1642" s="101" t="s">
        <v>451</v>
      </c>
      <c r="AF1642" s="101" t="s">
        <v>1362</v>
      </c>
      <c r="AG1642" s="101" t="s">
        <v>1545</v>
      </c>
      <c r="AH1642" s="138" t="s">
        <v>1588</v>
      </c>
      <c r="AI1642" s="101" t="s">
        <v>159</v>
      </c>
      <c r="AJ1642" s="145" t="s">
        <v>159</v>
      </c>
      <c r="AK1642" s="101" t="s">
        <v>120</v>
      </c>
      <c r="AQ1642" s="101" t="s">
        <v>1147</v>
      </c>
      <c r="AR1642" s="101" t="s">
        <v>1147</v>
      </c>
      <c r="AS1642" s="101" t="s">
        <v>178</v>
      </c>
      <c r="AT1642" s="24" t="s">
        <v>161</v>
      </c>
      <c r="AU1642" s="101">
        <v>2</v>
      </c>
      <c r="AW1642" s="101" t="s">
        <v>142</v>
      </c>
      <c r="BM1642" s="427"/>
      <c r="BN1642" s="427"/>
      <c r="BR1642" s="427"/>
      <c r="BS1642" s="427"/>
      <c r="EE1642" s="101">
        <v>562</v>
      </c>
      <c r="EF1642" s="101">
        <v>45</v>
      </c>
      <c r="EI1642" s="101" t="s">
        <v>1149</v>
      </c>
      <c r="EJ1642" s="101">
        <v>151</v>
      </c>
      <c r="EK1642" s="101">
        <v>52</v>
      </c>
      <c r="EN1642" s="101" t="s">
        <v>1148</v>
      </c>
    </row>
    <row r="1643" spans="1:144" s="105" customFormat="1" x14ac:dyDescent="0.25">
      <c r="A1643" s="105">
        <v>75</v>
      </c>
      <c r="B1643" s="105" t="s">
        <v>1139</v>
      </c>
      <c r="C1643" s="105" t="s">
        <v>1140</v>
      </c>
      <c r="D1643" s="105">
        <v>1989</v>
      </c>
      <c r="E1643" s="105">
        <v>1986</v>
      </c>
      <c r="F1643" s="105" t="s">
        <v>419</v>
      </c>
      <c r="G1643" s="105" t="s">
        <v>1141</v>
      </c>
      <c r="H1643" s="24" t="s">
        <v>2831</v>
      </c>
      <c r="I1643" s="105">
        <v>38.950000000000003</v>
      </c>
      <c r="J1643" s="105">
        <v>-91.94</v>
      </c>
      <c r="K1643" s="105">
        <v>251.9</v>
      </c>
      <c r="Q1643" s="106" t="s">
        <v>1735</v>
      </c>
      <c r="R1643" s="106" t="s">
        <v>1867</v>
      </c>
      <c r="S1643" s="106" t="s">
        <v>1146</v>
      </c>
      <c r="T1643" s="106" t="s">
        <v>2015</v>
      </c>
      <c r="U1643" s="106" t="s">
        <v>1381</v>
      </c>
      <c r="V1643" s="106" t="s">
        <v>1381</v>
      </c>
      <c r="W1643" s="106" t="s">
        <v>1381</v>
      </c>
      <c r="X1643" s="106" t="s">
        <v>1381</v>
      </c>
      <c r="Z1643" s="354"/>
      <c r="AA1643" s="354"/>
      <c r="AB1643" s="105" t="s">
        <v>451</v>
      </c>
      <c r="AF1643" s="105" t="s">
        <v>1362</v>
      </c>
      <c r="AG1643" s="105" t="s">
        <v>1546</v>
      </c>
      <c r="AH1643" s="138" t="s">
        <v>1585</v>
      </c>
      <c r="AI1643" s="105" t="s">
        <v>159</v>
      </c>
      <c r="AJ1643" s="145" t="s">
        <v>159</v>
      </c>
      <c r="AK1643" s="105" t="s">
        <v>120</v>
      </c>
      <c r="AQ1643" s="105" t="s">
        <v>1147</v>
      </c>
      <c r="AR1643" s="105" t="s">
        <v>1147</v>
      </c>
      <c r="AS1643" s="105" t="s">
        <v>178</v>
      </c>
      <c r="AT1643" s="24" t="s">
        <v>161</v>
      </c>
      <c r="AU1643" s="105">
        <v>2</v>
      </c>
      <c r="AW1643" s="105" t="s">
        <v>142</v>
      </c>
      <c r="BM1643" s="429"/>
      <c r="BN1643" s="429"/>
      <c r="BR1643" s="429"/>
      <c r="BS1643" s="429"/>
      <c r="EE1643" s="105">
        <v>562</v>
      </c>
      <c r="EF1643" s="105">
        <v>0</v>
      </c>
      <c r="EI1643" s="105" t="s">
        <v>1149</v>
      </c>
      <c r="EJ1643" s="105">
        <v>10</v>
      </c>
      <c r="EK1643" s="105">
        <v>0</v>
      </c>
      <c r="EN1643" s="105" t="s">
        <v>1148</v>
      </c>
    </row>
    <row r="1644" spans="1:144" s="105" customFormat="1" x14ac:dyDescent="0.25">
      <c r="A1644" s="105">
        <v>75</v>
      </c>
      <c r="B1644" s="105" t="s">
        <v>1139</v>
      </c>
      <c r="C1644" s="105" t="s">
        <v>1140</v>
      </c>
      <c r="D1644" s="105">
        <v>1989</v>
      </c>
      <c r="E1644" s="105">
        <v>1986</v>
      </c>
      <c r="F1644" s="105" t="s">
        <v>419</v>
      </c>
      <c r="G1644" s="105" t="s">
        <v>1141</v>
      </c>
      <c r="H1644" s="24" t="s">
        <v>2831</v>
      </c>
      <c r="I1644" s="105">
        <v>38.950000000000003</v>
      </c>
      <c r="J1644" s="105">
        <v>-91.94</v>
      </c>
      <c r="K1644" s="105">
        <v>251.9</v>
      </c>
      <c r="Q1644" s="106" t="s">
        <v>1735</v>
      </c>
      <c r="R1644" s="106" t="s">
        <v>1867</v>
      </c>
      <c r="S1644" s="106" t="s">
        <v>1142</v>
      </c>
      <c r="T1644" s="106" t="s">
        <v>2015</v>
      </c>
      <c r="U1644" s="106" t="s">
        <v>1381</v>
      </c>
      <c r="V1644" s="106" t="s">
        <v>1381</v>
      </c>
      <c r="W1644" s="106" t="s">
        <v>1381</v>
      </c>
      <c r="X1644" s="106" t="s">
        <v>1381</v>
      </c>
      <c r="Z1644" s="354"/>
      <c r="AA1644" s="354"/>
      <c r="AB1644" s="105" t="s">
        <v>451</v>
      </c>
      <c r="AF1644" s="105" t="s">
        <v>1362</v>
      </c>
      <c r="AG1644" s="105" t="s">
        <v>1546</v>
      </c>
      <c r="AH1644" s="138" t="s">
        <v>1585</v>
      </c>
      <c r="AI1644" s="105" t="s">
        <v>159</v>
      </c>
      <c r="AJ1644" s="145" t="s">
        <v>159</v>
      </c>
      <c r="AK1644" s="105" t="s">
        <v>120</v>
      </c>
      <c r="AQ1644" s="105" t="s">
        <v>1147</v>
      </c>
      <c r="AR1644" s="105" t="s">
        <v>1147</v>
      </c>
      <c r="AS1644" s="105" t="s">
        <v>178</v>
      </c>
      <c r="AT1644" s="24" t="s">
        <v>161</v>
      </c>
      <c r="AU1644" s="105">
        <v>2</v>
      </c>
      <c r="AW1644" s="105" t="s">
        <v>142</v>
      </c>
      <c r="BM1644" s="429"/>
      <c r="BN1644" s="429"/>
      <c r="BR1644" s="429"/>
      <c r="BS1644" s="429"/>
      <c r="EE1644" s="105">
        <v>1E-3</v>
      </c>
      <c r="EF1644" s="105">
        <v>0</v>
      </c>
      <c r="EI1644" s="105" t="s">
        <v>1149</v>
      </c>
      <c r="EJ1644" s="105">
        <v>1</v>
      </c>
      <c r="EK1644" s="105">
        <v>0</v>
      </c>
      <c r="EN1644" s="105" t="s">
        <v>1148</v>
      </c>
    </row>
    <row r="1645" spans="1:144" s="105" customFormat="1" x14ac:dyDescent="0.25">
      <c r="A1645" s="105">
        <v>75</v>
      </c>
      <c r="B1645" s="105" t="s">
        <v>1139</v>
      </c>
      <c r="C1645" s="105" t="s">
        <v>1140</v>
      </c>
      <c r="D1645" s="105">
        <v>1989</v>
      </c>
      <c r="E1645" s="105">
        <v>1986</v>
      </c>
      <c r="F1645" s="105" t="s">
        <v>419</v>
      </c>
      <c r="G1645" s="105" t="s">
        <v>1141</v>
      </c>
      <c r="H1645" s="24" t="s">
        <v>2831</v>
      </c>
      <c r="I1645" s="105">
        <v>38.950000000000003</v>
      </c>
      <c r="J1645" s="105">
        <v>-91.94</v>
      </c>
      <c r="K1645" s="105">
        <v>251.9</v>
      </c>
      <c r="Q1645" s="106" t="s">
        <v>1735</v>
      </c>
      <c r="R1645" s="106" t="s">
        <v>1867</v>
      </c>
      <c r="S1645" s="106" t="s">
        <v>1143</v>
      </c>
      <c r="T1645" s="106" t="s">
        <v>2015</v>
      </c>
      <c r="U1645" s="106" t="s">
        <v>1381</v>
      </c>
      <c r="V1645" s="106" t="s">
        <v>1381</v>
      </c>
      <c r="W1645" s="106" t="s">
        <v>1381</v>
      </c>
      <c r="X1645" s="106" t="s">
        <v>1381</v>
      </c>
      <c r="Z1645" s="354"/>
      <c r="AA1645" s="354"/>
      <c r="AB1645" s="105" t="s">
        <v>451</v>
      </c>
      <c r="AF1645" s="105" t="s">
        <v>1362</v>
      </c>
      <c r="AG1645" s="105" t="s">
        <v>1546</v>
      </c>
      <c r="AH1645" s="138" t="s">
        <v>1585</v>
      </c>
      <c r="AI1645" s="105" t="s">
        <v>159</v>
      </c>
      <c r="AJ1645" s="145" t="s">
        <v>159</v>
      </c>
      <c r="AK1645" s="105" t="s">
        <v>120</v>
      </c>
      <c r="AQ1645" s="105" t="s">
        <v>1147</v>
      </c>
      <c r="AR1645" s="105" t="s">
        <v>1147</v>
      </c>
      <c r="AS1645" s="105" t="s">
        <v>178</v>
      </c>
      <c r="AT1645" s="24" t="s">
        <v>161</v>
      </c>
      <c r="AU1645" s="105">
        <v>2</v>
      </c>
      <c r="AW1645" s="105" t="s">
        <v>142</v>
      </c>
      <c r="BM1645" s="429"/>
      <c r="BN1645" s="429"/>
      <c r="BR1645" s="429"/>
      <c r="BS1645" s="429"/>
      <c r="EE1645" s="105">
        <v>1E-3</v>
      </c>
      <c r="EF1645" s="105">
        <v>0</v>
      </c>
      <c r="EI1645" s="105" t="s">
        <v>1149</v>
      </c>
      <c r="EJ1645" s="105">
        <v>7</v>
      </c>
      <c r="EK1645" s="105">
        <v>0</v>
      </c>
      <c r="EN1645" s="105" t="s">
        <v>1148</v>
      </c>
    </row>
    <row r="1646" spans="1:144" s="105" customFormat="1" x14ac:dyDescent="0.25">
      <c r="A1646" s="105">
        <v>75</v>
      </c>
      <c r="B1646" s="105" t="s">
        <v>1139</v>
      </c>
      <c r="C1646" s="105" t="s">
        <v>1140</v>
      </c>
      <c r="D1646" s="105">
        <v>1989</v>
      </c>
      <c r="E1646" s="105">
        <v>1986</v>
      </c>
      <c r="F1646" s="105" t="s">
        <v>419</v>
      </c>
      <c r="G1646" s="105" t="s">
        <v>1141</v>
      </c>
      <c r="H1646" s="24" t="s">
        <v>2831</v>
      </c>
      <c r="I1646" s="105">
        <v>38.950000000000003</v>
      </c>
      <c r="J1646" s="105">
        <v>-91.94</v>
      </c>
      <c r="K1646" s="105">
        <v>251.9</v>
      </c>
      <c r="Q1646" s="106" t="s">
        <v>1735</v>
      </c>
      <c r="R1646" s="106" t="s">
        <v>1867</v>
      </c>
      <c r="S1646" s="106" t="s">
        <v>1144</v>
      </c>
      <c r="T1646" s="106" t="s">
        <v>2015</v>
      </c>
      <c r="U1646" s="106" t="s">
        <v>1381</v>
      </c>
      <c r="V1646" s="106" t="s">
        <v>1381</v>
      </c>
      <c r="W1646" s="106" t="s">
        <v>1381</v>
      </c>
      <c r="X1646" s="106" t="s">
        <v>1381</v>
      </c>
      <c r="Z1646" s="354"/>
      <c r="AA1646" s="354"/>
      <c r="AB1646" s="105" t="s">
        <v>451</v>
      </c>
      <c r="AF1646" s="105" t="s">
        <v>1362</v>
      </c>
      <c r="AG1646" s="105" t="s">
        <v>1546</v>
      </c>
      <c r="AH1646" s="138" t="s">
        <v>1585</v>
      </c>
      <c r="AI1646" s="105" t="s">
        <v>159</v>
      </c>
      <c r="AJ1646" s="145" t="s">
        <v>159</v>
      </c>
      <c r="AK1646" s="105" t="s">
        <v>120</v>
      </c>
      <c r="AQ1646" s="105" t="s">
        <v>1147</v>
      </c>
      <c r="AR1646" s="105" t="s">
        <v>1147</v>
      </c>
      <c r="AS1646" s="105" t="s">
        <v>178</v>
      </c>
      <c r="AT1646" s="24" t="s">
        <v>161</v>
      </c>
      <c r="AU1646" s="105">
        <v>2</v>
      </c>
      <c r="AW1646" s="105" t="s">
        <v>142</v>
      </c>
      <c r="BM1646" s="429"/>
      <c r="BN1646" s="429"/>
      <c r="BR1646" s="429"/>
      <c r="BS1646" s="429"/>
      <c r="EE1646" s="105">
        <v>1E-3</v>
      </c>
      <c r="EF1646" s="105">
        <v>0</v>
      </c>
      <c r="EI1646" s="105" t="s">
        <v>1149</v>
      </c>
      <c r="EJ1646" s="105">
        <v>92</v>
      </c>
      <c r="EK1646" s="105">
        <v>26</v>
      </c>
      <c r="EN1646" s="105" t="s">
        <v>1148</v>
      </c>
    </row>
    <row r="1647" spans="1:144" s="105" customFormat="1" x14ac:dyDescent="0.25">
      <c r="A1647" s="105">
        <v>75</v>
      </c>
      <c r="B1647" s="105" t="s">
        <v>1139</v>
      </c>
      <c r="C1647" s="105" t="s">
        <v>1140</v>
      </c>
      <c r="D1647" s="105">
        <v>1989</v>
      </c>
      <c r="E1647" s="105">
        <v>1986</v>
      </c>
      <c r="F1647" s="105" t="s">
        <v>419</v>
      </c>
      <c r="G1647" s="105" t="s">
        <v>1141</v>
      </c>
      <c r="H1647" s="24" t="s">
        <v>2831</v>
      </c>
      <c r="I1647" s="105">
        <v>38.950000000000003</v>
      </c>
      <c r="J1647" s="105">
        <v>-91.94</v>
      </c>
      <c r="K1647" s="105">
        <v>251.9</v>
      </c>
      <c r="Q1647" s="106" t="s">
        <v>1735</v>
      </c>
      <c r="R1647" s="106" t="s">
        <v>1867</v>
      </c>
      <c r="S1647" s="106" t="s">
        <v>1145</v>
      </c>
      <c r="T1647" s="106" t="s">
        <v>2015</v>
      </c>
      <c r="U1647" s="106" t="s">
        <v>1381</v>
      </c>
      <c r="V1647" s="106" t="s">
        <v>1381</v>
      </c>
      <c r="W1647" s="106" t="s">
        <v>1381</v>
      </c>
      <c r="X1647" s="106" t="s">
        <v>1381</v>
      </c>
      <c r="Z1647" s="354"/>
      <c r="AA1647" s="354"/>
      <c r="AB1647" s="105" t="s">
        <v>451</v>
      </c>
      <c r="AF1647" s="105" t="s">
        <v>1362</v>
      </c>
      <c r="AG1647" s="105" t="s">
        <v>1546</v>
      </c>
      <c r="AH1647" s="138" t="s">
        <v>1585</v>
      </c>
      <c r="AI1647" s="105" t="s">
        <v>159</v>
      </c>
      <c r="AJ1647" s="145" t="s">
        <v>159</v>
      </c>
      <c r="AK1647" s="105" t="s">
        <v>120</v>
      </c>
      <c r="AQ1647" s="105" t="s">
        <v>1147</v>
      </c>
      <c r="AR1647" s="105" t="s">
        <v>1147</v>
      </c>
      <c r="AS1647" s="105" t="s">
        <v>178</v>
      </c>
      <c r="AT1647" s="24" t="s">
        <v>161</v>
      </c>
      <c r="AU1647" s="105">
        <v>2</v>
      </c>
      <c r="AW1647" s="105" t="s">
        <v>142</v>
      </c>
      <c r="BM1647" s="429"/>
      <c r="BN1647" s="429"/>
      <c r="BR1647" s="429"/>
      <c r="BS1647" s="429"/>
      <c r="EE1647" s="105">
        <v>562</v>
      </c>
      <c r="EF1647" s="105">
        <v>0</v>
      </c>
      <c r="EI1647" s="105" t="s">
        <v>1149</v>
      </c>
      <c r="EJ1647" s="105">
        <v>151</v>
      </c>
      <c r="EK1647" s="105">
        <v>67</v>
      </c>
      <c r="EN1647" s="105" t="s">
        <v>1148</v>
      </c>
    </row>
    <row r="1648" spans="1:144" s="101" customFormat="1" x14ac:dyDescent="0.25">
      <c r="A1648" s="101">
        <v>75</v>
      </c>
      <c r="B1648" s="101" t="s">
        <v>1139</v>
      </c>
      <c r="C1648" s="101" t="s">
        <v>1140</v>
      </c>
      <c r="D1648" s="101">
        <v>1989</v>
      </c>
      <c r="E1648" s="101">
        <v>1986</v>
      </c>
      <c r="F1648" s="101" t="s">
        <v>419</v>
      </c>
      <c r="G1648" s="101" t="s">
        <v>1141</v>
      </c>
      <c r="H1648" s="24" t="s">
        <v>2831</v>
      </c>
      <c r="I1648" s="101">
        <v>38.950000000000003</v>
      </c>
      <c r="J1648" s="101">
        <v>-91.94</v>
      </c>
      <c r="K1648" s="101">
        <v>251.9</v>
      </c>
      <c r="Q1648" s="102" t="s">
        <v>1735</v>
      </c>
      <c r="R1648" s="102" t="s">
        <v>1867</v>
      </c>
      <c r="S1648" s="102" t="s">
        <v>1146</v>
      </c>
      <c r="T1648" s="102" t="s">
        <v>2015</v>
      </c>
      <c r="U1648" s="102" t="s">
        <v>1381</v>
      </c>
      <c r="V1648" s="102" t="s">
        <v>1381</v>
      </c>
      <c r="W1648" s="102" t="s">
        <v>1381</v>
      </c>
      <c r="X1648" s="102" t="s">
        <v>1381</v>
      </c>
      <c r="Z1648" s="352"/>
      <c r="AA1648" s="352"/>
      <c r="AB1648" s="101" t="s">
        <v>451</v>
      </c>
      <c r="AF1648" s="101" t="s">
        <v>1362</v>
      </c>
      <c r="AG1648" s="101" t="s">
        <v>1547</v>
      </c>
      <c r="AH1648" s="138" t="s">
        <v>132</v>
      </c>
      <c r="AI1648" s="101" t="s">
        <v>159</v>
      </c>
      <c r="AJ1648" s="145" t="s">
        <v>159</v>
      </c>
      <c r="AK1648" s="101" t="s">
        <v>120</v>
      </c>
      <c r="AQ1648" s="101" t="s">
        <v>1147</v>
      </c>
      <c r="AR1648" s="101" t="s">
        <v>1147</v>
      </c>
      <c r="AS1648" s="101" t="s">
        <v>178</v>
      </c>
      <c r="AT1648" s="24" t="s">
        <v>161</v>
      </c>
      <c r="AU1648" s="101">
        <v>2</v>
      </c>
      <c r="AW1648" s="101" t="s">
        <v>142</v>
      </c>
      <c r="BM1648" s="427"/>
      <c r="BN1648" s="427"/>
      <c r="BR1648" s="427"/>
      <c r="BS1648" s="427"/>
      <c r="EE1648" s="101">
        <v>562</v>
      </c>
      <c r="EF1648" s="101">
        <v>0</v>
      </c>
      <c r="EI1648" s="101" t="s">
        <v>1149</v>
      </c>
      <c r="EJ1648" s="101">
        <v>10</v>
      </c>
      <c r="EK1648" s="101">
        <v>0</v>
      </c>
      <c r="EN1648" s="101" t="s">
        <v>1148</v>
      </c>
    </row>
    <row r="1649" spans="1:144" s="101" customFormat="1" x14ac:dyDescent="0.25">
      <c r="A1649" s="101">
        <v>75</v>
      </c>
      <c r="B1649" s="101" t="s">
        <v>1139</v>
      </c>
      <c r="C1649" s="101" t="s">
        <v>1140</v>
      </c>
      <c r="D1649" s="101">
        <v>1989</v>
      </c>
      <c r="E1649" s="101">
        <v>1986</v>
      </c>
      <c r="F1649" s="101" t="s">
        <v>419</v>
      </c>
      <c r="G1649" s="101" t="s">
        <v>1141</v>
      </c>
      <c r="H1649" s="24" t="s">
        <v>2831</v>
      </c>
      <c r="I1649" s="101">
        <v>38.950000000000003</v>
      </c>
      <c r="J1649" s="101">
        <v>-91.94</v>
      </c>
      <c r="K1649" s="101">
        <v>251.9</v>
      </c>
      <c r="Q1649" s="102" t="s">
        <v>1735</v>
      </c>
      <c r="R1649" s="102" t="s">
        <v>1867</v>
      </c>
      <c r="S1649" s="102" t="s">
        <v>1142</v>
      </c>
      <c r="T1649" s="102" t="s">
        <v>2015</v>
      </c>
      <c r="U1649" s="102" t="s">
        <v>1381</v>
      </c>
      <c r="V1649" s="102" t="s">
        <v>1381</v>
      </c>
      <c r="W1649" s="102" t="s">
        <v>1381</v>
      </c>
      <c r="X1649" s="102" t="s">
        <v>1381</v>
      </c>
      <c r="Z1649" s="352"/>
      <c r="AA1649" s="352"/>
      <c r="AB1649" s="101" t="s">
        <v>451</v>
      </c>
      <c r="AF1649" s="101" t="s">
        <v>1362</v>
      </c>
      <c r="AG1649" s="101" t="s">
        <v>1547</v>
      </c>
      <c r="AH1649" s="138" t="s">
        <v>132</v>
      </c>
      <c r="AI1649" s="101" t="s">
        <v>159</v>
      </c>
      <c r="AJ1649" s="145" t="s">
        <v>159</v>
      </c>
      <c r="AK1649" s="101" t="s">
        <v>120</v>
      </c>
      <c r="AQ1649" s="101" t="s">
        <v>1147</v>
      </c>
      <c r="AR1649" s="101" t="s">
        <v>1147</v>
      </c>
      <c r="AS1649" s="101" t="s">
        <v>178</v>
      </c>
      <c r="AT1649" s="24" t="s">
        <v>161</v>
      </c>
      <c r="AU1649" s="101">
        <v>2</v>
      </c>
      <c r="AW1649" s="101" t="s">
        <v>142</v>
      </c>
      <c r="BM1649" s="427"/>
      <c r="BN1649" s="427"/>
      <c r="BR1649" s="427"/>
      <c r="BS1649" s="427"/>
      <c r="EE1649" s="101">
        <v>1E-3</v>
      </c>
      <c r="EF1649" s="101">
        <v>0</v>
      </c>
      <c r="EI1649" s="101" t="s">
        <v>1149</v>
      </c>
      <c r="EJ1649" s="101">
        <v>1</v>
      </c>
      <c r="EK1649" s="101">
        <v>0</v>
      </c>
      <c r="EN1649" s="101" t="s">
        <v>1148</v>
      </c>
    </row>
    <row r="1650" spans="1:144" s="101" customFormat="1" x14ac:dyDescent="0.25">
      <c r="A1650" s="101">
        <v>75</v>
      </c>
      <c r="B1650" s="101" t="s">
        <v>1139</v>
      </c>
      <c r="C1650" s="101" t="s">
        <v>1140</v>
      </c>
      <c r="D1650" s="101">
        <v>1989</v>
      </c>
      <c r="E1650" s="101">
        <v>1986</v>
      </c>
      <c r="F1650" s="101" t="s">
        <v>419</v>
      </c>
      <c r="G1650" s="101" t="s">
        <v>1141</v>
      </c>
      <c r="H1650" s="24" t="s">
        <v>2831</v>
      </c>
      <c r="I1650" s="101">
        <v>38.950000000000003</v>
      </c>
      <c r="J1650" s="101">
        <v>-91.94</v>
      </c>
      <c r="K1650" s="101">
        <v>251.9</v>
      </c>
      <c r="Q1650" s="102" t="s">
        <v>1735</v>
      </c>
      <c r="R1650" s="102" t="s">
        <v>1867</v>
      </c>
      <c r="S1650" s="102" t="s">
        <v>1143</v>
      </c>
      <c r="T1650" s="102" t="s">
        <v>2015</v>
      </c>
      <c r="U1650" s="102" t="s">
        <v>1381</v>
      </c>
      <c r="V1650" s="102" t="s">
        <v>1381</v>
      </c>
      <c r="W1650" s="102" t="s">
        <v>1381</v>
      </c>
      <c r="X1650" s="102" t="s">
        <v>1381</v>
      </c>
      <c r="Z1650" s="352"/>
      <c r="AA1650" s="352"/>
      <c r="AB1650" s="101" t="s">
        <v>451</v>
      </c>
      <c r="AF1650" s="101" t="s">
        <v>1362</v>
      </c>
      <c r="AG1650" s="101" t="s">
        <v>1547</v>
      </c>
      <c r="AH1650" s="138" t="s">
        <v>132</v>
      </c>
      <c r="AI1650" s="101" t="s">
        <v>159</v>
      </c>
      <c r="AJ1650" s="145" t="s">
        <v>159</v>
      </c>
      <c r="AK1650" s="101" t="s">
        <v>120</v>
      </c>
      <c r="AQ1650" s="101" t="s">
        <v>1147</v>
      </c>
      <c r="AR1650" s="101" t="s">
        <v>1147</v>
      </c>
      <c r="AS1650" s="101" t="s">
        <v>178</v>
      </c>
      <c r="AT1650" s="24" t="s">
        <v>161</v>
      </c>
      <c r="AU1650" s="101">
        <v>2</v>
      </c>
      <c r="AW1650" s="101" t="s">
        <v>142</v>
      </c>
      <c r="BM1650" s="427"/>
      <c r="BN1650" s="427"/>
      <c r="BR1650" s="427"/>
      <c r="BS1650" s="427"/>
      <c r="EE1650" s="101">
        <v>1E-3</v>
      </c>
      <c r="EF1650" s="101">
        <v>0</v>
      </c>
      <c r="EI1650" s="101" t="s">
        <v>1149</v>
      </c>
      <c r="EJ1650" s="101">
        <v>7</v>
      </c>
      <c r="EK1650" s="101">
        <v>0</v>
      </c>
      <c r="EN1650" s="101" t="s">
        <v>1148</v>
      </c>
    </row>
    <row r="1651" spans="1:144" s="101" customFormat="1" x14ac:dyDescent="0.25">
      <c r="A1651" s="101">
        <v>75</v>
      </c>
      <c r="B1651" s="101" t="s">
        <v>1139</v>
      </c>
      <c r="C1651" s="101" t="s">
        <v>1140</v>
      </c>
      <c r="D1651" s="101">
        <v>1989</v>
      </c>
      <c r="E1651" s="101">
        <v>1986</v>
      </c>
      <c r="F1651" s="101" t="s">
        <v>419</v>
      </c>
      <c r="G1651" s="101" t="s">
        <v>1141</v>
      </c>
      <c r="H1651" s="24" t="s">
        <v>2831</v>
      </c>
      <c r="I1651" s="101">
        <v>38.950000000000003</v>
      </c>
      <c r="J1651" s="101">
        <v>-91.94</v>
      </c>
      <c r="K1651" s="101">
        <v>251.9</v>
      </c>
      <c r="Q1651" s="102" t="s">
        <v>1735</v>
      </c>
      <c r="R1651" s="102" t="s">
        <v>1867</v>
      </c>
      <c r="S1651" s="102" t="s">
        <v>1144</v>
      </c>
      <c r="T1651" s="102" t="s">
        <v>2015</v>
      </c>
      <c r="U1651" s="102" t="s">
        <v>1381</v>
      </c>
      <c r="V1651" s="102" t="s">
        <v>1381</v>
      </c>
      <c r="W1651" s="102" t="s">
        <v>1381</v>
      </c>
      <c r="X1651" s="102" t="s">
        <v>1381</v>
      </c>
      <c r="Z1651" s="352"/>
      <c r="AA1651" s="352"/>
      <c r="AB1651" s="101" t="s">
        <v>451</v>
      </c>
      <c r="AF1651" s="101" t="s">
        <v>1362</v>
      </c>
      <c r="AG1651" s="101" t="s">
        <v>1547</v>
      </c>
      <c r="AH1651" s="138" t="s">
        <v>132</v>
      </c>
      <c r="AI1651" s="101" t="s">
        <v>159</v>
      </c>
      <c r="AJ1651" s="145" t="s">
        <v>159</v>
      </c>
      <c r="AK1651" s="101" t="s">
        <v>120</v>
      </c>
      <c r="AQ1651" s="101" t="s">
        <v>1147</v>
      </c>
      <c r="AR1651" s="101" t="s">
        <v>1147</v>
      </c>
      <c r="AS1651" s="101" t="s">
        <v>178</v>
      </c>
      <c r="AT1651" s="24" t="s">
        <v>161</v>
      </c>
      <c r="AU1651" s="101">
        <v>2</v>
      </c>
      <c r="AW1651" s="101" t="s">
        <v>142</v>
      </c>
      <c r="BM1651" s="427"/>
      <c r="BN1651" s="427"/>
      <c r="BR1651" s="427"/>
      <c r="BS1651" s="427"/>
      <c r="EE1651" s="101">
        <v>1E-3</v>
      </c>
      <c r="EF1651" s="101">
        <v>0</v>
      </c>
      <c r="EI1651" s="101" t="s">
        <v>1149</v>
      </c>
      <c r="EJ1651" s="101">
        <v>92</v>
      </c>
      <c r="EK1651" s="101">
        <v>15</v>
      </c>
      <c r="EN1651" s="101" t="s">
        <v>1148</v>
      </c>
    </row>
    <row r="1652" spans="1:144" s="101" customFormat="1" x14ac:dyDescent="0.25">
      <c r="A1652" s="101">
        <v>75</v>
      </c>
      <c r="B1652" s="101" t="s">
        <v>1139</v>
      </c>
      <c r="C1652" s="101" t="s">
        <v>1140</v>
      </c>
      <c r="D1652" s="101">
        <v>1989</v>
      </c>
      <c r="E1652" s="101">
        <v>1986</v>
      </c>
      <c r="F1652" s="101" t="s">
        <v>419</v>
      </c>
      <c r="G1652" s="101" t="s">
        <v>1141</v>
      </c>
      <c r="H1652" s="24" t="s">
        <v>2831</v>
      </c>
      <c r="I1652" s="101">
        <v>38.950000000000003</v>
      </c>
      <c r="J1652" s="101">
        <v>-91.94</v>
      </c>
      <c r="K1652" s="101">
        <v>251.9</v>
      </c>
      <c r="Q1652" s="102" t="s">
        <v>1735</v>
      </c>
      <c r="R1652" s="102" t="s">
        <v>1867</v>
      </c>
      <c r="S1652" s="102" t="s">
        <v>1145</v>
      </c>
      <c r="T1652" s="102" t="s">
        <v>2015</v>
      </c>
      <c r="U1652" s="102" t="s">
        <v>1381</v>
      </c>
      <c r="V1652" s="102" t="s">
        <v>1381</v>
      </c>
      <c r="W1652" s="102" t="s">
        <v>1381</v>
      </c>
      <c r="X1652" s="102" t="s">
        <v>1381</v>
      </c>
      <c r="Z1652" s="352"/>
      <c r="AA1652" s="352"/>
      <c r="AB1652" s="101" t="s">
        <v>451</v>
      </c>
      <c r="AF1652" s="101" t="s">
        <v>1362</v>
      </c>
      <c r="AG1652" s="101" t="s">
        <v>1547</v>
      </c>
      <c r="AH1652" s="138" t="s">
        <v>132</v>
      </c>
      <c r="AI1652" s="101" t="s">
        <v>159</v>
      </c>
      <c r="AJ1652" s="145" t="s">
        <v>159</v>
      </c>
      <c r="AK1652" s="101" t="s">
        <v>120</v>
      </c>
      <c r="AQ1652" s="101" t="s">
        <v>1147</v>
      </c>
      <c r="AR1652" s="101" t="s">
        <v>1147</v>
      </c>
      <c r="AS1652" s="101" t="s">
        <v>178</v>
      </c>
      <c r="AT1652" s="24" t="s">
        <v>161</v>
      </c>
      <c r="AU1652" s="101">
        <v>2</v>
      </c>
      <c r="AW1652" s="101" t="s">
        <v>142</v>
      </c>
      <c r="BM1652" s="427"/>
      <c r="BN1652" s="427"/>
      <c r="BR1652" s="427"/>
      <c r="BS1652" s="427"/>
      <c r="EE1652" s="101">
        <v>562</v>
      </c>
      <c r="EF1652" s="101">
        <v>0</v>
      </c>
      <c r="EI1652" s="101" t="s">
        <v>1149</v>
      </c>
      <c r="EJ1652" s="101">
        <v>151</v>
      </c>
      <c r="EK1652" s="101">
        <v>31</v>
      </c>
      <c r="EN1652" s="101" t="s">
        <v>1148</v>
      </c>
    </row>
    <row r="1653" spans="1:144" s="24" customFormat="1" x14ac:dyDescent="0.25">
      <c r="A1653" s="24">
        <v>75</v>
      </c>
      <c r="B1653" s="24" t="s">
        <v>1139</v>
      </c>
      <c r="C1653" s="24" t="s">
        <v>1140</v>
      </c>
      <c r="D1653" s="24">
        <v>1989</v>
      </c>
      <c r="E1653" s="24">
        <v>1987</v>
      </c>
      <c r="F1653" s="24" t="s">
        <v>419</v>
      </c>
      <c r="G1653" s="24" t="s">
        <v>1141</v>
      </c>
      <c r="H1653" s="24" t="s">
        <v>2831</v>
      </c>
      <c r="I1653" s="24">
        <v>38.950000000000003</v>
      </c>
      <c r="J1653" s="24">
        <v>-91.94</v>
      </c>
      <c r="K1653" s="24">
        <v>251.9</v>
      </c>
      <c r="Q1653" s="42" t="s">
        <v>1867</v>
      </c>
      <c r="R1653" s="42" t="s">
        <v>1867</v>
      </c>
      <c r="S1653" s="42" t="s">
        <v>1146</v>
      </c>
      <c r="T1653" s="102" t="s">
        <v>2015</v>
      </c>
      <c r="U1653" s="42" t="s">
        <v>1381</v>
      </c>
      <c r="V1653" s="42" t="s">
        <v>1381</v>
      </c>
      <c r="W1653" s="42" t="s">
        <v>1381</v>
      </c>
      <c r="X1653" s="42" t="s">
        <v>1381</v>
      </c>
      <c r="Z1653" s="321"/>
      <c r="AA1653" s="321"/>
      <c r="AB1653" s="24" t="s">
        <v>451</v>
      </c>
      <c r="AF1653" s="24" t="s">
        <v>1362</v>
      </c>
      <c r="AG1653" s="24" t="s">
        <v>1545</v>
      </c>
      <c r="AH1653" s="138" t="s">
        <v>1588</v>
      </c>
      <c r="AI1653" s="24" t="s">
        <v>159</v>
      </c>
      <c r="AJ1653" s="140" t="s">
        <v>159</v>
      </c>
      <c r="AK1653" s="24" t="s">
        <v>120</v>
      </c>
      <c r="AQ1653" s="24" t="s">
        <v>1147</v>
      </c>
      <c r="AR1653" s="24" t="s">
        <v>1147</v>
      </c>
      <c r="AS1653" s="24" t="s">
        <v>178</v>
      </c>
      <c r="AT1653" s="24" t="s">
        <v>161</v>
      </c>
      <c r="AU1653" s="24">
        <v>2</v>
      </c>
      <c r="AW1653" s="24" t="s">
        <v>142</v>
      </c>
      <c r="BM1653" s="395"/>
      <c r="BN1653" s="395"/>
      <c r="BR1653" s="395"/>
      <c r="BS1653" s="395"/>
      <c r="EE1653" s="24">
        <v>217</v>
      </c>
      <c r="EF1653" s="24">
        <v>0</v>
      </c>
      <c r="EI1653" s="24" t="s">
        <v>1149</v>
      </c>
      <c r="EJ1653" s="24">
        <v>2</v>
      </c>
      <c r="EK1653" s="24">
        <v>0</v>
      </c>
      <c r="EN1653" s="24" t="s">
        <v>1148</v>
      </c>
    </row>
    <row r="1654" spans="1:144" s="24" customFormat="1" x14ac:dyDescent="0.25">
      <c r="A1654" s="24">
        <v>75</v>
      </c>
      <c r="B1654" s="24" t="s">
        <v>1139</v>
      </c>
      <c r="C1654" s="24" t="s">
        <v>1140</v>
      </c>
      <c r="D1654" s="24">
        <v>1989</v>
      </c>
      <c r="E1654" s="24">
        <v>1987</v>
      </c>
      <c r="F1654" s="24" t="s">
        <v>419</v>
      </c>
      <c r="G1654" s="24" t="s">
        <v>1141</v>
      </c>
      <c r="H1654" s="24" t="s">
        <v>2831</v>
      </c>
      <c r="I1654" s="24">
        <v>38.950000000000003</v>
      </c>
      <c r="J1654" s="24">
        <v>-91.94</v>
      </c>
      <c r="K1654" s="24">
        <v>251.9</v>
      </c>
      <c r="Q1654" s="42" t="s">
        <v>1867</v>
      </c>
      <c r="R1654" s="42" t="s">
        <v>1867</v>
      </c>
      <c r="S1654" s="42" t="s">
        <v>1142</v>
      </c>
      <c r="T1654" s="102" t="s">
        <v>2015</v>
      </c>
      <c r="U1654" s="42" t="s">
        <v>1381</v>
      </c>
      <c r="V1654" s="42" t="s">
        <v>1381</v>
      </c>
      <c r="W1654" s="42" t="s">
        <v>1381</v>
      </c>
      <c r="X1654" s="42" t="s">
        <v>1381</v>
      </c>
      <c r="Z1654" s="321"/>
      <c r="AA1654" s="321"/>
      <c r="AB1654" s="24" t="s">
        <v>451</v>
      </c>
      <c r="AF1654" s="24" t="s">
        <v>1362</v>
      </c>
      <c r="AG1654" s="24" t="s">
        <v>1545</v>
      </c>
      <c r="AH1654" s="138" t="s">
        <v>1588</v>
      </c>
      <c r="AI1654" s="24" t="s">
        <v>159</v>
      </c>
      <c r="AJ1654" s="140" t="s">
        <v>159</v>
      </c>
      <c r="AK1654" s="24" t="s">
        <v>120</v>
      </c>
      <c r="AQ1654" s="24" t="s">
        <v>1147</v>
      </c>
      <c r="AR1654" s="24" t="s">
        <v>1147</v>
      </c>
      <c r="AS1654" s="24" t="s">
        <v>178</v>
      </c>
      <c r="AT1654" s="24" t="s">
        <v>161</v>
      </c>
      <c r="AU1654" s="24">
        <v>2</v>
      </c>
      <c r="AW1654" s="24" t="s">
        <v>142</v>
      </c>
      <c r="BM1654" s="395"/>
      <c r="BN1654" s="395"/>
      <c r="BR1654" s="395"/>
      <c r="BS1654" s="395"/>
      <c r="EE1654" s="24">
        <v>1317</v>
      </c>
      <c r="EF1654" s="24">
        <v>125</v>
      </c>
      <c r="EI1654" s="24" t="s">
        <v>1149</v>
      </c>
      <c r="EJ1654" s="24">
        <v>33</v>
      </c>
      <c r="EK1654" s="24">
        <v>8</v>
      </c>
      <c r="EN1654" s="24" t="s">
        <v>1148</v>
      </c>
    </row>
    <row r="1655" spans="1:144" s="24" customFormat="1" x14ac:dyDescent="0.25">
      <c r="A1655" s="24">
        <v>75</v>
      </c>
      <c r="B1655" s="24" t="s">
        <v>1139</v>
      </c>
      <c r="C1655" s="24" t="s">
        <v>1140</v>
      </c>
      <c r="D1655" s="24">
        <v>1989</v>
      </c>
      <c r="E1655" s="24">
        <v>1987</v>
      </c>
      <c r="F1655" s="24" t="s">
        <v>419</v>
      </c>
      <c r="G1655" s="24" t="s">
        <v>1141</v>
      </c>
      <c r="H1655" s="24" t="s">
        <v>2831</v>
      </c>
      <c r="I1655" s="24">
        <v>38.950000000000003</v>
      </c>
      <c r="J1655" s="24">
        <v>-91.94</v>
      </c>
      <c r="K1655" s="24">
        <v>251.9</v>
      </c>
      <c r="Q1655" s="42" t="s">
        <v>1867</v>
      </c>
      <c r="R1655" s="42" t="s">
        <v>1867</v>
      </c>
      <c r="S1655" s="42" t="s">
        <v>1143</v>
      </c>
      <c r="T1655" s="102" t="s">
        <v>2015</v>
      </c>
      <c r="U1655" s="42" t="s">
        <v>1381</v>
      </c>
      <c r="V1655" s="42" t="s">
        <v>1381</v>
      </c>
      <c r="W1655" s="42" t="s">
        <v>1381</v>
      </c>
      <c r="X1655" s="42" t="s">
        <v>1381</v>
      </c>
      <c r="Z1655" s="321"/>
      <c r="AA1655" s="321"/>
      <c r="AB1655" s="24" t="s">
        <v>451</v>
      </c>
      <c r="AF1655" s="24" t="s">
        <v>1362</v>
      </c>
      <c r="AG1655" s="24" t="s">
        <v>1545</v>
      </c>
      <c r="AH1655" s="138" t="s">
        <v>1588</v>
      </c>
      <c r="AI1655" s="24" t="s">
        <v>159</v>
      </c>
      <c r="AJ1655" s="140" t="s">
        <v>159</v>
      </c>
      <c r="AK1655" s="24" t="s">
        <v>120</v>
      </c>
      <c r="AQ1655" s="24" t="s">
        <v>1147</v>
      </c>
      <c r="AR1655" s="24" t="s">
        <v>1147</v>
      </c>
      <c r="AS1655" s="24" t="s">
        <v>178</v>
      </c>
      <c r="AT1655" s="24" t="s">
        <v>161</v>
      </c>
      <c r="AU1655" s="24">
        <v>2</v>
      </c>
      <c r="AW1655" s="24" t="s">
        <v>142</v>
      </c>
      <c r="BM1655" s="395"/>
      <c r="BN1655" s="395"/>
      <c r="BR1655" s="395"/>
      <c r="BS1655" s="395"/>
      <c r="EE1655" s="24">
        <v>0</v>
      </c>
      <c r="EF1655" s="24">
        <v>0</v>
      </c>
      <c r="EI1655" s="24" t="s">
        <v>1149</v>
      </c>
      <c r="EJ1655" s="24">
        <v>1E-3</v>
      </c>
      <c r="EK1655" s="24">
        <v>0</v>
      </c>
      <c r="EN1655" s="24" t="s">
        <v>1148</v>
      </c>
    </row>
    <row r="1656" spans="1:144" s="24" customFormat="1" x14ac:dyDescent="0.25">
      <c r="A1656" s="24">
        <v>75</v>
      </c>
      <c r="B1656" s="24" t="s">
        <v>1139</v>
      </c>
      <c r="C1656" s="24" t="s">
        <v>1140</v>
      </c>
      <c r="D1656" s="24">
        <v>1989</v>
      </c>
      <c r="E1656" s="24">
        <v>1987</v>
      </c>
      <c r="F1656" s="24" t="s">
        <v>419</v>
      </c>
      <c r="G1656" s="24" t="s">
        <v>1141</v>
      </c>
      <c r="H1656" s="24" t="s">
        <v>2831</v>
      </c>
      <c r="I1656" s="24">
        <v>38.950000000000003</v>
      </c>
      <c r="J1656" s="24">
        <v>-91.94</v>
      </c>
      <c r="K1656" s="24">
        <v>251.9</v>
      </c>
      <c r="Q1656" s="42" t="s">
        <v>1867</v>
      </c>
      <c r="R1656" s="42" t="s">
        <v>1867</v>
      </c>
      <c r="S1656" s="42" t="s">
        <v>1144</v>
      </c>
      <c r="T1656" s="102" t="s">
        <v>2015</v>
      </c>
      <c r="U1656" s="42" t="s">
        <v>1381</v>
      </c>
      <c r="V1656" s="42" t="s">
        <v>1381</v>
      </c>
      <c r="W1656" s="42" t="s">
        <v>1381</v>
      </c>
      <c r="X1656" s="42" t="s">
        <v>1381</v>
      </c>
      <c r="Z1656" s="321"/>
      <c r="AA1656" s="321"/>
      <c r="AB1656" s="24" t="s">
        <v>451</v>
      </c>
      <c r="AF1656" s="24" t="s">
        <v>1362</v>
      </c>
      <c r="AG1656" s="24" t="s">
        <v>1545</v>
      </c>
      <c r="AH1656" s="138" t="s">
        <v>1588</v>
      </c>
      <c r="AI1656" s="24" t="s">
        <v>159</v>
      </c>
      <c r="AJ1656" s="140" t="s">
        <v>159</v>
      </c>
      <c r="AK1656" s="24" t="s">
        <v>120</v>
      </c>
      <c r="AQ1656" s="24" t="s">
        <v>1147</v>
      </c>
      <c r="AR1656" s="24" t="s">
        <v>1147</v>
      </c>
      <c r="AS1656" s="24" t="s">
        <v>178</v>
      </c>
      <c r="AT1656" s="24" t="s">
        <v>161</v>
      </c>
      <c r="AU1656" s="24">
        <v>2</v>
      </c>
      <c r="AW1656" s="24" t="s">
        <v>142</v>
      </c>
      <c r="BM1656" s="395"/>
      <c r="BN1656" s="395"/>
      <c r="BR1656" s="395"/>
      <c r="BS1656" s="395"/>
      <c r="EE1656" s="24">
        <v>111</v>
      </c>
      <c r="EF1656" s="24">
        <v>52</v>
      </c>
      <c r="EI1656" s="24" t="s">
        <v>1149</v>
      </c>
      <c r="EJ1656" s="24">
        <v>57</v>
      </c>
      <c r="EK1656" s="24">
        <v>36</v>
      </c>
      <c r="EN1656" s="24" t="s">
        <v>1148</v>
      </c>
    </row>
    <row r="1657" spans="1:144" s="24" customFormat="1" x14ac:dyDescent="0.25">
      <c r="A1657" s="24">
        <v>75</v>
      </c>
      <c r="B1657" s="24" t="s">
        <v>1139</v>
      </c>
      <c r="C1657" s="24" t="s">
        <v>1140</v>
      </c>
      <c r="D1657" s="24">
        <v>1989</v>
      </c>
      <c r="E1657" s="24">
        <v>1987</v>
      </c>
      <c r="F1657" s="24" t="s">
        <v>419</v>
      </c>
      <c r="G1657" s="24" t="s">
        <v>1141</v>
      </c>
      <c r="H1657" s="24" t="s">
        <v>2831</v>
      </c>
      <c r="I1657" s="24">
        <v>38.950000000000003</v>
      </c>
      <c r="J1657" s="24">
        <v>-91.94</v>
      </c>
      <c r="K1657" s="24">
        <v>251.9</v>
      </c>
      <c r="Q1657" s="42" t="s">
        <v>1867</v>
      </c>
      <c r="R1657" s="42" t="s">
        <v>1867</v>
      </c>
      <c r="S1657" s="42" t="s">
        <v>1145</v>
      </c>
      <c r="T1657" s="102" t="s">
        <v>2015</v>
      </c>
      <c r="U1657" s="42" t="s">
        <v>1381</v>
      </c>
      <c r="V1657" s="42" t="s">
        <v>1381</v>
      </c>
      <c r="W1657" s="42" t="s">
        <v>1381</v>
      </c>
      <c r="X1657" s="42" t="s">
        <v>1381</v>
      </c>
      <c r="Z1657" s="321"/>
      <c r="AA1657" s="321"/>
      <c r="AB1657" s="24" t="s">
        <v>451</v>
      </c>
      <c r="AF1657" s="24" t="s">
        <v>1362</v>
      </c>
      <c r="AG1657" s="24" t="s">
        <v>1545</v>
      </c>
      <c r="AH1657" s="138" t="s">
        <v>1588</v>
      </c>
      <c r="AI1657" s="24" t="s">
        <v>159</v>
      </c>
      <c r="AJ1657" s="140" t="s">
        <v>159</v>
      </c>
      <c r="AK1657" s="24" t="s">
        <v>120</v>
      </c>
      <c r="AQ1657" s="24" t="s">
        <v>1147</v>
      </c>
      <c r="AR1657" s="24" t="s">
        <v>1147</v>
      </c>
      <c r="AS1657" s="24" t="s">
        <v>178</v>
      </c>
      <c r="AT1657" s="24" t="s">
        <v>161</v>
      </c>
      <c r="AU1657" s="24">
        <v>2</v>
      </c>
      <c r="AW1657" s="24" t="s">
        <v>142</v>
      </c>
      <c r="BM1657" s="395"/>
      <c r="BN1657" s="395"/>
      <c r="BR1657" s="395"/>
      <c r="BS1657" s="395"/>
      <c r="EE1657" s="24">
        <v>1534</v>
      </c>
      <c r="EF1657" s="24">
        <v>125</v>
      </c>
      <c r="EI1657" s="24" t="s">
        <v>1149</v>
      </c>
      <c r="EJ1657" s="24">
        <v>74</v>
      </c>
      <c r="EK1657" s="24">
        <v>34</v>
      </c>
      <c r="EN1657" s="24" t="s">
        <v>1148</v>
      </c>
    </row>
    <row r="1658" spans="1:144" s="32" customFormat="1" x14ac:dyDescent="0.25">
      <c r="A1658" s="32">
        <v>75</v>
      </c>
      <c r="B1658" s="32" t="s">
        <v>1139</v>
      </c>
      <c r="C1658" s="32" t="s">
        <v>1140</v>
      </c>
      <c r="D1658" s="32">
        <v>1989</v>
      </c>
      <c r="E1658" s="32">
        <v>1987</v>
      </c>
      <c r="F1658" s="32" t="s">
        <v>419</v>
      </c>
      <c r="G1658" s="32" t="s">
        <v>1141</v>
      </c>
      <c r="H1658" s="24" t="s">
        <v>2831</v>
      </c>
      <c r="I1658" s="32">
        <v>38.950000000000003</v>
      </c>
      <c r="J1658" s="32">
        <v>-91.94</v>
      </c>
      <c r="K1658" s="32">
        <v>251.9</v>
      </c>
      <c r="Q1658" s="44" t="s">
        <v>1867</v>
      </c>
      <c r="R1658" s="44" t="s">
        <v>1867</v>
      </c>
      <c r="S1658" s="44" t="s">
        <v>1146</v>
      </c>
      <c r="T1658" s="44" t="s">
        <v>2015</v>
      </c>
      <c r="U1658" s="42" t="s">
        <v>1381</v>
      </c>
      <c r="V1658" s="42" t="s">
        <v>1381</v>
      </c>
      <c r="W1658" s="42" t="s">
        <v>1381</v>
      </c>
      <c r="X1658" s="42" t="s">
        <v>1381</v>
      </c>
      <c r="Z1658" s="323"/>
      <c r="AA1658" s="323"/>
      <c r="AB1658" s="32" t="s">
        <v>451</v>
      </c>
      <c r="AF1658" s="32" t="s">
        <v>1362</v>
      </c>
      <c r="AG1658" s="32" t="s">
        <v>1546</v>
      </c>
      <c r="AH1658" s="138" t="s">
        <v>1585</v>
      </c>
      <c r="AI1658" s="32" t="s">
        <v>159</v>
      </c>
      <c r="AJ1658" s="140" t="s">
        <v>159</v>
      </c>
      <c r="AK1658" s="32" t="s">
        <v>120</v>
      </c>
      <c r="AQ1658" s="32" t="s">
        <v>1147</v>
      </c>
      <c r="AR1658" s="32" t="s">
        <v>1147</v>
      </c>
      <c r="AS1658" s="32" t="s">
        <v>178</v>
      </c>
      <c r="AT1658" s="24" t="s">
        <v>161</v>
      </c>
      <c r="AU1658" s="32">
        <v>2</v>
      </c>
      <c r="AW1658" s="32" t="s">
        <v>142</v>
      </c>
      <c r="BM1658" s="397"/>
      <c r="BN1658" s="397"/>
      <c r="BR1658" s="397"/>
      <c r="BS1658" s="397"/>
      <c r="EE1658" s="32">
        <v>217</v>
      </c>
      <c r="EF1658" s="32">
        <v>0</v>
      </c>
      <c r="EI1658" s="32" t="s">
        <v>1149</v>
      </c>
      <c r="EJ1658" s="32">
        <v>2</v>
      </c>
      <c r="EK1658" s="32">
        <v>0</v>
      </c>
      <c r="EN1658" s="32" t="s">
        <v>1148</v>
      </c>
    </row>
    <row r="1659" spans="1:144" s="32" customFormat="1" x14ac:dyDescent="0.25">
      <c r="A1659" s="32">
        <v>75</v>
      </c>
      <c r="B1659" s="32" t="s">
        <v>1139</v>
      </c>
      <c r="C1659" s="32" t="s">
        <v>1140</v>
      </c>
      <c r="D1659" s="32">
        <v>1989</v>
      </c>
      <c r="E1659" s="32">
        <v>1987</v>
      </c>
      <c r="F1659" s="32" t="s">
        <v>419</v>
      </c>
      <c r="G1659" s="32" t="s">
        <v>1141</v>
      </c>
      <c r="H1659" s="24" t="s">
        <v>2831</v>
      </c>
      <c r="I1659" s="32">
        <v>38.950000000000003</v>
      </c>
      <c r="J1659" s="32">
        <v>-91.94</v>
      </c>
      <c r="K1659" s="32">
        <v>251.9</v>
      </c>
      <c r="Q1659" s="44" t="s">
        <v>1867</v>
      </c>
      <c r="R1659" s="44" t="s">
        <v>1867</v>
      </c>
      <c r="S1659" s="44" t="s">
        <v>1142</v>
      </c>
      <c r="T1659" s="44" t="s">
        <v>2015</v>
      </c>
      <c r="U1659" s="42" t="s">
        <v>1381</v>
      </c>
      <c r="V1659" s="42" t="s">
        <v>1381</v>
      </c>
      <c r="W1659" s="42" t="s">
        <v>1381</v>
      </c>
      <c r="X1659" s="42" t="s">
        <v>1381</v>
      </c>
      <c r="Z1659" s="323"/>
      <c r="AA1659" s="323"/>
      <c r="AB1659" s="32" t="s">
        <v>451</v>
      </c>
      <c r="AF1659" s="32" t="s">
        <v>1362</v>
      </c>
      <c r="AG1659" s="32" t="s">
        <v>1546</v>
      </c>
      <c r="AH1659" s="138" t="s">
        <v>1585</v>
      </c>
      <c r="AI1659" s="32" t="s">
        <v>159</v>
      </c>
      <c r="AJ1659" s="140" t="s">
        <v>159</v>
      </c>
      <c r="AK1659" s="32" t="s">
        <v>120</v>
      </c>
      <c r="AQ1659" s="32" t="s">
        <v>1147</v>
      </c>
      <c r="AR1659" s="32" t="s">
        <v>1147</v>
      </c>
      <c r="AS1659" s="32" t="s">
        <v>178</v>
      </c>
      <c r="AT1659" s="24" t="s">
        <v>161</v>
      </c>
      <c r="AU1659" s="32">
        <v>2</v>
      </c>
      <c r="AW1659" s="32" t="s">
        <v>142</v>
      </c>
      <c r="BM1659" s="397"/>
      <c r="BN1659" s="397"/>
      <c r="BR1659" s="397"/>
      <c r="BS1659" s="397"/>
      <c r="EE1659" s="32">
        <v>1317</v>
      </c>
      <c r="EF1659" s="32">
        <v>0</v>
      </c>
      <c r="EI1659" s="32" t="s">
        <v>1149</v>
      </c>
      <c r="EJ1659" s="32">
        <v>33</v>
      </c>
      <c r="EK1659" s="32">
        <v>0</v>
      </c>
      <c r="EN1659" s="32" t="s">
        <v>1148</v>
      </c>
    </row>
    <row r="1660" spans="1:144" s="32" customFormat="1" x14ac:dyDescent="0.25">
      <c r="A1660" s="32">
        <v>75</v>
      </c>
      <c r="B1660" s="32" t="s">
        <v>1139</v>
      </c>
      <c r="C1660" s="32" t="s">
        <v>1140</v>
      </c>
      <c r="D1660" s="32">
        <v>1989</v>
      </c>
      <c r="E1660" s="32">
        <v>1987</v>
      </c>
      <c r="F1660" s="32" t="s">
        <v>419</v>
      </c>
      <c r="G1660" s="32" t="s">
        <v>1141</v>
      </c>
      <c r="H1660" s="24" t="s">
        <v>2831</v>
      </c>
      <c r="I1660" s="32">
        <v>38.950000000000003</v>
      </c>
      <c r="J1660" s="32">
        <v>-91.94</v>
      </c>
      <c r="K1660" s="32">
        <v>251.9</v>
      </c>
      <c r="Q1660" s="44" t="s">
        <v>1867</v>
      </c>
      <c r="R1660" s="44" t="s">
        <v>1867</v>
      </c>
      <c r="S1660" s="44" t="s">
        <v>1143</v>
      </c>
      <c r="T1660" s="44" t="s">
        <v>2015</v>
      </c>
      <c r="U1660" s="42" t="s">
        <v>1381</v>
      </c>
      <c r="V1660" s="42" t="s">
        <v>1381</v>
      </c>
      <c r="W1660" s="42" t="s">
        <v>1381</v>
      </c>
      <c r="X1660" s="42" t="s">
        <v>1381</v>
      </c>
      <c r="Z1660" s="323"/>
      <c r="AA1660" s="323"/>
      <c r="AB1660" s="32" t="s">
        <v>451</v>
      </c>
      <c r="AF1660" s="32" t="s">
        <v>1362</v>
      </c>
      <c r="AG1660" s="32" t="s">
        <v>1546</v>
      </c>
      <c r="AH1660" s="138" t="s">
        <v>1585</v>
      </c>
      <c r="AI1660" s="32" t="s">
        <v>159</v>
      </c>
      <c r="AJ1660" s="140" t="s">
        <v>159</v>
      </c>
      <c r="AK1660" s="32" t="s">
        <v>120</v>
      </c>
      <c r="AQ1660" s="32" t="s">
        <v>1147</v>
      </c>
      <c r="AR1660" s="32" t="s">
        <v>1147</v>
      </c>
      <c r="AS1660" s="32" t="s">
        <v>178</v>
      </c>
      <c r="AT1660" s="24" t="s">
        <v>161</v>
      </c>
      <c r="AU1660" s="32">
        <v>2</v>
      </c>
      <c r="AW1660" s="32" t="s">
        <v>142</v>
      </c>
      <c r="BM1660" s="397"/>
      <c r="BN1660" s="397"/>
      <c r="BR1660" s="397"/>
      <c r="BS1660" s="397"/>
      <c r="EE1660" s="32">
        <v>0</v>
      </c>
      <c r="EF1660" s="32">
        <v>0</v>
      </c>
      <c r="EI1660" s="32" t="s">
        <v>1149</v>
      </c>
      <c r="EJ1660" s="32">
        <v>1E-3</v>
      </c>
      <c r="EK1660" s="32">
        <v>0</v>
      </c>
      <c r="EN1660" s="32" t="s">
        <v>1148</v>
      </c>
    </row>
    <row r="1661" spans="1:144" s="32" customFormat="1" x14ac:dyDescent="0.25">
      <c r="A1661" s="32">
        <v>75</v>
      </c>
      <c r="B1661" s="32" t="s">
        <v>1139</v>
      </c>
      <c r="C1661" s="32" t="s">
        <v>1140</v>
      </c>
      <c r="D1661" s="32">
        <v>1989</v>
      </c>
      <c r="E1661" s="32">
        <v>1987</v>
      </c>
      <c r="F1661" s="32" t="s">
        <v>419</v>
      </c>
      <c r="G1661" s="32" t="s">
        <v>1141</v>
      </c>
      <c r="H1661" s="24" t="s">
        <v>2831</v>
      </c>
      <c r="I1661" s="32">
        <v>38.950000000000003</v>
      </c>
      <c r="J1661" s="32">
        <v>-91.94</v>
      </c>
      <c r="K1661" s="32">
        <v>251.9</v>
      </c>
      <c r="Q1661" s="44" t="s">
        <v>1867</v>
      </c>
      <c r="R1661" s="44" t="s">
        <v>1867</v>
      </c>
      <c r="S1661" s="44" t="s">
        <v>1144</v>
      </c>
      <c r="T1661" s="44" t="s">
        <v>2015</v>
      </c>
      <c r="U1661" s="42" t="s">
        <v>1381</v>
      </c>
      <c r="V1661" s="42" t="s">
        <v>1381</v>
      </c>
      <c r="W1661" s="42" t="s">
        <v>1381</v>
      </c>
      <c r="X1661" s="42" t="s">
        <v>1381</v>
      </c>
      <c r="Z1661" s="323"/>
      <c r="AA1661" s="323"/>
      <c r="AB1661" s="32" t="s">
        <v>451</v>
      </c>
      <c r="AF1661" s="32" t="s">
        <v>1362</v>
      </c>
      <c r="AG1661" s="32" t="s">
        <v>1546</v>
      </c>
      <c r="AH1661" s="138" t="s">
        <v>1585</v>
      </c>
      <c r="AI1661" s="32" t="s">
        <v>159</v>
      </c>
      <c r="AJ1661" s="140" t="s">
        <v>159</v>
      </c>
      <c r="AK1661" s="32" t="s">
        <v>120</v>
      </c>
      <c r="AQ1661" s="32" t="s">
        <v>1147</v>
      </c>
      <c r="AR1661" s="32" t="s">
        <v>1147</v>
      </c>
      <c r="AS1661" s="32" t="s">
        <v>178</v>
      </c>
      <c r="AT1661" s="24" t="s">
        <v>161</v>
      </c>
      <c r="AU1661" s="32">
        <v>2</v>
      </c>
      <c r="AW1661" s="32" t="s">
        <v>142</v>
      </c>
      <c r="BM1661" s="397"/>
      <c r="BN1661" s="397"/>
      <c r="BR1661" s="397"/>
      <c r="BS1661" s="397"/>
      <c r="EE1661" s="32">
        <v>111</v>
      </c>
      <c r="EF1661" s="32">
        <v>0</v>
      </c>
      <c r="EI1661" s="32" t="s">
        <v>1149</v>
      </c>
      <c r="EJ1661" s="32">
        <v>57</v>
      </c>
      <c r="EK1661" s="32">
        <v>20</v>
      </c>
      <c r="EN1661" s="32" t="s">
        <v>1148</v>
      </c>
    </row>
    <row r="1662" spans="1:144" s="32" customFormat="1" x14ac:dyDescent="0.25">
      <c r="A1662" s="32">
        <v>75</v>
      </c>
      <c r="B1662" s="32" t="s">
        <v>1139</v>
      </c>
      <c r="C1662" s="32" t="s">
        <v>1140</v>
      </c>
      <c r="D1662" s="32">
        <v>1989</v>
      </c>
      <c r="E1662" s="32">
        <v>1987</v>
      </c>
      <c r="F1662" s="32" t="s">
        <v>419</v>
      </c>
      <c r="G1662" s="32" t="s">
        <v>1141</v>
      </c>
      <c r="H1662" s="24" t="s">
        <v>2831</v>
      </c>
      <c r="I1662" s="32">
        <v>38.950000000000003</v>
      </c>
      <c r="J1662" s="32">
        <v>-91.94</v>
      </c>
      <c r="K1662" s="32">
        <v>251.9</v>
      </c>
      <c r="Q1662" s="44" t="s">
        <v>1867</v>
      </c>
      <c r="R1662" s="44" t="s">
        <v>1867</v>
      </c>
      <c r="S1662" s="44" t="s">
        <v>1145</v>
      </c>
      <c r="T1662" s="44" t="s">
        <v>2015</v>
      </c>
      <c r="U1662" s="42" t="s">
        <v>1381</v>
      </c>
      <c r="V1662" s="42" t="s">
        <v>1381</v>
      </c>
      <c r="W1662" s="42" t="s">
        <v>1381</v>
      </c>
      <c r="X1662" s="42" t="s">
        <v>1381</v>
      </c>
      <c r="Z1662" s="323"/>
      <c r="AA1662" s="323"/>
      <c r="AB1662" s="32" t="s">
        <v>451</v>
      </c>
      <c r="AF1662" s="32" t="s">
        <v>1362</v>
      </c>
      <c r="AG1662" s="32" t="s">
        <v>1546</v>
      </c>
      <c r="AH1662" s="138" t="s">
        <v>1585</v>
      </c>
      <c r="AI1662" s="32" t="s">
        <v>159</v>
      </c>
      <c r="AJ1662" s="140" t="s">
        <v>159</v>
      </c>
      <c r="AK1662" s="32" t="s">
        <v>120</v>
      </c>
      <c r="AQ1662" s="32" t="s">
        <v>1147</v>
      </c>
      <c r="AR1662" s="32" t="s">
        <v>1147</v>
      </c>
      <c r="AS1662" s="32" t="s">
        <v>178</v>
      </c>
      <c r="AT1662" s="24" t="s">
        <v>161</v>
      </c>
      <c r="AU1662" s="32">
        <v>2</v>
      </c>
      <c r="AW1662" s="32" t="s">
        <v>142</v>
      </c>
      <c r="BM1662" s="397"/>
      <c r="BN1662" s="397"/>
      <c r="BR1662" s="397"/>
      <c r="BS1662" s="397"/>
      <c r="EE1662" s="32">
        <v>1534</v>
      </c>
      <c r="EF1662" s="32">
        <v>0</v>
      </c>
      <c r="EI1662" s="32" t="s">
        <v>1149</v>
      </c>
      <c r="EJ1662" s="32">
        <v>74</v>
      </c>
      <c r="EK1662" s="32">
        <v>12</v>
      </c>
      <c r="EN1662" s="32" t="s">
        <v>1148</v>
      </c>
    </row>
    <row r="1663" spans="1:144" s="24" customFormat="1" x14ac:dyDescent="0.25">
      <c r="A1663" s="24">
        <v>75</v>
      </c>
      <c r="B1663" s="24" t="s">
        <v>1139</v>
      </c>
      <c r="C1663" s="24" t="s">
        <v>1140</v>
      </c>
      <c r="D1663" s="24">
        <v>1989</v>
      </c>
      <c r="E1663" s="24">
        <v>1987</v>
      </c>
      <c r="F1663" s="24" t="s">
        <v>419</v>
      </c>
      <c r="G1663" s="24" t="s">
        <v>1141</v>
      </c>
      <c r="H1663" s="24" t="s">
        <v>2831</v>
      </c>
      <c r="I1663" s="24">
        <v>38.950000000000003</v>
      </c>
      <c r="J1663" s="24">
        <v>-91.94</v>
      </c>
      <c r="K1663" s="24">
        <v>251.9</v>
      </c>
      <c r="Q1663" s="42" t="s">
        <v>1867</v>
      </c>
      <c r="R1663" s="42" t="s">
        <v>1867</v>
      </c>
      <c r="S1663" s="42" t="s">
        <v>1146</v>
      </c>
      <c r="T1663" s="42" t="s">
        <v>2015</v>
      </c>
      <c r="U1663" s="42" t="s">
        <v>1381</v>
      </c>
      <c r="V1663" s="42" t="s">
        <v>1381</v>
      </c>
      <c r="W1663" s="42" t="s">
        <v>1381</v>
      </c>
      <c r="X1663" s="42" t="s">
        <v>1381</v>
      </c>
      <c r="Z1663" s="321"/>
      <c r="AA1663" s="321"/>
      <c r="AB1663" s="24" t="s">
        <v>451</v>
      </c>
      <c r="AF1663" s="24" t="s">
        <v>1362</v>
      </c>
      <c r="AG1663" s="24" t="s">
        <v>1547</v>
      </c>
      <c r="AH1663" s="138" t="s">
        <v>132</v>
      </c>
      <c r="AI1663" s="24" t="s">
        <v>159</v>
      </c>
      <c r="AJ1663" s="140" t="s">
        <v>159</v>
      </c>
      <c r="AK1663" s="24" t="s">
        <v>120</v>
      </c>
      <c r="AQ1663" s="24" t="s">
        <v>1147</v>
      </c>
      <c r="AR1663" s="24" t="s">
        <v>1147</v>
      </c>
      <c r="AS1663" s="24" t="s">
        <v>178</v>
      </c>
      <c r="AT1663" s="24" t="s">
        <v>161</v>
      </c>
      <c r="AU1663" s="24">
        <v>2</v>
      </c>
      <c r="AW1663" s="24" t="s">
        <v>142</v>
      </c>
      <c r="BM1663" s="395"/>
      <c r="BN1663" s="395"/>
      <c r="BR1663" s="395"/>
      <c r="BS1663" s="395"/>
      <c r="EE1663" s="24">
        <v>217</v>
      </c>
      <c r="EF1663" s="24">
        <v>0</v>
      </c>
      <c r="EI1663" s="24" t="s">
        <v>1149</v>
      </c>
      <c r="EJ1663" s="24">
        <v>2</v>
      </c>
      <c r="EK1663" s="24">
        <v>0</v>
      </c>
      <c r="EN1663" s="24" t="s">
        <v>1148</v>
      </c>
    </row>
    <row r="1664" spans="1:144" s="24" customFormat="1" x14ac:dyDescent="0.25">
      <c r="A1664" s="24">
        <v>75</v>
      </c>
      <c r="B1664" s="24" t="s">
        <v>1139</v>
      </c>
      <c r="C1664" s="24" t="s">
        <v>1140</v>
      </c>
      <c r="D1664" s="24">
        <v>1989</v>
      </c>
      <c r="E1664" s="24">
        <v>1987</v>
      </c>
      <c r="F1664" s="24" t="s">
        <v>419</v>
      </c>
      <c r="G1664" s="24" t="s">
        <v>1141</v>
      </c>
      <c r="H1664" s="24" t="s">
        <v>2831</v>
      </c>
      <c r="I1664" s="24">
        <v>38.950000000000003</v>
      </c>
      <c r="J1664" s="24">
        <v>-91.94</v>
      </c>
      <c r="K1664" s="24">
        <v>251.9</v>
      </c>
      <c r="Q1664" s="42" t="s">
        <v>1867</v>
      </c>
      <c r="R1664" s="42" t="s">
        <v>1867</v>
      </c>
      <c r="S1664" s="42" t="s">
        <v>1142</v>
      </c>
      <c r="T1664" s="42" t="s">
        <v>2015</v>
      </c>
      <c r="U1664" s="42" t="s">
        <v>1381</v>
      </c>
      <c r="V1664" s="42" t="s">
        <v>1381</v>
      </c>
      <c r="W1664" s="42" t="s">
        <v>1381</v>
      </c>
      <c r="X1664" s="42" t="s">
        <v>1381</v>
      </c>
      <c r="Z1664" s="321"/>
      <c r="AA1664" s="321"/>
      <c r="AB1664" s="24" t="s">
        <v>451</v>
      </c>
      <c r="AF1664" s="24" t="s">
        <v>1362</v>
      </c>
      <c r="AG1664" s="24" t="s">
        <v>1547</v>
      </c>
      <c r="AH1664" s="138" t="s">
        <v>132</v>
      </c>
      <c r="AI1664" s="24" t="s">
        <v>159</v>
      </c>
      <c r="AJ1664" s="140" t="s">
        <v>159</v>
      </c>
      <c r="AK1664" s="24" t="s">
        <v>120</v>
      </c>
      <c r="AQ1664" s="24" t="s">
        <v>1147</v>
      </c>
      <c r="AR1664" s="24" t="s">
        <v>1147</v>
      </c>
      <c r="AS1664" s="24" t="s">
        <v>178</v>
      </c>
      <c r="AT1664" s="24" t="s">
        <v>161</v>
      </c>
      <c r="AU1664" s="24">
        <v>2</v>
      </c>
      <c r="AW1664" s="24" t="s">
        <v>142</v>
      </c>
      <c r="BM1664" s="395"/>
      <c r="BN1664" s="395"/>
      <c r="BR1664" s="395"/>
      <c r="BS1664" s="395"/>
      <c r="EE1664" s="24">
        <v>1317</v>
      </c>
      <c r="EF1664" s="24">
        <v>0</v>
      </c>
      <c r="EI1664" s="24" t="s">
        <v>1149</v>
      </c>
      <c r="EJ1664" s="24">
        <v>33</v>
      </c>
      <c r="EK1664" s="24">
        <v>0</v>
      </c>
      <c r="EN1664" s="24" t="s">
        <v>1148</v>
      </c>
    </row>
    <row r="1665" spans="1:249" s="24" customFormat="1" x14ac:dyDescent="0.25">
      <c r="A1665" s="24">
        <v>75</v>
      </c>
      <c r="B1665" s="24" t="s">
        <v>1139</v>
      </c>
      <c r="C1665" s="24" t="s">
        <v>1140</v>
      </c>
      <c r="D1665" s="24">
        <v>1989</v>
      </c>
      <c r="E1665" s="24">
        <v>1987</v>
      </c>
      <c r="F1665" s="24" t="s">
        <v>419</v>
      </c>
      <c r="G1665" s="24" t="s">
        <v>1141</v>
      </c>
      <c r="H1665" s="24" t="s">
        <v>2831</v>
      </c>
      <c r="I1665" s="24">
        <v>38.950000000000003</v>
      </c>
      <c r="J1665" s="24">
        <v>-91.94</v>
      </c>
      <c r="K1665" s="24">
        <v>251.9</v>
      </c>
      <c r="Q1665" s="42" t="s">
        <v>1867</v>
      </c>
      <c r="R1665" s="42" t="s">
        <v>1867</v>
      </c>
      <c r="S1665" s="42" t="s">
        <v>1143</v>
      </c>
      <c r="T1665" s="42" t="s">
        <v>2015</v>
      </c>
      <c r="U1665" s="42" t="s">
        <v>1381</v>
      </c>
      <c r="V1665" s="42" t="s">
        <v>1381</v>
      </c>
      <c r="W1665" s="42" t="s">
        <v>1381</v>
      </c>
      <c r="X1665" s="42" t="s">
        <v>1381</v>
      </c>
      <c r="Z1665" s="321"/>
      <c r="AA1665" s="321"/>
      <c r="AB1665" s="24" t="s">
        <v>451</v>
      </c>
      <c r="AF1665" s="24" t="s">
        <v>1362</v>
      </c>
      <c r="AG1665" s="24" t="s">
        <v>1547</v>
      </c>
      <c r="AH1665" s="138" t="s">
        <v>132</v>
      </c>
      <c r="AI1665" s="24" t="s">
        <v>159</v>
      </c>
      <c r="AJ1665" s="140" t="s">
        <v>159</v>
      </c>
      <c r="AK1665" s="24" t="s">
        <v>120</v>
      </c>
      <c r="AQ1665" s="24" t="s">
        <v>1147</v>
      </c>
      <c r="AR1665" s="24" t="s">
        <v>1147</v>
      </c>
      <c r="AS1665" s="24" t="s">
        <v>178</v>
      </c>
      <c r="AT1665" s="24" t="s">
        <v>161</v>
      </c>
      <c r="AU1665" s="24">
        <v>2</v>
      </c>
      <c r="AW1665" s="24" t="s">
        <v>142</v>
      </c>
      <c r="BM1665" s="395"/>
      <c r="BN1665" s="395"/>
      <c r="BR1665" s="395"/>
      <c r="BS1665" s="395"/>
      <c r="EE1665" s="24">
        <v>0</v>
      </c>
      <c r="EF1665" s="24">
        <v>0</v>
      </c>
      <c r="EI1665" s="24" t="s">
        <v>1149</v>
      </c>
      <c r="EJ1665" s="24">
        <v>1E-3</v>
      </c>
      <c r="EK1665" s="24">
        <v>0</v>
      </c>
      <c r="EN1665" s="24" t="s">
        <v>1148</v>
      </c>
    </row>
    <row r="1666" spans="1:249" s="24" customFormat="1" x14ac:dyDescent="0.25">
      <c r="A1666" s="24">
        <v>75</v>
      </c>
      <c r="B1666" s="24" t="s">
        <v>1139</v>
      </c>
      <c r="C1666" s="24" t="s">
        <v>1140</v>
      </c>
      <c r="D1666" s="24">
        <v>1989</v>
      </c>
      <c r="E1666" s="24">
        <v>1987</v>
      </c>
      <c r="F1666" s="24" t="s">
        <v>419</v>
      </c>
      <c r="G1666" s="24" t="s">
        <v>1141</v>
      </c>
      <c r="H1666" s="24" t="s">
        <v>2831</v>
      </c>
      <c r="I1666" s="24">
        <v>38.950000000000003</v>
      </c>
      <c r="J1666" s="24">
        <v>-91.94</v>
      </c>
      <c r="K1666" s="24">
        <v>251.9</v>
      </c>
      <c r="Q1666" s="42" t="s">
        <v>1867</v>
      </c>
      <c r="R1666" s="42" t="s">
        <v>1867</v>
      </c>
      <c r="S1666" s="42" t="s">
        <v>1144</v>
      </c>
      <c r="T1666" s="42" t="s">
        <v>2015</v>
      </c>
      <c r="U1666" s="42" t="s">
        <v>1381</v>
      </c>
      <c r="V1666" s="42" t="s">
        <v>1381</v>
      </c>
      <c r="W1666" s="42" t="s">
        <v>1381</v>
      </c>
      <c r="X1666" s="42" t="s">
        <v>1381</v>
      </c>
      <c r="Z1666" s="321"/>
      <c r="AA1666" s="321"/>
      <c r="AB1666" s="24" t="s">
        <v>451</v>
      </c>
      <c r="AF1666" s="24" t="s">
        <v>1362</v>
      </c>
      <c r="AG1666" s="24" t="s">
        <v>1547</v>
      </c>
      <c r="AH1666" s="138" t="s">
        <v>132</v>
      </c>
      <c r="AI1666" s="24" t="s">
        <v>159</v>
      </c>
      <c r="AJ1666" s="140" t="s">
        <v>159</v>
      </c>
      <c r="AK1666" s="24" t="s">
        <v>120</v>
      </c>
      <c r="AQ1666" s="24" t="s">
        <v>1147</v>
      </c>
      <c r="AR1666" s="24" t="s">
        <v>1147</v>
      </c>
      <c r="AS1666" s="24" t="s">
        <v>178</v>
      </c>
      <c r="AT1666" s="24" t="s">
        <v>161</v>
      </c>
      <c r="AU1666" s="24">
        <v>2</v>
      </c>
      <c r="AW1666" s="24" t="s">
        <v>142</v>
      </c>
      <c r="BM1666" s="395"/>
      <c r="BN1666" s="395"/>
      <c r="BR1666" s="395"/>
      <c r="BS1666" s="395"/>
      <c r="EE1666" s="24">
        <v>111</v>
      </c>
      <c r="EF1666" s="24">
        <v>0</v>
      </c>
      <c r="EI1666" s="24" t="s">
        <v>1149</v>
      </c>
      <c r="EJ1666" s="24">
        <v>57</v>
      </c>
      <c r="EK1666" s="24">
        <v>36</v>
      </c>
      <c r="EN1666" s="24" t="s">
        <v>1148</v>
      </c>
    </row>
    <row r="1667" spans="1:249" s="24" customFormat="1" x14ac:dyDescent="0.25">
      <c r="A1667" s="24">
        <v>75</v>
      </c>
      <c r="B1667" s="24" t="s">
        <v>1139</v>
      </c>
      <c r="C1667" s="24" t="s">
        <v>1140</v>
      </c>
      <c r="D1667" s="24">
        <v>1989</v>
      </c>
      <c r="E1667" s="24">
        <v>1987</v>
      </c>
      <c r="F1667" s="24" t="s">
        <v>419</v>
      </c>
      <c r="G1667" s="24" t="s">
        <v>1141</v>
      </c>
      <c r="H1667" s="24" t="s">
        <v>2831</v>
      </c>
      <c r="I1667" s="24">
        <v>38.950000000000003</v>
      </c>
      <c r="J1667" s="24">
        <v>-91.94</v>
      </c>
      <c r="K1667" s="24">
        <v>251.9</v>
      </c>
      <c r="Q1667" s="42" t="s">
        <v>1867</v>
      </c>
      <c r="R1667" s="42" t="s">
        <v>1867</v>
      </c>
      <c r="S1667" s="42" t="s">
        <v>1145</v>
      </c>
      <c r="T1667" s="42" t="s">
        <v>2015</v>
      </c>
      <c r="U1667" s="42" t="s">
        <v>1381</v>
      </c>
      <c r="V1667" s="42" t="s">
        <v>1381</v>
      </c>
      <c r="W1667" s="42" t="s">
        <v>1381</v>
      </c>
      <c r="X1667" s="42" t="s">
        <v>1381</v>
      </c>
      <c r="Z1667" s="321"/>
      <c r="AA1667" s="321"/>
      <c r="AB1667" s="24" t="s">
        <v>451</v>
      </c>
      <c r="AF1667" s="24" t="s">
        <v>1362</v>
      </c>
      <c r="AG1667" s="24" t="s">
        <v>1547</v>
      </c>
      <c r="AH1667" s="138" t="s">
        <v>132</v>
      </c>
      <c r="AI1667" s="24" t="s">
        <v>159</v>
      </c>
      <c r="AJ1667" s="140" t="s">
        <v>159</v>
      </c>
      <c r="AK1667" s="24" t="s">
        <v>120</v>
      </c>
      <c r="AQ1667" s="24" t="s">
        <v>1147</v>
      </c>
      <c r="AR1667" s="24" t="s">
        <v>1147</v>
      </c>
      <c r="AS1667" s="24" t="s">
        <v>178</v>
      </c>
      <c r="AT1667" s="24" t="s">
        <v>161</v>
      </c>
      <c r="AU1667" s="24">
        <v>2</v>
      </c>
      <c r="AW1667" s="24" t="s">
        <v>142</v>
      </c>
      <c r="BM1667" s="395"/>
      <c r="BN1667" s="395"/>
      <c r="BR1667" s="395"/>
      <c r="BS1667" s="395"/>
      <c r="EE1667" s="24">
        <v>1534</v>
      </c>
      <c r="EF1667" s="24">
        <v>0</v>
      </c>
      <c r="EI1667" s="24" t="s">
        <v>1149</v>
      </c>
      <c r="EJ1667" s="24">
        <v>74</v>
      </c>
      <c r="EK1667" s="24">
        <v>23</v>
      </c>
      <c r="EN1667" s="24" t="s">
        <v>1148</v>
      </c>
    </row>
    <row r="1668" spans="1:249" s="28" customFormat="1" x14ac:dyDescent="0.25">
      <c r="A1668" s="28">
        <v>76</v>
      </c>
      <c r="B1668" s="28" t="s">
        <v>1425</v>
      </c>
      <c r="C1668" s="28" t="s">
        <v>1426</v>
      </c>
      <c r="D1668" s="28">
        <v>1992</v>
      </c>
      <c r="E1668" s="28">
        <v>1988</v>
      </c>
      <c r="F1668" s="28" t="s">
        <v>1427</v>
      </c>
      <c r="G1668" s="28" t="s">
        <v>1428</v>
      </c>
      <c r="H1668" s="28" t="s">
        <v>2832</v>
      </c>
      <c r="I1668" s="28">
        <v>47.43</v>
      </c>
      <c r="J1668" s="28">
        <v>-69.92</v>
      </c>
      <c r="K1668" s="28">
        <v>160</v>
      </c>
      <c r="Q1668" s="46" t="s">
        <v>1856</v>
      </c>
      <c r="R1668" s="46" t="s">
        <v>1867</v>
      </c>
      <c r="T1668" s="46" t="s">
        <v>2016</v>
      </c>
      <c r="U1668" s="46" t="s">
        <v>1384</v>
      </c>
      <c r="V1668" s="46" t="s">
        <v>1723</v>
      </c>
      <c r="W1668" s="46" t="s">
        <v>1384</v>
      </c>
      <c r="X1668" s="46" t="s">
        <v>1386</v>
      </c>
      <c r="Z1668" s="326">
        <v>10</v>
      </c>
      <c r="AA1668" s="326">
        <v>30</v>
      </c>
      <c r="AB1668" s="28" t="s">
        <v>797</v>
      </c>
      <c r="AF1668" s="28" t="s">
        <v>1429</v>
      </c>
      <c r="AG1668" s="28" t="s">
        <v>1519</v>
      </c>
      <c r="AH1668" s="138" t="s">
        <v>578</v>
      </c>
      <c r="AI1668" s="28" t="s">
        <v>1055</v>
      </c>
      <c r="AJ1668" s="141" t="s">
        <v>1621</v>
      </c>
      <c r="AK1668" s="28" t="s">
        <v>1099</v>
      </c>
      <c r="AL1668" s="28" t="s">
        <v>1430</v>
      </c>
      <c r="AM1668" s="28" t="s">
        <v>503</v>
      </c>
      <c r="AT1668" s="28" t="s">
        <v>161</v>
      </c>
      <c r="AU1668" s="28">
        <v>4</v>
      </c>
      <c r="AW1668" s="28" t="s">
        <v>336</v>
      </c>
      <c r="BM1668" s="401"/>
      <c r="BN1668" s="401"/>
      <c r="BR1668" s="401"/>
      <c r="BS1668" s="401"/>
      <c r="GH1668" s="28">
        <v>199</v>
      </c>
      <c r="GI1668" s="28">
        <v>230</v>
      </c>
      <c r="GL1668" s="28" t="s">
        <v>1710</v>
      </c>
      <c r="GR1668" s="28">
        <f>0.57*10000</f>
        <v>5699.9999999999991</v>
      </c>
      <c r="GS1668" s="28">
        <f>0.61*10000</f>
        <v>6100</v>
      </c>
      <c r="GV1668" s="28" t="s">
        <v>1431</v>
      </c>
      <c r="IA1668" s="28">
        <f>1.3*10000</f>
        <v>13000</v>
      </c>
      <c r="IB1668" s="28">
        <f>1.6*10000</f>
        <v>16000</v>
      </c>
      <c r="IO1668" s="28" t="s">
        <v>1432</v>
      </c>
    </row>
    <row r="1669" spans="1:249" s="28" customFormat="1" x14ac:dyDescent="0.25">
      <c r="A1669" s="28">
        <v>76</v>
      </c>
      <c r="B1669" s="28" t="s">
        <v>1425</v>
      </c>
      <c r="C1669" s="28" t="s">
        <v>1426</v>
      </c>
      <c r="D1669" s="28">
        <v>1992</v>
      </c>
      <c r="E1669" s="28">
        <v>1988</v>
      </c>
      <c r="F1669" s="28" t="s">
        <v>1427</v>
      </c>
      <c r="G1669" s="28" t="s">
        <v>1428</v>
      </c>
      <c r="H1669" s="28" t="s">
        <v>2832</v>
      </c>
      <c r="I1669" s="28">
        <v>47.43</v>
      </c>
      <c r="J1669" s="28">
        <v>-69.92</v>
      </c>
      <c r="K1669" s="28">
        <v>160</v>
      </c>
      <c r="Q1669" s="46" t="s">
        <v>1856</v>
      </c>
      <c r="R1669" s="46" t="s">
        <v>1867</v>
      </c>
      <c r="T1669" s="46" t="s">
        <v>2016</v>
      </c>
      <c r="U1669" s="46" t="s">
        <v>1385</v>
      </c>
      <c r="V1669" s="46" t="s">
        <v>1723</v>
      </c>
      <c r="W1669" s="46" t="s">
        <v>1384</v>
      </c>
      <c r="X1669" s="46" t="s">
        <v>1386</v>
      </c>
      <c r="Z1669" s="326">
        <v>10</v>
      </c>
      <c r="AA1669" s="326">
        <v>30</v>
      </c>
      <c r="AB1669" s="28" t="s">
        <v>797</v>
      </c>
      <c r="AF1669" s="28" t="s">
        <v>1429</v>
      </c>
      <c r="AG1669" s="28" t="s">
        <v>1519</v>
      </c>
      <c r="AH1669" s="138" t="s">
        <v>578</v>
      </c>
      <c r="AI1669" s="28" t="s">
        <v>1055</v>
      </c>
      <c r="AJ1669" s="141" t="s">
        <v>1621</v>
      </c>
      <c r="AK1669" s="28" t="s">
        <v>1099</v>
      </c>
      <c r="AL1669" s="28" t="s">
        <v>1430</v>
      </c>
      <c r="AM1669" s="28" t="s">
        <v>503</v>
      </c>
      <c r="AT1669" s="28" t="s">
        <v>161</v>
      </c>
      <c r="AU1669" s="28">
        <v>4</v>
      </c>
      <c r="AW1669" s="28" t="s">
        <v>336</v>
      </c>
      <c r="BM1669" s="401"/>
      <c r="BN1669" s="401"/>
      <c r="BR1669" s="401"/>
      <c r="BS1669" s="401"/>
      <c r="GH1669" s="28">
        <v>214</v>
      </c>
      <c r="GI1669" s="28">
        <v>230</v>
      </c>
      <c r="GL1669" s="28" t="s">
        <v>1710</v>
      </c>
      <c r="GR1669" s="28">
        <f>0.58*10000</f>
        <v>5800</v>
      </c>
      <c r="GS1669" s="28">
        <f>0.62*10000</f>
        <v>6200</v>
      </c>
      <c r="GV1669" s="28" t="s">
        <v>1431</v>
      </c>
      <c r="IA1669" s="28">
        <f>1.4*10000</f>
        <v>14000</v>
      </c>
      <c r="IB1669" s="28">
        <f>1.6*10000</f>
        <v>16000</v>
      </c>
      <c r="IO1669" s="28" t="s">
        <v>1432</v>
      </c>
    </row>
    <row r="1670" spans="1:249" s="22" customFormat="1" x14ac:dyDescent="0.25">
      <c r="A1670" s="22">
        <v>77</v>
      </c>
      <c r="B1670" s="22" t="s">
        <v>1433</v>
      </c>
      <c r="C1670" s="22" t="s">
        <v>1434</v>
      </c>
      <c r="D1670" s="22">
        <v>1993</v>
      </c>
      <c r="E1670" s="22">
        <v>1990</v>
      </c>
      <c r="F1670" s="22" t="s">
        <v>1435</v>
      </c>
      <c r="G1670" s="22" t="s">
        <v>1436</v>
      </c>
      <c r="H1670" s="22" t="s">
        <v>2831</v>
      </c>
      <c r="I1670" s="22">
        <f>33+54/60</f>
        <v>33.9</v>
      </c>
      <c r="J1670" s="22">
        <f>-83-24/60</f>
        <v>-83.4</v>
      </c>
      <c r="K1670" s="22">
        <v>185.5</v>
      </c>
      <c r="Q1670" s="45" t="s">
        <v>1867</v>
      </c>
      <c r="R1670" s="45" t="s">
        <v>1867</v>
      </c>
      <c r="T1670" s="45" t="s">
        <v>2016</v>
      </c>
      <c r="U1670" s="45" t="s">
        <v>1398</v>
      </c>
      <c r="V1670" s="45" t="s">
        <v>1729</v>
      </c>
      <c r="W1670" s="45" t="s">
        <v>1398</v>
      </c>
      <c r="X1670" s="45" t="s">
        <v>1398</v>
      </c>
      <c r="Z1670" s="325">
        <f>100-(130+165+71+210+57+110+190)/7*0.1-AA1670</f>
        <v>69.01428571428572</v>
      </c>
      <c r="AA1670" s="325">
        <f>(260+120+127+149+150+210+220)/7*0.1</f>
        <v>17.657142857142858</v>
      </c>
      <c r="AB1670" s="22" t="s">
        <v>241</v>
      </c>
      <c r="AD1670" s="22">
        <f>(24.4+17.8+13+8.3+6.7+12.1+14)/7*0.1</f>
        <v>1.3757142857142857</v>
      </c>
      <c r="AF1670" s="22" t="s">
        <v>1437</v>
      </c>
      <c r="AG1670" s="22" t="s">
        <v>398</v>
      </c>
      <c r="AH1670" s="138" t="s">
        <v>578</v>
      </c>
      <c r="AI1670" s="22" t="s">
        <v>221</v>
      </c>
      <c r="AJ1670" s="142" t="s">
        <v>221</v>
      </c>
      <c r="AK1670" s="22" t="s">
        <v>1099</v>
      </c>
      <c r="AL1670" s="22" t="s">
        <v>1099</v>
      </c>
      <c r="AM1670" s="22" t="s">
        <v>1438</v>
      </c>
      <c r="AN1670" s="22" t="s">
        <v>488</v>
      </c>
      <c r="AO1670" s="22" t="s">
        <v>157</v>
      </c>
      <c r="AP1670" s="22" t="s">
        <v>503</v>
      </c>
      <c r="AT1670" s="22" t="s">
        <v>120</v>
      </c>
      <c r="AU1670" s="22">
        <v>3</v>
      </c>
      <c r="BM1670" s="399"/>
      <c r="BN1670" s="399"/>
      <c r="BR1670" s="399">
        <f>(9.4+10.2)/2*0.1</f>
        <v>0.98000000000000009</v>
      </c>
      <c r="BS1670" s="399">
        <f>13.2/10</f>
        <v>1.3199999999999998</v>
      </c>
      <c r="BV1670" s="22" t="s">
        <v>164</v>
      </c>
      <c r="DF1670" s="22">
        <f>(47+49)/2*10</f>
        <v>480</v>
      </c>
      <c r="DG1670" s="22">
        <f>64*10</f>
        <v>640</v>
      </c>
      <c r="DJ1670" s="22" t="s">
        <v>1687</v>
      </c>
      <c r="DU1670" s="22">
        <f>(23.8+22.3)/2</f>
        <v>23.05</v>
      </c>
      <c r="DV1670" s="22">
        <v>46.3</v>
      </c>
    </row>
    <row r="1671" spans="1:249" s="32" customFormat="1" x14ac:dyDescent="0.25">
      <c r="A1671" s="32">
        <v>78</v>
      </c>
      <c r="B1671" s="32" t="s">
        <v>1439</v>
      </c>
      <c r="C1671" s="32" t="s">
        <v>1440</v>
      </c>
      <c r="D1671" s="32">
        <v>2007</v>
      </c>
      <c r="E1671" s="32">
        <v>2005</v>
      </c>
      <c r="F1671" s="32" t="s">
        <v>419</v>
      </c>
      <c r="G1671" s="32" t="s">
        <v>527</v>
      </c>
      <c r="H1671" s="32" t="s">
        <v>2831</v>
      </c>
      <c r="I1671" s="32">
        <f t="shared" ref="I1671:I1674" si="258">40+15/60</f>
        <v>40.25</v>
      </c>
      <c r="J1671" s="32">
        <v>-101.25</v>
      </c>
      <c r="K1671" s="32">
        <v>972</v>
      </c>
      <c r="Q1671" s="44" t="s">
        <v>1938</v>
      </c>
      <c r="R1671" s="44" t="s">
        <v>1938</v>
      </c>
      <c r="T1671" s="44" t="s">
        <v>2017</v>
      </c>
      <c r="U1671" s="44" t="s">
        <v>1392</v>
      </c>
      <c r="V1671" s="44" t="s">
        <v>1726</v>
      </c>
      <c r="W1671" s="44" t="s">
        <v>1392</v>
      </c>
      <c r="X1671" s="44" t="s">
        <v>1442</v>
      </c>
      <c r="Z1671" s="323">
        <v>20</v>
      </c>
      <c r="AA1671" s="323">
        <f>100-20-(22+28+32)/3</f>
        <v>52.666666666666671</v>
      </c>
      <c r="AB1671" s="32" t="s">
        <v>451</v>
      </c>
      <c r="AF1671" s="32" t="s">
        <v>1443</v>
      </c>
      <c r="AG1671" s="32" t="s">
        <v>528</v>
      </c>
      <c r="AH1671" s="138" t="s">
        <v>1585</v>
      </c>
      <c r="AI1671" s="32" t="s">
        <v>1531</v>
      </c>
      <c r="AJ1671" s="140" t="s">
        <v>1628</v>
      </c>
      <c r="AK1671" s="32" t="s">
        <v>1634</v>
      </c>
      <c r="AL1671" s="32" t="s">
        <v>1634</v>
      </c>
      <c r="AM1671" s="32" t="s">
        <v>178</v>
      </c>
      <c r="AT1671" s="32" t="s">
        <v>120</v>
      </c>
      <c r="AU1671" s="32">
        <v>3</v>
      </c>
      <c r="AW1671" s="32" t="s">
        <v>142</v>
      </c>
      <c r="BM1671" s="397">
        <v>1.36</v>
      </c>
      <c r="BN1671" s="397">
        <v>1.4</v>
      </c>
      <c r="BR1671" s="397">
        <v>0.82</v>
      </c>
      <c r="BS1671" s="397">
        <v>1.21</v>
      </c>
      <c r="BV1671" s="32" t="s">
        <v>164</v>
      </c>
      <c r="DF1671" s="32">
        <v>25.8</v>
      </c>
      <c r="DG1671" s="32">
        <v>32.4</v>
      </c>
      <c r="DJ1671" s="32" t="s">
        <v>1444</v>
      </c>
      <c r="DK1671" s="32">
        <v>23.3</v>
      </c>
      <c r="DL1671" s="32">
        <v>22.7</v>
      </c>
      <c r="DZ1671" s="32">
        <v>2.33</v>
      </c>
      <c r="EA1671" s="32">
        <v>3.58</v>
      </c>
    </row>
    <row r="1672" spans="1:249" s="125" customFormat="1" x14ac:dyDescent="0.25">
      <c r="A1672" s="32">
        <v>78</v>
      </c>
      <c r="B1672" s="123" t="s">
        <v>1439</v>
      </c>
      <c r="C1672" s="123" t="s">
        <v>1440</v>
      </c>
      <c r="D1672" s="123">
        <v>2007</v>
      </c>
      <c r="E1672" s="123">
        <v>2005</v>
      </c>
      <c r="F1672" s="123" t="s">
        <v>419</v>
      </c>
      <c r="G1672" s="123" t="s">
        <v>527</v>
      </c>
      <c r="H1672" s="32" t="s">
        <v>2831</v>
      </c>
      <c r="I1672" s="123">
        <f t="shared" si="258"/>
        <v>40.25</v>
      </c>
      <c r="J1672" s="123">
        <v>-101.25</v>
      </c>
      <c r="K1672" s="32">
        <v>972</v>
      </c>
      <c r="L1672" s="123"/>
      <c r="M1672" s="123"/>
      <c r="N1672" s="123"/>
      <c r="O1672" s="123"/>
      <c r="P1672" s="123"/>
      <c r="Q1672" s="44" t="s">
        <v>1938</v>
      </c>
      <c r="R1672" s="44" t="s">
        <v>1938</v>
      </c>
      <c r="T1672" s="124" t="s">
        <v>2017</v>
      </c>
      <c r="U1672" s="124" t="s">
        <v>1396</v>
      </c>
      <c r="V1672" s="44" t="s">
        <v>1726</v>
      </c>
      <c r="W1672" s="44" t="s">
        <v>1392</v>
      </c>
      <c r="X1672" s="44" t="s">
        <v>1442</v>
      </c>
      <c r="Y1672" s="123"/>
      <c r="Z1672" s="323">
        <v>20</v>
      </c>
      <c r="AA1672" s="323">
        <f t="shared" ref="AA1672:AA1674" si="259">100-20-(22+28+32)/3</f>
        <v>52.666666666666671</v>
      </c>
      <c r="AB1672" s="123" t="s">
        <v>451</v>
      </c>
      <c r="AC1672" s="123"/>
      <c r="AD1672" s="123"/>
      <c r="AE1672" s="123"/>
      <c r="AF1672" s="32" t="s">
        <v>1443</v>
      </c>
      <c r="AG1672" s="32" t="s">
        <v>528</v>
      </c>
      <c r="AH1672" s="138" t="s">
        <v>1585</v>
      </c>
      <c r="AI1672" s="123" t="s">
        <v>1531</v>
      </c>
      <c r="AJ1672" s="140" t="s">
        <v>1628</v>
      </c>
      <c r="AK1672" s="32" t="s">
        <v>1634</v>
      </c>
      <c r="AL1672" s="32" t="s">
        <v>1634</v>
      </c>
      <c r="AM1672" s="32" t="s">
        <v>178</v>
      </c>
      <c r="AT1672" s="32" t="s">
        <v>120</v>
      </c>
      <c r="AU1672" s="32">
        <v>3</v>
      </c>
      <c r="AV1672" s="32"/>
      <c r="AW1672" s="32" t="s">
        <v>142</v>
      </c>
      <c r="BM1672" s="397">
        <v>1.36</v>
      </c>
      <c r="BN1672" s="397">
        <v>1.34</v>
      </c>
      <c r="BR1672" s="462">
        <v>0.57999999999999996</v>
      </c>
      <c r="BS1672" s="462">
        <v>0.59</v>
      </c>
      <c r="BT1672" s="32"/>
      <c r="BU1672" s="32"/>
      <c r="BV1672" s="32" t="s">
        <v>164</v>
      </c>
      <c r="DF1672" s="125">
        <v>25.8</v>
      </c>
      <c r="DG1672" s="125">
        <v>30.2</v>
      </c>
      <c r="DJ1672" s="32" t="s">
        <v>1444</v>
      </c>
      <c r="DK1672" s="32">
        <v>23.2</v>
      </c>
      <c r="DL1672" s="32">
        <v>30.14</v>
      </c>
      <c r="DM1672" s="32"/>
      <c r="DN1672" s="32"/>
      <c r="DZ1672" s="32">
        <v>2.4900000000000002</v>
      </c>
      <c r="EA1672" s="32">
        <v>2.06</v>
      </c>
      <c r="EB1672" s="32"/>
      <c r="EC1672" s="32"/>
      <c r="EY1672" s="32"/>
      <c r="EZ1672" s="32"/>
      <c r="FA1672" s="32"/>
      <c r="FB1672" s="32"/>
    </row>
    <row r="1673" spans="1:249" s="32" customFormat="1" x14ac:dyDescent="0.25">
      <c r="A1673" s="32">
        <v>78</v>
      </c>
      <c r="B1673" s="32" t="s">
        <v>1439</v>
      </c>
      <c r="C1673" s="32" t="s">
        <v>1440</v>
      </c>
      <c r="D1673" s="32">
        <v>2007</v>
      </c>
      <c r="E1673" s="32">
        <v>2005</v>
      </c>
      <c r="F1673" s="32" t="s">
        <v>419</v>
      </c>
      <c r="G1673" s="32" t="s">
        <v>527</v>
      </c>
      <c r="H1673" s="32" t="s">
        <v>2831</v>
      </c>
      <c r="I1673" s="32">
        <f t="shared" si="258"/>
        <v>40.25</v>
      </c>
      <c r="J1673" s="32">
        <v>-101.25</v>
      </c>
      <c r="K1673" s="32">
        <v>972</v>
      </c>
      <c r="Q1673" s="44" t="s">
        <v>1938</v>
      </c>
      <c r="R1673" s="44" t="s">
        <v>1938</v>
      </c>
      <c r="T1673" s="44" t="s">
        <v>2017</v>
      </c>
      <c r="U1673" s="44" t="s">
        <v>1397</v>
      </c>
      <c r="V1673" s="44" t="s">
        <v>1726</v>
      </c>
      <c r="W1673" s="44" t="s">
        <v>1392</v>
      </c>
      <c r="X1673" s="44" t="s">
        <v>1442</v>
      </c>
      <c r="Z1673" s="323">
        <v>20</v>
      </c>
      <c r="AA1673" s="323">
        <f t="shared" si="259"/>
        <v>52.666666666666671</v>
      </c>
      <c r="AB1673" s="32" t="s">
        <v>451</v>
      </c>
      <c r="AF1673" s="32" t="s">
        <v>1443</v>
      </c>
      <c r="AG1673" s="32" t="s">
        <v>528</v>
      </c>
      <c r="AH1673" s="138" t="s">
        <v>1585</v>
      </c>
      <c r="AI1673" s="32" t="s">
        <v>1531</v>
      </c>
      <c r="AJ1673" s="140" t="s">
        <v>1628</v>
      </c>
      <c r="AK1673" s="32" t="s">
        <v>1634</v>
      </c>
      <c r="AL1673" s="32" t="s">
        <v>1634</v>
      </c>
      <c r="AM1673" s="32" t="s">
        <v>178</v>
      </c>
      <c r="AT1673" s="32" t="s">
        <v>120</v>
      </c>
      <c r="AU1673" s="32">
        <v>3</v>
      </c>
      <c r="AW1673" s="32" t="s">
        <v>142</v>
      </c>
      <c r="BM1673" s="397">
        <v>1.23</v>
      </c>
      <c r="BN1673" s="397">
        <v>1.28</v>
      </c>
      <c r="BR1673" s="397">
        <v>0.46</v>
      </c>
      <c r="BS1673" s="397">
        <v>0.61</v>
      </c>
      <c r="BV1673" s="32" t="s">
        <v>164</v>
      </c>
      <c r="DF1673" s="32">
        <v>83</v>
      </c>
      <c r="DG1673" s="32">
        <v>120.3</v>
      </c>
      <c r="DJ1673" s="32" t="s">
        <v>1444</v>
      </c>
      <c r="DK1673" s="32">
        <v>27.97</v>
      </c>
      <c r="DL1673" s="32">
        <v>29.7</v>
      </c>
      <c r="DZ1673" s="32">
        <v>4.01</v>
      </c>
      <c r="EA1673" s="32">
        <v>3.36</v>
      </c>
    </row>
    <row r="1674" spans="1:249" s="32" customFormat="1" x14ac:dyDescent="0.25">
      <c r="A1674" s="32">
        <v>78</v>
      </c>
      <c r="B1674" s="32" t="s">
        <v>1439</v>
      </c>
      <c r="C1674" s="32" t="s">
        <v>1440</v>
      </c>
      <c r="D1674" s="32">
        <v>2007</v>
      </c>
      <c r="E1674" s="32">
        <v>2005</v>
      </c>
      <c r="F1674" s="32" t="s">
        <v>419</v>
      </c>
      <c r="G1674" s="32" t="s">
        <v>527</v>
      </c>
      <c r="H1674" s="32" t="s">
        <v>2831</v>
      </c>
      <c r="I1674" s="32">
        <f t="shared" si="258"/>
        <v>40.25</v>
      </c>
      <c r="J1674" s="32">
        <v>-101.25</v>
      </c>
      <c r="K1674" s="32">
        <v>972</v>
      </c>
      <c r="Q1674" s="44" t="s">
        <v>1938</v>
      </c>
      <c r="R1674" s="44" t="s">
        <v>1938</v>
      </c>
      <c r="T1674" s="44" t="s">
        <v>2017</v>
      </c>
      <c r="U1674" s="44" t="s">
        <v>1441</v>
      </c>
      <c r="V1674" s="44" t="s">
        <v>1726</v>
      </c>
      <c r="W1674" s="44" t="s">
        <v>1392</v>
      </c>
      <c r="X1674" s="44" t="s">
        <v>1442</v>
      </c>
      <c r="Z1674" s="323">
        <v>20</v>
      </c>
      <c r="AA1674" s="323">
        <f t="shared" si="259"/>
        <v>52.666666666666671</v>
      </c>
      <c r="AB1674" s="32" t="s">
        <v>451</v>
      </c>
      <c r="AF1674" s="32" t="s">
        <v>1443</v>
      </c>
      <c r="AG1674" s="32" t="s">
        <v>528</v>
      </c>
      <c r="AH1674" s="138" t="s">
        <v>1585</v>
      </c>
      <c r="AI1674" s="32" t="s">
        <v>1531</v>
      </c>
      <c r="AJ1674" s="140" t="s">
        <v>1628</v>
      </c>
      <c r="AK1674" s="32" t="s">
        <v>1634</v>
      </c>
      <c r="AL1674" s="32" t="s">
        <v>1634</v>
      </c>
      <c r="AM1674" s="32" t="s">
        <v>178</v>
      </c>
      <c r="AT1674" s="32" t="s">
        <v>120</v>
      </c>
      <c r="AU1674" s="32">
        <v>3</v>
      </c>
      <c r="AW1674" s="32" t="s">
        <v>142</v>
      </c>
      <c r="BM1674" s="397">
        <v>1.34</v>
      </c>
      <c r="BN1674" s="397">
        <v>1.27</v>
      </c>
      <c r="BR1674" s="397">
        <v>0.6</v>
      </c>
      <c r="BS1674" s="397">
        <v>0.61</v>
      </c>
      <c r="BV1674" s="32" t="s">
        <v>164</v>
      </c>
      <c r="DF1674" s="32">
        <v>89.56</v>
      </c>
      <c r="DG1674" s="32">
        <v>142.31</v>
      </c>
      <c r="DJ1674" s="32" t="s">
        <v>1444</v>
      </c>
      <c r="DK1674" s="32">
        <v>25.8</v>
      </c>
      <c r="DL1674" s="32">
        <v>29.27</v>
      </c>
      <c r="DZ1674" s="32">
        <v>2.93</v>
      </c>
      <c r="EA1674" s="32">
        <v>3.14</v>
      </c>
    </row>
    <row r="1675" spans="1:249" s="40" customFormat="1" x14ac:dyDescent="0.25">
      <c r="A1675" s="155">
        <v>79</v>
      </c>
      <c r="B1675" s="160" t="s">
        <v>1751</v>
      </c>
      <c r="C1675" s="156"/>
      <c r="D1675" s="160">
        <v>1998</v>
      </c>
      <c r="E1675" s="161">
        <v>1981</v>
      </c>
      <c r="F1675" s="156" t="s">
        <v>1752</v>
      </c>
      <c r="G1675" s="160" t="s">
        <v>1753</v>
      </c>
      <c r="H1675" s="160" t="s">
        <v>2831</v>
      </c>
      <c r="I1675" s="157">
        <v>41.27</v>
      </c>
      <c r="J1675" s="157">
        <v>-77.349999999999994</v>
      </c>
      <c r="K1675" s="162">
        <v>549</v>
      </c>
      <c r="L1675" s="155"/>
      <c r="M1675" s="155"/>
      <c r="N1675" s="156"/>
      <c r="O1675" s="156"/>
      <c r="P1675" s="156"/>
      <c r="Q1675" s="162">
        <v>1</v>
      </c>
      <c r="R1675" s="162">
        <v>15</v>
      </c>
      <c r="T1675" s="158" t="s">
        <v>2018</v>
      </c>
      <c r="U1675" s="156" t="s">
        <v>1393</v>
      </c>
      <c r="V1675" s="155">
        <v>30</v>
      </c>
      <c r="W1675" s="156" t="s">
        <v>1393</v>
      </c>
      <c r="X1675" s="156" t="s">
        <v>1393</v>
      </c>
      <c r="Y1675" s="155">
        <v>1.5805100000000001</v>
      </c>
      <c r="Z1675" s="355"/>
      <c r="AA1675" s="382"/>
      <c r="AB1675" s="156"/>
      <c r="AC1675" s="156"/>
      <c r="AD1675" s="156"/>
      <c r="AG1675" s="156" t="s">
        <v>578</v>
      </c>
      <c r="AH1675" s="159" t="s">
        <v>578</v>
      </c>
      <c r="AI1675" s="156" t="s">
        <v>1598</v>
      </c>
      <c r="AJ1675" s="156" t="s">
        <v>1615</v>
      </c>
      <c r="AK1675" s="156" t="s">
        <v>1598</v>
      </c>
      <c r="AL1675" s="156" t="s">
        <v>1598</v>
      </c>
      <c r="AM1675" s="156" t="s">
        <v>178</v>
      </c>
      <c r="AN1675" s="156"/>
      <c r="AO1675" s="156"/>
      <c r="AP1675" s="156"/>
      <c r="AQ1675" s="156"/>
      <c r="AR1675" s="156"/>
      <c r="AS1675" s="155"/>
      <c r="AT1675" s="156" t="s">
        <v>161</v>
      </c>
      <c r="AU1675" s="156">
        <v>3</v>
      </c>
      <c r="AV1675" s="156"/>
      <c r="AW1675" s="156"/>
      <c r="AX1675" s="156"/>
      <c r="AY1675" s="156"/>
      <c r="BM1675" s="430"/>
      <c r="BN1675" s="430"/>
      <c r="BO1675" s="163"/>
      <c r="BP1675" s="163"/>
      <c r="BQ1675" s="163"/>
      <c r="BR1675" s="430">
        <v>0.87060395618634967</v>
      </c>
      <c r="BS1675" s="430">
        <v>0.93260917981008684</v>
      </c>
      <c r="BT1675" s="40">
        <f>(4490-4095)/(100*100*30*1.58)*100*SQRT(3)</f>
        <v>0.14433756729740646</v>
      </c>
      <c r="BU1675" s="40">
        <f>(4563-4405)/(100*100*30*1.58)*100*SQRT(3)</f>
        <v>5.7735026918962574E-2</v>
      </c>
    </row>
    <row r="1676" spans="1:249" s="40" customFormat="1" x14ac:dyDescent="0.25">
      <c r="A1676" s="155">
        <v>79</v>
      </c>
      <c r="B1676" s="160" t="s">
        <v>1751</v>
      </c>
      <c r="C1676" s="156"/>
      <c r="D1676" s="160">
        <v>1998</v>
      </c>
      <c r="E1676" s="161">
        <v>1995</v>
      </c>
      <c r="F1676" s="156" t="s">
        <v>1752</v>
      </c>
      <c r="G1676" s="160" t="s">
        <v>1753</v>
      </c>
      <c r="H1676" s="160" t="s">
        <v>2831</v>
      </c>
      <c r="I1676" s="157">
        <v>41.27</v>
      </c>
      <c r="J1676" s="157">
        <v>-77.349999999999994</v>
      </c>
      <c r="K1676" s="162">
        <v>549</v>
      </c>
      <c r="L1676" s="155"/>
      <c r="M1676" s="155"/>
      <c r="N1676" s="156"/>
      <c r="O1676" s="156"/>
      <c r="P1676" s="156"/>
      <c r="Q1676" s="162">
        <v>15</v>
      </c>
      <c r="R1676" s="162">
        <v>15</v>
      </c>
      <c r="T1676" s="158" t="s">
        <v>2018</v>
      </c>
      <c r="U1676" s="156" t="s">
        <v>1393</v>
      </c>
      <c r="V1676" s="155">
        <v>30</v>
      </c>
      <c r="W1676" s="156" t="s">
        <v>1393</v>
      </c>
      <c r="X1676" s="156" t="s">
        <v>1393</v>
      </c>
      <c r="Y1676" s="155">
        <v>1.5805100000000001</v>
      </c>
      <c r="Z1676" s="355"/>
      <c r="AA1676" s="382"/>
      <c r="AB1676" s="156"/>
      <c r="AC1676" s="156"/>
      <c r="AD1676" s="156"/>
      <c r="AG1676" s="156" t="s">
        <v>578</v>
      </c>
      <c r="AH1676" s="159" t="s">
        <v>578</v>
      </c>
      <c r="AI1676" s="156" t="s">
        <v>1598</v>
      </c>
      <c r="AJ1676" s="156" t="s">
        <v>1615</v>
      </c>
      <c r="AK1676" s="156" t="s">
        <v>1598</v>
      </c>
      <c r="AL1676" s="156" t="s">
        <v>1598</v>
      </c>
      <c r="AM1676" s="156" t="s">
        <v>178</v>
      </c>
      <c r="AN1676" s="156"/>
      <c r="AO1676" s="156"/>
      <c r="AP1676" s="156"/>
      <c r="AQ1676" s="156"/>
      <c r="AR1676" s="156"/>
      <c r="AS1676" s="155"/>
      <c r="AT1676" s="156" t="s">
        <v>161</v>
      </c>
      <c r="AU1676" s="156">
        <v>3</v>
      </c>
      <c r="AV1676" s="156"/>
      <c r="AW1676" s="156"/>
      <c r="AX1676" s="156"/>
      <c r="AY1676" s="156"/>
      <c r="BM1676" s="430"/>
      <c r="BN1676" s="430"/>
      <c r="BO1676" s="163"/>
      <c r="BP1676" s="163"/>
      <c r="BQ1676" s="163"/>
      <c r="BR1676" s="430">
        <v>0.91615881435889135</v>
      </c>
      <c r="BS1676" s="430">
        <v>1.0791861540226626</v>
      </c>
      <c r="BT1676" s="40">
        <f>(4668-4343)/(100*100*30*1.58)*100*SQRT(3)</f>
        <v>0.11875875790292936</v>
      </c>
      <c r="BU1676" s="40">
        <f>(5250-5057)/(100*100*30*1.58)*100*SQRT(3)</f>
        <v>7.0524431616201116E-2</v>
      </c>
    </row>
    <row r="1677" spans="1:249" s="40" customFormat="1" x14ac:dyDescent="0.25">
      <c r="A1677" s="155">
        <v>79</v>
      </c>
      <c r="B1677" s="160" t="s">
        <v>1751</v>
      </c>
      <c r="C1677" s="156"/>
      <c r="D1677" s="160">
        <v>1998</v>
      </c>
      <c r="E1677" s="161">
        <v>1987</v>
      </c>
      <c r="F1677" s="156" t="s">
        <v>1752</v>
      </c>
      <c r="G1677" s="160" t="s">
        <v>1753</v>
      </c>
      <c r="H1677" s="160" t="s">
        <v>2831</v>
      </c>
      <c r="I1677" s="157">
        <v>41.27</v>
      </c>
      <c r="J1677" s="157">
        <v>-77.349999999999994</v>
      </c>
      <c r="K1677" s="162">
        <v>549</v>
      </c>
      <c r="L1677" s="155"/>
      <c r="M1677" s="155"/>
      <c r="N1677" s="156"/>
      <c r="O1677" s="156"/>
      <c r="P1677" s="156"/>
      <c r="Q1677" s="162">
        <v>7</v>
      </c>
      <c r="R1677" s="162">
        <v>15</v>
      </c>
      <c r="T1677" s="158" t="s">
        <v>2018</v>
      </c>
      <c r="U1677" s="156" t="s">
        <v>1393</v>
      </c>
      <c r="V1677" s="155">
        <v>30</v>
      </c>
      <c r="W1677" s="156" t="s">
        <v>1393</v>
      </c>
      <c r="X1677" s="156" t="s">
        <v>1393</v>
      </c>
      <c r="Y1677" s="155">
        <v>1.5805100000000001</v>
      </c>
      <c r="Z1677" s="355"/>
      <c r="AA1677" s="382"/>
      <c r="AB1677" s="156"/>
      <c r="AC1677" s="156"/>
      <c r="AD1677" s="156"/>
      <c r="AG1677" s="156" t="s">
        <v>578</v>
      </c>
      <c r="AH1677" s="159" t="s">
        <v>578</v>
      </c>
      <c r="AI1677" s="156" t="s">
        <v>1598</v>
      </c>
      <c r="AJ1677" s="156" t="s">
        <v>1615</v>
      </c>
      <c r="AK1677" s="156" t="s">
        <v>1598</v>
      </c>
      <c r="AL1677" s="156" t="s">
        <v>1598</v>
      </c>
      <c r="AM1677" s="156" t="s">
        <v>178</v>
      </c>
      <c r="AN1677" s="156"/>
      <c r="AO1677" s="156"/>
      <c r="AP1677" s="156"/>
      <c r="AQ1677" s="156"/>
      <c r="AR1677" s="156"/>
      <c r="AS1677" s="155"/>
      <c r="AT1677" s="156" t="s">
        <v>161</v>
      </c>
      <c r="AU1677" s="156">
        <v>3</v>
      </c>
      <c r="AV1677" s="156"/>
      <c r="AW1677" s="156"/>
      <c r="AX1677" s="156"/>
      <c r="AY1677" s="156"/>
      <c r="BC1677" s="40">
        <v>75</v>
      </c>
      <c r="BD1677" s="40">
        <v>68</v>
      </c>
      <c r="BG1677" s="40" t="s">
        <v>1754</v>
      </c>
      <c r="BM1677" s="430"/>
      <c r="BN1677" s="430"/>
      <c r="BO1677" s="163"/>
      <c r="BP1677" s="163"/>
      <c r="BQ1677" s="163"/>
      <c r="BR1677" s="430"/>
      <c r="BS1677" s="430"/>
      <c r="EO1677" s="40">
        <v>1092.5</v>
      </c>
      <c r="EP1677" s="40">
        <v>927.7</v>
      </c>
      <c r="ES1677" s="40" t="s">
        <v>1755</v>
      </c>
    </row>
    <row r="1678" spans="1:249" s="32" customFormat="1" x14ac:dyDescent="0.25">
      <c r="A1678" s="32">
        <v>80</v>
      </c>
      <c r="B1678" s="32" t="s">
        <v>1449</v>
      </c>
      <c r="C1678" s="32" t="s">
        <v>1450</v>
      </c>
      <c r="D1678" s="32">
        <v>1950</v>
      </c>
      <c r="E1678" s="32">
        <v>1943</v>
      </c>
      <c r="F1678" s="32" t="s">
        <v>303</v>
      </c>
      <c r="G1678" s="32" t="s">
        <v>1451</v>
      </c>
      <c r="H1678" s="32" t="s">
        <v>2831</v>
      </c>
      <c r="I1678" s="32">
        <v>40.479999999999997</v>
      </c>
      <c r="J1678" s="32">
        <v>-74.44</v>
      </c>
      <c r="K1678" s="32">
        <v>40.5</v>
      </c>
      <c r="Q1678" s="44">
        <v>5</v>
      </c>
      <c r="R1678" s="44" t="s">
        <v>1869</v>
      </c>
      <c r="T1678" s="44" t="s">
        <v>2019</v>
      </c>
      <c r="U1678" s="44" t="s">
        <v>1381</v>
      </c>
      <c r="V1678" s="44" t="s">
        <v>1381</v>
      </c>
      <c r="W1678" s="44" t="s">
        <v>1381</v>
      </c>
      <c r="X1678" s="44" t="s">
        <v>1381</v>
      </c>
      <c r="Z1678" s="323"/>
      <c r="AA1678" s="323"/>
      <c r="AB1678" s="32" t="s">
        <v>1612</v>
      </c>
      <c r="AG1678" s="32" t="s">
        <v>132</v>
      </c>
      <c r="AH1678" s="138" t="s">
        <v>132</v>
      </c>
      <c r="AI1678" s="32" t="s">
        <v>1595</v>
      </c>
      <c r="AJ1678" s="140" t="s">
        <v>1617</v>
      </c>
      <c r="AT1678" s="32" t="s">
        <v>161</v>
      </c>
      <c r="AU1678" s="32">
        <v>4</v>
      </c>
      <c r="AW1678" s="32" t="s">
        <v>142</v>
      </c>
      <c r="BB1678" s="32" t="s">
        <v>885</v>
      </c>
      <c r="BM1678" s="397"/>
      <c r="BN1678" s="397"/>
      <c r="BR1678" s="397"/>
      <c r="BS1678" s="397"/>
      <c r="EE1678" s="32">
        <v>503.4</v>
      </c>
      <c r="EF1678" s="32">
        <v>53.84</v>
      </c>
      <c r="EJ1678" s="32">
        <v>9.34</v>
      </c>
      <c r="EK1678" s="32">
        <v>1.8</v>
      </c>
      <c r="EN1678" s="32" t="s">
        <v>1456</v>
      </c>
    </row>
    <row r="1679" spans="1:249" s="32" customFormat="1" x14ac:dyDescent="0.25">
      <c r="A1679" s="32">
        <v>80</v>
      </c>
      <c r="B1679" s="32" t="s">
        <v>1449</v>
      </c>
      <c r="C1679" s="32" t="s">
        <v>1450</v>
      </c>
      <c r="D1679" s="32">
        <v>1950</v>
      </c>
      <c r="E1679" s="32">
        <v>1943</v>
      </c>
      <c r="F1679" s="32" t="s">
        <v>303</v>
      </c>
      <c r="G1679" s="32" t="s">
        <v>1451</v>
      </c>
      <c r="H1679" s="32" t="s">
        <v>2831</v>
      </c>
      <c r="I1679" s="32">
        <v>40.479999999999997</v>
      </c>
      <c r="J1679" s="32">
        <v>-74.44</v>
      </c>
      <c r="K1679" s="32">
        <v>40.5</v>
      </c>
      <c r="Q1679" s="44">
        <v>5</v>
      </c>
      <c r="R1679" s="44" t="s">
        <v>1869</v>
      </c>
      <c r="T1679" s="44" t="s">
        <v>2019</v>
      </c>
      <c r="U1679" s="44" t="s">
        <v>1381</v>
      </c>
      <c r="V1679" s="44" t="s">
        <v>1381</v>
      </c>
      <c r="W1679" s="44" t="s">
        <v>1381</v>
      </c>
      <c r="X1679" s="44" t="s">
        <v>1381</v>
      </c>
      <c r="Z1679" s="323"/>
      <c r="AA1679" s="323"/>
      <c r="AB1679" s="32" t="s">
        <v>1612</v>
      </c>
      <c r="AG1679" s="32" t="s">
        <v>132</v>
      </c>
      <c r="AH1679" s="138" t="s">
        <v>132</v>
      </c>
      <c r="AI1679" s="32" t="s">
        <v>1595</v>
      </c>
      <c r="AJ1679" s="140" t="s">
        <v>1617</v>
      </c>
      <c r="AT1679" s="32" t="s">
        <v>161</v>
      </c>
      <c r="AU1679" s="32">
        <v>4</v>
      </c>
      <c r="AW1679" s="32" t="s">
        <v>142</v>
      </c>
      <c r="BB1679" s="32" t="s">
        <v>985</v>
      </c>
      <c r="BM1679" s="397"/>
      <c r="BN1679" s="397"/>
      <c r="BR1679" s="397"/>
      <c r="BS1679" s="397"/>
      <c r="EE1679" s="32">
        <v>121.6</v>
      </c>
      <c r="EF1679" s="32">
        <v>39.74</v>
      </c>
      <c r="EJ1679" s="32">
        <v>10.23</v>
      </c>
      <c r="EK1679" s="32">
        <v>11.43</v>
      </c>
      <c r="EN1679" s="32" t="s">
        <v>1456</v>
      </c>
    </row>
    <row r="1680" spans="1:249" s="32" customFormat="1" x14ac:dyDescent="0.25">
      <c r="A1680" s="32">
        <v>80</v>
      </c>
      <c r="B1680" s="32" t="s">
        <v>1449</v>
      </c>
      <c r="C1680" s="32" t="s">
        <v>1450</v>
      </c>
      <c r="D1680" s="32">
        <v>1950</v>
      </c>
      <c r="E1680" s="32">
        <v>1943</v>
      </c>
      <c r="F1680" s="32" t="s">
        <v>303</v>
      </c>
      <c r="G1680" s="32" t="s">
        <v>1451</v>
      </c>
      <c r="H1680" s="32" t="s">
        <v>2831</v>
      </c>
      <c r="I1680" s="32">
        <v>40.479999999999997</v>
      </c>
      <c r="J1680" s="32">
        <v>-74.44</v>
      </c>
      <c r="K1680" s="32">
        <v>40.5</v>
      </c>
      <c r="Q1680" s="44">
        <v>5</v>
      </c>
      <c r="R1680" s="44" t="s">
        <v>1869</v>
      </c>
      <c r="T1680" s="44" t="s">
        <v>2019</v>
      </c>
      <c r="U1680" s="44" t="s">
        <v>1381</v>
      </c>
      <c r="V1680" s="44" t="s">
        <v>1381</v>
      </c>
      <c r="W1680" s="44" t="s">
        <v>1381</v>
      </c>
      <c r="X1680" s="44" t="s">
        <v>1381</v>
      </c>
      <c r="Z1680" s="323"/>
      <c r="AA1680" s="323"/>
      <c r="AB1680" s="32" t="s">
        <v>1612</v>
      </c>
      <c r="AG1680" s="32" t="s">
        <v>132</v>
      </c>
      <c r="AH1680" s="138" t="s">
        <v>132</v>
      </c>
      <c r="AI1680" s="32" t="s">
        <v>1595</v>
      </c>
      <c r="AJ1680" s="140" t="s">
        <v>1617</v>
      </c>
      <c r="AT1680" s="32" t="s">
        <v>161</v>
      </c>
      <c r="AU1680" s="32">
        <v>4</v>
      </c>
      <c r="AW1680" s="32" t="s">
        <v>142</v>
      </c>
      <c r="BB1680" s="32" t="s">
        <v>986</v>
      </c>
      <c r="BM1680" s="397"/>
      <c r="BN1680" s="397"/>
      <c r="BR1680" s="397"/>
      <c r="BS1680" s="397"/>
      <c r="EE1680" s="32">
        <v>311.7</v>
      </c>
      <c r="EF1680" s="32">
        <v>39.21</v>
      </c>
      <c r="EJ1680" s="32">
        <v>4.49</v>
      </c>
      <c r="EK1680" s="32">
        <v>2.0699999999999998</v>
      </c>
      <c r="EN1680" s="32" t="s">
        <v>1456</v>
      </c>
    </row>
    <row r="1681" spans="1:199" s="32" customFormat="1" x14ac:dyDescent="0.25">
      <c r="A1681" s="32">
        <v>80</v>
      </c>
      <c r="B1681" s="32" t="s">
        <v>1449</v>
      </c>
      <c r="C1681" s="32" t="s">
        <v>1450</v>
      </c>
      <c r="D1681" s="32">
        <v>1950</v>
      </c>
      <c r="E1681" s="32">
        <v>1943</v>
      </c>
      <c r="F1681" s="32" t="s">
        <v>303</v>
      </c>
      <c r="G1681" s="32" t="s">
        <v>1451</v>
      </c>
      <c r="H1681" s="32" t="s">
        <v>2831</v>
      </c>
      <c r="I1681" s="32">
        <v>40.479999999999997</v>
      </c>
      <c r="J1681" s="32">
        <v>-74.44</v>
      </c>
      <c r="K1681" s="32">
        <v>40.5</v>
      </c>
      <c r="Q1681" s="44">
        <v>5</v>
      </c>
      <c r="R1681" s="44" t="s">
        <v>1869</v>
      </c>
      <c r="T1681" s="44" t="s">
        <v>2019</v>
      </c>
      <c r="U1681" s="44" t="s">
        <v>1381</v>
      </c>
      <c r="V1681" s="44" t="s">
        <v>1381</v>
      </c>
      <c r="W1681" s="44" t="s">
        <v>1381</v>
      </c>
      <c r="X1681" s="44" t="s">
        <v>1381</v>
      </c>
      <c r="Z1681" s="323"/>
      <c r="AA1681" s="323"/>
      <c r="AB1681" s="32" t="s">
        <v>1612</v>
      </c>
      <c r="AG1681" s="32" t="s">
        <v>132</v>
      </c>
      <c r="AH1681" s="138" t="s">
        <v>132</v>
      </c>
      <c r="AI1681" s="32" t="s">
        <v>1595</v>
      </c>
      <c r="AJ1681" s="140" t="s">
        <v>1617</v>
      </c>
      <c r="AT1681" s="32" t="s">
        <v>161</v>
      </c>
      <c r="AU1681" s="32">
        <v>4</v>
      </c>
      <c r="AW1681" s="32" t="s">
        <v>142</v>
      </c>
      <c r="BB1681" s="32" t="s">
        <v>781</v>
      </c>
      <c r="BM1681" s="397"/>
      <c r="BN1681" s="397"/>
      <c r="BR1681" s="397"/>
      <c r="BS1681" s="397"/>
      <c r="EE1681" s="32">
        <v>515.45000000000005</v>
      </c>
      <c r="EF1681" s="32">
        <v>38.659999999999997</v>
      </c>
      <c r="EJ1681" s="32">
        <v>3.88</v>
      </c>
      <c r="EK1681" s="32">
        <v>1.46</v>
      </c>
      <c r="EN1681" s="32" t="s">
        <v>1456</v>
      </c>
    </row>
    <row r="1682" spans="1:199" s="32" customFormat="1" x14ac:dyDescent="0.25">
      <c r="A1682" s="32">
        <v>80</v>
      </c>
      <c r="B1682" s="32" t="s">
        <v>1449</v>
      </c>
      <c r="C1682" s="32" t="s">
        <v>1450</v>
      </c>
      <c r="D1682" s="32">
        <v>1950</v>
      </c>
      <c r="E1682" s="32">
        <v>1943</v>
      </c>
      <c r="F1682" s="32" t="s">
        <v>303</v>
      </c>
      <c r="G1682" s="32" t="s">
        <v>1451</v>
      </c>
      <c r="H1682" s="32" t="s">
        <v>2831</v>
      </c>
      <c r="I1682" s="32">
        <v>40.479999999999997</v>
      </c>
      <c r="J1682" s="32">
        <v>-74.44</v>
      </c>
      <c r="K1682" s="32">
        <v>40.5</v>
      </c>
      <c r="Q1682" s="44">
        <v>5</v>
      </c>
      <c r="R1682" s="44" t="s">
        <v>1869</v>
      </c>
      <c r="T1682" s="44" t="s">
        <v>2019</v>
      </c>
      <c r="U1682" s="44" t="s">
        <v>1381</v>
      </c>
      <c r="V1682" s="44" t="s">
        <v>1381</v>
      </c>
      <c r="W1682" s="44" t="s">
        <v>1381</v>
      </c>
      <c r="X1682" s="44" t="s">
        <v>1381</v>
      </c>
      <c r="Z1682" s="323"/>
      <c r="AA1682" s="323"/>
      <c r="AB1682" s="32" t="s">
        <v>1612</v>
      </c>
      <c r="AG1682" s="32" t="s">
        <v>132</v>
      </c>
      <c r="AH1682" s="138" t="s">
        <v>132</v>
      </c>
      <c r="AI1682" s="32" t="s">
        <v>1595</v>
      </c>
      <c r="AJ1682" s="140" t="s">
        <v>1617</v>
      </c>
      <c r="AT1682" s="32" t="s">
        <v>161</v>
      </c>
      <c r="AU1682" s="32">
        <v>4</v>
      </c>
      <c r="AW1682" s="32" t="s">
        <v>142</v>
      </c>
      <c r="BB1682" s="32" t="s">
        <v>202</v>
      </c>
      <c r="BM1682" s="397"/>
      <c r="BN1682" s="397"/>
      <c r="BR1682" s="397"/>
      <c r="BS1682" s="397"/>
      <c r="EE1682" s="32">
        <v>474.09</v>
      </c>
      <c r="EF1682" s="32">
        <v>147.1</v>
      </c>
      <c r="EJ1682" s="32">
        <v>4.47</v>
      </c>
      <c r="EK1682" s="32">
        <v>2.0499999999999998</v>
      </c>
      <c r="EN1682" s="32" t="s">
        <v>1456</v>
      </c>
    </row>
    <row r="1683" spans="1:199" s="32" customFormat="1" x14ac:dyDescent="0.25">
      <c r="A1683" s="32">
        <v>80</v>
      </c>
      <c r="B1683" s="32" t="s">
        <v>1449</v>
      </c>
      <c r="C1683" s="32" t="s">
        <v>1450</v>
      </c>
      <c r="D1683" s="32">
        <v>1950</v>
      </c>
      <c r="E1683" s="32">
        <v>1943</v>
      </c>
      <c r="F1683" s="32" t="s">
        <v>303</v>
      </c>
      <c r="G1683" s="32" t="s">
        <v>1451</v>
      </c>
      <c r="H1683" s="32" t="s">
        <v>2831</v>
      </c>
      <c r="I1683" s="32">
        <v>40.479999999999997</v>
      </c>
      <c r="J1683" s="32">
        <v>-74.44</v>
      </c>
      <c r="K1683" s="32">
        <v>40.5</v>
      </c>
      <c r="Q1683" s="44">
        <v>5</v>
      </c>
      <c r="R1683" s="44" t="s">
        <v>1869</v>
      </c>
      <c r="T1683" s="44" t="s">
        <v>2019</v>
      </c>
      <c r="U1683" s="44" t="s">
        <v>1381</v>
      </c>
      <c r="V1683" s="44" t="s">
        <v>1381</v>
      </c>
      <c r="W1683" s="44" t="s">
        <v>1381</v>
      </c>
      <c r="X1683" s="44" t="s">
        <v>1381</v>
      </c>
      <c r="Z1683" s="323"/>
      <c r="AA1683" s="323"/>
      <c r="AB1683" s="32" t="s">
        <v>1612</v>
      </c>
      <c r="AG1683" s="32" t="s">
        <v>132</v>
      </c>
      <c r="AH1683" s="138" t="s">
        <v>132</v>
      </c>
      <c r="AI1683" s="32" t="s">
        <v>1595</v>
      </c>
      <c r="AJ1683" s="140" t="s">
        <v>1617</v>
      </c>
      <c r="AT1683" s="32" t="s">
        <v>161</v>
      </c>
      <c r="AU1683" s="32">
        <v>4</v>
      </c>
      <c r="AW1683" s="32" t="s">
        <v>142</v>
      </c>
      <c r="BB1683" s="32" t="s">
        <v>886</v>
      </c>
      <c r="BM1683" s="397"/>
      <c r="BN1683" s="397"/>
      <c r="BR1683" s="397"/>
      <c r="BS1683" s="397"/>
      <c r="EE1683" s="32">
        <v>1467.26</v>
      </c>
      <c r="EF1683" s="32">
        <v>813.8</v>
      </c>
      <c r="EJ1683" s="32">
        <v>12.29</v>
      </c>
      <c r="EK1683" s="32">
        <v>7.16</v>
      </c>
      <c r="EN1683" s="32" t="s">
        <v>1456</v>
      </c>
    </row>
    <row r="1684" spans="1:199" s="32" customFormat="1" x14ac:dyDescent="0.25">
      <c r="A1684" s="32">
        <v>80</v>
      </c>
      <c r="B1684" s="32" t="s">
        <v>1449</v>
      </c>
      <c r="C1684" s="32" t="s">
        <v>1450</v>
      </c>
      <c r="D1684" s="32">
        <v>1950</v>
      </c>
      <c r="E1684" s="32">
        <v>1943</v>
      </c>
      <c r="F1684" s="32" t="s">
        <v>303</v>
      </c>
      <c r="G1684" s="32" t="s">
        <v>1451</v>
      </c>
      <c r="H1684" s="32" t="s">
        <v>2831</v>
      </c>
      <c r="I1684" s="32">
        <v>40.479999999999997</v>
      </c>
      <c r="J1684" s="32">
        <v>-74.44</v>
      </c>
      <c r="K1684" s="32">
        <v>40.5</v>
      </c>
      <c r="Q1684" s="44">
        <v>5</v>
      </c>
      <c r="R1684" s="44" t="s">
        <v>1869</v>
      </c>
      <c r="T1684" s="44" t="s">
        <v>2019</v>
      </c>
      <c r="U1684" s="44" t="s">
        <v>1381</v>
      </c>
      <c r="V1684" s="44" t="s">
        <v>1381</v>
      </c>
      <c r="W1684" s="44" t="s">
        <v>1381</v>
      </c>
      <c r="X1684" s="44" t="s">
        <v>1381</v>
      </c>
      <c r="Z1684" s="323"/>
      <c r="AA1684" s="323"/>
      <c r="AB1684" s="32" t="s">
        <v>1612</v>
      </c>
      <c r="AG1684" s="32" t="s">
        <v>132</v>
      </c>
      <c r="AH1684" s="138" t="s">
        <v>132</v>
      </c>
      <c r="AI1684" s="32" t="s">
        <v>1595</v>
      </c>
      <c r="AJ1684" s="140" t="s">
        <v>1617</v>
      </c>
      <c r="AT1684" s="32" t="s">
        <v>161</v>
      </c>
      <c r="AU1684" s="32">
        <v>4</v>
      </c>
      <c r="AW1684" s="32" t="s">
        <v>142</v>
      </c>
      <c r="BB1684" s="32" t="s">
        <v>1075</v>
      </c>
      <c r="BM1684" s="397"/>
      <c r="BN1684" s="397"/>
      <c r="BR1684" s="397"/>
      <c r="BS1684" s="397"/>
      <c r="EE1684" s="32">
        <v>2147.9499999999998</v>
      </c>
      <c r="EF1684" s="32">
        <v>1112.9000000000001</v>
      </c>
      <c r="EJ1684" s="32">
        <v>28.26</v>
      </c>
      <c r="EK1684" s="32">
        <v>21.62</v>
      </c>
      <c r="EN1684" s="32" t="s">
        <v>1456</v>
      </c>
    </row>
    <row r="1685" spans="1:199" s="32" customFormat="1" x14ac:dyDescent="0.25">
      <c r="A1685" s="32">
        <v>80</v>
      </c>
      <c r="B1685" s="32" t="s">
        <v>1449</v>
      </c>
      <c r="C1685" s="32" t="s">
        <v>1450</v>
      </c>
      <c r="D1685" s="32">
        <v>1950</v>
      </c>
      <c r="E1685" s="32">
        <v>1943</v>
      </c>
      <c r="F1685" s="32" t="s">
        <v>303</v>
      </c>
      <c r="G1685" s="32" t="s">
        <v>1451</v>
      </c>
      <c r="H1685" s="32" t="s">
        <v>2831</v>
      </c>
      <c r="I1685" s="32">
        <v>40.479999999999997</v>
      </c>
      <c r="J1685" s="32">
        <v>-74.44</v>
      </c>
      <c r="K1685" s="32">
        <v>40.5</v>
      </c>
      <c r="Q1685" s="44">
        <v>5</v>
      </c>
      <c r="R1685" s="44" t="s">
        <v>1869</v>
      </c>
      <c r="T1685" s="44" t="s">
        <v>2019</v>
      </c>
      <c r="U1685" s="44" t="s">
        <v>1381</v>
      </c>
      <c r="V1685" s="44" t="s">
        <v>1381</v>
      </c>
      <c r="W1685" s="44" t="s">
        <v>1381</v>
      </c>
      <c r="X1685" s="44" t="s">
        <v>1381</v>
      </c>
      <c r="Z1685" s="323"/>
      <c r="AA1685" s="323"/>
      <c r="AB1685" s="32" t="s">
        <v>1612</v>
      </c>
      <c r="AG1685" s="32" t="s">
        <v>132</v>
      </c>
      <c r="AH1685" s="138" t="s">
        <v>132</v>
      </c>
      <c r="AI1685" s="32" t="s">
        <v>1595</v>
      </c>
      <c r="AJ1685" s="140" t="s">
        <v>1617</v>
      </c>
      <c r="AT1685" s="32" t="s">
        <v>161</v>
      </c>
      <c r="AU1685" s="32">
        <v>4</v>
      </c>
      <c r="AW1685" s="32" t="s">
        <v>142</v>
      </c>
      <c r="BB1685" s="32" t="s">
        <v>889</v>
      </c>
      <c r="BM1685" s="397"/>
      <c r="BN1685" s="397"/>
      <c r="BR1685" s="397"/>
      <c r="BS1685" s="397"/>
      <c r="EE1685" s="32">
        <v>962.74</v>
      </c>
      <c r="EF1685" s="32">
        <v>567.65</v>
      </c>
      <c r="EJ1685" s="32">
        <v>13.17</v>
      </c>
      <c r="EK1685" s="32">
        <v>8.65</v>
      </c>
      <c r="EN1685" s="32" t="s">
        <v>1456</v>
      </c>
    </row>
    <row r="1686" spans="1:199" s="32" customFormat="1" x14ac:dyDescent="0.25">
      <c r="A1686" s="32">
        <v>80</v>
      </c>
      <c r="B1686" s="32" t="s">
        <v>1449</v>
      </c>
      <c r="C1686" s="32" t="s">
        <v>1450</v>
      </c>
      <c r="D1686" s="32">
        <v>1950</v>
      </c>
      <c r="E1686" s="32">
        <v>1943</v>
      </c>
      <c r="F1686" s="32" t="s">
        <v>303</v>
      </c>
      <c r="G1686" s="32" t="s">
        <v>1451</v>
      </c>
      <c r="H1686" s="32" t="s">
        <v>2831</v>
      </c>
      <c r="I1686" s="32">
        <v>40.479999999999997</v>
      </c>
      <c r="J1686" s="32">
        <v>-74.44</v>
      </c>
      <c r="K1686" s="32">
        <v>40.5</v>
      </c>
      <c r="Q1686" s="44">
        <v>5</v>
      </c>
      <c r="R1686" s="44" t="s">
        <v>1869</v>
      </c>
      <c r="T1686" s="44" t="s">
        <v>2019</v>
      </c>
      <c r="U1686" s="44" t="s">
        <v>1381</v>
      </c>
      <c r="V1686" s="44" t="s">
        <v>1381</v>
      </c>
      <c r="W1686" s="44" t="s">
        <v>1381</v>
      </c>
      <c r="X1686" s="44" t="s">
        <v>1381</v>
      </c>
      <c r="Z1686" s="323"/>
      <c r="AA1686" s="323"/>
      <c r="AB1686" s="32" t="s">
        <v>1612</v>
      </c>
      <c r="AG1686" s="32" t="s">
        <v>132</v>
      </c>
      <c r="AH1686" s="138" t="s">
        <v>132</v>
      </c>
      <c r="AI1686" s="32" t="s">
        <v>1595</v>
      </c>
      <c r="AJ1686" s="140" t="s">
        <v>1617</v>
      </c>
      <c r="AT1686" s="32" t="s">
        <v>161</v>
      </c>
      <c r="AU1686" s="32">
        <v>4</v>
      </c>
      <c r="AW1686" s="32" t="s">
        <v>142</v>
      </c>
      <c r="BB1686" s="32" t="s">
        <v>887</v>
      </c>
      <c r="BM1686" s="397"/>
      <c r="BN1686" s="397"/>
      <c r="BR1686" s="397"/>
      <c r="BS1686" s="397"/>
      <c r="EE1686" s="32">
        <v>757.93</v>
      </c>
      <c r="EF1686" s="32">
        <v>349.23</v>
      </c>
      <c r="EJ1686" s="32">
        <v>13.77</v>
      </c>
      <c r="EK1686" s="32">
        <v>7.73</v>
      </c>
      <c r="EN1686" s="32" t="s">
        <v>1456</v>
      </c>
    </row>
    <row r="1687" spans="1:199" s="32" customFormat="1" x14ac:dyDescent="0.25">
      <c r="A1687" s="32">
        <v>80</v>
      </c>
      <c r="B1687" s="32" t="s">
        <v>1449</v>
      </c>
      <c r="C1687" s="32" t="s">
        <v>1450</v>
      </c>
      <c r="D1687" s="32">
        <v>1950</v>
      </c>
      <c r="E1687" s="32">
        <v>1943</v>
      </c>
      <c r="F1687" s="32" t="s">
        <v>303</v>
      </c>
      <c r="G1687" s="32" t="s">
        <v>1451</v>
      </c>
      <c r="H1687" s="32" t="s">
        <v>2831</v>
      </c>
      <c r="I1687" s="32">
        <v>40.479999999999997</v>
      </c>
      <c r="J1687" s="32">
        <v>-74.44</v>
      </c>
      <c r="K1687" s="32">
        <v>40.5</v>
      </c>
      <c r="Q1687" s="44">
        <v>5</v>
      </c>
      <c r="R1687" s="44" t="s">
        <v>1869</v>
      </c>
      <c r="T1687" s="44" t="s">
        <v>2019</v>
      </c>
      <c r="U1687" s="44" t="s">
        <v>1381</v>
      </c>
      <c r="V1687" s="44" t="s">
        <v>1381</v>
      </c>
      <c r="W1687" s="44" t="s">
        <v>1381</v>
      </c>
      <c r="X1687" s="44" t="s">
        <v>1381</v>
      </c>
      <c r="Z1687" s="323"/>
      <c r="AA1687" s="323"/>
      <c r="AB1687" s="32" t="s">
        <v>1612</v>
      </c>
      <c r="AG1687" s="32" t="s">
        <v>132</v>
      </c>
      <c r="AH1687" s="138" t="s">
        <v>132</v>
      </c>
      <c r="AI1687" s="32" t="s">
        <v>1595</v>
      </c>
      <c r="AJ1687" s="140" t="s">
        <v>1617</v>
      </c>
      <c r="AT1687" s="32" t="s">
        <v>161</v>
      </c>
      <c r="AU1687" s="32">
        <v>4</v>
      </c>
      <c r="AW1687" s="32" t="s">
        <v>142</v>
      </c>
      <c r="BB1687" s="32" t="s">
        <v>888</v>
      </c>
      <c r="BM1687" s="397"/>
      <c r="BN1687" s="397"/>
      <c r="BR1687" s="397"/>
      <c r="BS1687" s="397"/>
      <c r="EE1687" s="32">
        <v>811.88</v>
      </c>
      <c r="EF1687" s="32">
        <v>76.38</v>
      </c>
      <c r="EJ1687" s="32">
        <v>10.44</v>
      </c>
      <c r="EK1687" s="32">
        <v>3.5</v>
      </c>
      <c r="EN1687" s="32" t="s">
        <v>1456</v>
      </c>
    </row>
    <row r="1688" spans="1:199" s="32" customFormat="1" x14ac:dyDescent="0.25">
      <c r="A1688" s="32">
        <v>80</v>
      </c>
      <c r="B1688" s="32" t="s">
        <v>1449</v>
      </c>
      <c r="C1688" s="32" t="s">
        <v>1450</v>
      </c>
      <c r="D1688" s="32">
        <v>1950</v>
      </c>
      <c r="E1688" s="32">
        <v>1943</v>
      </c>
      <c r="F1688" s="32" t="s">
        <v>303</v>
      </c>
      <c r="G1688" s="32" t="s">
        <v>1451</v>
      </c>
      <c r="H1688" s="32" t="s">
        <v>2831</v>
      </c>
      <c r="I1688" s="32">
        <v>40.479999999999997</v>
      </c>
      <c r="J1688" s="32">
        <v>-74.44</v>
      </c>
      <c r="K1688" s="32">
        <v>40.5</v>
      </c>
      <c r="Q1688" s="44">
        <v>5</v>
      </c>
      <c r="R1688" s="44" t="s">
        <v>1869</v>
      </c>
      <c r="T1688" s="44" t="s">
        <v>2019</v>
      </c>
      <c r="U1688" s="44" t="s">
        <v>1381</v>
      </c>
      <c r="V1688" s="44" t="s">
        <v>1381</v>
      </c>
      <c r="W1688" s="44" t="s">
        <v>1381</v>
      </c>
      <c r="X1688" s="44" t="s">
        <v>1381</v>
      </c>
      <c r="Z1688" s="323"/>
      <c r="AA1688" s="323"/>
      <c r="AB1688" s="32" t="s">
        <v>1612</v>
      </c>
      <c r="AG1688" s="32" t="s">
        <v>132</v>
      </c>
      <c r="AH1688" s="138" t="s">
        <v>132</v>
      </c>
      <c r="AI1688" s="32" t="s">
        <v>1595</v>
      </c>
      <c r="AJ1688" s="140" t="s">
        <v>1617</v>
      </c>
      <c r="AT1688" s="32" t="s">
        <v>161</v>
      </c>
      <c r="AU1688" s="32">
        <v>4</v>
      </c>
      <c r="AW1688" s="32" t="s">
        <v>142</v>
      </c>
      <c r="BB1688" s="32" t="s">
        <v>782</v>
      </c>
      <c r="BM1688" s="397"/>
      <c r="BN1688" s="397"/>
      <c r="BR1688" s="397"/>
      <c r="BS1688" s="397"/>
      <c r="EE1688" s="32">
        <v>702.4</v>
      </c>
      <c r="EF1688" s="32">
        <v>62.23</v>
      </c>
      <c r="EJ1688" s="32">
        <v>14.95</v>
      </c>
      <c r="EK1688" s="32">
        <v>1.38</v>
      </c>
      <c r="EN1688" s="32" t="s">
        <v>1456</v>
      </c>
    </row>
    <row r="1689" spans="1:199" s="32" customFormat="1" x14ac:dyDescent="0.25">
      <c r="A1689" s="32">
        <v>80</v>
      </c>
      <c r="B1689" s="32" t="s">
        <v>1449</v>
      </c>
      <c r="C1689" s="32" t="s">
        <v>1450</v>
      </c>
      <c r="D1689" s="32">
        <v>1950</v>
      </c>
      <c r="E1689" s="32">
        <v>1943</v>
      </c>
      <c r="F1689" s="32" t="s">
        <v>303</v>
      </c>
      <c r="G1689" s="32" t="s">
        <v>1451</v>
      </c>
      <c r="H1689" s="32" t="s">
        <v>2831</v>
      </c>
      <c r="I1689" s="32">
        <v>40.479999999999997</v>
      </c>
      <c r="J1689" s="32">
        <v>-74.44</v>
      </c>
      <c r="K1689" s="32">
        <v>40.5</v>
      </c>
      <c r="Q1689" s="44">
        <v>5</v>
      </c>
      <c r="R1689" s="44" t="s">
        <v>1869</v>
      </c>
      <c r="T1689" s="44" t="s">
        <v>2019</v>
      </c>
      <c r="U1689" s="44" t="s">
        <v>1381</v>
      </c>
      <c r="V1689" s="44" t="s">
        <v>1381</v>
      </c>
      <c r="W1689" s="44" t="s">
        <v>1381</v>
      </c>
      <c r="X1689" s="44" t="s">
        <v>1381</v>
      </c>
      <c r="Z1689" s="323"/>
      <c r="AA1689" s="323"/>
      <c r="AB1689" s="32" t="s">
        <v>1612</v>
      </c>
      <c r="AG1689" s="32" t="s">
        <v>132</v>
      </c>
      <c r="AH1689" s="138" t="s">
        <v>132</v>
      </c>
      <c r="AI1689" s="32" t="s">
        <v>1595</v>
      </c>
      <c r="AJ1689" s="140" t="s">
        <v>1617</v>
      </c>
      <c r="AT1689" s="32" t="s">
        <v>161</v>
      </c>
      <c r="AU1689" s="32">
        <v>4</v>
      </c>
      <c r="AW1689" s="32" t="s">
        <v>142</v>
      </c>
      <c r="BB1689" s="32" t="s">
        <v>987</v>
      </c>
      <c r="BM1689" s="397"/>
      <c r="BN1689" s="397"/>
      <c r="BR1689" s="397"/>
      <c r="BS1689" s="397"/>
      <c r="EE1689" s="32">
        <v>48.3</v>
      </c>
      <c r="EF1689" s="32">
        <v>6</v>
      </c>
      <c r="EJ1689" s="32">
        <v>1.67</v>
      </c>
      <c r="EK1689" s="32">
        <v>0.14000000000000001</v>
      </c>
      <c r="EN1689" s="32" t="s">
        <v>1456</v>
      </c>
    </row>
    <row r="1690" spans="1:199" s="36" customFormat="1" x14ac:dyDescent="0.25">
      <c r="A1690" s="36">
        <v>81</v>
      </c>
      <c r="B1690" s="36" t="s">
        <v>1457</v>
      </c>
      <c r="C1690" s="36" t="s">
        <v>1458</v>
      </c>
      <c r="D1690" s="36">
        <v>2016</v>
      </c>
      <c r="E1690" s="36">
        <v>1998</v>
      </c>
      <c r="F1690" s="36" t="s">
        <v>1459</v>
      </c>
      <c r="G1690" s="36" t="s">
        <v>2833</v>
      </c>
      <c r="H1690" s="36" t="s">
        <v>2831</v>
      </c>
      <c r="I1690" s="36">
        <v>38.94</v>
      </c>
      <c r="J1690" s="36">
        <v>-92.33</v>
      </c>
      <c r="K1690" s="36">
        <v>225</v>
      </c>
      <c r="Q1690" s="51" t="s">
        <v>2021</v>
      </c>
      <c r="R1690" s="51" t="s">
        <v>2021</v>
      </c>
      <c r="T1690" s="51" t="s">
        <v>2020</v>
      </c>
      <c r="U1690" s="51" t="s">
        <v>1392</v>
      </c>
      <c r="V1690" s="51" t="s">
        <v>1726</v>
      </c>
      <c r="W1690" s="51" t="s">
        <v>1392</v>
      </c>
      <c r="X1690" s="51" t="s">
        <v>1392</v>
      </c>
      <c r="Z1690" s="331"/>
      <c r="AA1690" s="331"/>
      <c r="AB1690" s="36" t="s">
        <v>451</v>
      </c>
      <c r="AG1690" s="36" t="s">
        <v>398</v>
      </c>
      <c r="AH1690" s="138" t="s">
        <v>578</v>
      </c>
      <c r="AI1690" s="36" t="s">
        <v>1531</v>
      </c>
      <c r="AJ1690" s="142" t="s">
        <v>1628</v>
      </c>
      <c r="AT1690" s="36" t="s">
        <v>161</v>
      </c>
      <c r="AW1690" s="36" t="s">
        <v>142</v>
      </c>
      <c r="BB1690" s="36" t="s">
        <v>1461</v>
      </c>
      <c r="BM1690" s="407"/>
      <c r="BN1690" s="407"/>
      <c r="BR1690" s="407"/>
      <c r="BS1690" s="407"/>
      <c r="GM1690" s="36">
        <v>1.5</v>
      </c>
      <c r="GN1690" s="36">
        <v>2.4300000000000002</v>
      </c>
      <c r="GQ1690" s="36" t="s">
        <v>1462</v>
      </c>
    </row>
    <row r="1691" spans="1:199" s="36" customFormat="1" x14ac:dyDescent="0.25">
      <c r="A1691" s="36">
        <v>81</v>
      </c>
      <c r="B1691" s="36" t="s">
        <v>1457</v>
      </c>
      <c r="C1691" s="36" t="s">
        <v>1458</v>
      </c>
      <c r="D1691" s="36">
        <v>2016</v>
      </c>
      <c r="E1691" s="36">
        <v>1998</v>
      </c>
      <c r="F1691" s="36" t="s">
        <v>1459</v>
      </c>
      <c r="G1691" s="36" t="s">
        <v>2833</v>
      </c>
      <c r="H1691" s="36" t="s">
        <v>2831</v>
      </c>
      <c r="I1691" s="36">
        <v>38.94</v>
      </c>
      <c r="J1691" s="36">
        <v>-92.33</v>
      </c>
      <c r="K1691" s="36">
        <v>225</v>
      </c>
      <c r="Q1691" s="51" t="s">
        <v>2021</v>
      </c>
      <c r="R1691" s="51" t="s">
        <v>2021</v>
      </c>
      <c r="T1691" s="51" t="s">
        <v>2020</v>
      </c>
      <c r="U1691" s="51" t="s">
        <v>1392</v>
      </c>
      <c r="V1691" s="51" t="s">
        <v>1726</v>
      </c>
      <c r="W1691" s="51" t="s">
        <v>1392</v>
      </c>
      <c r="X1691" s="51" t="s">
        <v>1392</v>
      </c>
      <c r="Z1691" s="331"/>
      <c r="AA1691" s="331"/>
      <c r="AB1691" s="36" t="s">
        <v>451</v>
      </c>
      <c r="AG1691" s="36" t="s">
        <v>398</v>
      </c>
      <c r="AH1691" s="138" t="s">
        <v>578</v>
      </c>
      <c r="AI1691" s="36" t="s">
        <v>1460</v>
      </c>
      <c r="AJ1691" s="142" t="s">
        <v>1628</v>
      </c>
      <c r="AT1691" s="36" t="s">
        <v>161</v>
      </c>
      <c r="AW1691" s="36" t="s">
        <v>142</v>
      </c>
      <c r="BB1691" s="36" t="s">
        <v>1461</v>
      </c>
      <c r="BM1691" s="407"/>
      <c r="BN1691" s="407"/>
      <c r="BR1691" s="407"/>
      <c r="BS1691" s="407"/>
      <c r="GM1691" s="36">
        <v>1.97</v>
      </c>
      <c r="GN1691" s="36">
        <v>2.4300000000000002</v>
      </c>
      <c r="GQ1691" s="36" t="s">
        <v>1462</v>
      </c>
    </row>
    <row r="1692" spans="1:199" s="36" customFormat="1" x14ac:dyDescent="0.25">
      <c r="A1692" s="36">
        <v>81</v>
      </c>
      <c r="B1692" s="36" t="s">
        <v>1457</v>
      </c>
      <c r="C1692" s="36" t="s">
        <v>1458</v>
      </c>
      <c r="D1692" s="36">
        <v>2016</v>
      </c>
      <c r="E1692" s="36">
        <v>1998</v>
      </c>
      <c r="F1692" s="36" t="s">
        <v>1459</v>
      </c>
      <c r="G1692" s="36" t="s">
        <v>2833</v>
      </c>
      <c r="H1692" s="36" t="s">
        <v>2831</v>
      </c>
      <c r="I1692" s="36">
        <v>38.94</v>
      </c>
      <c r="J1692" s="36">
        <v>-92.33</v>
      </c>
      <c r="K1692" s="36">
        <v>225</v>
      </c>
      <c r="Q1692" s="51" t="s">
        <v>2021</v>
      </c>
      <c r="R1692" s="51" t="s">
        <v>2021</v>
      </c>
      <c r="T1692" s="51" t="s">
        <v>2020</v>
      </c>
      <c r="U1692" s="51" t="s">
        <v>1392</v>
      </c>
      <c r="V1692" s="51" t="s">
        <v>1726</v>
      </c>
      <c r="W1692" s="51" t="s">
        <v>1392</v>
      </c>
      <c r="X1692" s="51" t="s">
        <v>1392</v>
      </c>
      <c r="Z1692" s="331"/>
      <c r="AA1692" s="331"/>
      <c r="AB1692" s="36" t="s">
        <v>451</v>
      </c>
      <c r="AG1692" s="36" t="s">
        <v>398</v>
      </c>
      <c r="AH1692" s="138" t="s">
        <v>578</v>
      </c>
      <c r="AI1692" s="36" t="s">
        <v>133</v>
      </c>
      <c r="AJ1692" s="142" t="s">
        <v>1628</v>
      </c>
      <c r="AT1692" s="36" t="s">
        <v>161</v>
      </c>
      <c r="AW1692" s="36" t="s">
        <v>142</v>
      </c>
      <c r="BB1692" s="36" t="s">
        <v>1461</v>
      </c>
      <c r="BM1692" s="407"/>
      <c r="BN1692" s="407"/>
      <c r="BR1692" s="407"/>
      <c r="BS1692" s="407"/>
      <c r="GM1692" s="36">
        <v>2.2799999999999998</v>
      </c>
      <c r="GN1692" s="36">
        <v>2.4300000000000002</v>
      </c>
      <c r="GQ1692" s="36" t="s">
        <v>1462</v>
      </c>
    </row>
    <row r="1693" spans="1:199" s="32" customFormat="1" x14ac:dyDescent="0.25">
      <c r="A1693" s="32">
        <v>82</v>
      </c>
      <c r="B1693" s="32" t="s">
        <v>1463</v>
      </c>
      <c r="C1693" s="32" t="s">
        <v>1464</v>
      </c>
      <c r="D1693" s="32">
        <v>2007</v>
      </c>
      <c r="E1693" s="32">
        <v>2000</v>
      </c>
      <c r="F1693" s="32" t="s">
        <v>1465</v>
      </c>
      <c r="G1693" s="32" t="s">
        <v>1466</v>
      </c>
      <c r="H1693" s="32" t="s">
        <v>2831</v>
      </c>
      <c r="I1693" s="32">
        <v>42.74</v>
      </c>
      <c r="J1693" s="32">
        <v>-84.48</v>
      </c>
      <c r="K1693" s="32">
        <v>260</v>
      </c>
      <c r="P1693" s="44"/>
      <c r="Q1693" s="44" t="s">
        <v>1856</v>
      </c>
      <c r="R1693" s="44" t="s">
        <v>1735</v>
      </c>
      <c r="T1693" s="44" t="s">
        <v>1974</v>
      </c>
      <c r="U1693" s="44" t="s">
        <v>1393</v>
      </c>
      <c r="V1693" s="44" t="s">
        <v>1727</v>
      </c>
      <c r="W1693" s="44" t="s">
        <v>1393</v>
      </c>
      <c r="X1693" s="44" t="s">
        <v>1421</v>
      </c>
      <c r="Z1693" s="323"/>
      <c r="AA1693" s="323"/>
      <c r="AB1693" s="32" t="s">
        <v>140</v>
      </c>
      <c r="AG1693" s="32" t="s">
        <v>117</v>
      </c>
      <c r="AH1693" s="138" t="s">
        <v>1585</v>
      </c>
      <c r="AI1693" s="32" t="s">
        <v>159</v>
      </c>
      <c r="AJ1693" s="140" t="s">
        <v>1615</v>
      </c>
      <c r="AK1693" s="32" t="s">
        <v>686</v>
      </c>
      <c r="AL1693" s="32" t="s">
        <v>686</v>
      </c>
      <c r="AM1693" s="32" t="s">
        <v>178</v>
      </c>
      <c r="AT1693" s="32" t="s">
        <v>161</v>
      </c>
      <c r="AU1693" s="32">
        <v>4</v>
      </c>
      <c r="AW1693" s="32" t="s">
        <v>336</v>
      </c>
      <c r="BM1693" s="397"/>
      <c r="BN1693" s="397"/>
      <c r="BR1693" s="397"/>
      <c r="BS1693" s="397"/>
      <c r="BW1693" s="32">
        <v>1.4</v>
      </c>
      <c r="BX1693" s="32">
        <v>1.1000000000000001</v>
      </c>
      <c r="CA1693" s="32" t="s">
        <v>1681</v>
      </c>
    </row>
    <row r="1694" spans="1:199" s="32" customFormat="1" x14ac:dyDescent="0.25">
      <c r="A1694" s="32">
        <v>82</v>
      </c>
      <c r="B1694" s="32" t="s">
        <v>1463</v>
      </c>
      <c r="C1694" s="32" t="s">
        <v>1464</v>
      </c>
      <c r="D1694" s="32">
        <v>2007</v>
      </c>
      <c r="E1694" s="32">
        <v>2000</v>
      </c>
      <c r="F1694" s="32" t="s">
        <v>1465</v>
      </c>
      <c r="G1694" s="32" t="s">
        <v>1466</v>
      </c>
      <c r="H1694" s="32" t="s">
        <v>2831</v>
      </c>
      <c r="I1694" s="32">
        <v>42.74</v>
      </c>
      <c r="J1694" s="32">
        <v>-84.48</v>
      </c>
      <c r="K1694" s="32">
        <v>260</v>
      </c>
      <c r="P1694" s="44"/>
      <c r="Q1694" s="44" t="s">
        <v>1856</v>
      </c>
      <c r="R1694" s="44" t="s">
        <v>1735</v>
      </c>
      <c r="T1694" s="44" t="s">
        <v>1974</v>
      </c>
      <c r="U1694" s="44" t="s">
        <v>1393</v>
      </c>
      <c r="V1694" s="44" t="s">
        <v>1727</v>
      </c>
      <c r="W1694" s="44" t="s">
        <v>1393</v>
      </c>
      <c r="X1694" s="44" t="s">
        <v>1421</v>
      </c>
      <c r="Z1694" s="323"/>
      <c r="AA1694" s="323"/>
      <c r="AB1694" s="32" t="s">
        <v>140</v>
      </c>
      <c r="AG1694" s="32" t="s">
        <v>132</v>
      </c>
      <c r="AH1694" s="138" t="s">
        <v>132</v>
      </c>
      <c r="AI1694" s="32" t="s">
        <v>159</v>
      </c>
      <c r="AJ1694" s="140" t="s">
        <v>1615</v>
      </c>
      <c r="AK1694" s="32" t="s">
        <v>686</v>
      </c>
      <c r="AL1694" s="32" t="s">
        <v>686</v>
      </c>
      <c r="AM1694" s="32" t="s">
        <v>178</v>
      </c>
      <c r="AT1694" s="32" t="s">
        <v>161</v>
      </c>
      <c r="AU1694" s="32">
        <v>4</v>
      </c>
      <c r="AW1694" s="32" t="s">
        <v>336</v>
      </c>
      <c r="BM1694" s="397"/>
      <c r="BN1694" s="397"/>
      <c r="BR1694" s="397"/>
      <c r="BS1694" s="397"/>
      <c r="BW1694" s="32">
        <v>1.4</v>
      </c>
      <c r="BX1694" s="32">
        <v>1.1000000000000001</v>
      </c>
      <c r="CA1694" s="32" t="s">
        <v>1681</v>
      </c>
    </row>
    <row r="1695" spans="1:199" s="32" customFormat="1" x14ac:dyDescent="0.25">
      <c r="A1695" s="32">
        <v>82</v>
      </c>
      <c r="B1695" s="32" t="s">
        <v>1463</v>
      </c>
      <c r="C1695" s="32" t="s">
        <v>1464</v>
      </c>
      <c r="D1695" s="32">
        <v>2007</v>
      </c>
      <c r="E1695" s="32">
        <v>2000</v>
      </c>
      <c r="F1695" s="32" t="s">
        <v>1465</v>
      </c>
      <c r="G1695" s="32" t="s">
        <v>1466</v>
      </c>
      <c r="H1695" s="32" t="s">
        <v>2831</v>
      </c>
      <c r="I1695" s="32">
        <v>42.74</v>
      </c>
      <c r="J1695" s="32">
        <v>-84.48</v>
      </c>
      <c r="K1695" s="32">
        <v>260</v>
      </c>
      <c r="P1695" s="44"/>
      <c r="Q1695" s="44" t="s">
        <v>1856</v>
      </c>
      <c r="R1695" s="44" t="s">
        <v>1735</v>
      </c>
      <c r="T1695" s="44" t="s">
        <v>1974</v>
      </c>
      <c r="U1695" s="44" t="s">
        <v>1393</v>
      </c>
      <c r="V1695" s="44" t="s">
        <v>1727</v>
      </c>
      <c r="W1695" s="44" t="s">
        <v>1393</v>
      </c>
      <c r="X1695" s="44" t="s">
        <v>1421</v>
      </c>
      <c r="Z1695" s="323"/>
      <c r="AA1695" s="323"/>
      <c r="AB1695" s="32" t="s">
        <v>140</v>
      </c>
      <c r="AG1695" s="32" t="s">
        <v>1549</v>
      </c>
      <c r="AH1695" s="138" t="s">
        <v>132</v>
      </c>
      <c r="AI1695" s="32" t="s">
        <v>159</v>
      </c>
      <c r="AJ1695" s="140" t="s">
        <v>1615</v>
      </c>
      <c r="AK1695" s="32" t="s">
        <v>686</v>
      </c>
      <c r="AL1695" s="32" t="s">
        <v>686</v>
      </c>
      <c r="AM1695" s="32" t="s">
        <v>178</v>
      </c>
      <c r="AT1695" s="32" t="s">
        <v>161</v>
      </c>
      <c r="AU1695" s="32">
        <v>4</v>
      </c>
      <c r="AW1695" s="32" t="s">
        <v>336</v>
      </c>
      <c r="BM1695" s="397"/>
      <c r="BN1695" s="397"/>
      <c r="BR1695" s="397"/>
      <c r="BS1695" s="397"/>
      <c r="BW1695" s="32">
        <v>1.4</v>
      </c>
      <c r="BX1695" s="32">
        <v>0.9</v>
      </c>
      <c r="CA1695" s="32" t="s">
        <v>1681</v>
      </c>
    </row>
    <row r="1696" spans="1:199" s="32" customFormat="1" x14ac:dyDescent="0.25">
      <c r="A1696" s="32">
        <v>82</v>
      </c>
      <c r="B1696" s="32" t="s">
        <v>1463</v>
      </c>
      <c r="C1696" s="32" t="s">
        <v>1464</v>
      </c>
      <c r="D1696" s="32">
        <v>2007</v>
      </c>
      <c r="E1696" s="32">
        <v>2000</v>
      </c>
      <c r="F1696" s="32" t="s">
        <v>1465</v>
      </c>
      <c r="G1696" s="32" t="s">
        <v>1466</v>
      </c>
      <c r="H1696" s="32" t="s">
        <v>2831</v>
      </c>
      <c r="I1696" s="32">
        <v>42.74</v>
      </c>
      <c r="J1696" s="32">
        <v>-84.48</v>
      </c>
      <c r="K1696" s="32">
        <v>260</v>
      </c>
      <c r="P1696" s="44"/>
      <c r="Q1696" s="44" t="s">
        <v>1856</v>
      </c>
      <c r="R1696" s="44" t="s">
        <v>1735</v>
      </c>
      <c r="T1696" s="44" t="s">
        <v>1974</v>
      </c>
      <c r="U1696" s="44" t="s">
        <v>1393</v>
      </c>
      <c r="V1696" s="44" t="s">
        <v>1727</v>
      </c>
      <c r="W1696" s="44" t="s">
        <v>1393</v>
      </c>
      <c r="X1696" s="44" t="s">
        <v>1421</v>
      </c>
      <c r="Z1696" s="323"/>
      <c r="AA1696" s="323"/>
      <c r="AB1696" s="32" t="s">
        <v>140</v>
      </c>
      <c r="AG1696" s="32" t="s">
        <v>1550</v>
      </c>
      <c r="AH1696" s="138" t="s">
        <v>1585</v>
      </c>
      <c r="AI1696" s="32" t="s">
        <v>159</v>
      </c>
      <c r="AJ1696" s="140" t="s">
        <v>1615</v>
      </c>
      <c r="AK1696" s="32" t="s">
        <v>686</v>
      </c>
      <c r="AL1696" s="32" t="s">
        <v>686</v>
      </c>
      <c r="AM1696" s="32" t="s">
        <v>178</v>
      </c>
      <c r="AT1696" s="32" t="s">
        <v>161</v>
      </c>
      <c r="AU1696" s="32">
        <v>4</v>
      </c>
      <c r="AW1696" s="32" t="s">
        <v>336</v>
      </c>
      <c r="BM1696" s="397"/>
      <c r="BN1696" s="397"/>
      <c r="BR1696" s="397"/>
      <c r="BS1696" s="397"/>
      <c r="BW1696" s="32">
        <v>1.4</v>
      </c>
      <c r="BX1696" s="32">
        <v>0.8</v>
      </c>
      <c r="CA1696" s="32" t="s">
        <v>1681</v>
      </c>
    </row>
    <row r="1697" spans="1:79" s="32" customFormat="1" x14ac:dyDescent="0.25">
      <c r="A1697" s="32">
        <v>82</v>
      </c>
      <c r="B1697" s="32" t="s">
        <v>1463</v>
      </c>
      <c r="C1697" s="32" t="s">
        <v>1464</v>
      </c>
      <c r="D1697" s="32">
        <v>2007</v>
      </c>
      <c r="E1697" s="32">
        <v>2000</v>
      </c>
      <c r="F1697" s="32" t="s">
        <v>1465</v>
      </c>
      <c r="G1697" s="32" t="s">
        <v>1466</v>
      </c>
      <c r="H1697" s="32" t="s">
        <v>2831</v>
      </c>
      <c r="I1697" s="32">
        <v>42.74</v>
      </c>
      <c r="J1697" s="32">
        <v>-84.48</v>
      </c>
      <c r="K1697" s="32">
        <v>260</v>
      </c>
      <c r="P1697" s="44"/>
      <c r="Q1697" s="44" t="s">
        <v>1856</v>
      </c>
      <c r="R1697" s="44" t="s">
        <v>1735</v>
      </c>
      <c r="T1697" s="44" t="s">
        <v>1974</v>
      </c>
      <c r="U1697" s="44" t="s">
        <v>1393</v>
      </c>
      <c r="V1697" s="44" t="s">
        <v>1727</v>
      </c>
      <c r="W1697" s="44" t="s">
        <v>1393</v>
      </c>
      <c r="X1697" s="44" t="s">
        <v>1421</v>
      </c>
      <c r="Z1697" s="323"/>
      <c r="AA1697" s="323"/>
      <c r="AB1697" s="32" t="s">
        <v>140</v>
      </c>
      <c r="AG1697" s="32" t="s">
        <v>1551</v>
      </c>
      <c r="AH1697" s="138" t="s">
        <v>1585</v>
      </c>
      <c r="AI1697" s="32" t="s">
        <v>159</v>
      </c>
      <c r="AJ1697" s="140" t="s">
        <v>1615</v>
      </c>
      <c r="AK1697" s="32" t="s">
        <v>686</v>
      </c>
      <c r="AL1697" s="32" t="s">
        <v>686</v>
      </c>
      <c r="AM1697" s="32" t="s">
        <v>178</v>
      </c>
      <c r="AT1697" s="32" t="s">
        <v>161</v>
      </c>
      <c r="AU1697" s="32">
        <v>4</v>
      </c>
      <c r="AW1697" s="32" t="s">
        <v>336</v>
      </c>
      <c r="BM1697" s="397"/>
      <c r="BN1697" s="397"/>
      <c r="BR1697" s="397"/>
      <c r="BS1697" s="397"/>
      <c r="BW1697" s="32">
        <v>1.4</v>
      </c>
      <c r="BX1697" s="32">
        <v>0.6</v>
      </c>
      <c r="CA1697" s="32" t="s">
        <v>1681</v>
      </c>
    </row>
    <row r="1698" spans="1:79" s="32" customFormat="1" x14ac:dyDescent="0.25">
      <c r="A1698" s="32">
        <v>82</v>
      </c>
      <c r="B1698" s="32" t="s">
        <v>1463</v>
      </c>
      <c r="C1698" s="32" t="s">
        <v>1464</v>
      </c>
      <c r="D1698" s="32">
        <v>2007</v>
      </c>
      <c r="E1698" s="32">
        <v>2000</v>
      </c>
      <c r="F1698" s="32" t="s">
        <v>1465</v>
      </c>
      <c r="G1698" s="32" t="s">
        <v>1466</v>
      </c>
      <c r="H1698" s="32" t="s">
        <v>2831</v>
      </c>
      <c r="I1698" s="32">
        <v>42.74</v>
      </c>
      <c r="J1698" s="32">
        <v>-84.48</v>
      </c>
      <c r="K1698" s="32">
        <v>260</v>
      </c>
      <c r="P1698" s="44"/>
      <c r="Q1698" s="44" t="s">
        <v>1856</v>
      </c>
      <c r="R1698" s="44" t="s">
        <v>1735</v>
      </c>
      <c r="T1698" s="44" t="s">
        <v>1974</v>
      </c>
      <c r="U1698" s="44" t="s">
        <v>1393</v>
      </c>
      <c r="V1698" s="44" t="s">
        <v>1727</v>
      </c>
      <c r="W1698" s="44" t="s">
        <v>1393</v>
      </c>
      <c r="X1698" s="44" t="s">
        <v>1421</v>
      </c>
      <c r="Z1698" s="323"/>
      <c r="AA1698" s="323"/>
      <c r="AB1698" s="32" t="s">
        <v>140</v>
      </c>
      <c r="AG1698" s="32" t="s">
        <v>1552</v>
      </c>
      <c r="AH1698" s="138" t="s">
        <v>1585</v>
      </c>
      <c r="AI1698" s="32" t="s">
        <v>159</v>
      </c>
      <c r="AJ1698" s="140" t="s">
        <v>1615</v>
      </c>
      <c r="AK1698" s="32" t="s">
        <v>686</v>
      </c>
      <c r="AL1698" s="32" t="s">
        <v>686</v>
      </c>
      <c r="AM1698" s="32" t="s">
        <v>178</v>
      </c>
      <c r="AT1698" s="32" t="s">
        <v>161</v>
      </c>
      <c r="AU1698" s="32">
        <v>4</v>
      </c>
      <c r="AW1698" s="32" t="s">
        <v>336</v>
      </c>
      <c r="BM1698" s="397"/>
      <c r="BN1698" s="397"/>
      <c r="BR1698" s="397"/>
      <c r="BS1698" s="397"/>
      <c r="BW1698" s="32">
        <v>1.4</v>
      </c>
      <c r="BX1698" s="32">
        <v>0.8</v>
      </c>
      <c r="CA1698" s="32" t="s">
        <v>1681</v>
      </c>
    </row>
    <row r="1699" spans="1:79" s="32" customFormat="1" x14ac:dyDescent="0.25">
      <c r="A1699" s="32">
        <v>82</v>
      </c>
      <c r="B1699" s="32" t="s">
        <v>1463</v>
      </c>
      <c r="C1699" s="32" t="s">
        <v>1464</v>
      </c>
      <c r="D1699" s="32">
        <v>2007</v>
      </c>
      <c r="E1699" s="32">
        <v>2000</v>
      </c>
      <c r="F1699" s="32" t="s">
        <v>1465</v>
      </c>
      <c r="G1699" s="32" t="s">
        <v>1466</v>
      </c>
      <c r="H1699" s="32" t="s">
        <v>2831</v>
      </c>
      <c r="I1699" s="32">
        <v>42.74</v>
      </c>
      <c r="J1699" s="32">
        <v>-84.48</v>
      </c>
      <c r="K1699" s="32">
        <v>260</v>
      </c>
      <c r="P1699" s="44"/>
      <c r="Q1699" s="44" t="s">
        <v>1856</v>
      </c>
      <c r="R1699" s="44" t="s">
        <v>1735</v>
      </c>
      <c r="T1699" s="44" t="s">
        <v>1974</v>
      </c>
      <c r="U1699" s="44" t="s">
        <v>1393</v>
      </c>
      <c r="V1699" s="44" t="s">
        <v>1727</v>
      </c>
      <c r="W1699" s="44" t="s">
        <v>1393</v>
      </c>
      <c r="X1699" s="44" t="s">
        <v>1421</v>
      </c>
      <c r="Z1699" s="323"/>
      <c r="AA1699" s="323"/>
      <c r="AB1699" s="32" t="s">
        <v>140</v>
      </c>
      <c r="AG1699" s="32" t="s">
        <v>1553</v>
      </c>
      <c r="AH1699" s="138" t="s">
        <v>1585</v>
      </c>
      <c r="AI1699" s="32" t="s">
        <v>159</v>
      </c>
      <c r="AJ1699" s="140" t="s">
        <v>1615</v>
      </c>
      <c r="AK1699" s="32" t="s">
        <v>686</v>
      </c>
      <c r="AL1699" s="32" t="s">
        <v>686</v>
      </c>
      <c r="AM1699" s="32" t="s">
        <v>178</v>
      </c>
      <c r="AT1699" s="32" t="s">
        <v>161</v>
      </c>
      <c r="AU1699" s="32">
        <v>4</v>
      </c>
      <c r="AW1699" s="32" t="s">
        <v>336</v>
      </c>
      <c r="BM1699" s="397"/>
      <c r="BN1699" s="397"/>
      <c r="BR1699" s="397"/>
      <c r="BS1699" s="397"/>
      <c r="BW1699" s="32">
        <v>1.4</v>
      </c>
      <c r="BX1699" s="32">
        <v>1.1000000000000001</v>
      </c>
      <c r="CA1699" s="32" t="s">
        <v>1681</v>
      </c>
    </row>
    <row r="1700" spans="1:79" s="134" customFormat="1" x14ac:dyDescent="0.25">
      <c r="A1700" s="134">
        <v>82</v>
      </c>
      <c r="B1700" s="134" t="s">
        <v>1463</v>
      </c>
      <c r="C1700" s="134" t="s">
        <v>1464</v>
      </c>
      <c r="D1700" s="134">
        <v>2007</v>
      </c>
      <c r="E1700" s="134">
        <v>2000</v>
      </c>
      <c r="F1700" s="134" t="s">
        <v>1465</v>
      </c>
      <c r="G1700" s="134" t="s">
        <v>1466</v>
      </c>
      <c r="H1700" s="32" t="s">
        <v>2831</v>
      </c>
      <c r="I1700" s="134">
        <v>42.74</v>
      </c>
      <c r="J1700" s="134">
        <v>-84.48</v>
      </c>
      <c r="K1700" s="134">
        <v>260</v>
      </c>
      <c r="P1700" s="135"/>
      <c r="Q1700" s="135" t="s">
        <v>1856</v>
      </c>
      <c r="R1700" s="44" t="s">
        <v>1735</v>
      </c>
      <c r="T1700" s="44" t="s">
        <v>1974</v>
      </c>
      <c r="U1700" s="135" t="s">
        <v>1406</v>
      </c>
      <c r="V1700" s="135" t="s">
        <v>1727</v>
      </c>
      <c r="W1700" s="135" t="s">
        <v>1393</v>
      </c>
      <c r="X1700" s="135" t="s">
        <v>1421</v>
      </c>
      <c r="Z1700" s="356"/>
      <c r="AA1700" s="356"/>
      <c r="AB1700" s="134" t="s">
        <v>140</v>
      </c>
      <c r="AG1700" s="134" t="s">
        <v>117</v>
      </c>
      <c r="AH1700" s="138" t="s">
        <v>1585</v>
      </c>
      <c r="AI1700" s="134" t="s">
        <v>159</v>
      </c>
      <c r="AJ1700" s="140" t="s">
        <v>1615</v>
      </c>
      <c r="AK1700" s="32" t="s">
        <v>686</v>
      </c>
      <c r="AL1700" s="32" t="s">
        <v>686</v>
      </c>
      <c r="AM1700" s="32" t="s">
        <v>178</v>
      </c>
      <c r="AT1700" s="32" t="s">
        <v>161</v>
      </c>
      <c r="AU1700" s="32">
        <v>4</v>
      </c>
      <c r="AV1700" s="32"/>
      <c r="AW1700" s="32" t="s">
        <v>336</v>
      </c>
      <c r="BM1700" s="431"/>
      <c r="BN1700" s="431"/>
      <c r="BR1700" s="431"/>
      <c r="BS1700" s="431"/>
      <c r="BW1700" s="134">
        <v>1.6</v>
      </c>
      <c r="BX1700" s="134">
        <v>0.9</v>
      </c>
      <c r="BY1700" s="32"/>
      <c r="BZ1700" s="32"/>
      <c r="CA1700" s="32" t="s">
        <v>1681</v>
      </c>
    </row>
    <row r="1701" spans="1:79" s="134" customFormat="1" x14ac:dyDescent="0.25">
      <c r="A1701" s="134">
        <v>82</v>
      </c>
      <c r="B1701" s="134" t="s">
        <v>1463</v>
      </c>
      <c r="C1701" s="134" t="s">
        <v>1464</v>
      </c>
      <c r="D1701" s="134">
        <v>2007</v>
      </c>
      <c r="E1701" s="134">
        <v>2000</v>
      </c>
      <c r="F1701" s="134" t="s">
        <v>1465</v>
      </c>
      <c r="G1701" s="134" t="s">
        <v>1466</v>
      </c>
      <c r="H1701" s="32" t="s">
        <v>2831</v>
      </c>
      <c r="I1701" s="134">
        <v>42.74</v>
      </c>
      <c r="J1701" s="134">
        <v>-84.48</v>
      </c>
      <c r="K1701" s="134">
        <v>260</v>
      </c>
      <c r="P1701" s="135"/>
      <c r="Q1701" s="135" t="s">
        <v>1856</v>
      </c>
      <c r="R1701" s="44" t="s">
        <v>1735</v>
      </c>
      <c r="T1701" s="44" t="s">
        <v>1974</v>
      </c>
      <c r="U1701" s="135" t="s">
        <v>1406</v>
      </c>
      <c r="V1701" s="135" t="s">
        <v>1727</v>
      </c>
      <c r="W1701" s="135" t="s">
        <v>1393</v>
      </c>
      <c r="X1701" s="135" t="s">
        <v>1421</v>
      </c>
      <c r="Z1701" s="356"/>
      <c r="AA1701" s="356"/>
      <c r="AB1701" s="134" t="s">
        <v>140</v>
      </c>
      <c r="AG1701" s="134" t="s">
        <v>132</v>
      </c>
      <c r="AH1701" s="138" t="s">
        <v>132</v>
      </c>
      <c r="AI1701" s="134" t="s">
        <v>159</v>
      </c>
      <c r="AJ1701" s="140" t="s">
        <v>1615</v>
      </c>
      <c r="AK1701" s="32" t="s">
        <v>686</v>
      </c>
      <c r="AL1701" s="32" t="s">
        <v>686</v>
      </c>
      <c r="AM1701" s="32" t="s">
        <v>178</v>
      </c>
      <c r="AT1701" s="32" t="s">
        <v>161</v>
      </c>
      <c r="AU1701" s="32">
        <v>4</v>
      </c>
      <c r="AV1701" s="32"/>
      <c r="AW1701" s="32" t="s">
        <v>336</v>
      </c>
      <c r="BM1701" s="431"/>
      <c r="BN1701" s="431"/>
      <c r="BR1701" s="431"/>
      <c r="BS1701" s="431"/>
      <c r="BW1701" s="134">
        <v>1.6</v>
      </c>
      <c r="BX1701" s="134">
        <v>0.8</v>
      </c>
      <c r="BY1701" s="32"/>
      <c r="BZ1701" s="32"/>
      <c r="CA1701" s="32" t="s">
        <v>1681</v>
      </c>
    </row>
    <row r="1702" spans="1:79" s="134" customFormat="1" x14ac:dyDescent="0.25">
      <c r="A1702" s="134">
        <v>82</v>
      </c>
      <c r="B1702" s="134" t="s">
        <v>1463</v>
      </c>
      <c r="C1702" s="134" t="s">
        <v>1464</v>
      </c>
      <c r="D1702" s="134">
        <v>2007</v>
      </c>
      <c r="E1702" s="134">
        <v>2000</v>
      </c>
      <c r="F1702" s="134" t="s">
        <v>1465</v>
      </c>
      <c r="G1702" s="134" t="s">
        <v>1466</v>
      </c>
      <c r="H1702" s="32" t="s">
        <v>2831</v>
      </c>
      <c r="I1702" s="134">
        <v>42.74</v>
      </c>
      <c r="J1702" s="134">
        <v>-84.48</v>
      </c>
      <c r="K1702" s="134">
        <v>260</v>
      </c>
      <c r="P1702" s="135"/>
      <c r="Q1702" s="135" t="s">
        <v>1856</v>
      </c>
      <c r="R1702" s="44" t="s">
        <v>1735</v>
      </c>
      <c r="T1702" s="44" t="s">
        <v>1974</v>
      </c>
      <c r="U1702" s="135" t="s">
        <v>1406</v>
      </c>
      <c r="V1702" s="135" t="s">
        <v>1727</v>
      </c>
      <c r="W1702" s="135" t="s">
        <v>1393</v>
      </c>
      <c r="X1702" s="135" t="s">
        <v>1421</v>
      </c>
      <c r="Z1702" s="356"/>
      <c r="AA1702" s="356"/>
      <c r="AB1702" s="134" t="s">
        <v>140</v>
      </c>
      <c r="AG1702" s="134" t="s">
        <v>1549</v>
      </c>
      <c r="AH1702" s="138" t="s">
        <v>132</v>
      </c>
      <c r="AI1702" s="134" t="s">
        <v>159</v>
      </c>
      <c r="AJ1702" s="140" t="s">
        <v>1615</v>
      </c>
      <c r="AK1702" s="32" t="s">
        <v>686</v>
      </c>
      <c r="AL1702" s="32" t="s">
        <v>686</v>
      </c>
      <c r="AM1702" s="32" t="s">
        <v>178</v>
      </c>
      <c r="AT1702" s="32" t="s">
        <v>161</v>
      </c>
      <c r="AU1702" s="32">
        <v>4</v>
      </c>
      <c r="AV1702" s="32"/>
      <c r="AW1702" s="32" t="s">
        <v>336</v>
      </c>
      <c r="BM1702" s="431"/>
      <c r="BN1702" s="431"/>
      <c r="BR1702" s="431"/>
      <c r="BS1702" s="431"/>
      <c r="BW1702" s="134">
        <v>1.6</v>
      </c>
      <c r="BX1702" s="134">
        <v>0.8</v>
      </c>
      <c r="BY1702" s="32"/>
      <c r="BZ1702" s="32"/>
      <c r="CA1702" s="32" t="s">
        <v>1681</v>
      </c>
    </row>
    <row r="1703" spans="1:79" s="134" customFormat="1" x14ac:dyDescent="0.25">
      <c r="A1703" s="134">
        <v>82</v>
      </c>
      <c r="B1703" s="134" t="s">
        <v>1463</v>
      </c>
      <c r="C1703" s="134" t="s">
        <v>1464</v>
      </c>
      <c r="D1703" s="134">
        <v>2007</v>
      </c>
      <c r="E1703" s="134">
        <v>2000</v>
      </c>
      <c r="F1703" s="134" t="s">
        <v>1465</v>
      </c>
      <c r="G1703" s="134" t="s">
        <v>1466</v>
      </c>
      <c r="H1703" s="32" t="s">
        <v>2831</v>
      </c>
      <c r="I1703" s="134">
        <v>42.74</v>
      </c>
      <c r="J1703" s="134">
        <v>-84.48</v>
      </c>
      <c r="K1703" s="134">
        <v>260</v>
      </c>
      <c r="P1703" s="135"/>
      <c r="Q1703" s="135" t="s">
        <v>1856</v>
      </c>
      <c r="R1703" s="44" t="s">
        <v>1735</v>
      </c>
      <c r="T1703" s="44" t="s">
        <v>1974</v>
      </c>
      <c r="U1703" s="135" t="s">
        <v>1406</v>
      </c>
      <c r="V1703" s="135" t="s">
        <v>1727</v>
      </c>
      <c r="W1703" s="135" t="s">
        <v>1393</v>
      </c>
      <c r="X1703" s="135" t="s">
        <v>1421</v>
      </c>
      <c r="Z1703" s="356"/>
      <c r="AA1703" s="356"/>
      <c r="AB1703" s="134" t="s">
        <v>140</v>
      </c>
      <c r="AG1703" s="134" t="s">
        <v>1550</v>
      </c>
      <c r="AH1703" s="138" t="s">
        <v>1585</v>
      </c>
      <c r="AI1703" s="134" t="s">
        <v>159</v>
      </c>
      <c r="AJ1703" s="140" t="s">
        <v>1615</v>
      </c>
      <c r="AK1703" s="32" t="s">
        <v>686</v>
      </c>
      <c r="AL1703" s="32" t="s">
        <v>686</v>
      </c>
      <c r="AM1703" s="32" t="s">
        <v>178</v>
      </c>
      <c r="AT1703" s="32" t="s">
        <v>161</v>
      </c>
      <c r="AU1703" s="32">
        <v>4</v>
      </c>
      <c r="AV1703" s="32"/>
      <c r="AW1703" s="32" t="s">
        <v>336</v>
      </c>
      <c r="BM1703" s="431"/>
      <c r="BN1703" s="431"/>
      <c r="BR1703" s="431"/>
      <c r="BS1703" s="431"/>
      <c r="BW1703" s="134">
        <v>1.6</v>
      </c>
      <c r="BX1703" s="134">
        <v>0.9</v>
      </c>
      <c r="BY1703" s="32"/>
      <c r="BZ1703" s="32"/>
      <c r="CA1703" s="32" t="s">
        <v>1681</v>
      </c>
    </row>
    <row r="1704" spans="1:79" s="134" customFormat="1" x14ac:dyDescent="0.25">
      <c r="A1704" s="134">
        <v>82</v>
      </c>
      <c r="B1704" s="134" t="s">
        <v>1463</v>
      </c>
      <c r="C1704" s="134" t="s">
        <v>1464</v>
      </c>
      <c r="D1704" s="134">
        <v>2007</v>
      </c>
      <c r="E1704" s="134">
        <v>2000</v>
      </c>
      <c r="F1704" s="134" t="s">
        <v>1465</v>
      </c>
      <c r="G1704" s="134" t="s">
        <v>1466</v>
      </c>
      <c r="H1704" s="32" t="s">
        <v>2831</v>
      </c>
      <c r="I1704" s="134">
        <v>42.74</v>
      </c>
      <c r="J1704" s="134">
        <v>-84.48</v>
      </c>
      <c r="K1704" s="134">
        <v>260</v>
      </c>
      <c r="P1704" s="135"/>
      <c r="Q1704" s="135" t="s">
        <v>1856</v>
      </c>
      <c r="R1704" s="44" t="s">
        <v>1735</v>
      </c>
      <c r="T1704" s="44" t="s">
        <v>1974</v>
      </c>
      <c r="U1704" s="135" t="s">
        <v>1406</v>
      </c>
      <c r="V1704" s="135" t="s">
        <v>1727</v>
      </c>
      <c r="W1704" s="135" t="s">
        <v>1393</v>
      </c>
      <c r="X1704" s="135" t="s">
        <v>1421</v>
      </c>
      <c r="Z1704" s="356"/>
      <c r="AA1704" s="356"/>
      <c r="AB1704" s="134" t="s">
        <v>140</v>
      </c>
      <c r="AG1704" s="134" t="s">
        <v>1551</v>
      </c>
      <c r="AH1704" s="138" t="s">
        <v>1585</v>
      </c>
      <c r="AI1704" s="134" t="s">
        <v>159</v>
      </c>
      <c r="AJ1704" s="140" t="s">
        <v>1615</v>
      </c>
      <c r="AK1704" s="32" t="s">
        <v>686</v>
      </c>
      <c r="AL1704" s="32" t="s">
        <v>686</v>
      </c>
      <c r="AM1704" s="32" t="s">
        <v>178</v>
      </c>
      <c r="AT1704" s="32" t="s">
        <v>161</v>
      </c>
      <c r="AU1704" s="32">
        <v>4</v>
      </c>
      <c r="AV1704" s="32"/>
      <c r="AW1704" s="32" t="s">
        <v>336</v>
      </c>
      <c r="BM1704" s="431"/>
      <c r="BN1704" s="431"/>
      <c r="BR1704" s="431"/>
      <c r="BS1704" s="431"/>
      <c r="BW1704" s="134">
        <v>1.6</v>
      </c>
      <c r="BX1704" s="134">
        <v>0.6</v>
      </c>
      <c r="BY1704" s="32"/>
      <c r="BZ1704" s="32"/>
      <c r="CA1704" s="32" t="s">
        <v>1681</v>
      </c>
    </row>
    <row r="1705" spans="1:79" s="134" customFormat="1" x14ac:dyDescent="0.25">
      <c r="A1705" s="134">
        <v>82</v>
      </c>
      <c r="B1705" s="134" t="s">
        <v>1463</v>
      </c>
      <c r="C1705" s="134" t="s">
        <v>1464</v>
      </c>
      <c r="D1705" s="134">
        <v>2007</v>
      </c>
      <c r="E1705" s="134">
        <v>2000</v>
      </c>
      <c r="F1705" s="134" t="s">
        <v>1465</v>
      </c>
      <c r="G1705" s="134" t="s">
        <v>1466</v>
      </c>
      <c r="H1705" s="32" t="s">
        <v>2831</v>
      </c>
      <c r="I1705" s="134">
        <v>42.74</v>
      </c>
      <c r="J1705" s="134">
        <v>-84.48</v>
      </c>
      <c r="K1705" s="134">
        <v>260</v>
      </c>
      <c r="P1705" s="135"/>
      <c r="Q1705" s="135" t="s">
        <v>1856</v>
      </c>
      <c r="R1705" s="44" t="s">
        <v>1735</v>
      </c>
      <c r="T1705" s="44" t="s">
        <v>1974</v>
      </c>
      <c r="U1705" s="135" t="s">
        <v>1406</v>
      </c>
      <c r="V1705" s="135" t="s">
        <v>1727</v>
      </c>
      <c r="W1705" s="135" t="s">
        <v>1393</v>
      </c>
      <c r="X1705" s="135" t="s">
        <v>1421</v>
      </c>
      <c r="Z1705" s="356"/>
      <c r="AA1705" s="356"/>
      <c r="AB1705" s="134" t="s">
        <v>140</v>
      </c>
      <c r="AG1705" s="134" t="s">
        <v>1552</v>
      </c>
      <c r="AH1705" s="138" t="s">
        <v>1585</v>
      </c>
      <c r="AI1705" s="134" t="s">
        <v>159</v>
      </c>
      <c r="AJ1705" s="140" t="s">
        <v>1615</v>
      </c>
      <c r="AK1705" s="32" t="s">
        <v>686</v>
      </c>
      <c r="AL1705" s="32" t="s">
        <v>686</v>
      </c>
      <c r="AM1705" s="32" t="s">
        <v>178</v>
      </c>
      <c r="AT1705" s="32" t="s">
        <v>161</v>
      </c>
      <c r="AU1705" s="32">
        <v>4</v>
      </c>
      <c r="AV1705" s="32"/>
      <c r="AW1705" s="32" t="s">
        <v>336</v>
      </c>
      <c r="BM1705" s="431"/>
      <c r="BN1705" s="431"/>
      <c r="BR1705" s="431"/>
      <c r="BS1705" s="431"/>
      <c r="BW1705" s="134">
        <v>1.6</v>
      </c>
      <c r="BX1705" s="134">
        <v>0.7</v>
      </c>
      <c r="BY1705" s="32"/>
      <c r="BZ1705" s="32"/>
      <c r="CA1705" s="32" t="s">
        <v>1681</v>
      </c>
    </row>
    <row r="1706" spans="1:79" s="134" customFormat="1" x14ac:dyDescent="0.25">
      <c r="A1706" s="134">
        <v>82</v>
      </c>
      <c r="B1706" s="134" t="s">
        <v>1463</v>
      </c>
      <c r="C1706" s="134" t="s">
        <v>1464</v>
      </c>
      <c r="D1706" s="134">
        <v>2007</v>
      </c>
      <c r="E1706" s="134">
        <v>2000</v>
      </c>
      <c r="F1706" s="134" t="s">
        <v>1465</v>
      </c>
      <c r="G1706" s="134" t="s">
        <v>1466</v>
      </c>
      <c r="H1706" s="32" t="s">
        <v>2831</v>
      </c>
      <c r="I1706" s="134">
        <v>42.74</v>
      </c>
      <c r="J1706" s="134">
        <v>-84.48</v>
      </c>
      <c r="K1706" s="134">
        <v>260</v>
      </c>
      <c r="P1706" s="135"/>
      <c r="Q1706" s="135" t="s">
        <v>1856</v>
      </c>
      <c r="R1706" s="44" t="s">
        <v>1735</v>
      </c>
      <c r="T1706" s="44" t="s">
        <v>1974</v>
      </c>
      <c r="U1706" s="135" t="s">
        <v>1406</v>
      </c>
      <c r="V1706" s="135" t="s">
        <v>1727</v>
      </c>
      <c r="W1706" s="135" t="s">
        <v>1393</v>
      </c>
      <c r="X1706" s="135" t="s">
        <v>1421</v>
      </c>
      <c r="Z1706" s="356"/>
      <c r="AA1706" s="356"/>
      <c r="AB1706" s="134" t="s">
        <v>140</v>
      </c>
      <c r="AG1706" s="134" t="s">
        <v>1553</v>
      </c>
      <c r="AH1706" s="138" t="s">
        <v>1585</v>
      </c>
      <c r="AI1706" s="134" t="s">
        <v>159</v>
      </c>
      <c r="AJ1706" s="140" t="s">
        <v>1615</v>
      </c>
      <c r="AK1706" s="32" t="s">
        <v>686</v>
      </c>
      <c r="AL1706" s="32" t="s">
        <v>686</v>
      </c>
      <c r="AM1706" s="32" t="s">
        <v>178</v>
      </c>
      <c r="AT1706" s="32" t="s">
        <v>161</v>
      </c>
      <c r="AU1706" s="32">
        <v>4</v>
      </c>
      <c r="AV1706" s="32"/>
      <c r="AW1706" s="32" t="s">
        <v>336</v>
      </c>
      <c r="BM1706" s="431"/>
      <c r="BN1706" s="431"/>
      <c r="BR1706" s="431"/>
      <c r="BS1706" s="431"/>
      <c r="BW1706" s="134">
        <v>1.6</v>
      </c>
      <c r="BX1706" s="134">
        <v>0.7</v>
      </c>
      <c r="BY1706" s="32"/>
      <c r="BZ1706" s="32"/>
      <c r="CA1706" s="32" t="s">
        <v>1681</v>
      </c>
    </row>
    <row r="1707" spans="1:79" s="32" customFormat="1" x14ac:dyDescent="0.25">
      <c r="A1707" s="32">
        <v>82</v>
      </c>
      <c r="B1707" s="32" t="s">
        <v>1463</v>
      </c>
      <c r="C1707" s="32" t="s">
        <v>1464</v>
      </c>
      <c r="D1707" s="32">
        <v>2007</v>
      </c>
      <c r="E1707" s="32">
        <v>2000</v>
      </c>
      <c r="F1707" s="32" t="s">
        <v>1465</v>
      </c>
      <c r="G1707" s="32" t="s">
        <v>1466</v>
      </c>
      <c r="H1707" s="32" t="s">
        <v>2831</v>
      </c>
      <c r="I1707" s="32">
        <v>42.74</v>
      </c>
      <c r="J1707" s="32">
        <v>-84.48</v>
      </c>
      <c r="K1707" s="32">
        <v>260</v>
      </c>
      <c r="P1707" s="44"/>
      <c r="Q1707" s="44" t="s">
        <v>1856</v>
      </c>
      <c r="R1707" s="44" t="s">
        <v>1735</v>
      </c>
      <c r="T1707" s="44" t="s">
        <v>1974</v>
      </c>
      <c r="U1707" s="44" t="s">
        <v>1407</v>
      </c>
      <c r="V1707" s="44" t="s">
        <v>1727</v>
      </c>
      <c r="W1707" s="44" t="s">
        <v>1393</v>
      </c>
      <c r="X1707" s="44" t="s">
        <v>1421</v>
      </c>
      <c r="Z1707" s="323"/>
      <c r="AA1707" s="323"/>
      <c r="AB1707" s="32" t="s">
        <v>140</v>
      </c>
      <c r="AG1707" s="32" t="s">
        <v>117</v>
      </c>
      <c r="AH1707" s="138" t="s">
        <v>1585</v>
      </c>
      <c r="AI1707" s="32" t="s">
        <v>159</v>
      </c>
      <c r="AJ1707" s="140" t="s">
        <v>1615</v>
      </c>
      <c r="AK1707" s="32" t="s">
        <v>686</v>
      </c>
      <c r="AL1707" s="32" t="s">
        <v>686</v>
      </c>
      <c r="AM1707" s="32" t="s">
        <v>178</v>
      </c>
      <c r="AT1707" s="32" t="s">
        <v>161</v>
      </c>
      <c r="AU1707" s="32">
        <v>4</v>
      </c>
      <c r="AW1707" s="32" t="s">
        <v>336</v>
      </c>
      <c r="BM1707" s="397"/>
      <c r="BN1707" s="397"/>
      <c r="BR1707" s="397"/>
      <c r="BS1707" s="397"/>
      <c r="BW1707" s="32">
        <v>1.5</v>
      </c>
      <c r="BX1707" s="32">
        <v>0.6</v>
      </c>
      <c r="CA1707" s="32" t="s">
        <v>1681</v>
      </c>
    </row>
    <row r="1708" spans="1:79" s="32" customFormat="1" x14ac:dyDescent="0.25">
      <c r="A1708" s="32">
        <v>82</v>
      </c>
      <c r="B1708" s="32" t="s">
        <v>1463</v>
      </c>
      <c r="C1708" s="32" t="s">
        <v>1464</v>
      </c>
      <c r="D1708" s="32">
        <v>2007</v>
      </c>
      <c r="E1708" s="32">
        <v>2000</v>
      </c>
      <c r="F1708" s="32" t="s">
        <v>1465</v>
      </c>
      <c r="G1708" s="32" t="s">
        <v>1466</v>
      </c>
      <c r="H1708" s="32" t="s">
        <v>2831</v>
      </c>
      <c r="I1708" s="32">
        <v>42.74</v>
      </c>
      <c r="J1708" s="32">
        <v>-84.48</v>
      </c>
      <c r="K1708" s="32">
        <v>260</v>
      </c>
      <c r="P1708" s="44"/>
      <c r="Q1708" s="44" t="s">
        <v>1856</v>
      </c>
      <c r="R1708" s="44" t="s">
        <v>1735</v>
      </c>
      <c r="T1708" s="44" t="s">
        <v>1974</v>
      </c>
      <c r="U1708" s="44" t="s">
        <v>1407</v>
      </c>
      <c r="V1708" s="44" t="s">
        <v>1727</v>
      </c>
      <c r="W1708" s="44" t="s">
        <v>1393</v>
      </c>
      <c r="X1708" s="44" t="s">
        <v>1421</v>
      </c>
      <c r="Z1708" s="323"/>
      <c r="AA1708" s="323"/>
      <c r="AB1708" s="32" t="s">
        <v>140</v>
      </c>
      <c r="AG1708" s="32" t="s">
        <v>132</v>
      </c>
      <c r="AH1708" s="138" t="s">
        <v>132</v>
      </c>
      <c r="AI1708" s="32" t="s">
        <v>159</v>
      </c>
      <c r="AJ1708" s="140" t="s">
        <v>1615</v>
      </c>
      <c r="AK1708" s="32" t="s">
        <v>686</v>
      </c>
      <c r="AL1708" s="32" t="s">
        <v>686</v>
      </c>
      <c r="AM1708" s="32" t="s">
        <v>178</v>
      </c>
      <c r="AT1708" s="32" t="s">
        <v>161</v>
      </c>
      <c r="AU1708" s="32">
        <v>4</v>
      </c>
      <c r="AW1708" s="32" t="s">
        <v>336</v>
      </c>
      <c r="BM1708" s="397"/>
      <c r="BN1708" s="397"/>
      <c r="BR1708" s="397"/>
      <c r="BS1708" s="397"/>
      <c r="BW1708" s="32">
        <v>1.5</v>
      </c>
      <c r="BX1708" s="32">
        <v>0.7</v>
      </c>
      <c r="CA1708" s="32" t="s">
        <v>1681</v>
      </c>
    </row>
    <row r="1709" spans="1:79" s="32" customFormat="1" x14ac:dyDescent="0.25">
      <c r="A1709" s="32">
        <v>82</v>
      </c>
      <c r="B1709" s="32" t="s">
        <v>1463</v>
      </c>
      <c r="C1709" s="32" t="s">
        <v>1464</v>
      </c>
      <c r="D1709" s="32">
        <v>2007</v>
      </c>
      <c r="E1709" s="32">
        <v>2000</v>
      </c>
      <c r="F1709" s="32" t="s">
        <v>1465</v>
      </c>
      <c r="G1709" s="32" t="s">
        <v>1466</v>
      </c>
      <c r="H1709" s="32" t="s">
        <v>2831</v>
      </c>
      <c r="I1709" s="32">
        <v>42.74</v>
      </c>
      <c r="J1709" s="32">
        <v>-84.48</v>
      </c>
      <c r="K1709" s="32">
        <v>260</v>
      </c>
      <c r="P1709" s="44"/>
      <c r="Q1709" s="44" t="s">
        <v>1856</v>
      </c>
      <c r="R1709" s="44" t="s">
        <v>1735</v>
      </c>
      <c r="T1709" s="44" t="s">
        <v>1974</v>
      </c>
      <c r="U1709" s="44" t="s">
        <v>1407</v>
      </c>
      <c r="V1709" s="44" t="s">
        <v>1727</v>
      </c>
      <c r="W1709" s="44" t="s">
        <v>1393</v>
      </c>
      <c r="X1709" s="44" t="s">
        <v>1421</v>
      </c>
      <c r="Z1709" s="323"/>
      <c r="AA1709" s="323"/>
      <c r="AB1709" s="32" t="s">
        <v>140</v>
      </c>
      <c r="AG1709" s="32" t="s">
        <v>1549</v>
      </c>
      <c r="AH1709" s="138" t="s">
        <v>132</v>
      </c>
      <c r="AI1709" s="32" t="s">
        <v>159</v>
      </c>
      <c r="AJ1709" s="140" t="s">
        <v>1615</v>
      </c>
      <c r="AK1709" s="32" t="s">
        <v>686</v>
      </c>
      <c r="AL1709" s="32" t="s">
        <v>686</v>
      </c>
      <c r="AM1709" s="32" t="s">
        <v>178</v>
      </c>
      <c r="AT1709" s="32" t="s">
        <v>161</v>
      </c>
      <c r="AU1709" s="32">
        <v>4</v>
      </c>
      <c r="AW1709" s="32" t="s">
        <v>336</v>
      </c>
      <c r="BM1709" s="397"/>
      <c r="BN1709" s="397"/>
      <c r="BR1709" s="397"/>
      <c r="BS1709" s="397"/>
      <c r="BW1709" s="32">
        <v>1.5</v>
      </c>
      <c r="BX1709" s="32">
        <v>1</v>
      </c>
      <c r="CA1709" s="32" t="s">
        <v>1681</v>
      </c>
    </row>
    <row r="1710" spans="1:79" s="32" customFormat="1" x14ac:dyDescent="0.25">
      <c r="A1710" s="32">
        <v>82</v>
      </c>
      <c r="B1710" s="32" t="s">
        <v>1463</v>
      </c>
      <c r="C1710" s="32" t="s">
        <v>1464</v>
      </c>
      <c r="D1710" s="32">
        <v>2007</v>
      </c>
      <c r="E1710" s="32">
        <v>2000</v>
      </c>
      <c r="F1710" s="32" t="s">
        <v>1465</v>
      </c>
      <c r="G1710" s="32" t="s">
        <v>1466</v>
      </c>
      <c r="H1710" s="32" t="s">
        <v>2831</v>
      </c>
      <c r="I1710" s="32">
        <v>42.74</v>
      </c>
      <c r="J1710" s="32">
        <v>-84.48</v>
      </c>
      <c r="K1710" s="32">
        <v>260</v>
      </c>
      <c r="P1710" s="44"/>
      <c r="Q1710" s="44" t="s">
        <v>1856</v>
      </c>
      <c r="R1710" s="44" t="s">
        <v>1735</v>
      </c>
      <c r="T1710" s="44" t="s">
        <v>1974</v>
      </c>
      <c r="U1710" s="44" t="s">
        <v>1407</v>
      </c>
      <c r="V1710" s="44" t="s">
        <v>1727</v>
      </c>
      <c r="W1710" s="44" t="s">
        <v>1393</v>
      </c>
      <c r="X1710" s="44" t="s">
        <v>1421</v>
      </c>
      <c r="Z1710" s="323"/>
      <c r="AA1710" s="323"/>
      <c r="AB1710" s="32" t="s">
        <v>140</v>
      </c>
      <c r="AG1710" s="32" t="s">
        <v>1550</v>
      </c>
      <c r="AH1710" s="138" t="s">
        <v>1585</v>
      </c>
      <c r="AI1710" s="32" t="s">
        <v>159</v>
      </c>
      <c r="AJ1710" s="140" t="s">
        <v>1615</v>
      </c>
      <c r="AK1710" s="32" t="s">
        <v>686</v>
      </c>
      <c r="AL1710" s="32" t="s">
        <v>686</v>
      </c>
      <c r="AM1710" s="32" t="s">
        <v>178</v>
      </c>
      <c r="AT1710" s="32" t="s">
        <v>161</v>
      </c>
      <c r="AU1710" s="32">
        <v>4</v>
      </c>
      <c r="AW1710" s="32" t="s">
        <v>336</v>
      </c>
      <c r="BM1710" s="397"/>
      <c r="BN1710" s="397"/>
      <c r="BR1710" s="397"/>
      <c r="BS1710" s="397"/>
      <c r="BW1710" s="32">
        <v>1.5</v>
      </c>
      <c r="BX1710" s="32">
        <v>0.5</v>
      </c>
      <c r="CA1710" s="32" t="s">
        <v>1681</v>
      </c>
    </row>
    <row r="1711" spans="1:79" s="32" customFormat="1" x14ac:dyDescent="0.25">
      <c r="A1711" s="32">
        <v>82</v>
      </c>
      <c r="B1711" s="32" t="s">
        <v>1463</v>
      </c>
      <c r="C1711" s="32" t="s">
        <v>1464</v>
      </c>
      <c r="D1711" s="32">
        <v>2007</v>
      </c>
      <c r="E1711" s="32">
        <v>2000</v>
      </c>
      <c r="F1711" s="32" t="s">
        <v>1465</v>
      </c>
      <c r="G1711" s="32" t="s">
        <v>1466</v>
      </c>
      <c r="H1711" s="32" t="s">
        <v>2831</v>
      </c>
      <c r="I1711" s="32">
        <v>42.74</v>
      </c>
      <c r="J1711" s="32">
        <v>-84.48</v>
      </c>
      <c r="K1711" s="32">
        <v>260</v>
      </c>
      <c r="P1711" s="44"/>
      <c r="Q1711" s="44" t="s">
        <v>1856</v>
      </c>
      <c r="R1711" s="44" t="s">
        <v>1735</v>
      </c>
      <c r="T1711" s="44" t="s">
        <v>1974</v>
      </c>
      <c r="U1711" s="44" t="s">
        <v>1407</v>
      </c>
      <c r="V1711" s="44" t="s">
        <v>1727</v>
      </c>
      <c r="W1711" s="44" t="s">
        <v>1393</v>
      </c>
      <c r="X1711" s="44" t="s">
        <v>1421</v>
      </c>
      <c r="Z1711" s="323"/>
      <c r="AA1711" s="323"/>
      <c r="AB1711" s="32" t="s">
        <v>140</v>
      </c>
      <c r="AG1711" s="32" t="s">
        <v>1551</v>
      </c>
      <c r="AH1711" s="138" t="s">
        <v>1585</v>
      </c>
      <c r="AI1711" s="32" t="s">
        <v>159</v>
      </c>
      <c r="AJ1711" s="140" t="s">
        <v>1615</v>
      </c>
      <c r="AK1711" s="32" t="s">
        <v>686</v>
      </c>
      <c r="AL1711" s="32" t="s">
        <v>686</v>
      </c>
      <c r="AM1711" s="32" t="s">
        <v>178</v>
      </c>
      <c r="AT1711" s="32" t="s">
        <v>161</v>
      </c>
      <c r="AU1711" s="32">
        <v>4</v>
      </c>
      <c r="AW1711" s="32" t="s">
        <v>336</v>
      </c>
      <c r="BM1711" s="397"/>
      <c r="BN1711" s="397"/>
      <c r="BR1711" s="397"/>
      <c r="BS1711" s="397"/>
      <c r="BW1711" s="32">
        <v>1.5</v>
      </c>
      <c r="BX1711" s="32">
        <v>0.7</v>
      </c>
      <c r="CA1711" s="32" t="s">
        <v>1681</v>
      </c>
    </row>
    <row r="1712" spans="1:79" s="32" customFormat="1" x14ac:dyDescent="0.25">
      <c r="A1712" s="32">
        <v>82</v>
      </c>
      <c r="B1712" s="32" t="s">
        <v>1463</v>
      </c>
      <c r="C1712" s="32" t="s">
        <v>1464</v>
      </c>
      <c r="D1712" s="32">
        <v>2007</v>
      </c>
      <c r="E1712" s="32">
        <v>2000</v>
      </c>
      <c r="F1712" s="32" t="s">
        <v>1465</v>
      </c>
      <c r="G1712" s="32" t="s">
        <v>1466</v>
      </c>
      <c r="H1712" s="32" t="s">
        <v>2831</v>
      </c>
      <c r="I1712" s="32">
        <v>42.74</v>
      </c>
      <c r="J1712" s="32">
        <v>-84.48</v>
      </c>
      <c r="K1712" s="32">
        <v>260</v>
      </c>
      <c r="P1712" s="44"/>
      <c r="Q1712" s="44" t="s">
        <v>1856</v>
      </c>
      <c r="R1712" s="44" t="s">
        <v>1735</v>
      </c>
      <c r="T1712" s="44" t="s">
        <v>1974</v>
      </c>
      <c r="U1712" s="44" t="s">
        <v>1407</v>
      </c>
      <c r="V1712" s="44" t="s">
        <v>1727</v>
      </c>
      <c r="W1712" s="44" t="s">
        <v>1393</v>
      </c>
      <c r="X1712" s="44" t="s">
        <v>1421</v>
      </c>
      <c r="Z1712" s="323"/>
      <c r="AA1712" s="323"/>
      <c r="AB1712" s="32" t="s">
        <v>140</v>
      </c>
      <c r="AG1712" s="32" t="s">
        <v>1552</v>
      </c>
      <c r="AH1712" s="138" t="s">
        <v>1585</v>
      </c>
      <c r="AI1712" s="32" t="s">
        <v>159</v>
      </c>
      <c r="AJ1712" s="140" t="s">
        <v>1615</v>
      </c>
      <c r="AK1712" s="32" t="s">
        <v>686</v>
      </c>
      <c r="AL1712" s="32" t="s">
        <v>686</v>
      </c>
      <c r="AM1712" s="32" t="s">
        <v>178</v>
      </c>
      <c r="AT1712" s="32" t="s">
        <v>161</v>
      </c>
      <c r="AU1712" s="32">
        <v>4</v>
      </c>
      <c r="AW1712" s="32" t="s">
        <v>336</v>
      </c>
      <c r="BM1712" s="397"/>
      <c r="BN1712" s="397"/>
      <c r="BR1712" s="397"/>
      <c r="BS1712" s="397"/>
      <c r="BW1712" s="32">
        <v>1.5</v>
      </c>
      <c r="BX1712" s="32">
        <v>0.8</v>
      </c>
      <c r="CA1712" s="32" t="s">
        <v>1681</v>
      </c>
    </row>
    <row r="1713" spans="1:79" s="32" customFormat="1" x14ac:dyDescent="0.25">
      <c r="A1713" s="32">
        <v>82</v>
      </c>
      <c r="B1713" s="32" t="s">
        <v>1463</v>
      </c>
      <c r="C1713" s="32" t="s">
        <v>1464</v>
      </c>
      <c r="D1713" s="32">
        <v>2007</v>
      </c>
      <c r="E1713" s="32">
        <v>2000</v>
      </c>
      <c r="F1713" s="32" t="s">
        <v>1465</v>
      </c>
      <c r="G1713" s="32" t="s">
        <v>1466</v>
      </c>
      <c r="H1713" s="32" t="s">
        <v>2831</v>
      </c>
      <c r="I1713" s="32">
        <v>42.74</v>
      </c>
      <c r="J1713" s="32">
        <v>-84.48</v>
      </c>
      <c r="K1713" s="32">
        <v>260</v>
      </c>
      <c r="P1713" s="44"/>
      <c r="Q1713" s="44" t="s">
        <v>1856</v>
      </c>
      <c r="R1713" s="44" t="s">
        <v>1735</v>
      </c>
      <c r="T1713" s="44" t="s">
        <v>1974</v>
      </c>
      <c r="U1713" s="44" t="s">
        <v>1407</v>
      </c>
      <c r="V1713" s="44" t="s">
        <v>1727</v>
      </c>
      <c r="W1713" s="44" t="s">
        <v>1393</v>
      </c>
      <c r="X1713" s="44" t="s">
        <v>1421</v>
      </c>
      <c r="Z1713" s="323"/>
      <c r="AA1713" s="323"/>
      <c r="AB1713" s="32" t="s">
        <v>140</v>
      </c>
      <c r="AG1713" s="32" t="s">
        <v>1553</v>
      </c>
      <c r="AH1713" s="138" t="s">
        <v>1585</v>
      </c>
      <c r="AI1713" s="32" t="s">
        <v>159</v>
      </c>
      <c r="AJ1713" s="140" t="s">
        <v>1615</v>
      </c>
      <c r="AK1713" s="32" t="s">
        <v>686</v>
      </c>
      <c r="AL1713" s="32" t="s">
        <v>686</v>
      </c>
      <c r="AM1713" s="32" t="s">
        <v>178</v>
      </c>
      <c r="AT1713" s="32" t="s">
        <v>161</v>
      </c>
      <c r="AU1713" s="32">
        <v>4</v>
      </c>
      <c r="AW1713" s="32" t="s">
        <v>336</v>
      </c>
      <c r="BM1713" s="397"/>
      <c r="BN1713" s="397"/>
      <c r="BR1713" s="397"/>
      <c r="BS1713" s="397"/>
      <c r="BW1713" s="32">
        <v>1.5</v>
      </c>
      <c r="BX1713" s="32">
        <v>0.8</v>
      </c>
      <c r="CA1713" s="32" t="s">
        <v>1681</v>
      </c>
    </row>
    <row r="1714" spans="1:79" s="136" customFormat="1" x14ac:dyDescent="0.25">
      <c r="A1714" s="136">
        <v>82</v>
      </c>
      <c r="B1714" s="136" t="s">
        <v>1463</v>
      </c>
      <c r="C1714" s="136" t="s">
        <v>1464</v>
      </c>
      <c r="D1714" s="136">
        <v>2007</v>
      </c>
      <c r="E1714" s="136">
        <v>2001</v>
      </c>
      <c r="F1714" s="136" t="s">
        <v>1465</v>
      </c>
      <c r="G1714" s="136" t="s">
        <v>1466</v>
      </c>
      <c r="H1714" s="136" t="s">
        <v>2831</v>
      </c>
      <c r="I1714" s="136">
        <v>42.74</v>
      </c>
      <c r="J1714" s="136">
        <v>-84.48</v>
      </c>
      <c r="K1714" s="136">
        <v>260</v>
      </c>
      <c r="P1714" s="137"/>
      <c r="Q1714" s="137" t="s">
        <v>1735</v>
      </c>
      <c r="R1714" s="137" t="s">
        <v>1735</v>
      </c>
      <c r="T1714" s="137" t="s">
        <v>1974</v>
      </c>
      <c r="U1714" s="137" t="s">
        <v>1393</v>
      </c>
      <c r="V1714" s="137" t="s">
        <v>1727</v>
      </c>
      <c r="W1714" s="137" t="s">
        <v>1393</v>
      </c>
      <c r="X1714" s="137" t="s">
        <v>1421</v>
      </c>
      <c r="Z1714" s="357"/>
      <c r="AA1714" s="357"/>
      <c r="AB1714" s="136" t="s">
        <v>140</v>
      </c>
      <c r="AG1714" s="136" t="s">
        <v>117</v>
      </c>
      <c r="AH1714" s="138" t="s">
        <v>1585</v>
      </c>
      <c r="AI1714" s="136" t="s">
        <v>159</v>
      </c>
      <c r="AJ1714" s="140" t="s">
        <v>1615</v>
      </c>
      <c r="AT1714" s="32" t="s">
        <v>161</v>
      </c>
      <c r="AU1714" s="32">
        <v>4</v>
      </c>
      <c r="AV1714" s="32"/>
      <c r="AW1714" s="32" t="s">
        <v>336</v>
      </c>
      <c r="BM1714" s="432"/>
      <c r="BN1714" s="432"/>
      <c r="BR1714" s="432"/>
      <c r="BS1714" s="432"/>
      <c r="BW1714" s="136">
        <v>2.8</v>
      </c>
      <c r="BX1714" s="136">
        <v>2.7</v>
      </c>
      <c r="CA1714" s="136" t="s">
        <v>1681</v>
      </c>
    </row>
    <row r="1715" spans="1:79" s="136" customFormat="1" x14ac:dyDescent="0.25">
      <c r="A1715" s="136">
        <v>82</v>
      </c>
      <c r="B1715" s="136" t="s">
        <v>1463</v>
      </c>
      <c r="C1715" s="136" t="s">
        <v>1464</v>
      </c>
      <c r="D1715" s="136">
        <v>2007</v>
      </c>
      <c r="E1715" s="136">
        <v>2001</v>
      </c>
      <c r="F1715" s="136" t="s">
        <v>1465</v>
      </c>
      <c r="G1715" s="136" t="s">
        <v>1466</v>
      </c>
      <c r="H1715" s="136" t="s">
        <v>2831</v>
      </c>
      <c r="I1715" s="136">
        <v>42.74</v>
      </c>
      <c r="J1715" s="136">
        <v>-84.48</v>
      </c>
      <c r="K1715" s="136">
        <v>260</v>
      </c>
      <c r="P1715" s="137"/>
      <c r="Q1715" s="137" t="s">
        <v>1735</v>
      </c>
      <c r="R1715" s="137" t="s">
        <v>1735</v>
      </c>
      <c r="T1715" s="137" t="s">
        <v>1974</v>
      </c>
      <c r="U1715" s="137" t="s">
        <v>1393</v>
      </c>
      <c r="V1715" s="137" t="s">
        <v>1727</v>
      </c>
      <c r="W1715" s="137" t="s">
        <v>1393</v>
      </c>
      <c r="X1715" s="137" t="s">
        <v>1421</v>
      </c>
      <c r="Z1715" s="357"/>
      <c r="AA1715" s="357"/>
      <c r="AB1715" s="136" t="s">
        <v>140</v>
      </c>
      <c r="AG1715" s="136" t="s">
        <v>132</v>
      </c>
      <c r="AH1715" s="138" t="s">
        <v>132</v>
      </c>
      <c r="AI1715" s="136" t="s">
        <v>159</v>
      </c>
      <c r="AJ1715" s="140" t="s">
        <v>1615</v>
      </c>
      <c r="AT1715" s="32" t="s">
        <v>161</v>
      </c>
      <c r="AU1715" s="32">
        <v>4</v>
      </c>
      <c r="AV1715" s="32"/>
      <c r="AW1715" s="32" t="s">
        <v>336</v>
      </c>
      <c r="BM1715" s="432"/>
      <c r="BN1715" s="432"/>
      <c r="BR1715" s="432"/>
      <c r="BS1715" s="432"/>
      <c r="BW1715" s="136">
        <v>2.8</v>
      </c>
      <c r="BX1715" s="136">
        <v>2.2000000000000002</v>
      </c>
      <c r="CA1715" s="136" t="s">
        <v>1681</v>
      </c>
    </row>
    <row r="1716" spans="1:79" s="136" customFormat="1" x14ac:dyDescent="0.25">
      <c r="A1716" s="136">
        <v>82</v>
      </c>
      <c r="B1716" s="136" t="s">
        <v>1463</v>
      </c>
      <c r="C1716" s="136" t="s">
        <v>1464</v>
      </c>
      <c r="D1716" s="136">
        <v>2007</v>
      </c>
      <c r="E1716" s="136">
        <v>2001</v>
      </c>
      <c r="F1716" s="136" t="s">
        <v>1465</v>
      </c>
      <c r="G1716" s="136" t="s">
        <v>1466</v>
      </c>
      <c r="H1716" s="136" t="s">
        <v>2831</v>
      </c>
      <c r="I1716" s="136">
        <v>42.74</v>
      </c>
      <c r="J1716" s="136">
        <v>-84.48</v>
      </c>
      <c r="K1716" s="136">
        <v>260</v>
      </c>
      <c r="P1716" s="137"/>
      <c r="Q1716" s="137" t="s">
        <v>1735</v>
      </c>
      <c r="R1716" s="137" t="s">
        <v>1735</v>
      </c>
      <c r="T1716" s="137" t="s">
        <v>1974</v>
      </c>
      <c r="U1716" s="137" t="s">
        <v>1393</v>
      </c>
      <c r="V1716" s="137" t="s">
        <v>1727</v>
      </c>
      <c r="W1716" s="137" t="s">
        <v>1393</v>
      </c>
      <c r="X1716" s="137" t="s">
        <v>1421</v>
      </c>
      <c r="Z1716" s="357"/>
      <c r="AA1716" s="357"/>
      <c r="AB1716" s="136" t="s">
        <v>140</v>
      </c>
      <c r="AG1716" s="136" t="s">
        <v>1549</v>
      </c>
      <c r="AH1716" s="138" t="s">
        <v>132</v>
      </c>
      <c r="AI1716" s="136" t="s">
        <v>159</v>
      </c>
      <c r="AJ1716" s="140" t="s">
        <v>1615</v>
      </c>
      <c r="AT1716" s="32" t="s">
        <v>161</v>
      </c>
      <c r="AU1716" s="32">
        <v>4</v>
      </c>
      <c r="AV1716" s="32"/>
      <c r="AW1716" s="32" t="s">
        <v>336</v>
      </c>
      <c r="BM1716" s="432"/>
      <c r="BN1716" s="432"/>
      <c r="BR1716" s="432"/>
      <c r="BS1716" s="432"/>
      <c r="BW1716" s="136">
        <v>2.8</v>
      </c>
      <c r="BX1716" s="136">
        <v>2.2999999999999998</v>
      </c>
      <c r="CA1716" s="136" t="s">
        <v>1681</v>
      </c>
    </row>
    <row r="1717" spans="1:79" s="136" customFormat="1" x14ac:dyDescent="0.25">
      <c r="A1717" s="136">
        <v>82</v>
      </c>
      <c r="B1717" s="136" t="s">
        <v>1463</v>
      </c>
      <c r="C1717" s="136" t="s">
        <v>1464</v>
      </c>
      <c r="D1717" s="136">
        <v>2007</v>
      </c>
      <c r="E1717" s="136">
        <v>2001</v>
      </c>
      <c r="F1717" s="136" t="s">
        <v>1465</v>
      </c>
      <c r="G1717" s="136" t="s">
        <v>1466</v>
      </c>
      <c r="H1717" s="136" t="s">
        <v>2831</v>
      </c>
      <c r="I1717" s="136">
        <v>42.74</v>
      </c>
      <c r="J1717" s="136">
        <v>-84.48</v>
      </c>
      <c r="K1717" s="136">
        <v>260</v>
      </c>
      <c r="P1717" s="137"/>
      <c r="Q1717" s="137" t="s">
        <v>1735</v>
      </c>
      <c r="R1717" s="137" t="s">
        <v>1735</v>
      </c>
      <c r="T1717" s="137" t="s">
        <v>1974</v>
      </c>
      <c r="U1717" s="137" t="s">
        <v>1393</v>
      </c>
      <c r="V1717" s="137" t="s">
        <v>1727</v>
      </c>
      <c r="W1717" s="137" t="s">
        <v>1393</v>
      </c>
      <c r="X1717" s="137" t="s">
        <v>1421</v>
      </c>
      <c r="Z1717" s="357"/>
      <c r="AA1717" s="357"/>
      <c r="AB1717" s="136" t="s">
        <v>140</v>
      </c>
      <c r="AG1717" s="136" t="s">
        <v>1550</v>
      </c>
      <c r="AH1717" s="138" t="s">
        <v>1585</v>
      </c>
      <c r="AI1717" s="136" t="s">
        <v>159</v>
      </c>
      <c r="AJ1717" s="140" t="s">
        <v>1615</v>
      </c>
      <c r="AT1717" s="32" t="s">
        <v>161</v>
      </c>
      <c r="AU1717" s="32">
        <v>4</v>
      </c>
      <c r="AV1717" s="32"/>
      <c r="AW1717" s="32" t="s">
        <v>336</v>
      </c>
      <c r="BM1717" s="432"/>
      <c r="BN1717" s="432"/>
      <c r="BR1717" s="432"/>
      <c r="BS1717" s="432"/>
      <c r="BW1717" s="136">
        <v>2.8</v>
      </c>
      <c r="BX1717" s="136">
        <v>1.5</v>
      </c>
      <c r="CA1717" s="136" t="s">
        <v>1681</v>
      </c>
    </row>
    <row r="1718" spans="1:79" s="136" customFormat="1" x14ac:dyDescent="0.25">
      <c r="A1718" s="136">
        <v>82</v>
      </c>
      <c r="B1718" s="136" t="s">
        <v>1463</v>
      </c>
      <c r="C1718" s="136" t="s">
        <v>1464</v>
      </c>
      <c r="D1718" s="136">
        <v>2007</v>
      </c>
      <c r="E1718" s="136">
        <v>2001</v>
      </c>
      <c r="F1718" s="136" t="s">
        <v>1465</v>
      </c>
      <c r="G1718" s="136" t="s">
        <v>1466</v>
      </c>
      <c r="H1718" s="136" t="s">
        <v>2831</v>
      </c>
      <c r="I1718" s="136">
        <v>42.74</v>
      </c>
      <c r="J1718" s="136">
        <v>-84.48</v>
      </c>
      <c r="K1718" s="136">
        <v>260</v>
      </c>
      <c r="P1718" s="137"/>
      <c r="Q1718" s="137" t="s">
        <v>1735</v>
      </c>
      <c r="R1718" s="137" t="s">
        <v>1735</v>
      </c>
      <c r="T1718" s="137" t="s">
        <v>1974</v>
      </c>
      <c r="U1718" s="137" t="s">
        <v>1393</v>
      </c>
      <c r="V1718" s="137" t="s">
        <v>1727</v>
      </c>
      <c r="W1718" s="137" t="s">
        <v>1393</v>
      </c>
      <c r="X1718" s="137" t="s">
        <v>1421</v>
      </c>
      <c r="Z1718" s="357"/>
      <c r="AA1718" s="357"/>
      <c r="AB1718" s="136" t="s">
        <v>140</v>
      </c>
      <c r="AG1718" s="136" t="s">
        <v>1551</v>
      </c>
      <c r="AH1718" s="138" t="s">
        <v>1585</v>
      </c>
      <c r="AI1718" s="136" t="s">
        <v>159</v>
      </c>
      <c r="AJ1718" s="140" t="s">
        <v>1615</v>
      </c>
      <c r="AT1718" s="32" t="s">
        <v>161</v>
      </c>
      <c r="AU1718" s="32">
        <v>4</v>
      </c>
      <c r="AV1718" s="32"/>
      <c r="AW1718" s="32" t="s">
        <v>336</v>
      </c>
      <c r="BM1718" s="432"/>
      <c r="BN1718" s="432"/>
      <c r="BR1718" s="432"/>
      <c r="BS1718" s="432"/>
      <c r="BW1718" s="136">
        <v>2.8</v>
      </c>
      <c r="BX1718" s="136">
        <v>1.5</v>
      </c>
      <c r="CA1718" s="136" t="s">
        <v>1681</v>
      </c>
    </row>
    <row r="1719" spans="1:79" s="136" customFormat="1" x14ac:dyDescent="0.25">
      <c r="A1719" s="136">
        <v>82</v>
      </c>
      <c r="B1719" s="136" t="s">
        <v>1463</v>
      </c>
      <c r="C1719" s="136" t="s">
        <v>1464</v>
      </c>
      <c r="D1719" s="136">
        <v>2007</v>
      </c>
      <c r="E1719" s="136">
        <v>2001</v>
      </c>
      <c r="F1719" s="136" t="s">
        <v>1465</v>
      </c>
      <c r="G1719" s="136" t="s">
        <v>1466</v>
      </c>
      <c r="H1719" s="136" t="s">
        <v>2831</v>
      </c>
      <c r="I1719" s="136">
        <v>42.74</v>
      </c>
      <c r="J1719" s="136">
        <v>-84.48</v>
      </c>
      <c r="K1719" s="136">
        <v>260</v>
      </c>
      <c r="P1719" s="137"/>
      <c r="Q1719" s="137" t="s">
        <v>1735</v>
      </c>
      <c r="R1719" s="137" t="s">
        <v>1735</v>
      </c>
      <c r="T1719" s="137" t="s">
        <v>1974</v>
      </c>
      <c r="U1719" s="137" t="s">
        <v>1393</v>
      </c>
      <c r="V1719" s="137" t="s">
        <v>1727</v>
      </c>
      <c r="W1719" s="137" t="s">
        <v>1393</v>
      </c>
      <c r="X1719" s="137" t="s">
        <v>1421</v>
      </c>
      <c r="Z1719" s="357"/>
      <c r="AA1719" s="357"/>
      <c r="AB1719" s="136" t="s">
        <v>140</v>
      </c>
      <c r="AG1719" s="136" t="s">
        <v>1552</v>
      </c>
      <c r="AH1719" s="138" t="s">
        <v>1585</v>
      </c>
      <c r="AI1719" s="136" t="s">
        <v>159</v>
      </c>
      <c r="AJ1719" s="140" t="s">
        <v>1615</v>
      </c>
      <c r="AT1719" s="32" t="s">
        <v>161</v>
      </c>
      <c r="AU1719" s="32">
        <v>4</v>
      </c>
      <c r="AV1719" s="32"/>
      <c r="AW1719" s="32" t="s">
        <v>336</v>
      </c>
      <c r="BM1719" s="432"/>
      <c r="BN1719" s="432"/>
      <c r="BR1719" s="432"/>
      <c r="BS1719" s="432"/>
      <c r="BW1719" s="136">
        <v>2.8</v>
      </c>
      <c r="BX1719" s="136">
        <v>1.3</v>
      </c>
      <c r="CA1719" s="136" t="s">
        <v>1681</v>
      </c>
    </row>
    <row r="1720" spans="1:79" s="136" customFormat="1" x14ac:dyDescent="0.25">
      <c r="A1720" s="136">
        <v>82</v>
      </c>
      <c r="B1720" s="136" t="s">
        <v>1463</v>
      </c>
      <c r="C1720" s="136" t="s">
        <v>1464</v>
      </c>
      <c r="D1720" s="136">
        <v>2007</v>
      </c>
      <c r="E1720" s="136">
        <v>2001</v>
      </c>
      <c r="F1720" s="136" t="s">
        <v>1465</v>
      </c>
      <c r="G1720" s="136" t="s">
        <v>1466</v>
      </c>
      <c r="H1720" s="136" t="s">
        <v>2831</v>
      </c>
      <c r="I1720" s="136">
        <v>42.74</v>
      </c>
      <c r="J1720" s="136">
        <v>-84.48</v>
      </c>
      <c r="K1720" s="136">
        <v>260</v>
      </c>
      <c r="P1720" s="137"/>
      <c r="Q1720" s="137" t="s">
        <v>1735</v>
      </c>
      <c r="R1720" s="137" t="s">
        <v>1735</v>
      </c>
      <c r="T1720" s="137" t="s">
        <v>1974</v>
      </c>
      <c r="U1720" s="137" t="s">
        <v>1393</v>
      </c>
      <c r="V1720" s="137" t="s">
        <v>1727</v>
      </c>
      <c r="W1720" s="137" t="s">
        <v>1393</v>
      </c>
      <c r="X1720" s="137" t="s">
        <v>1421</v>
      </c>
      <c r="Z1720" s="357"/>
      <c r="AA1720" s="357"/>
      <c r="AB1720" s="136" t="s">
        <v>140</v>
      </c>
      <c r="AG1720" s="136" t="s">
        <v>1553</v>
      </c>
      <c r="AH1720" s="138" t="s">
        <v>1585</v>
      </c>
      <c r="AI1720" s="136" t="s">
        <v>159</v>
      </c>
      <c r="AJ1720" s="140" t="s">
        <v>1615</v>
      </c>
      <c r="AT1720" s="32" t="s">
        <v>161</v>
      </c>
      <c r="AU1720" s="32">
        <v>4</v>
      </c>
      <c r="AV1720" s="32"/>
      <c r="AW1720" s="32" t="s">
        <v>336</v>
      </c>
      <c r="BM1720" s="432"/>
      <c r="BN1720" s="432"/>
      <c r="BR1720" s="432"/>
      <c r="BS1720" s="432"/>
      <c r="BW1720" s="136">
        <v>2.8</v>
      </c>
      <c r="BX1720" s="136">
        <v>1.3</v>
      </c>
      <c r="CA1720" s="136" t="s">
        <v>1681</v>
      </c>
    </row>
    <row r="1721" spans="1:79" s="24" customFormat="1" x14ac:dyDescent="0.25">
      <c r="A1721" s="24">
        <v>82</v>
      </c>
      <c r="B1721" s="24" t="s">
        <v>1463</v>
      </c>
      <c r="C1721" s="24" t="s">
        <v>1464</v>
      </c>
      <c r="D1721" s="24">
        <v>2007</v>
      </c>
      <c r="E1721" s="24">
        <v>2001</v>
      </c>
      <c r="F1721" s="24" t="s">
        <v>1465</v>
      </c>
      <c r="G1721" s="24" t="s">
        <v>1466</v>
      </c>
      <c r="H1721" s="136" t="s">
        <v>2831</v>
      </c>
      <c r="I1721" s="24">
        <v>42.74</v>
      </c>
      <c r="J1721" s="24">
        <v>-84.48</v>
      </c>
      <c r="K1721" s="24">
        <v>260</v>
      </c>
      <c r="P1721" s="42"/>
      <c r="Q1721" s="42" t="s">
        <v>1735</v>
      </c>
      <c r="R1721" s="42" t="s">
        <v>1735</v>
      </c>
      <c r="T1721" s="42" t="s">
        <v>1974</v>
      </c>
      <c r="U1721" s="42" t="s">
        <v>1406</v>
      </c>
      <c r="V1721" s="42" t="s">
        <v>1727</v>
      </c>
      <c r="W1721" s="42" t="s">
        <v>1393</v>
      </c>
      <c r="X1721" s="42" t="s">
        <v>1421</v>
      </c>
      <c r="Z1721" s="321"/>
      <c r="AA1721" s="321"/>
      <c r="AB1721" s="24" t="s">
        <v>140</v>
      </c>
      <c r="AG1721" s="24" t="s">
        <v>117</v>
      </c>
      <c r="AH1721" s="138" t="s">
        <v>1585</v>
      </c>
      <c r="AI1721" s="24" t="s">
        <v>159</v>
      </c>
      <c r="AJ1721" s="140" t="s">
        <v>1615</v>
      </c>
      <c r="AT1721" s="32" t="s">
        <v>161</v>
      </c>
      <c r="AU1721" s="32">
        <v>4</v>
      </c>
      <c r="AV1721" s="32"/>
      <c r="AW1721" s="32" t="s">
        <v>336</v>
      </c>
      <c r="BM1721" s="395"/>
      <c r="BN1721" s="395"/>
      <c r="BR1721" s="395"/>
      <c r="BS1721" s="395"/>
      <c r="BW1721" s="24">
        <v>3.4</v>
      </c>
      <c r="BX1721" s="24">
        <v>2.4</v>
      </c>
      <c r="CA1721" s="24" t="s">
        <v>1681</v>
      </c>
    </row>
    <row r="1722" spans="1:79" s="24" customFormat="1" x14ac:dyDescent="0.25">
      <c r="A1722" s="24">
        <v>82</v>
      </c>
      <c r="B1722" s="24" t="s">
        <v>1463</v>
      </c>
      <c r="C1722" s="24" t="s">
        <v>1464</v>
      </c>
      <c r="D1722" s="24">
        <v>2007</v>
      </c>
      <c r="E1722" s="24">
        <v>2001</v>
      </c>
      <c r="F1722" s="24" t="s">
        <v>1465</v>
      </c>
      <c r="G1722" s="24" t="s">
        <v>1466</v>
      </c>
      <c r="H1722" s="136" t="s">
        <v>2831</v>
      </c>
      <c r="I1722" s="24">
        <v>42.74</v>
      </c>
      <c r="J1722" s="24">
        <v>-84.48</v>
      </c>
      <c r="K1722" s="24">
        <v>260</v>
      </c>
      <c r="P1722" s="42"/>
      <c r="Q1722" s="42" t="s">
        <v>1735</v>
      </c>
      <c r="R1722" s="42" t="s">
        <v>1735</v>
      </c>
      <c r="T1722" s="42" t="s">
        <v>1974</v>
      </c>
      <c r="U1722" s="42" t="s">
        <v>1406</v>
      </c>
      <c r="V1722" s="42" t="s">
        <v>1727</v>
      </c>
      <c r="W1722" s="42" t="s">
        <v>1393</v>
      </c>
      <c r="X1722" s="42" t="s">
        <v>1421</v>
      </c>
      <c r="Z1722" s="321"/>
      <c r="AA1722" s="321"/>
      <c r="AB1722" s="24" t="s">
        <v>140</v>
      </c>
      <c r="AG1722" s="24" t="s">
        <v>132</v>
      </c>
      <c r="AH1722" s="138" t="s">
        <v>132</v>
      </c>
      <c r="AI1722" s="24" t="s">
        <v>159</v>
      </c>
      <c r="AJ1722" s="140" t="s">
        <v>1615</v>
      </c>
      <c r="AT1722" s="32" t="s">
        <v>161</v>
      </c>
      <c r="AU1722" s="32">
        <v>4</v>
      </c>
      <c r="AV1722" s="32"/>
      <c r="AW1722" s="32" t="s">
        <v>336</v>
      </c>
      <c r="BM1722" s="395"/>
      <c r="BN1722" s="395"/>
      <c r="BR1722" s="395"/>
      <c r="BS1722" s="395"/>
      <c r="BW1722" s="24">
        <v>3.4</v>
      </c>
      <c r="BX1722" s="24">
        <v>2</v>
      </c>
      <c r="CA1722" s="24" t="s">
        <v>1681</v>
      </c>
    </row>
    <row r="1723" spans="1:79" s="24" customFormat="1" x14ac:dyDescent="0.25">
      <c r="A1723" s="24">
        <v>82</v>
      </c>
      <c r="B1723" s="24" t="s">
        <v>1463</v>
      </c>
      <c r="C1723" s="24" t="s">
        <v>1464</v>
      </c>
      <c r="D1723" s="24">
        <v>2007</v>
      </c>
      <c r="E1723" s="24">
        <v>2001</v>
      </c>
      <c r="F1723" s="24" t="s">
        <v>1465</v>
      </c>
      <c r="G1723" s="24" t="s">
        <v>1466</v>
      </c>
      <c r="H1723" s="136" t="s">
        <v>2831</v>
      </c>
      <c r="I1723" s="24">
        <v>42.74</v>
      </c>
      <c r="J1723" s="24">
        <v>-84.48</v>
      </c>
      <c r="K1723" s="24">
        <v>260</v>
      </c>
      <c r="P1723" s="42"/>
      <c r="Q1723" s="42" t="s">
        <v>1735</v>
      </c>
      <c r="R1723" s="42" t="s">
        <v>1735</v>
      </c>
      <c r="T1723" s="42" t="s">
        <v>1974</v>
      </c>
      <c r="U1723" s="42" t="s">
        <v>1406</v>
      </c>
      <c r="V1723" s="42" t="s">
        <v>1727</v>
      </c>
      <c r="W1723" s="42" t="s">
        <v>1393</v>
      </c>
      <c r="X1723" s="42" t="s">
        <v>1421</v>
      </c>
      <c r="Z1723" s="321"/>
      <c r="AA1723" s="321"/>
      <c r="AB1723" s="24" t="s">
        <v>140</v>
      </c>
      <c r="AG1723" s="24" t="s">
        <v>1549</v>
      </c>
      <c r="AH1723" s="138" t="s">
        <v>132</v>
      </c>
      <c r="AI1723" s="24" t="s">
        <v>159</v>
      </c>
      <c r="AJ1723" s="140" t="s">
        <v>1615</v>
      </c>
      <c r="AT1723" s="32" t="s">
        <v>161</v>
      </c>
      <c r="AU1723" s="32">
        <v>4</v>
      </c>
      <c r="AV1723" s="32"/>
      <c r="AW1723" s="32" t="s">
        <v>336</v>
      </c>
      <c r="BM1723" s="395"/>
      <c r="BN1723" s="395"/>
      <c r="BR1723" s="395"/>
      <c r="BS1723" s="395"/>
      <c r="BW1723" s="24">
        <v>3.4</v>
      </c>
      <c r="BX1723" s="24">
        <v>1.7</v>
      </c>
      <c r="CA1723" s="24" t="s">
        <v>1681</v>
      </c>
    </row>
    <row r="1724" spans="1:79" s="24" customFormat="1" x14ac:dyDescent="0.25">
      <c r="A1724" s="24">
        <v>82</v>
      </c>
      <c r="B1724" s="24" t="s">
        <v>1463</v>
      </c>
      <c r="C1724" s="24" t="s">
        <v>1464</v>
      </c>
      <c r="D1724" s="24">
        <v>2007</v>
      </c>
      <c r="E1724" s="24">
        <v>2001</v>
      </c>
      <c r="F1724" s="24" t="s">
        <v>1465</v>
      </c>
      <c r="G1724" s="24" t="s">
        <v>1466</v>
      </c>
      <c r="H1724" s="136" t="s">
        <v>2831</v>
      </c>
      <c r="I1724" s="24">
        <v>42.74</v>
      </c>
      <c r="J1724" s="24">
        <v>-84.48</v>
      </c>
      <c r="K1724" s="24">
        <v>260</v>
      </c>
      <c r="P1724" s="42"/>
      <c r="Q1724" s="42" t="s">
        <v>1735</v>
      </c>
      <c r="R1724" s="42" t="s">
        <v>1735</v>
      </c>
      <c r="T1724" s="42" t="s">
        <v>1974</v>
      </c>
      <c r="U1724" s="42" t="s">
        <v>1406</v>
      </c>
      <c r="V1724" s="42" t="s">
        <v>1727</v>
      </c>
      <c r="W1724" s="42" t="s">
        <v>1393</v>
      </c>
      <c r="X1724" s="42" t="s">
        <v>1421</v>
      </c>
      <c r="Z1724" s="321"/>
      <c r="AA1724" s="321"/>
      <c r="AB1724" s="24" t="s">
        <v>140</v>
      </c>
      <c r="AG1724" s="24" t="s">
        <v>1550</v>
      </c>
      <c r="AH1724" s="138" t="s">
        <v>1585</v>
      </c>
      <c r="AI1724" s="24" t="s">
        <v>159</v>
      </c>
      <c r="AJ1724" s="140" t="s">
        <v>1615</v>
      </c>
      <c r="AT1724" s="32" t="s">
        <v>161</v>
      </c>
      <c r="AU1724" s="32">
        <v>4</v>
      </c>
      <c r="AV1724" s="32"/>
      <c r="AW1724" s="32" t="s">
        <v>336</v>
      </c>
      <c r="BM1724" s="395"/>
      <c r="BN1724" s="395"/>
      <c r="BR1724" s="395"/>
      <c r="BS1724" s="395"/>
      <c r="BW1724" s="24">
        <v>3.4</v>
      </c>
      <c r="BX1724" s="24">
        <v>1.3</v>
      </c>
      <c r="CA1724" s="24" t="s">
        <v>1681</v>
      </c>
    </row>
    <row r="1725" spans="1:79" s="24" customFormat="1" x14ac:dyDescent="0.25">
      <c r="A1725" s="24">
        <v>82</v>
      </c>
      <c r="B1725" s="24" t="s">
        <v>1463</v>
      </c>
      <c r="C1725" s="24" t="s">
        <v>1464</v>
      </c>
      <c r="D1725" s="24">
        <v>2007</v>
      </c>
      <c r="E1725" s="24">
        <v>2001</v>
      </c>
      <c r="F1725" s="24" t="s">
        <v>1465</v>
      </c>
      <c r="G1725" s="24" t="s">
        <v>1466</v>
      </c>
      <c r="H1725" s="136" t="s">
        <v>2831</v>
      </c>
      <c r="I1725" s="24">
        <v>42.74</v>
      </c>
      <c r="J1725" s="24">
        <v>-84.48</v>
      </c>
      <c r="K1725" s="24">
        <v>260</v>
      </c>
      <c r="P1725" s="42"/>
      <c r="Q1725" s="42" t="s">
        <v>1735</v>
      </c>
      <c r="R1725" s="42" t="s">
        <v>1735</v>
      </c>
      <c r="T1725" s="42" t="s">
        <v>1974</v>
      </c>
      <c r="U1725" s="42" t="s">
        <v>1406</v>
      </c>
      <c r="V1725" s="42" t="s">
        <v>1727</v>
      </c>
      <c r="W1725" s="42" t="s">
        <v>1393</v>
      </c>
      <c r="X1725" s="42" t="s">
        <v>1421</v>
      </c>
      <c r="Z1725" s="321"/>
      <c r="AA1725" s="321"/>
      <c r="AB1725" s="24" t="s">
        <v>140</v>
      </c>
      <c r="AG1725" s="24" t="s">
        <v>1551</v>
      </c>
      <c r="AH1725" s="138" t="s">
        <v>1585</v>
      </c>
      <c r="AI1725" s="24" t="s">
        <v>159</v>
      </c>
      <c r="AJ1725" s="140" t="s">
        <v>1615</v>
      </c>
      <c r="AT1725" s="32" t="s">
        <v>161</v>
      </c>
      <c r="AU1725" s="32">
        <v>4</v>
      </c>
      <c r="AV1725" s="32"/>
      <c r="AW1725" s="32" t="s">
        <v>336</v>
      </c>
      <c r="BM1725" s="395"/>
      <c r="BN1725" s="395"/>
      <c r="BR1725" s="395"/>
      <c r="BS1725" s="395"/>
      <c r="BW1725" s="24">
        <v>3.4</v>
      </c>
      <c r="BX1725" s="24">
        <v>1.3</v>
      </c>
      <c r="CA1725" s="24" t="s">
        <v>1681</v>
      </c>
    </row>
    <row r="1726" spans="1:79" s="24" customFormat="1" x14ac:dyDescent="0.25">
      <c r="A1726" s="24">
        <v>82</v>
      </c>
      <c r="B1726" s="24" t="s">
        <v>1463</v>
      </c>
      <c r="C1726" s="24" t="s">
        <v>1464</v>
      </c>
      <c r="D1726" s="24">
        <v>2007</v>
      </c>
      <c r="E1726" s="24">
        <v>2001</v>
      </c>
      <c r="F1726" s="24" t="s">
        <v>1465</v>
      </c>
      <c r="G1726" s="24" t="s">
        <v>1466</v>
      </c>
      <c r="H1726" s="136" t="s">
        <v>2831</v>
      </c>
      <c r="I1726" s="24">
        <v>42.74</v>
      </c>
      <c r="J1726" s="24">
        <v>-84.48</v>
      </c>
      <c r="K1726" s="24">
        <v>260</v>
      </c>
      <c r="P1726" s="42"/>
      <c r="Q1726" s="42" t="s">
        <v>1735</v>
      </c>
      <c r="R1726" s="42" t="s">
        <v>1735</v>
      </c>
      <c r="T1726" s="42" t="s">
        <v>1974</v>
      </c>
      <c r="U1726" s="42" t="s">
        <v>1406</v>
      </c>
      <c r="V1726" s="42" t="s">
        <v>1727</v>
      </c>
      <c r="W1726" s="42" t="s">
        <v>1393</v>
      </c>
      <c r="X1726" s="42" t="s">
        <v>1421</v>
      </c>
      <c r="Z1726" s="321"/>
      <c r="AA1726" s="321"/>
      <c r="AB1726" s="24" t="s">
        <v>140</v>
      </c>
      <c r="AG1726" s="24" t="s">
        <v>1552</v>
      </c>
      <c r="AH1726" s="138" t="s">
        <v>1585</v>
      </c>
      <c r="AI1726" s="24" t="s">
        <v>159</v>
      </c>
      <c r="AJ1726" s="140" t="s">
        <v>1615</v>
      </c>
      <c r="AT1726" s="32" t="s">
        <v>161</v>
      </c>
      <c r="AU1726" s="32">
        <v>4</v>
      </c>
      <c r="AV1726" s="32"/>
      <c r="AW1726" s="32" t="s">
        <v>336</v>
      </c>
      <c r="BM1726" s="395"/>
      <c r="BN1726" s="395"/>
      <c r="BR1726" s="395"/>
      <c r="BS1726" s="395"/>
      <c r="BW1726" s="24">
        <v>3.4</v>
      </c>
      <c r="BX1726" s="24">
        <v>1.2</v>
      </c>
      <c r="CA1726" s="24" t="s">
        <v>1681</v>
      </c>
    </row>
    <row r="1727" spans="1:79" s="24" customFormat="1" x14ac:dyDescent="0.25">
      <c r="A1727" s="24">
        <v>82</v>
      </c>
      <c r="B1727" s="24" t="s">
        <v>1463</v>
      </c>
      <c r="C1727" s="24" t="s">
        <v>1464</v>
      </c>
      <c r="D1727" s="24">
        <v>2007</v>
      </c>
      <c r="E1727" s="24">
        <v>2001</v>
      </c>
      <c r="F1727" s="24" t="s">
        <v>1465</v>
      </c>
      <c r="G1727" s="24" t="s">
        <v>1466</v>
      </c>
      <c r="H1727" s="136" t="s">
        <v>2831</v>
      </c>
      <c r="I1727" s="24">
        <v>42.74</v>
      </c>
      <c r="J1727" s="24">
        <v>-84.48</v>
      </c>
      <c r="K1727" s="24">
        <v>260</v>
      </c>
      <c r="P1727" s="42"/>
      <c r="Q1727" s="42" t="s">
        <v>1735</v>
      </c>
      <c r="R1727" s="42" t="s">
        <v>1735</v>
      </c>
      <c r="T1727" s="42" t="s">
        <v>1974</v>
      </c>
      <c r="U1727" s="42" t="s">
        <v>1406</v>
      </c>
      <c r="V1727" s="42" t="s">
        <v>1727</v>
      </c>
      <c r="W1727" s="42" t="s">
        <v>1393</v>
      </c>
      <c r="X1727" s="42" t="s">
        <v>1421</v>
      </c>
      <c r="Z1727" s="321"/>
      <c r="AA1727" s="321"/>
      <c r="AB1727" s="24" t="s">
        <v>140</v>
      </c>
      <c r="AG1727" s="24" t="s">
        <v>1553</v>
      </c>
      <c r="AH1727" s="138" t="s">
        <v>1585</v>
      </c>
      <c r="AI1727" s="24" t="s">
        <v>159</v>
      </c>
      <c r="AJ1727" s="140" t="s">
        <v>1615</v>
      </c>
      <c r="AT1727" s="32" t="s">
        <v>161</v>
      </c>
      <c r="AU1727" s="32">
        <v>4</v>
      </c>
      <c r="AV1727" s="32"/>
      <c r="AW1727" s="32" t="s">
        <v>336</v>
      </c>
      <c r="BM1727" s="395"/>
      <c r="BN1727" s="395"/>
      <c r="BR1727" s="395"/>
      <c r="BS1727" s="395"/>
      <c r="BW1727" s="24">
        <v>3.4</v>
      </c>
      <c r="BX1727" s="24">
        <v>1.2</v>
      </c>
      <c r="CA1727" s="24" t="s">
        <v>1681</v>
      </c>
    </row>
    <row r="1728" spans="1:79" s="136" customFormat="1" x14ac:dyDescent="0.25">
      <c r="A1728" s="136">
        <v>82</v>
      </c>
      <c r="B1728" s="136" t="s">
        <v>1463</v>
      </c>
      <c r="C1728" s="136" t="s">
        <v>1464</v>
      </c>
      <c r="D1728" s="136">
        <v>2007</v>
      </c>
      <c r="E1728" s="136">
        <v>2001</v>
      </c>
      <c r="F1728" s="136" t="s">
        <v>1465</v>
      </c>
      <c r="G1728" s="136" t="s">
        <v>1466</v>
      </c>
      <c r="H1728" s="136" t="s">
        <v>2831</v>
      </c>
      <c r="I1728" s="136">
        <v>42.74</v>
      </c>
      <c r="J1728" s="136">
        <v>-84.48</v>
      </c>
      <c r="K1728" s="136">
        <v>260</v>
      </c>
      <c r="P1728" s="137"/>
      <c r="Q1728" s="137" t="s">
        <v>1735</v>
      </c>
      <c r="R1728" s="137" t="s">
        <v>1735</v>
      </c>
      <c r="T1728" s="137" t="s">
        <v>1974</v>
      </c>
      <c r="U1728" s="137" t="s">
        <v>1407</v>
      </c>
      <c r="V1728" s="137" t="s">
        <v>1727</v>
      </c>
      <c r="W1728" s="137" t="s">
        <v>1393</v>
      </c>
      <c r="X1728" s="137" t="s">
        <v>1421</v>
      </c>
      <c r="Z1728" s="357"/>
      <c r="AA1728" s="357"/>
      <c r="AB1728" s="136" t="s">
        <v>140</v>
      </c>
      <c r="AG1728" s="136" t="s">
        <v>117</v>
      </c>
      <c r="AH1728" s="138" t="s">
        <v>1585</v>
      </c>
      <c r="AI1728" s="136" t="s">
        <v>159</v>
      </c>
      <c r="AJ1728" s="140" t="s">
        <v>1615</v>
      </c>
      <c r="AT1728" s="32" t="s">
        <v>161</v>
      </c>
      <c r="AU1728" s="32">
        <v>4</v>
      </c>
      <c r="AV1728" s="32"/>
      <c r="AW1728" s="32" t="s">
        <v>336</v>
      </c>
      <c r="BM1728" s="432"/>
      <c r="BN1728" s="432"/>
      <c r="BR1728" s="432"/>
      <c r="BS1728" s="432"/>
      <c r="BW1728" s="136">
        <v>2.7</v>
      </c>
      <c r="BX1728" s="136">
        <v>1.9</v>
      </c>
      <c r="CA1728" s="136" t="s">
        <v>1681</v>
      </c>
    </row>
    <row r="1729" spans="1:79" s="136" customFormat="1" x14ac:dyDescent="0.25">
      <c r="A1729" s="136">
        <v>82</v>
      </c>
      <c r="B1729" s="136" t="s">
        <v>1463</v>
      </c>
      <c r="C1729" s="136" t="s">
        <v>1464</v>
      </c>
      <c r="D1729" s="136">
        <v>2007</v>
      </c>
      <c r="E1729" s="136">
        <v>2001</v>
      </c>
      <c r="F1729" s="136" t="s">
        <v>1465</v>
      </c>
      <c r="G1729" s="136" t="s">
        <v>1466</v>
      </c>
      <c r="H1729" s="136" t="s">
        <v>2831</v>
      </c>
      <c r="I1729" s="136">
        <v>42.74</v>
      </c>
      <c r="J1729" s="136">
        <v>-84.48</v>
      </c>
      <c r="K1729" s="136">
        <v>260</v>
      </c>
      <c r="P1729" s="137"/>
      <c r="Q1729" s="137" t="s">
        <v>1735</v>
      </c>
      <c r="R1729" s="137" t="s">
        <v>1735</v>
      </c>
      <c r="T1729" s="137" t="s">
        <v>1974</v>
      </c>
      <c r="U1729" s="137" t="s">
        <v>1407</v>
      </c>
      <c r="V1729" s="137" t="s">
        <v>1727</v>
      </c>
      <c r="W1729" s="137" t="s">
        <v>1393</v>
      </c>
      <c r="X1729" s="137" t="s">
        <v>1421</v>
      </c>
      <c r="Z1729" s="357"/>
      <c r="AA1729" s="357"/>
      <c r="AB1729" s="136" t="s">
        <v>140</v>
      </c>
      <c r="AG1729" s="136" t="s">
        <v>132</v>
      </c>
      <c r="AH1729" s="138" t="s">
        <v>132</v>
      </c>
      <c r="AI1729" s="136" t="s">
        <v>159</v>
      </c>
      <c r="AJ1729" s="140" t="s">
        <v>1615</v>
      </c>
      <c r="AT1729" s="32" t="s">
        <v>161</v>
      </c>
      <c r="AU1729" s="32">
        <v>4</v>
      </c>
      <c r="AV1729" s="32"/>
      <c r="AW1729" s="32" t="s">
        <v>336</v>
      </c>
      <c r="BM1729" s="432"/>
      <c r="BN1729" s="432"/>
      <c r="BR1729" s="432"/>
      <c r="BS1729" s="432"/>
      <c r="BW1729" s="136">
        <v>2.7</v>
      </c>
      <c r="BX1729" s="136">
        <v>1.9</v>
      </c>
      <c r="CA1729" s="136" t="s">
        <v>1681</v>
      </c>
    </row>
    <row r="1730" spans="1:79" s="136" customFormat="1" x14ac:dyDescent="0.25">
      <c r="A1730" s="136">
        <v>82</v>
      </c>
      <c r="B1730" s="136" t="s">
        <v>1463</v>
      </c>
      <c r="C1730" s="136" t="s">
        <v>1464</v>
      </c>
      <c r="D1730" s="136">
        <v>2007</v>
      </c>
      <c r="E1730" s="136">
        <v>2001</v>
      </c>
      <c r="F1730" s="136" t="s">
        <v>1465</v>
      </c>
      <c r="G1730" s="136" t="s">
        <v>1466</v>
      </c>
      <c r="H1730" s="136" t="s">
        <v>2831</v>
      </c>
      <c r="I1730" s="136">
        <v>42.74</v>
      </c>
      <c r="J1730" s="136">
        <v>-84.48</v>
      </c>
      <c r="K1730" s="136">
        <v>260</v>
      </c>
      <c r="P1730" s="137"/>
      <c r="Q1730" s="137" t="s">
        <v>1735</v>
      </c>
      <c r="R1730" s="137" t="s">
        <v>1735</v>
      </c>
      <c r="T1730" s="137" t="s">
        <v>1974</v>
      </c>
      <c r="U1730" s="137" t="s">
        <v>1407</v>
      </c>
      <c r="V1730" s="137" t="s">
        <v>1727</v>
      </c>
      <c r="W1730" s="137" t="s">
        <v>1393</v>
      </c>
      <c r="X1730" s="137" t="s">
        <v>1421</v>
      </c>
      <c r="Z1730" s="357"/>
      <c r="AA1730" s="357"/>
      <c r="AB1730" s="136" t="s">
        <v>140</v>
      </c>
      <c r="AG1730" s="136" t="s">
        <v>1549</v>
      </c>
      <c r="AH1730" s="138" t="s">
        <v>132</v>
      </c>
      <c r="AI1730" s="136" t="s">
        <v>159</v>
      </c>
      <c r="AJ1730" s="140" t="s">
        <v>1615</v>
      </c>
      <c r="AT1730" s="32" t="s">
        <v>161</v>
      </c>
      <c r="AU1730" s="32">
        <v>4</v>
      </c>
      <c r="AV1730" s="32"/>
      <c r="AW1730" s="32" t="s">
        <v>336</v>
      </c>
      <c r="BM1730" s="432"/>
      <c r="BN1730" s="432"/>
      <c r="BR1730" s="432"/>
      <c r="BS1730" s="432"/>
      <c r="BW1730" s="136">
        <v>2.7</v>
      </c>
      <c r="BX1730" s="136">
        <v>1.8</v>
      </c>
      <c r="CA1730" s="136" t="s">
        <v>1681</v>
      </c>
    </row>
    <row r="1731" spans="1:79" s="136" customFormat="1" x14ac:dyDescent="0.25">
      <c r="A1731" s="136">
        <v>82</v>
      </c>
      <c r="B1731" s="136" t="s">
        <v>1463</v>
      </c>
      <c r="C1731" s="136" t="s">
        <v>1464</v>
      </c>
      <c r="D1731" s="136">
        <v>2007</v>
      </c>
      <c r="E1731" s="136">
        <v>2001</v>
      </c>
      <c r="F1731" s="136" t="s">
        <v>1465</v>
      </c>
      <c r="G1731" s="136" t="s">
        <v>1466</v>
      </c>
      <c r="H1731" s="136" t="s">
        <v>2831</v>
      </c>
      <c r="I1731" s="136">
        <v>42.74</v>
      </c>
      <c r="J1731" s="136">
        <v>-84.48</v>
      </c>
      <c r="K1731" s="136">
        <v>260</v>
      </c>
      <c r="P1731" s="137"/>
      <c r="Q1731" s="137" t="s">
        <v>1735</v>
      </c>
      <c r="R1731" s="137" t="s">
        <v>1735</v>
      </c>
      <c r="T1731" s="137" t="s">
        <v>1974</v>
      </c>
      <c r="U1731" s="137" t="s">
        <v>1407</v>
      </c>
      <c r="V1731" s="137" t="s">
        <v>1727</v>
      </c>
      <c r="W1731" s="137" t="s">
        <v>1393</v>
      </c>
      <c r="X1731" s="137" t="s">
        <v>1421</v>
      </c>
      <c r="Z1731" s="357"/>
      <c r="AA1731" s="357"/>
      <c r="AB1731" s="136" t="s">
        <v>140</v>
      </c>
      <c r="AG1731" s="136" t="s">
        <v>1550</v>
      </c>
      <c r="AH1731" s="138" t="s">
        <v>1585</v>
      </c>
      <c r="AI1731" s="136" t="s">
        <v>159</v>
      </c>
      <c r="AJ1731" s="140" t="s">
        <v>1615</v>
      </c>
      <c r="AT1731" s="32" t="s">
        <v>161</v>
      </c>
      <c r="AU1731" s="32">
        <v>4</v>
      </c>
      <c r="AV1731" s="32"/>
      <c r="AW1731" s="32" t="s">
        <v>336</v>
      </c>
      <c r="BM1731" s="432"/>
      <c r="BN1731" s="432"/>
      <c r="BR1731" s="432"/>
      <c r="BS1731" s="432"/>
      <c r="BW1731" s="136">
        <v>2.7</v>
      </c>
      <c r="BX1731" s="136">
        <v>1.7</v>
      </c>
      <c r="CA1731" s="136" t="s">
        <v>1681</v>
      </c>
    </row>
    <row r="1732" spans="1:79" s="136" customFormat="1" x14ac:dyDescent="0.25">
      <c r="A1732" s="136">
        <v>82</v>
      </c>
      <c r="B1732" s="136" t="s">
        <v>1463</v>
      </c>
      <c r="C1732" s="136" t="s">
        <v>1464</v>
      </c>
      <c r="D1732" s="136">
        <v>2007</v>
      </c>
      <c r="E1732" s="136">
        <v>2001</v>
      </c>
      <c r="F1732" s="136" t="s">
        <v>1465</v>
      </c>
      <c r="G1732" s="136" t="s">
        <v>1466</v>
      </c>
      <c r="H1732" s="136" t="s">
        <v>2831</v>
      </c>
      <c r="I1732" s="136">
        <v>42.74</v>
      </c>
      <c r="J1732" s="136">
        <v>-84.48</v>
      </c>
      <c r="K1732" s="136">
        <v>260</v>
      </c>
      <c r="P1732" s="137"/>
      <c r="Q1732" s="137" t="s">
        <v>1735</v>
      </c>
      <c r="R1732" s="137" t="s">
        <v>1735</v>
      </c>
      <c r="T1732" s="137" t="s">
        <v>1974</v>
      </c>
      <c r="U1732" s="137" t="s">
        <v>1407</v>
      </c>
      <c r="V1732" s="137" t="s">
        <v>1727</v>
      </c>
      <c r="W1732" s="137" t="s">
        <v>1393</v>
      </c>
      <c r="X1732" s="137" t="s">
        <v>1421</v>
      </c>
      <c r="Z1732" s="357"/>
      <c r="AA1732" s="357"/>
      <c r="AB1732" s="136" t="s">
        <v>140</v>
      </c>
      <c r="AG1732" s="136" t="s">
        <v>1551</v>
      </c>
      <c r="AH1732" s="138" t="s">
        <v>1585</v>
      </c>
      <c r="AI1732" s="136" t="s">
        <v>159</v>
      </c>
      <c r="AJ1732" s="140" t="s">
        <v>1615</v>
      </c>
      <c r="AT1732" s="32" t="s">
        <v>161</v>
      </c>
      <c r="AU1732" s="32">
        <v>4</v>
      </c>
      <c r="AV1732" s="32"/>
      <c r="AW1732" s="32" t="s">
        <v>336</v>
      </c>
      <c r="BM1732" s="432"/>
      <c r="BN1732" s="432"/>
      <c r="BR1732" s="432"/>
      <c r="BS1732" s="432"/>
      <c r="BW1732" s="136">
        <v>2.7</v>
      </c>
      <c r="BX1732" s="136">
        <v>1.6</v>
      </c>
      <c r="CA1732" s="136" t="s">
        <v>1681</v>
      </c>
    </row>
    <row r="1733" spans="1:79" s="136" customFormat="1" x14ac:dyDescent="0.25">
      <c r="A1733" s="136">
        <v>82</v>
      </c>
      <c r="B1733" s="136" t="s">
        <v>1463</v>
      </c>
      <c r="C1733" s="136" t="s">
        <v>1464</v>
      </c>
      <c r="D1733" s="136">
        <v>2007</v>
      </c>
      <c r="E1733" s="136">
        <v>2001</v>
      </c>
      <c r="F1733" s="136" t="s">
        <v>1465</v>
      </c>
      <c r="G1733" s="136" t="s">
        <v>1466</v>
      </c>
      <c r="H1733" s="136" t="s">
        <v>2831</v>
      </c>
      <c r="I1733" s="136">
        <v>42.74</v>
      </c>
      <c r="J1733" s="136">
        <v>-84.48</v>
      </c>
      <c r="K1733" s="136">
        <v>260</v>
      </c>
      <c r="P1733" s="137"/>
      <c r="Q1733" s="137" t="s">
        <v>1735</v>
      </c>
      <c r="R1733" s="137" t="s">
        <v>1735</v>
      </c>
      <c r="T1733" s="137" t="s">
        <v>1974</v>
      </c>
      <c r="U1733" s="137" t="s">
        <v>1407</v>
      </c>
      <c r="V1733" s="137" t="s">
        <v>1727</v>
      </c>
      <c r="W1733" s="137" t="s">
        <v>1393</v>
      </c>
      <c r="X1733" s="137" t="s">
        <v>1421</v>
      </c>
      <c r="Z1733" s="357"/>
      <c r="AA1733" s="357"/>
      <c r="AB1733" s="136" t="s">
        <v>140</v>
      </c>
      <c r="AG1733" s="136" t="s">
        <v>1552</v>
      </c>
      <c r="AH1733" s="138" t="s">
        <v>1585</v>
      </c>
      <c r="AI1733" s="136" t="s">
        <v>159</v>
      </c>
      <c r="AJ1733" s="140" t="s">
        <v>1615</v>
      </c>
      <c r="AT1733" s="32" t="s">
        <v>161</v>
      </c>
      <c r="AU1733" s="32">
        <v>4</v>
      </c>
      <c r="AV1733" s="32"/>
      <c r="AW1733" s="32" t="s">
        <v>336</v>
      </c>
      <c r="BM1733" s="432"/>
      <c r="BN1733" s="432"/>
      <c r="BR1733" s="432"/>
      <c r="BS1733" s="432"/>
      <c r="BW1733" s="136">
        <v>2.7</v>
      </c>
      <c r="BX1733" s="136">
        <v>1.6</v>
      </c>
      <c r="CA1733" s="136" t="s">
        <v>1681</v>
      </c>
    </row>
    <row r="1734" spans="1:79" s="136" customFormat="1" x14ac:dyDescent="0.25">
      <c r="A1734" s="136">
        <v>82</v>
      </c>
      <c r="B1734" s="136" t="s">
        <v>1463</v>
      </c>
      <c r="C1734" s="136" t="s">
        <v>1464</v>
      </c>
      <c r="D1734" s="136">
        <v>2007</v>
      </c>
      <c r="E1734" s="136">
        <v>2001</v>
      </c>
      <c r="F1734" s="136" t="s">
        <v>1465</v>
      </c>
      <c r="G1734" s="136" t="s">
        <v>1466</v>
      </c>
      <c r="H1734" s="136" t="s">
        <v>2831</v>
      </c>
      <c r="I1734" s="136">
        <v>42.74</v>
      </c>
      <c r="J1734" s="136">
        <v>-84.48</v>
      </c>
      <c r="K1734" s="136">
        <v>260</v>
      </c>
      <c r="P1734" s="137"/>
      <c r="Q1734" s="137" t="s">
        <v>1735</v>
      </c>
      <c r="R1734" s="137" t="s">
        <v>1735</v>
      </c>
      <c r="T1734" s="137" t="s">
        <v>1974</v>
      </c>
      <c r="U1734" s="137" t="s">
        <v>1407</v>
      </c>
      <c r="V1734" s="137" t="s">
        <v>1727</v>
      </c>
      <c r="W1734" s="137" t="s">
        <v>1393</v>
      </c>
      <c r="X1734" s="137" t="s">
        <v>1421</v>
      </c>
      <c r="Z1734" s="357"/>
      <c r="AA1734" s="357"/>
      <c r="AB1734" s="136" t="s">
        <v>140</v>
      </c>
      <c r="AG1734" s="136" t="s">
        <v>1553</v>
      </c>
      <c r="AH1734" s="138" t="s">
        <v>1585</v>
      </c>
      <c r="AI1734" s="136" t="s">
        <v>159</v>
      </c>
      <c r="AJ1734" s="140" t="s">
        <v>1615</v>
      </c>
      <c r="AT1734" s="32" t="s">
        <v>161</v>
      </c>
      <c r="AU1734" s="32">
        <v>4</v>
      </c>
      <c r="AV1734" s="32"/>
      <c r="AW1734" s="32" t="s">
        <v>336</v>
      </c>
      <c r="BM1734" s="432"/>
      <c r="BN1734" s="432"/>
      <c r="BR1734" s="432"/>
      <c r="BS1734" s="432"/>
      <c r="BW1734" s="136">
        <v>2.7</v>
      </c>
      <c r="BX1734" s="136">
        <v>1.6</v>
      </c>
      <c r="CA1734" s="136" t="s">
        <v>1681</v>
      </c>
    </row>
    <row r="1735" spans="1:79" s="32" customFormat="1" x14ac:dyDescent="0.25">
      <c r="A1735" s="32">
        <v>82</v>
      </c>
      <c r="B1735" s="32" t="s">
        <v>1463</v>
      </c>
      <c r="C1735" s="32" t="s">
        <v>1464</v>
      </c>
      <c r="D1735" s="32">
        <v>2007</v>
      </c>
      <c r="E1735" s="32">
        <v>2000</v>
      </c>
      <c r="F1735" s="32" t="s">
        <v>1465</v>
      </c>
      <c r="G1735" s="32" t="s">
        <v>1466</v>
      </c>
      <c r="H1735" s="136" t="s">
        <v>2831</v>
      </c>
      <c r="I1735" s="32">
        <v>42.74</v>
      </c>
      <c r="J1735" s="32">
        <v>-84.48</v>
      </c>
      <c r="K1735" s="32">
        <v>260</v>
      </c>
      <c r="P1735" s="44"/>
      <c r="Q1735" s="44" t="s">
        <v>1856</v>
      </c>
      <c r="R1735" s="44" t="s">
        <v>1735</v>
      </c>
      <c r="T1735" s="44" t="s">
        <v>1974</v>
      </c>
      <c r="U1735" s="44" t="s">
        <v>1393</v>
      </c>
      <c r="V1735" s="44" t="s">
        <v>1727</v>
      </c>
      <c r="W1735" s="44" t="s">
        <v>1393</v>
      </c>
      <c r="X1735" s="44" t="s">
        <v>1421</v>
      </c>
      <c r="Z1735" s="323"/>
      <c r="AA1735" s="323"/>
      <c r="AB1735" s="32" t="s">
        <v>140</v>
      </c>
      <c r="AG1735" s="32" t="s">
        <v>117</v>
      </c>
      <c r="AH1735" s="138" t="s">
        <v>1585</v>
      </c>
      <c r="AI1735" s="32" t="s">
        <v>133</v>
      </c>
      <c r="AJ1735" s="140" t="s">
        <v>1615</v>
      </c>
      <c r="AT1735" s="32" t="s">
        <v>161</v>
      </c>
      <c r="AU1735" s="32">
        <v>4</v>
      </c>
      <c r="AW1735" s="32" t="s">
        <v>336</v>
      </c>
      <c r="BM1735" s="397"/>
      <c r="BN1735" s="397"/>
      <c r="BR1735" s="397"/>
      <c r="BS1735" s="397"/>
      <c r="BW1735" s="32">
        <v>6.1</v>
      </c>
      <c r="BX1735" s="32">
        <v>6.4</v>
      </c>
      <c r="CA1735" s="32" t="s">
        <v>1681</v>
      </c>
    </row>
    <row r="1736" spans="1:79" s="32" customFormat="1" x14ac:dyDescent="0.25">
      <c r="A1736" s="32">
        <v>82</v>
      </c>
      <c r="B1736" s="32" t="s">
        <v>1463</v>
      </c>
      <c r="C1736" s="32" t="s">
        <v>1464</v>
      </c>
      <c r="D1736" s="32">
        <v>2007</v>
      </c>
      <c r="E1736" s="32">
        <v>2000</v>
      </c>
      <c r="F1736" s="32" t="s">
        <v>1465</v>
      </c>
      <c r="G1736" s="32" t="s">
        <v>1466</v>
      </c>
      <c r="H1736" s="136" t="s">
        <v>2831</v>
      </c>
      <c r="I1736" s="32">
        <v>42.74</v>
      </c>
      <c r="J1736" s="32">
        <v>-84.48</v>
      </c>
      <c r="K1736" s="32">
        <v>260</v>
      </c>
      <c r="P1736" s="44"/>
      <c r="Q1736" s="44" t="s">
        <v>1856</v>
      </c>
      <c r="R1736" s="44" t="s">
        <v>1735</v>
      </c>
      <c r="T1736" s="44" t="s">
        <v>1974</v>
      </c>
      <c r="U1736" s="44" t="s">
        <v>1393</v>
      </c>
      <c r="V1736" s="44" t="s">
        <v>1727</v>
      </c>
      <c r="W1736" s="44" t="s">
        <v>1393</v>
      </c>
      <c r="X1736" s="44" t="s">
        <v>1421</v>
      </c>
      <c r="Z1736" s="323"/>
      <c r="AA1736" s="323"/>
      <c r="AB1736" s="32" t="s">
        <v>140</v>
      </c>
      <c r="AG1736" s="32" t="s">
        <v>132</v>
      </c>
      <c r="AH1736" s="138" t="s">
        <v>132</v>
      </c>
      <c r="AI1736" s="32" t="s">
        <v>133</v>
      </c>
      <c r="AJ1736" s="140" t="s">
        <v>1615</v>
      </c>
      <c r="AT1736" s="32" t="s">
        <v>161</v>
      </c>
      <c r="AU1736" s="32">
        <v>4</v>
      </c>
      <c r="AW1736" s="32" t="s">
        <v>336</v>
      </c>
      <c r="BM1736" s="397"/>
      <c r="BN1736" s="397"/>
      <c r="BR1736" s="397"/>
      <c r="BS1736" s="397"/>
      <c r="BW1736" s="32">
        <v>6.1</v>
      </c>
      <c r="BX1736" s="32">
        <v>6.5</v>
      </c>
      <c r="CA1736" s="32" t="s">
        <v>1681</v>
      </c>
    </row>
    <row r="1737" spans="1:79" s="32" customFormat="1" x14ac:dyDescent="0.25">
      <c r="A1737" s="32">
        <v>82</v>
      </c>
      <c r="B1737" s="32" t="s">
        <v>1463</v>
      </c>
      <c r="C1737" s="32" t="s">
        <v>1464</v>
      </c>
      <c r="D1737" s="32">
        <v>2007</v>
      </c>
      <c r="E1737" s="32">
        <v>2000</v>
      </c>
      <c r="F1737" s="32" t="s">
        <v>1465</v>
      </c>
      <c r="G1737" s="32" t="s">
        <v>1466</v>
      </c>
      <c r="H1737" s="136" t="s">
        <v>2831</v>
      </c>
      <c r="I1737" s="32">
        <v>42.74</v>
      </c>
      <c r="J1737" s="32">
        <v>-84.48</v>
      </c>
      <c r="K1737" s="32">
        <v>260</v>
      </c>
      <c r="P1737" s="44"/>
      <c r="Q1737" s="44" t="s">
        <v>1856</v>
      </c>
      <c r="R1737" s="44" t="s">
        <v>1735</v>
      </c>
      <c r="T1737" s="44" t="s">
        <v>1974</v>
      </c>
      <c r="U1737" s="44" t="s">
        <v>1393</v>
      </c>
      <c r="V1737" s="44" t="s">
        <v>1727</v>
      </c>
      <c r="W1737" s="44" t="s">
        <v>1393</v>
      </c>
      <c r="X1737" s="44" t="s">
        <v>1421</v>
      </c>
      <c r="Z1737" s="323"/>
      <c r="AA1737" s="323"/>
      <c r="AB1737" s="32" t="s">
        <v>140</v>
      </c>
      <c r="AG1737" s="32" t="s">
        <v>1549</v>
      </c>
      <c r="AH1737" s="138" t="s">
        <v>132</v>
      </c>
      <c r="AI1737" s="32" t="s">
        <v>133</v>
      </c>
      <c r="AJ1737" s="140" t="s">
        <v>1615</v>
      </c>
      <c r="AT1737" s="32" t="s">
        <v>161</v>
      </c>
      <c r="AU1737" s="32">
        <v>4</v>
      </c>
      <c r="AW1737" s="32" t="s">
        <v>336</v>
      </c>
      <c r="BM1737" s="397"/>
      <c r="BN1737" s="397"/>
      <c r="BR1737" s="397"/>
      <c r="BS1737" s="397"/>
      <c r="BW1737" s="32">
        <v>6.1</v>
      </c>
      <c r="BX1737" s="32">
        <v>9.1</v>
      </c>
      <c r="CA1737" s="32" t="s">
        <v>1681</v>
      </c>
    </row>
    <row r="1738" spans="1:79" s="32" customFormat="1" x14ac:dyDescent="0.25">
      <c r="A1738" s="32">
        <v>82</v>
      </c>
      <c r="B1738" s="32" t="s">
        <v>1463</v>
      </c>
      <c r="C1738" s="32" t="s">
        <v>1464</v>
      </c>
      <c r="D1738" s="32">
        <v>2007</v>
      </c>
      <c r="E1738" s="32">
        <v>2000</v>
      </c>
      <c r="F1738" s="32" t="s">
        <v>1465</v>
      </c>
      <c r="G1738" s="32" t="s">
        <v>1466</v>
      </c>
      <c r="H1738" s="136" t="s">
        <v>2831</v>
      </c>
      <c r="I1738" s="32">
        <v>42.74</v>
      </c>
      <c r="J1738" s="32">
        <v>-84.48</v>
      </c>
      <c r="K1738" s="32">
        <v>260</v>
      </c>
      <c r="P1738" s="44"/>
      <c r="Q1738" s="44" t="s">
        <v>1856</v>
      </c>
      <c r="R1738" s="44" t="s">
        <v>1735</v>
      </c>
      <c r="T1738" s="44" t="s">
        <v>1974</v>
      </c>
      <c r="U1738" s="44" t="s">
        <v>1393</v>
      </c>
      <c r="V1738" s="44" t="s">
        <v>1727</v>
      </c>
      <c r="W1738" s="44" t="s">
        <v>1393</v>
      </c>
      <c r="X1738" s="44" t="s">
        <v>1421</v>
      </c>
      <c r="Z1738" s="323"/>
      <c r="AA1738" s="323"/>
      <c r="AB1738" s="32" t="s">
        <v>140</v>
      </c>
      <c r="AG1738" s="32" t="s">
        <v>1550</v>
      </c>
      <c r="AH1738" s="138" t="s">
        <v>1585</v>
      </c>
      <c r="AI1738" s="32" t="s">
        <v>133</v>
      </c>
      <c r="AJ1738" s="140" t="s">
        <v>1615</v>
      </c>
      <c r="AT1738" s="32" t="s">
        <v>161</v>
      </c>
      <c r="AU1738" s="32">
        <v>4</v>
      </c>
      <c r="AW1738" s="32" t="s">
        <v>336</v>
      </c>
      <c r="BM1738" s="397"/>
      <c r="BN1738" s="397"/>
      <c r="BR1738" s="397"/>
      <c r="BS1738" s="397"/>
      <c r="BW1738" s="32">
        <v>6.1</v>
      </c>
      <c r="BX1738" s="32">
        <v>6.7</v>
      </c>
      <c r="CA1738" s="32" t="s">
        <v>1681</v>
      </c>
    </row>
    <row r="1739" spans="1:79" s="32" customFormat="1" x14ac:dyDescent="0.25">
      <c r="A1739" s="32">
        <v>82</v>
      </c>
      <c r="B1739" s="32" t="s">
        <v>1463</v>
      </c>
      <c r="C1739" s="32" t="s">
        <v>1464</v>
      </c>
      <c r="D1739" s="32">
        <v>2007</v>
      </c>
      <c r="E1739" s="32">
        <v>2000</v>
      </c>
      <c r="F1739" s="32" t="s">
        <v>1465</v>
      </c>
      <c r="G1739" s="32" t="s">
        <v>1466</v>
      </c>
      <c r="H1739" s="136" t="s">
        <v>2831</v>
      </c>
      <c r="I1739" s="32">
        <v>42.74</v>
      </c>
      <c r="J1739" s="32">
        <v>-84.48</v>
      </c>
      <c r="K1739" s="32">
        <v>260</v>
      </c>
      <c r="P1739" s="44"/>
      <c r="Q1739" s="44" t="s">
        <v>1856</v>
      </c>
      <c r="R1739" s="44" t="s">
        <v>1735</v>
      </c>
      <c r="T1739" s="44" t="s">
        <v>1974</v>
      </c>
      <c r="U1739" s="44" t="s">
        <v>1393</v>
      </c>
      <c r="V1739" s="44" t="s">
        <v>1727</v>
      </c>
      <c r="W1739" s="44" t="s">
        <v>1393</v>
      </c>
      <c r="X1739" s="44" t="s">
        <v>1421</v>
      </c>
      <c r="Z1739" s="323"/>
      <c r="AA1739" s="323"/>
      <c r="AB1739" s="32" t="s">
        <v>140</v>
      </c>
      <c r="AG1739" s="32" t="s">
        <v>1551</v>
      </c>
      <c r="AH1739" s="138" t="s">
        <v>1585</v>
      </c>
      <c r="AI1739" s="32" t="s">
        <v>133</v>
      </c>
      <c r="AJ1739" s="140" t="s">
        <v>1615</v>
      </c>
      <c r="AT1739" s="32" t="s">
        <v>161</v>
      </c>
      <c r="AU1739" s="32">
        <v>4</v>
      </c>
      <c r="AW1739" s="32" t="s">
        <v>336</v>
      </c>
      <c r="BM1739" s="397"/>
      <c r="BN1739" s="397"/>
      <c r="BR1739" s="397"/>
      <c r="BS1739" s="397"/>
      <c r="BW1739" s="32">
        <v>6.1</v>
      </c>
      <c r="BX1739" s="32">
        <v>5.7</v>
      </c>
      <c r="CA1739" s="32" t="s">
        <v>1681</v>
      </c>
    </row>
    <row r="1740" spans="1:79" s="32" customFormat="1" x14ac:dyDescent="0.25">
      <c r="A1740" s="32">
        <v>82</v>
      </c>
      <c r="B1740" s="32" t="s">
        <v>1463</v>
      </c>
      <c r="C1740" s="32" t="s">
        <v>1464</v>
      </c>
      <c r="D1740" s="32">
        <v>2007</v>
      </c>
      <c r="E1740" s="32">
        <v>2000</v>
      </c>
      <c r="F1740" s="32" t="s">
        <v>1465</v>
      </c>
      <c r="G1740" s="32" t="s">
        <v>1466</v>
      </c>
      <c r="H1740" s="136" t="s">
        <v>2831</v>
      </c>
      <c r="I1740" s="32">
        <v>42.74</v>
      </c>
      <c r="J1740" s="32">
        <v>-84.48</v>
      </c>
      <c r="K1740" s="32">
        <v>260</v>
      </c>
      <c r="P1740" s="44"/>
      <c r="Q1740" s="44" t="s">
        <v>1856</v>
      </c>
      <c r="R1740" s="44" t="s">
        <v>1735</v>
      </c>
      <c r="T1740" s="44" t="s">
        <v>1974</v>
      </c>
      <c r="U1740" s="44" t="s">
        <v>1393</v>
      </c>
      <c r="V1740" s="44" t="s">
        <v>1727</v>
      </c>
      <c r="W1740" s="44" t="s">
        <v>1393</v>
      </c>
      <c r="X1740" s="44" t="s">
        <v>1421</v>
      </c>
      <c r="Z1740" s="323"/>
      <c r="AA1740" s="323"/>
      <c r="AB1740" s="32" t="s">
        <v>140</v>
      </c>
      <c r="AG1740" s="32" t="s">
        <v>1552</v>
      </c>
      <c r="AH1740" s="138" t="s">
        <v>1585</v>
      </c>
      <c r="AI1740" s="32" t="s">
        <v>133</v>
      </c>
      <c r="AJ1740" s="140" t="s">
        <v>1615</v>
      </c>
      <c r="AT1740" s="32" t="s">
        <v>161</v>
      </c>
      <c r="AU1740" s="32">
        <v>4</v>
      </c>
      <c r="AW1740" s="32" t="s">
        <v>336</v>
      </c>
      <c r="BM1740" s="397"/>
      <c r="BN1740" s="397"/>
      <c r="BR1740" s="397"/>
      <c r="BS1740" s="397"/>
      <c r="BW1740" s="32">
        <v>6.1</v>
      </c>
      <c r="BX1740" s="32">
        <v>5</v>
      </c>
      <c r="CA1740" s="32" t="s">
        <v>1681</v>
      </c>
    </row>
    <row r="1741" spans="1:79" s="32" customFormat="1" x14ac:dyDescent="0.25">
      <c r="A1741" s="32">
        <v>82</v>
      </c>
      <c r="B1741" s="32" t="s">
        <v>1463</v>
      </c>
      <c r="C1741" s="32" t="s">
        <v>1464</v>
      </c>
      <c r="D1741" s="32">
        <v>2007</v>
      </c>
      <c r="E1741" s="32">
        <v>2000</v>
      </c>
      <c r="F1741" s="32" t="s">
        <v>1465</v>
      </c>
      <c r="G1741" s="32" t="s">
        <v>1466</v>
      </c>
      <c r="H1741" s="136" t="s">
        <v>2831</v>
      </c>
      <c r="I1741" s="32">
        <v>42.74</v>
      </c>
      <c r="J1741" s="32">
        <v>-84.48</v>
      </c>
      <c r="K1741" s="32">
        <v>260</v>
      </c>
      <c r="P1741" s="44"/>
      <c r="Q1741" s="44" t="s">
        <v>1856</v>
      </c>
      <c r="R1741" s="44" t="s">
        <v>1735</v>
      </c>
      <c r="T1741" s="44" t="s">
        <v>1974</v>
      </c>
      <c r="U1741" s="44" t="s">
        <v>1393</v>
      </c>
      <c r="V1741" s="44" t="s">
        <v>1727</v>
      </c>
      <c r="W1741" s="44" t="s">
        <v>1393</v>
      </c>
      <c r="X1741" s="44" t="s">
        <v>1421</v>
      </c>
      <c r="Z1741" s="323"/>
      <c r="AA1741" s="323"/>
      <c r="AB1741" s="32" t="s">
        <v>140</v>
      </c>
      <c r="AG1741" s="32" t="s">
        <v>1553</v>
      </c>
      <c r="AH1741" s="138" t="s">
        <v>1585</v>
      </c>
      <c r="AI1741" s="32" t="s">
        <v>133</v>
      </c>
      <c r="AJ1741" s="140" t="s">
        <v>1615</v>
      </c>
      <c r="AT1741" s="32" t="s">
        <v>161</v>
      </c>
      <c r="AU1741" s="32">
        <v>4</v>
      </c>
      <c r="AW1741" s="32" t="s">
        <v>336</v>
      </c>
      <c r="BM1741" s="397"/>
      <c r="BN1741" s="397"/>
      <c r="BR1741" s="397"/>
      <c r="BS1741" s="397"/>
      <c r="BW1741" s="32">
        <v>6.1</v>
      </c>
      <c r="BX1741" s="32">
        <v>4.5999999999999996</v>
      </c>
      <c r="CA1741" s="32" t="s">
        <v>1681</v>
      </c>
    </row>
    <row r="1742" spans="1:79" s="134" customFormat="1" x14ac:dyDescent="0.25">
      <c r="A1742" s="134">
        <v>82</v>
      </c>
      <c r="B1742" s="134" t="s">
        <v>1463</v>
      </c>
      <c r="C1742" s="134" t="s">
        <v>1464</v>
      </c>
      <c r="D1742" s="134">
        <v>2007</v>
      </c>
      <c r="E1742" s="134">
        <v>2000</v>
      </c>
      <c r="F1742" s="134" t="s">
        <v>1465</v>
      </c>
      <c r="G1742" s="134" t="s">
        <v>1466</v>
      </c>
      <c r="H1742" s="136" t="s">
        <v>2831</v>
      </c>
      <c r="I1742" s="134">
        <v>42.74</v>
      </c>
      <c r="J1742" s="134">
        <v>-84.48</v>
      </c>
      <c r="K1742" s="134">
        <v>260</v>
      </c>
      <c r="P1742" s="135"/>
      <c r="Q1742" s="135" t="s">
        <v>1856</v>
      </c>
      <c r="R1742" s="44" t="s">
        <v>1735</v>
      </c>
      <c r="T1742" s="44" t="s">
        <v>1974</v>
      </c>
      <c r="U1742" s="135" t="s">
        <v>1406</v>
      </c>
      <c r="V1742" s="135" t="s">
        <v>1727</v>
      </c>
      <c r="W1742" s="135" t="s">
        <v>1393</v>
      </c>
      <c r="X1742" s="135" t="s">
        <v>1421</v>
      </c>
      <c r="Z1742" s="356"/>
      <c r="AA1742" s="356"/>
      <c r="AB1742" s="134" t="s">
        <v>140</v>
      </c>
      <c r="AG1742" s="134" t="s">
        <v>117</v>
      </c>
      <c r="AH1742" s="138" t="s">
        <v>1585</v>
      </c>
      <c r="AI1742" s="134" t="s">
        <v>133</v>
      </c>
      <c r="AJ1742" s="140" t="s">
        <v>1615</v>
      </c>
      <c r="AT1742" s="32" t="s">
        <v>161</v>
      </c>
      <c r="AU1742" s="32">
        <v>4</v>
      </c>
      <c r="AV1742" s="32"/>
      <c r="AW1742" s="32" t="s">
        <v>336</v>
      </c>
      <c r="BM1742" s="431"/>
      <c r="BN1742" s="431"/>
      <c r="BR1742" s="431"/>
      <c r="BS1742" s="431"/>
      <c r="BW1742" s="134">
        <v>5.7</v>
      </c>
      <c r="BX1742" s="134">
        <v>5.3</v>
      </c>
      <c r="BY1742" s="32"/>
      <c r="BZ1742" s="32"/>
      <c r="CA1742" s="32" t="s">
        <v>1681</v>
      </c>
    </row>
    <row r="1743" spans="1:79" s="134" customFormat="1" x14ac:dyDescent="0.25">
      <c r="A1743" s="134">
        <v>82</v>
      </c>
      <c r="B1743" s="134" t="s">
        <v>1463</v>
      </c>
      <c r="C1743" s="134" t="s">
        <v>1464</v>
      </c>
      <c r="D1743" s="134">
        <v>2007</v>
      </c>
      <c r="E1743" s="134">
        <v>2000</v>
      </c>
      <c r="F1743" s="134" t="s">
        <v>1465</v>
      </c>
      <c r="G1743" s="134" t="s">
        <v>1466</v>
      </c>
      <c r="H1743" s="136" t="s">
        <v>2831</v>
      </c>
      <c r="I1743" s="134">
        <v>42.74</v>
      </c>
      <c r="J1743" s="134">
        <v>-84.48</v>
      </c>
      <c r="K1743" s="134">
        <v>260</v>
      </c>
      <c r="P1743" s="135"/>
      <c r="Q1743" s="135" t="s">
        <v>1856</v>
      </c>
      <c r="R1743" s="44" t="s">
        <v>1735</v>
      </c>
      <c r="T1743" s="44" t="s">
        <v>1974</v>
      </c>
      <c r="U1743" s="135" t="s">
        <v>1406</v>
      </c>
      <c r="V1743" s="135" t="s">
        <v>1727</v>
      </c>
      <c r="W1743" s="135" t="s">
        <v>1393</v>
      </c>
      <c r="X1743" s="135" t="s">
        <v>1421</v>
      </c>
      <c r="Z1743" s="356"/>
      <c r="AA1743" s="356"/>
      <c r="AB1743" s="134" t="s">
        <v>140</v>
      </c>
      <c r="AG1743" s="134" t="s">
        <v>132</v>
      </c>
      <c r="AH1743" s="138" t="s">
        <v>132</v>
      </c>
      <c r="AI1743" s="134" t="s">
        <v>133</v>
      </c>
      <c r="AJ1743" s="140" t="s">
        <v>1615</v>
      </c>
      <c r="AT1743" s="32" t="s">
        <v>161</v>
      </c>
      <c r="AU1743" s="32">
        <v>4</v>
      </c>
      <c r="AV1743" s="32"/>
      <c r="AW1743" s="32" t="s">
        <v>336</v>
      </c>
      <c r="BM1743" s="431"/>
      <c r="BN1743" s="431"/>
      <c r="BR1743" s="431"/>
      <c r="BS1743" s="431"/>
      <c r="BW1743" s="134">
        <v>5.7</v>
      </c>
      <c r="BX1743" s="134">
        <v>4.4000000000000004</v>
      </c>
      <c r="BY1743" s="32"/>
      <c r="BZ1743" s="32"/>
      <c r="CA1743" s="32" t="s">
        <v>1681</v>
      </c>
    </row>
    <row r="1744" spans="1:79" s="134" customFormat="1" x14ac:dyDescent="0.25">
      <c r="A1744" s="134">
        <v>82</v>
      </c>
      <c r="B1744" s="134" t="s">
        <v>1463</v>
      </c>
      <c r="C1744" s="134" t="s">
        <v>1464</v>
      </c>
      <c r="D1744" s="134">
        <v>2007</v>
      </c>
      <c r="E1744" s="134">
        <v>2000</v>
      </c>
      <c r="F1744" s="134" t="s">
        <v>1465</v>
      </c>
      <c r="G1744" s="134" t="s">
        <v>1466</v>
      </c>
      <c r="H1744" s="136" t="s">
        <v>2831</v>
      </c>
      <c r="I1744" s="134">
        <v>42.74</v>
      </c>
      <c r="J1744" s="134">
        <v>-84.48</v>
      </c>
      <c r="K1744" s="134">
        <v>260</v>
      </c>
      <c r="P1744" s="135"/>
      <c r="Q1744" s="135" t="s">
        <v>1856</v>
      </c>
      <c r="R1744" s="44" t="s">
        <v>1735</v>
      </c>
      <c r="T1744" s="44" t="s">
        <v>1974</v>
      </c>
      <c r="U1744" s="135" t="s">
        <v>1406</v>
      </c>
      <c r="V1744" s="135" t="s">
        <v>1727</v>
      </c>
      <c r="W1744" s="135" t="s">
        <v>1393</v>
      </c>
      <c r="X1744" s="135" t="s">
        <v>1421</v>
      </c>
      <c r="Z1744" s="356"/>
      <c r="AA1744" s="356"/>
      <c r="AB1744" s="134" t="s">
        <v>140</v>
      </c>
      <c r="AG1744" s="134" t="s">
        <v>1549</v>
      </c>
      <c r="AH1744" s="138" t="s">
        <v>132</v>
      </c>
      <c r="AI1744" s="134" t="s">
        <v>133</v>
      </c>
      <c r="AJ1744" s="140" t="s">
        <v>1615</v>
      </c>
      <c r="AT1744" s="32" t="s">
        <v>161</v>
      </c>
      <c r="AU1744" s="32">
        <v>4</v>
      </c>
      <c r="AV1744" s="32"/>
      <c r="AW1744" s="32" t="s">
        <v>336</v>
      </c>
      <c r="BM1744" s="431"/>
      <c r="BN1744" s="431"/>
      <c r="BR1744" s="431"/>
      <c r="BS1744" s="431"/>
      <c r="BW1744" s="134">
        <v>5.7</v>
      </c>
      <c r="BX1744" s="134">
        <v>3.2</v>
      </c>
      <c r="BY1744" s="32"/>
      <c r="BZ1744" s="32"/>
      <c r="CA1744" s="32" t="s">
        <v>1681</v>
      </c>
    </row>
    <row r="1745" spans="1:79" s="134" customFormat="1" x14ac:dyDescent="0.25">
      <c r="A1745" s="134">
        <v>82</v>
      </c>
      <c r="B1745" s="134" t="s">
        <v>1463</v>
      </c>
      <c r="C1745" s="134" t="s">
        <v>1464</v>
      </c>
      <c r="D1745" s="134">
        <v>2007</v>
      </c>
      <c r="E1745" s="134">
        <v>2000</v>
      </c>
      <c r="F1745" s="134" t="s">
        <v>1465</v>
      </c>
      <c r="G1745" s="134" t="s">
        <v>1466</v>
      </c>
      <c r="H1745" s="136" t="s">
        <v>2831</v>
      </c>
      <c r="I1745" s="134">
        <v>42.74</v>
      </c>
      <c r="J1745" s="134">
        <v>-84.48</v>
      </c>
      <c r="K1745" s="134">
        <v>260</v>
      </c>
      <c r="P1745" s="135"/>
      <c r="Q1745" s="135" t="s">
        <v>1856</v>
      </c>
      <c r="R1745" s="44" t="s">
        <v>1735</v>
      </c>
      <c r="T1745" s="44" t="s">
        <v>1974</v>
      </c>
      <c r="U1745" s="135" t="s">
        <v>1406</v>
      </c>
      <c r="V1745" s="135" t="s">
        <v>1727</v>
      </c>
      <c r="W1745" s="135" t="s">
        <v>1393</v>
      </c>
      <c r="X1745" s="135" t="s">
        <v>1421</v>
      </c>
      <c r="Z1745" s="356"/>
      <c r="AA1745" s="356"/>
      <c r="AB1745" s="134" t="s">
        <v>140</v>
      </c>
      <c r="AG1745" s="134" t="s">
        <v>1550</v>
      </c>
      <c r="AH1745" s="138" t="s">
        <v>1585</v>
      </c>
      <c r="AI1745" s="134" t="s">
        <v>133</v>
      </c>
      <c r="AJ1745" s="140" t="s">
        <v>1615</v>
      </c>
      <c r="AT1745" s="32" t="s">
        <v>161</v>
      </c>
      <c r="AU1745" s="32">
        <v>4</v>
      </c>
      <c r="AV1745" s="32"/>
      <c r="AW1745" s="32" t="s">
        <v>336</v>
      </c>
      <c r="BM1745" s="431"/>
      <c r="BN1745" s="431"/>
      <c r="BR1745" s="431"/>
      <c r="BS1745" s="431"/>
      <c r="BW1745" s="134">
        <v>5.7</v>
      </c>
      <c r="BX1745" s="134">
        <v>3.3</v>
      </c>
      <c r="BY1745" s="32"/>
      <c r="BZ1745" s="32"/>
      <c r="CA1745" s="32" t="s">
        <v>1681</v>
      </c>
    </row>
    <row r="1746" spans="1:79" s="134" customFormat="1" x14ac:dyDescent="0.25">
      <c r="A1746" s="134">
        <v>82</v>
      </c>
      <c r="B1746" s="134" t="s">
        <v>1463</v>
      </c>
      <c r="C1746" s="134" t="s">
        <v>1464</v>
      </c>
      <c r="D1746" s="134">
        <v>2007</v>
      </c>
      <c r="E1746" s="134">
        <v>2000</v>
      </c>
      <c r="F1746" s="134" t="s">
        <v>1465</v>
      </c>
      <c r="G1746" s="134" t="s">
        <v>1466</v>
      </c>
      <c r="H1746" s="136" t="s">
        <v>2831</v>
      </c>
      <c r="I1746" s="134">
        <v>42.74</v>
      </c>
      <c r="J1746" s="134">
        <v>-84.48</v>
      </c>
      <c r="K1746" s="134">
        <v>260</v>
      </c>
      <c r="P1746" s="135"/>
      <c r="Q1746" s="135" t="s">
        <v>1856</v>
      </c>
      <c r="R1746" s="44" t="s">
        <v>1735</v>
      </c>
      <c r="T1746" s="44" t="s">
        <v>1974</v>
      </c>
      <c r="U1746" s="135" t="s">
        <v>1406</v>
      </c>
      <c r="V1746" s="135" t="s">
        <v>1727</v>
      </c>
      <c r="W1746" s="135" t="s">
        <v>1393</v>
      </c>
      <c r="X1746" s="135" t="s">
        <v>1421</v>
      </c>
      <c r="Z1746" s="356"/>
      <c r="AA1746" s="356"/>
      <c r="AB1746" s="134" t="s">
        <v>140</v>
      </c>
      <c r="AG1746" s="134" t="s">
        <v>1551</v>
      </c>
      <c r="AH1746" s="138" t="s">
        <v>1585</v>
      </c>
      <c r="AI1746" s="134" t="s">
        <v>133</v>
      </c>
      <c r="AJ1746" s="140" t="s">
        <v>1615</v>
      </c>
      <c r="AT1746" s="32" t="s">
        <v>161</v>
      </c>
      <c r="AU1746" s="32">
        <v>4</v>
      </c>
      <c r="AV1746" s="32"/>
      <c r="AW1746" s="32" t="s">
        <v>336</v>
      </c>
      <c r="BM1746" s="431"/>
      <c r="BN1746" s="431"/>
      <c r="BR1746" s="431"/>
      <c r="BS1746" s="431"/>
      <c r="BW1746" s="134">
        <v>5.7</v>
      </c>
      <c r="BX1746" s="134">
        <v>2.2999999999999998</v>
      </c>
      <c r="BY1746" s="32"/>
      <c r="BZ1746" s="32"/>
      <c r="CA1746" s="32" t="s">
        <v>1681</v>
      </c>
    </row>
    <row r="1747" spans="1:79" s="134" customFormat="1" x14ac:dyDescent="0.25">
      <c r="A1747" s="134">
        <v>82</v>
      </c>
      <c r="B1747" s="134" t="s">
        <v>1463</v>
      </c>
      <c r="C1747" s="134" t="s">
        <v>1464</v>
      </c>
      <c r="D1747" s="134">
        <v>2007</v>
      </c>
      <c r="E1747" s="134">
        <v>2000</v>
      </c>
      <c r="F1747" s="134" t="s">
        <v>1465</v>
      </c>
      <c r="G1747" s="134" t="s">
        <v>1466</v>
      </c>
      <c r="H1747" s="136" t="s">
        <v>2831</v>
      </c>
      <c r="I1747" s="134">
        <v>42.74</v>
      </c>
      <c r="J1747" s="134">
        <v>-84.48</v>
      </c>
      <c r="K1747" s="134">
        <v>260</v>
      </c>
      <c r="P1747" s="135"/>
      <c r="Q1747" s="135" t="s">
        <v>1856</v>
      </c>
      <c r="R1747" s="44" t="s">
        <v>1735</v>
      </c>
      <c r="T1747" s="44" t="s">
        <v>1974</v>
      </c>
      <c r="U1747" s="135" t="s">
        <v>1406</v>
      </c>
      <c r="V1747" s="135" t="s">
        <v>1727</v>
      </c>
      <c r="W1747" s="135" t="s">
        <v>1393</v>
      </c>
      <c r="X1747" s="135" t="s">
        <v>1421</v>
      </c>
      <c r="Z1747" s="356"/>
      <c r="AA1747" s="356"/>
      <c r="AB1747" s="134" t="s">
        <v>140</v>
      </c>
      <c r="AG1747" s="134" t="s">
        <v>1552</v>
      </c>
      <c r="AH1747" s="138" t="s">
        <v>1585</v>
      </c>
      <c r="AI1747" s="134" t="s">
        <v>133</v>
      </c>
      <c r="AJ1747" s="140" t="s">
        <v>1615</v>
      </c>
      <c r="AT1747" s="32" t="s">
        <v>161</v>
      </c>
      <c r="AU1747" s="32">
        <v>4</v>
      </c>
      <c r="AV1747" s="32"/>
      <c r="AW1747" s="32" t="s">
        <v>336</v>
      </c>
      <c r="BM1747" s="431"/>
      <c r="BN1747" s="431"/>
      <c r="BR1747" s="431"/>
      <c r="BS1747" s="431"/>
      <c r="BW1747" s="134">
        <v>5.7</v>
      </c>
      <c r="BX1747" s="134">
        <v>2.5</v>
      </c>
      <c r="BY1747" s="32"/>
      <c r="BZ1747" s="32"/>
      <c r="CA1747" s="32" t="s">
        <v>1681</v>
      </c>
    </row>
    <row r="1748" spans="1:79" s="134" customFormat="1" x14ac:dyDescent="0.25">
      <c r="A1748" s="134">
        <v>82</v>
      </c>
      <c r="B1748" s="134" t="s">
        <v>1463</v>
      </c>
      <c r="C1748" s="134" t="s">
        <v>1464</v>
      </c>
      <c r="D1748" s="134">
        <v>2007</v>
      </c>
      <c r="E1748" s="134">
        <v>2000</v>
      </c>
      <c r="F1748" s="134" t="s">
        <v>1465</v>
      </c>
      <c r="G1748" s="134" t="s">
        <v>1466</v>
      </c>
      <c r="H1748" s="136" t="s">
        <v>2831</v>
      </c>
      <c r="I1748" s="134">
        <v>42.74</v>
      </c>
      <c r="J1748" s="134">
        <v>-84.48</v>
      </c>
      <c r="K1748" s="134">
        <v>260</v>
      </c>
      <c r="P1748" s="135"/>
      <c r="Q1748" s="135" t="s">
        <v>1856</v>
      </c>
      <c r="R1748" s="44" t="s">
        <v>1735</v>
      </c>
      <c r="T1748" s="44" t="s">
        <v>1974</v>
      </c>
      <c r="U1748" s="135" t="s">
        <v>1406</v>
      </c>
      <c r="V1748" s="135" t="s">
        <v>1727</v>
      </c>
      <c r="W1748" s="135" t="s">
        <v>1393</v>
      </c>
      <c r="X1748" s="135" t="s">
        <v>1421</v>
      </c>
      <c r="Z1748" s="356"/>
      <c r="AA1748" s="356"/>
      <c r="AB1748" s="134" t="s">
        <v>140</v>
      </c>
      <c r="AG1748" s="134" t="s">
        <v>1553</v>
      </c>
      <c r="AH1748" s="138" t="s">
        <v>1585</v>
      </c>
      <c r="AI1748" s="134" t="s">
        <v>133</v>
      </c>
      <c r="AJ1748" s="140" t="s">
        <v>1615</v>
      </c>
      <c r="AT1748" s="32" t="s">
        <v>161</v>
      </c>
      <c r="AU1748" s="32">
        <v>4</v>
      </c>
      <c r="AV1748" s="32"/>
      <c r="AW1748" s="32" t="s">
        <v>336</v>
      </c>
      <c r="BM1748" s="431"/>
      <c r="BN1748" s="431"/>
      <c r="BR1748" s="431"/>
      <c r="BS1748" s="431"/>
      <c r="BW1748" s="134">
        <v>5.7</v>
      </c>
      <c r="BX1748" s="134">
        <v>1.8</v>
      </c>
      <c r="BY1748" s="32"/>
      <c r="BZ1748" s="32"/>
      <c r="CA1748" s="32" t="s">
        <v>1681</v>
      </c>
    </row>
    <row r="1749" spans="1:79" s="32" customFormat="1" x14ac:dyDescent="0.25">
      <c r="A1749" s="32">
        <v>82</v>
      </c>
      <c r="B1749" s="32" t="s">
        <v>1463</v>
      </c>
      <c r="C1749" s="32" t="s">
        <v>1464</v>
      </c>
      <c r="D1749" s="32">
        <v>2007</v>
      </c>
      <c r="E1749" s="32">
        <v>2000</v>
      </c>
      <c r="F1749" s="32" t="s">
        <v>1465</v>
      </c>
      <c r="G1749" s="32" t="s">
        <v>1466</v>
      </c>
      <c r="H1749" s="136" t="s">
        <v>2831</v>
      </c>
      <c r="I1749" s="32">
        <v>42.74</v>
      </c>
      <c r="J1749" s="32">
        <v>-84.48</v>
      </c>
      <c r="K1749" s="32">
        <v>260</v>
      </c>
      <c r="P1749" s="44"/>
      <c r="Q1749" s="44" t="s">
        <v>1856</v>
      </c>
      <c r="R1749" s="44" t="s">
        <v>1735</v>
      </c>
      <c r="T1749" s="44" t="s">
        <v>1974</v>
      </c>
      <c r="U1749" s="44" t="s">
        <v>1407</v>
      </c>
      <c r="V1749" s="44" t="s">
        <v>1727</v>
      </c>
      <c r="W1749" s="44" t="s">
        <v>1393</v>
      </c>
      <c r="X1749" s="44" t="s">
        <v>1421</v>
      </c>
      <c r="Z1749" s="323"/>
      <c r="AA1749" s="323"/>
      <c r="AB1749" s="32" t="s">
        <v>140</v>
      </c>
      <c r="AG1749" s="32" t="s">
        <v>117</v>
      </c>
      <c r="AH1749" s="138" t="s">
        <v>1585</v>
      </c>
      <c r="AI1749" s="32" t="s">
        <v>133</v>
      </c>
      <c r="AJ1749" s="140" t="s">
        <v>1615</v>
      </c>
      <c r="AT1749" s="32" t="s">
        <v>161</v>
      </c>
      <c r="AU1749" s="32">
        <v>4</v>
      </c>
      <c r="AW1749" s="32" t="s">
        <v>336</v>
      </c>
      <c r="BM1749" s="397"/>
      <c r="BN1749" s="397"/>
      <c r="BR1749" s="397"/>
      <c r="BS1749" s="397"/>
      <c r="BW1749" s="32">
        <v>7.8</v>
      </c>
      <c r="BX1749" s="32">
        <v>4.0999999999999996</v>
      </c>
      <c r="CA1749" s="32" t="s">
        <v>1681</v>
      </c>
    </row>
    <row r="1750" spans="1:79" s="32" customFormat="1" x14ac:dyDescent="0.25">
      <c r="A1750" s="32">
        <v>82</v>
      </c>
      <c r="B1750" s="32" t="s">
        <v>1463</v>
      </c>
      <c r="C1750" s="32" t="s">
        <v>1464</v>
      </c>
      <c r="D1750" s="32">
        <v>2007</v>
      </c>
      <c r="E1750" s="32">
        <v>2000</v>
      </c>
      <c r="F1750" s="32" t="s">
        <v>1465</v>
      </c>
      <c r="G1750" s="32" t="s">
        <v>1466</v>
      </c>
      <c r="H1750" s="136" t="s">
        <v>2831</v>
      </c>
      <c r="I1750" s="32">
        <v>42.74</v>
      </c>
      <c r="J1750" s="32">
        <v>-84.48</v>
      </c>
      <c r="K1750" s="32">
        <v>260</v>
      </c>
      <c r="P1750" s="44"/>
      <c r="Q1750" s="44" t="s">
        <v>1856</v>
      </c>
      <c r="R1750" s="44" t="s">
        <v>1735</v>
      </c>
      <c r="T1750" s="44" t="s">
        <v>1974</v>
      </c>
      <c r="U1750" s="44" t="s">
        <v>1407</v>
      </c>
      <c r="V1750" s="44" t="s">
        <v>1727</v>
      </c>
      <c r="W1750" s="44" t="s">
        <v>1393</v>
      </c>
      <c r="X1750" s="44" t="s">
        <v>1421</v>
      </c>
      <c r="Z1750" s="323"/>
      <c r="AA1750" s="323"/>
      <c r="AB1750" s="32" t="s">
        <v>140</v>
      </c>
      <c r="AG1750" s="32" t="s">
        <v>132</v>
      </c>
      <c r="AH1750" s="138" t="s">
        <v>132</v>
      </c>
      <c r="AI1750" s="32" t="s">
        <v>133</v>
      </c>
      <c r="AJ1750" s="140" t="s">
        <v>1615</v>
      </c>
      <c r="AT1750" s="32" t="s">
        <v>161</v>
      </c>
      <c r="AU1750" s="32">
        <v>4</v>
      </c>
      <c r="AW1750" s="32" t="s">
        <v>336</v>
      </c>
      <c r="BM1750" s="397"/>
      <c r="BN1750" s="397"/>
      <c r="BR1750" s="397"/>
      <c r="BS1750" s="397"/>
      <c r="BW1750" s="32">
        <v>7.8</v>
      </c>
      <c r="BX1750" s="32">
        <v>2.8</v>
      </c>
      <c r="CA1750" s="32" t="s">
        <v>1681</v>
      </c>
    </row>
    <row r="1751" spans="1:79" s="32" customFormat="1" x14ac:dyDescent="0.25">
      <c r="A1751" s="32">
        <v>82</v>
      </c>
      <c r="B1751" s="32" t="s">
        <v>1463</v>
      </c>
      <c r="C1751" s="32" t="s">
        <v>1464</v>
      </c>
      <c r="D1751" s="32">
        <v>2007</v>
      </c>
      <c r="E1751" s="32">
        <v>2000</v>
      </c>
      <c r="F1751" s="32" t="s">
        <v>1465</v>
      </c>
      <c r="G1751" s="32" t="s">
        <v>1466</v>
      </c>
      <c r="H1751" s="136" t="s">
        <v>2831</v>
      </c>
      <c r="I1751" s="32">
        <v>42.74</v>
      </c>
      <c r="J1751" s="32">
        <v>-84.48</v>
      </c>
      <c r="K1751" s="32">
        <v>260</v>
      </c>
      <c r="P1751" s="44"/>
      <c r="Q1751" s="44" t="s">
        <v>1856</v>
      </c>
      <c r="R1751" s="44" t="s">
        <v>1735</v>
      </c>
      <c r="T1751" s="44" t="s">
        <v>1974</v>
      </c>
      <c r="U1751" s="44" t="s">
        <v>1407</v>
      </c>
      <c r="V1751" s="44" t="s">
        <v>1727</v>
      </c>
      <c r="W1751" s="44" t="s">
        <v>1393</v>
      </c>
      <c r="X1751" s="44" t="s">
        <v>1421</v>
      </c>
      <c r="Z1751" s="323"/>
      <c r="AA1751" s="323"/>
      <c r="AB1751" s="32" t="s">
        <v>140</v>
      </c>
      <c r="AG1751" s="32" t="s">
        <v>1549</v>
      </c>
      <c r="AH1751" s="138" t="s">
        <v>132</v>
      </c>
      <c r="AI1751" s="32" t="s">
        <v>133</v>
      </c>
      <c r="AJ1751" s="140" t="s">
        <v>1615</v>
      </c>
      <c r="AT1751" s="32" t="s">
        <v>161</v>
      </c>
      <c r="AU1751" s="32">
        <v>4</v>
      </c>
      <c r="AW1751" s="32" t="s">
        <v>336</v>
      </c>
      <c r="BM1751" s="397"/>
      <c r="BN1751" s="397"/>
      <c r="BR1751" s="397"/>
      <c r="BS1751" s="397"/>
      <c r="BW1751" s="32">
        <v>7.8</v>
      </c>
      <c r="BX1751" s="32">
        <v>1.9</v>
      </c>
      <c r="CA1751" s="32" t="s">
        <v>1681</v>
      </c>
    </row>
    <row r="1752" spans="1:79" s="32" customFormat="1" x14ac:dyDescent="0.25">
      <c r="A1752" s="32">
        <v>82</v>
      </c>
      <c r="B1752" s="32" t="s">
        <v>1463</v>
      </c>
      <c r="C1752" s="32" t="s">
        <v>1464</v>
      </c>
      <c r="D1752" s="32">
        <v>2007</v>
      </c>
      <c r="E1752" s="32">
        <v>2000</v>
      </c>
      <c r="F1752" s="32" t="s">
        <v>1465</v>
      </c>
      <c r="G1752" s="32" t="s">
        <v>1466</v>
      </c>
      <c r="H1752" s="136" t="s">
        <v>2831</v>
      </c>
      <c r="I1752" s="32">
        <v>42.74</v>
      </c>
      <c r="J1752" s="32">
        <v>-84.48</v>
      </c>
      <c r="K1752" s="32">
        <v>260</v>
      </c>
      <c r="P1752" s="44"/>
      <c r="Q1752" s="44" t="s">
        <v>1856</v>
      </c>
      <c r="R1752" s="44" t="s">
        <v>1735</v>
      </c>
      <c r="T1752" s="44" t="s">
        <v>1974</v>
      </c>
      <c r="U1752" s="44" t="s">
        <v>1407</v>
      </c>
      <c r="V1752" s="44" t="s">
        <v>1727</v>
      </c>
      <c r="W1752" s="44" t="s">
        <v>1393</v>
      </c>
      <c r="X1752" s="44" t="s">
        <v>1421</v>
      </c>
      <c r="Z1752" s="323"/>
      <c r="AA1752" s="323"/>
      <c r="AB1752" s="32" t="s">
        <v>140</v>
      </c>
      <c r="AG1752" s="32" t="s">
        <v>1550</v>
      </c>
      <c r="AH1752" s="138" t="s">
        <v>1585</v>
      </c>
      <c r="AI1752" s="32" t="s">
        <v>133</v>
      </c>
      <c r="AJ1752" s="140" t="s">
        <v>1615</v>
      </c>
      <c r="AT1752" s="32" t="s">
        <v>161</v>
      </c>
      <c r="AU1752" s="32">
        <v>4</v>
      </c>
      <c r="AW1752" s="32" t="s">
        <v>336</v>
      </c>
      <c r="BM1752" s="397"/>
      <c r="BN1752" s="397"/>
      <c r="BR1752" s="397"/>
      <c r="BS1752" s="397"/>
      <c r="BW1752" s="32">
        <v>7.8</v>
      </c>
      <c r="BX1752" s="32">
        <v>3.4</v>
      </c>
      <c r="CA1752" s="32" t="s">
        <v>1681</v>
      </c>
    </row>
    <row r="1753" spans="1:79" s="32" customFormat="1" x14ac:dyDescent="0.25">
      <c r="A1753" s="32">
        <v>82</v>
      </c>
      <c r="B1753" s="32" t="s">
        <v>1463</v>
      </c>
      <c r="C1753" s="32" t="s">
        <v>1464</v>
      </c>
      <c r="D1753" s="32">
        <v>2007</v>
      </c>
      <c r="E1753" s="32">
        <v>2000</v>
      </c>
      <c r="F1753" s="32" t="s">
        <v>1465</v>
      </c>
      <c r="G1753" s="32" t="s">
        <v>1466</v>
      </c>
      <c r="H1753" s="136" t="s">
        <v>2831</v>
      </c>
      <c r="I1753" s="32">
        <v>42.74</v>
      </c>
      <c r="J1753" s="32">
        <v>-84.48</v>
      </c>
      <c r="K1753" s="32">
        <v>260</v>
      </c>
      <c r="P1753" s="44"/>
      <c r="Q1753" s="44" t="s">
        <v>1856</v>
      </c>
      <c r="R1753" s="44" t="s">
        <v>1735</v>
      </c>
      <c r="T1753" s="44" t="s">
        <v>1974</v>
      </c>
      <c r="U1753" s="44" t="s">
        <v>1407</v>
      </c>
      <c r="V1753" s="44" t="s">
        <v>1727</v>
      </c>
      <c r="W1753" s="44" t="s">
        <v>1393</v>
      </c>
      <c r="X1753" s="44" t="s">
        <v>1421</v>
      </c>
      <c r="Z1753" s="323"/>
      <c r="AA1753" s="323"/>
      <c r="AB1753" s="32" t="s">
        <v>140</v>
      </c>
      <c r="AG1753" s="32" t="s">
        <v>1551</v>
      </c>
      <c r="AH1753" s="138" t="s">
        <v>1585</v>
      </c>
      <c r="AI1753" s="32" t="s">
        <v>133</v>
      </c>
      <c r="AJ1753" s="140" t="s">
        <v>1615</v>
      </c>
      <c r="AT1753" s="32" t="s">
        <v>161</v>
      </c>
      <c r="AU1753" s="32">
        <v>4</v>
      </c>
      <c r="AW1753" s="32" t="s">
        <v>336</v>
      </c>
      <c r="BM1753" s="397"/>
      <c r="BN1753" s="397"/>
      <c r="BR1753" s="397"/>
      <c r="BS1753" s="397"/>
      <c r="BW1753" s="32">
        <v>7.8</v>
      </c>
      <c r="BX1753" s="32">
        <v>2.2000000000000002</v>
      </c>
      <c r="CA1753" s="32" t="s">
        <v>1681</v>
      </c>
    </row>
    <row r="1754" spans="1:79" s="32" customFormat="1" x14ac:dyDescent="0.25">
      <c r="A1754" s="32">
        <v>82</v>
      </c>
      <c r="B1754" s="32" t="s">
        <v>1463</v>
      </c>
      <c r="C1754" s="32" t="s">
        <v>1464</v>
      </c>
      <c r="D1754" s="32">
        <v>2007</v>
      </c>
      <c r="E1754" s="32">
        <v>2000</v>
      </c>
      <c r="F1754" s="32" t="s">
        <v>1465</v>
      </c>
      <c r="G1754" s="32" t="s">
        <v>1466</v>
      </c>
      <c r="H1754" s="136" t="s">
        <v>2831</v>
      </c>
      <c r="I1754" s="32">
        <v>42.74</v>
      </c>
      <c r="J1754" s="32">
        <v>-84.48</v>
      </c>
      <c r="K1754" s="32">
        <v>260</v>
      </c>
      <c r="P1754" s="44"/>
      <c r="Q1754" s="44" t="s">
        <v>1856</v>
      </c>
      <c r="R1754" s="44" t="s">
        <v>1735</v>
      </c>
      <c r="T1754" s="44" t="s">
        <v>1974</v>
      </c>
      <c r="U1754" s="44" t="s">
        <v>1407</v>
      </c>
      <c r="V1754" s="44" t="s">
        <v>1727</v>
      </c>
      <c r="W1754" s="44" t="s">
        <v>1393</v>
      </c>
      <c r="X1754" s="44" t="s">
        <v>1421</v>
      </c>
      <c r="Z1754" s="323"/>
      <c r="AA1754" s="323"/>
      <c r="AB1754" s="32" t="s">
        <v>140</v>
      </c>
      <c r="AG1754" s="32" t="s">
        <v>1552</v>
      </c>
      <c r="AH1754" s="138" t="s">
        <v>1585</v>
      </c>
      <c r="AI1754" s="32" t="s">
        <v>133</v>
      </c>
      <c r="AJ1754" s="140" t="s">
        <v>1615</v>
      </c>
      <c r="AT1754" s="32" t="s">
        <v>161</v>
      </c>
      <c r="AU1754" s="32">
        <v>4</v>
      </c>
      <c r="AW1754" s="32" t="s">
        <v>336</v>
      </c>
      <c r="BM1754" s="397"/>
      <c r="BN1754" s="397"/>
      <c r="BR1754" s="397"/>
      <c r="BS1754" s="397"/>
      <c r="BW1754" s="32">
        <v>7.8</v>
      </c>
      <c r="BX1754" s="32">
        <v>3.2</v>
      </c>
      <c r="CA1754" s="32" t="s">
        <v>1681</v>
      </c>
    </row>
    <row r="1755" spans="1:79" s="32" customFormat="1" x14ac:dyDescent="0.25">
      <c r="A1755" s="32">
        <v>82</v>
      </c>
      <c r="B1755" s="32" t="s">
        <v>1463</v>
      </c>
      <c r="C1755" s="32" t="s">
        <v>1464</v>
      </c>
      <c r="D1755" s="32">
        <v>2007</v>
      </c>
      <c r="E1755" s="32">
        <v>2000</v>
      </c>
      <c r="F1755" s="32" t="s">
        <v>1465</v>
      </c>
      <c r="G1755" s="32" t="s">
        <v>1466</v>
      </c>
      <c r="H1755" s="136" t="s">
        <v>2831</v>
      </c>
      <c r="I1755" s="32">
        <v>42.74</v>
      </c>
      <c r="J1755" s="32">
        <v>-84.48</v>
      </c>
      <c r="K1755" s="32">
        <v>260</v>
      </c>
      <c r="P1755" s="44"/>
      <c r="Q1755" s="44" t="s">
        <v>1856</v>
      </c>
      <c r="R1755" s="44" t="s">
        <v>1735</v>
      </c>
      <c r="T1755" s="44" t="s">
        <v>1974</v>
      </c>
      <c r="U1755" s="44" t="s">
        <v>1407</v>
      </c>
      <c r="V1755" s="44" t="s">
        <v>1727</v>
      </c>
      <c r="W1755" s="44" t="s">
        <v>1393</v>
      </c>
      <c r="X1755" s="44" t="s">
        <v>1421</v>
      </c>
      <c r="Z1755" s="323"/>
      <c r="AA1755" s="323"/>
      <c r="AB1755" s="32" t="s">
        <v>140</v>
      </c>
      <c r="AG1755" s="32" t="s">
        <v>1553</v>
      </c>
      <c r="AH1755" s="138" t="s">
        <v>1585</v>
      </c>
      <c r="AI1755" s="32" t="s">
        <v>133</v>
      </c>
      <c r="AJ1755" s="140" t="s">
        <v>1615</v>
      </c>
      <c r="AT1755" s="32" t="s">
        <v>161</v>
      </c>
      <c r="AU1755" s="32">
        <v>4</v>
      </c>
      <c r="AW1755" s="32" t="s">
        <v>336</v>
      </c>
      <c r="BM1755" s="397"/>
      <c r="BN1755" s="397"/>
      <c r="BR1755" s="397"/>
      <c r="BS1755" s="397"/>
      <c r="BW1755" s="32">
        <v>7.8</v>
      </c>
      <c r="BX1755" s="32">
        <v>2.5</v>
      </c>
      <c r="CA1755" s="32" t="s">
        <v>1681</v>
      </c>
    </row>
    <row r="1756" spans="1:79" s="136" customFormat="1" x14ac:dyDescent="0.25">
      <c r="A1756" s="136">
        <v>82</v>
      </c>
      <c r="B1756" s="136" t="s">
        <v>1463</v>
      </c>
      <c r="C1756" s="136" t="s">
        <v>1464</v>
      </c>
      <c r="D1756" s="136">
        <v>2007</v>
      </c>
      <c r="E1756" s="136">
        <v>2001</v>
      </c>
      <c r="F1756" s="136" t="s">
        <v>1465</v>
      </c>
      <c r="G1756" s="136" t="s">
        <v>1466</v>
      </c>
      <c r="H1756" s="136" t="s">
        <v>2831</v>
      </c>
      <c r="I1756" s="136">
        <v>42.74</v>
      </c>
      <c r="J1756" s="136">
        <v>-84.48</v>
      </c>
      <c r="K1756" s="136">
        <v>260</v>
      </c>
      <c r="P1756" s="137"/>
      <c r="Q1756" s="137" t="s">
        <v>1735</v>
      </c>
      <c r="R1756" s="137" t="s">
        <v>1735</v>
      </c>
      <c r="T1756" s="137" t="s">
        <v>1974</v>
      </c>
      <c r="U1756" s="137" t="s">
        <v>1393</v>
      </c>
      <c r="V1756" s="137" t="s">
        <v>1727</v>
      </c>
      <c r="W1756" s="137" t="s">
        <v>1393</v>
      </c>
      <c r="X1756" s="137" t="s">
        <v>1421</v>
      </c>
      <c r="Z1756" s="357"/>
      <c r="AA1756" s="357"/>
      <c r="AB1756" s="136" t="s">
        <v>140</v>
      </c>
      <c r="AG1756" s="136" t="s">
        <v>117</v>
      </c>
      <c r="AH1756" s="138" t="s">
        <v>1585</v>
      </c>
      <c r="AI1756" s="136" t="s">
        <v>133</v>
      </c>
      <c r="AJ1756" s="140" t="s">
        <v>1615</v>
      </c>
      <c r="AT1756" s="32" t="s">
        <v>161</v>
      </c>
      <c r="AU1756" s="32">
        <v>4</v>
      </c>
      <c r="AV1756" s="32"/>
      <c r="AW1756" s="32" t="s">
        <v>336</v>
      </c>
      <c r="BM1756" s="432"/>
      <c r="BN1756" s="432"/>
      <c r="BR1756" s="432"/>
      <c r="BS1756" s="432"/>
      <c r="BW1756" s="136">
        <v>2.9</v>
      </c>
      <c r="BX1756" s="136">
        <v>2.9</v>
      </c>
      <c r="CA1756" s="136" t="s">
        <v>1681</v>
      </c>
    </row>
    <row r="1757" spans="1:79" s="136" customFormat="1" x14ac:dyDescent="0.25">
      <c r="A1757" s="136">
        <v>82</v>
      </c>
      <c r="B1757" s="136" t="s">
        <v>1463</v>
      </c>
      <c r="C1757" s="136" t="s">
        <v>1464</v>
      </c>
      <c r="D1757" s="136">
        <v>2007</v>
      </c>
      <c r="E1757" s="136">
        <v>2001</v>
      </c>
      <c r="F1757" s="136" t="s">
        <v>1465</v>
      </c>
      <c r="G1757" s="136" t="s">
        <v>1466</v>
      </c>
      <c r="H1757" s="136" t="s">
        <v>2831</v>
      </c>
      <c r="I1757" s="136">
        <v>42.74</v>
      </c>
      <c r="J1757" s="136">
        <v>-84.48</v>
      </c>
      <c r="K1757" s="136">
        <v>260</v>
      </c>
      <c r="P1757" s="137"/>
      <c r="Q1757" s="137" t="s">
        <v>1735</v>
      </c>
      <c r="R1757" s="137" t="s">
        <v>1735</v>
      </c>
      <c r="T1757" s="137" t="s">
        <v>1974</v>
      </c>
      <c r="U1757" s="137" t="s">
        <v>1393</v>
      </c>
      <c r="V1757" s="137" t="s">
        <v>1727</v>
      </c>
      <c r="W1757" s="137" t="s">
        <v>1393</v>
      </c>
      <c r="X1757" s="137" t="s">
        <v>1421</v>
      </c>
      <c r="Z1757" s="357"/>
      <c r="AA1757" s="357"/>
      <c r="AB1757" s="136" t="s">
        <v>140</v>
      </c>
      <c r="AG1757" s="136" t="s">
        <v>132</v>
      </c>
      <c r="AH1757" s="138" t="s">
        <v>132</v>
      </c>
      <c r="AI1757" s="136" t="s">
        <v>133</v>
      </c>
      <c r="AJ1757" s="140" t="s">
        <v>1615</v>
      </c>
      <c r="AT1757" s="32" t="s">
        <v>161</v>
      </c>
      <c r="AU1757" s="32">
        <v>4</v>
      </c>
      <c r="AV1757" s="32"/>
      <c r="AW1757" s="32" t="s">
        <v>336</v>
      </c>
      <c r="BM1757" s="432"/>
      <c r="BN1757" s="432"/>
      <c r="BR1757" s="432"/>
      <c r="BS1757" s="432"/>
      <c r="BW1757" s="136">
        <v>2.9</v>
      </c>
      <c r="BX1757" s="136">
        <v>2.5</v>
      </c>
      <c r="CA1757" s="136" t="s">
        <v>1681</v>
      </c>
    </row>
    <row r="1758" spans="1:79" s="136" customFormat="1" x14ac:dyDescent="0.25">
      <c r="A1758" s="136">
        <v>82</v>
      </c>
      <c r="B1758" s="136" t="s">
        <v>1463</v>
      </c>
      <c r="C1758" s="136" t="s">
        <v>1464</v>
      </c>
      <c r="D1758" s="136">
        <v>2007</v>
      </c>
      <c r="E1758" s="136">
        <v>2001</v>
      </c>
      <c r="F1758" s="136" t="s">
        <v>1465</v>
      </c>
      <c r="G1758" s="136" t="s">
        <v>1466</v>
      </c>
      <c r="H1758" s="136" t="s">
        <v>2831</v>
      </c>
      <c r="I1758" s="136">
        <v>42.74</v>
      </c>
      <c r="J1758" s="136">
        <v>-84.48</v>
      </c>
      <c r="K1758" s="136">
        <v>260</v>
      </c>
      <c r="P1758" s="137"/>
      <c r="Q1758" s="137" t="s">
        <v>1735</v>
      </c>
      <c r="R1758" s="137" t="s">
        <v>1735</v>
      </c>
      <c r="T1758" s="137" t="s">
        <v>1974</v>
      </c>
      <c r="U1758" s="137" t="s">
        <v>1393</v>
      </c>
      <c r="V1758" s="137" t="s">
        <v>1727</v>
      </c>
      <c r="W1758" s="137" t="s">
        <v>1393</v>
      </c>
      <c r="X1758" s="137" t="s">
        <v>1421</v>
      </c>
      <c r="Z1758" s="357"/>
      <c r="AA1758" s="357"/>
      <c r="AB1758" s="136" t="s">
        <v>140</v>
      </c>
      <c r="AG1758" s="136" t="s">
        <v>1549</v>
      </c>
      <c r="AH1758" s="138" t="s">
        <v>132</v>
      </c>
      <c r="AI1758" s="136" t="s">
        <v>133</v>
      </c>
      <c r="AJ1758" s="140" t="s">
        <v>1615</v>
      </c>
      <c r="AT1758" s="32" t="s">
        <v>161</v>
      </c>
      <c r="AU1758" s="32">
        <v>4</v>
      </c>
      <c r="AV1758" s="32"/>
      <c r="AW1758" s="32" t="s">
        <v>336</v>
      </c>
      <c r="BM1758" s="432"/>
      <c r="BN1758" s="432"/>
      <c r="BR1758" s="432"/>
      <c r="BS1758" s="432"/>
      <c r="BW1758" s="136">
        <v>2.9</v>
      </c>
      <c r="BX1758" s="136">
        <v>2.9</v>
      </c>
      <c r="CA1758" s="136" t="s">
        <v>1681</v>
      </c>
    </row>
    <row r="1759" spans="1:79" s="136" customFormat="1" x14ac:dyDescent="0.25">
      <c r="A1759" s="136">
        <v>82</v>
      </c>
      <c r="B1759" s="136" t="s">
        <v>1463</v>
      </c>
      <c r="C1759" s="136" t="s">
        <v>1464</v>
      </c>
      <c r="D1759" s="136">
        <v>2007</v>
      </c>
      <c r="E1759" s="136">
        <v>2001</v>
      </c>
      <c r="F1759" s="136" t="s">
        <v>1465</v>
      </c>
      <c r="G1759" s="136" t="s">
        <v>1466</v>
      </c>
      <c r="H1759" s="136" t="s">
        <v>2831</v>
      </c>
      <c r="I1759" s="136">
        <v>42.74</v>
      </c>
      <c r="J1759" s="136">
        <v>-84.48</v>
      </c>
      <c r="K1759" s="136">
        <v>260</v>
      </c>
      <c r="P1759" s="137"/>
      <c r="Q1759" s="137" t="s">
        <v>1735</v>
      </c>
      <c r="R1759" s="137" t="s">
        <v>1735</v>
      </c>
      <c r="T1759" s="137" t="s">
        <v>1974</v>
      </c>
      <c r="U1759" s="137" t="s">
        <v>1393</v>
      </c>
      <c r="V1759" s="137" t="s">
        <v>1727</v>
      </c>
      <c r="W1759" s="137" t="s">
        <v>1393</v>
      </c>
      <c r="X1759" s="137" t="s">
        <v>1421</v>
      </c>
      <c r="Z1759" s="357"/>
      <c r="AA1759" s="357"/>
      <c r="AB1759" s="136" t="s">
        <v>140</v>
      </c>
      <c r="AG1759" s="136" t="s">
        <v>1550</v>
      </c>
      <c r="AH1759" s="138" t="s">
        <v>1585</v>
      </c>
      <c r="AI1759" s="136" t="s">
        <v>133</v>
      </c>
      <c r="AJ1759" s="140" t="s">
        <v>1615</v>
      </c>
      <c r="AT1759" s="32" t="s">
        <v>161</v>
      </c>
      <c r="AU1759" s="32">
        <v>4</v>
      </c>
      <c r="AV1759" s="32"/>
      <c r="AW1759" s="32" t="s">
        <v>336</v>
      </c>
      <c r="BM1759" s="432"/>
      <c r="BN1759" s="432"/>
      <c r="BR1759" s="432"/>
      <c r="BS1759" s="432"/>
      <c r="BW1759" s="136">
        <v>2.9</v>
      </c>
      <c r="BX1759" s="136">
        <v>1.5</v>
      </c>
      <c r="CA1759" s="136" t="s">
        <v>1681</v>
      </c>
    </row>
    <row r="1760" spans="1:79" s="136" customFormat="1" x14ac:dyDescent="0.25">
      <c r="A1760" s="136">
        <v>82</v>
      </c>
      <c r="B1760" s="136" t="s">
        <v>1463</v>
      </c>
      <c r="C1760" s="136" t="s">
        <v>1464</v>
      </c>
      <c r="D1760" s="136">
        <v>2007</v>
      </c>
      <c r="E1760" s="136">
        <v>2001</v>
      </c>
      <c r="F1760" s="136" t="s">
        <v>1465</v>
      </c>
      <c r="G1760" s="136" t="s">
        <v>1466</v>
      </c>
      <c r="H1760" s="136" t="s">
        <v>2831</v>
      </c>
      <c r="I1760" s="136">
        <v>42.74</v>
      </c>
      <c r="J1760" s="136">
        <v>-84.48</v>
      </c>
      <c r="K1760" s="136">
        <v>260</v>
      </c>
      <c r="P1760" s="137"/>
      <c r="Q1760" s="137" t="s">
        <v>1735</v>
      </c>
      <c r="R1760" s="137" t="s">
        <v>1735</v>
      </c>
      <c r="T1760" s="137" t="s">
        <v>1974</v>
      </c>
      <c r="U1760" s="137" t="s">
        <v>1393</v>
      </c>
      <c r="V1760" s="137" t="s">
        <v>1727</v>
      </c>
      <c r="W1760" s="137" t="s">
        <v>1393</v>
      </c>
      <c r="X1760" s="137" t="s">
        <v>1421</v>
      </c>
      <c r="Z1760" s="357"/>
      <c r="AA1760" s="357"/>
      <c r="AB1760" s="136" t="s">
        <v>140</v>
      </c>
      <c r="AG1760" s="136" t="s">
        <v>1551</v>
      </c>
      <c r="AH1760" s="138" t="s">
        <v>1585</v>
      </c>
      <c r="AI1760" s="136" t="s">
        <v>133</v>
      </c>
      <c r="AJ1760" s="140" t="s">
        <v>1615</v>
      </c>
      <c r="AT1760" s="32" t="s">
        <v>161</v>
      </c>
      <c r="AU1760" s="32">
        <v>4</v>
      </c>
      <c r="AV1760" s="32"/>
      <c r="AW1760" s="32" t="s">
        <v>336</v>
      </c>
      <c r="BM1760" s="432"/>
      <c r="BN1760" s="432"/>
      <c r="BR1760" s="432"/>
      <c r="BS1760" s="432"/>
      <c r="BW1760" s="136">
        <v>2.9</v>
      </c>
      <c r="BX1760" s="136">
        <v>1.8</v>
      </c>
      <c r="CA1760" s="136" t="s">
        <v>1681</v>
      </c>
    </row>
    <row r="1761" spans="1:79" s="136" customFormat="1" x14ac:dyDescent="0.25">
      <c r="A1761" s="136">
        <v>82</v>
      </c>
      <c r="B1761" s="136" t="s">
        <v>1463</v>
      </c>
      <c r="C1761" s="136" t="s">
        <v>1464</v>
      </c>
      <c r="D1761" s="136">
        <v>2007</v>
      </c>
      <c r="E1761" s="136">
        <v>2001</v>
      </c>
      <c r="F1761" s="136" t="s">
        <v>1465</v>
      </c>
      <c r="G1761" s="136" t="s">
        <v>1466</v>
      </c>
      <c r="H1761" s="136" t="s">
        <v>2831</v>
      </c>
      <c r="I1761" s="136">
        <v>42.74</v>
      </c>
      <c r="J1761" s="136">
        <v>-84.48</v>
      </c>
      <c r="K1761" s="136">
        <v>260</v>
      </c>
      <c r="P1761" s="137"/>
      <c r="Q1761" s="137" t="s">
        <v>1735</v>
      </c>
      <c r="R1761" s="137" t="s">
        <v>1735</v>
      </c>
      <c r="T1761" s="137" t="s">
        <v>1974</v>
      </c>
      <c r="U1761" s="137" t="s">
        <v>1393</v>
      </c>
      <c r="V1761" s="137" t="s">
        <v>1727</v>
      </c>
      <c r="W1761" s="137" t="s">
        <v>1393</v>
      </c>
      <c r="X1761" s="137" t="s">
        <v>1421</v>
      </c>
      <c r="Z1761" s="357"/>
      <c r="AA1761" s="357"/>
      <c r="AB1761" s="136" t="s">
        <v>140</v>
      </c>
      <c r="AG1761" s="136" t="s">
        <v>1552</v>
      </c>
      <c r="AH1761" s="138" t="s">
        <v>1585</v>
      </c>
      <c r="AI1761" s="136" t="s">
        <v>133</v>
      </c>
      <c r="AJ1761" s="140" t="s">
        <v>1615</v>
      </c>
      <c r="AT1761" s="32" t="s">
        <v>161</v>
      </c>
      <c r="AU1761" s="32">
        <v>4</v>
      </c>
      <c r="AV1761" s="32"/>
      <c r="AW1761" s="32" t="s">
        <v>336</v>
      </c>
      <c r="BM1761" s="432"/>
      <c r="BN1761" s="432"/>
      <c r="BR1761" s="432"/>
      <c r="BS1761" s="432"/>
      <c r="BW1761" s="136">
        <v>2.9</v>
      </c>
      <c r="BX1761" s="136">
        <v>1.5</v>
      </c>
      <c r="CA1761" s="136" t="s">
        <v>1681</v>
      </c>
    </row>
    <row r="1762" spans="1:79" s="136" customFormat="1" x14ac:dyDescent="0.25">
      <c r="A1762" s="136">
        <v>82</v>
      </c>
      <c r="B1762" s="136" t="s">
        <v>1463</v>
      </c>
      <c r="C1762" s="136" t="s">
        <v>1464</v>
      </c>
      <c r="D1762" s="136">
        <v>2007</v>
      </c>
      <c r="E1762" s="136">
        <v>2001</v>
      </c>
      <c r="F1762" s="136" t="s">
        <v>1465</v>
      </c>
      <c r="G1762" s="136" t="s">
        <v>1466</v>
      </c>
      <c r="H1762" s="136" t="s">
        <v>2831</v>
      </c>
      <c r="I1762" s="136">
        <v>42.74</v>
      </c>
      <c r="J1762" s="136">
        <v>-84.48</v>
      </c>
      <c r="K1762" s="136">
        <v>260</v>
      </c>
      <c r="P1762" s="137"/>
      <c r="Q1762" s="137" t="s">
        <v>1735</v>
      </c>
      <c r="R1762" s="137" t="s">
        <v>1735</v>
      </c>
      <c r="T1762" s="137" t="s">
        <v>1974</v>
      </c>
      <c r="U1762" s="137" t="s">
        <v>1393</v>
      </c>
      <c r="V1762" s="137" t="s">
        <v>1727</v>
      </c>
      <c r="W1762" s="137" t="s">
        <v>1393</v>
      </c>
      <c r="X1762" s="137" t="s">
        <v>1421</v>
      </c>
      <c r="Z1762" s="357"/>
      <c r="AA1762" s="357"/>
      <c r="AB1762" s="136" t="s">
        <v>140</v>
      </c>
      <c r="AG1762" s="136" t="s">
        <v>1553</v>
      </c>
      <c r="AH1762" s="138" t="s">
        <v>1585</v>
      </c>
      <c r="AI1762" s="136" t="s">
        <v>133</v>
      </c>
      <c r="AJ1762" s="140" t="s">
        <v>1615</v>
      </c>
      <c r="AT1762" s="32" t="s">
        <v>161</v>
      </c>
      <c r="AU1762" s="32">
        <v>4</v>
      </c>
      <c r="AV1762" s="32"/>
      <c r="AW1762" s="32" t="s">
        <v>336</v>
      </c>
      <c r="BM1762" s="432"/>
      <c r="BN1762" s="432"/>
      <c r="BR1762" s="432"/>
      <c r="BS1762" s="432"/>
      <c r="BW1762" s="136">
        <v>2.9</v>
      </c>
      <c r="BX1762" s="136">
        <v>1.3</v>
      </c>
      <c r="CA1762" s="136" t="s">
        <v>1681</v>
      </c>
    </row>
    <row r="1763" spans="1:79" s="24" customFormat="1" x14ac:dyDescent="0.25">
      <c r="A1763" s="24">
        <v>82</v>
      </c>
      <c r="B1763" s="24" t="s">
        <v>1463</v>
      </c>
      <c r="C1763" s="24" t="s">
        <v>1464</v>
      </c>
      <c r="D1763" s="24">
        <v>2007</v>
      </c>
      <c r="E1763" s="24">
        <v>2001</v>
      </c>
      <c r="F1763" s="24" t="s">
        <v>1465</v>
      </c>
      <c r="G1763" s="24" t="s">
        <v>1466</v>
      </c>
      <c r="H1763" s="136" t="s">
        <v>2831</v>
      </c>
      <c r="I1763" s="24">
        <v>42.74</v>
      </c>
      <c r="J1763" s="24">
        <v>-84.48</v>
      </c>
      <c r="K1763" s="24">
        <v>260</v>
      </c>
      <c r="P1763" s="42"/>
      <c r="Q1763" s="42" t="s">
        <v>1735</v>
      </c>
      <c r="R1763" s="42" t="s">
        <v>1735</v>
      </c>
      <c r="T1763" s="42" t="s">
        <v>1974</v>
      </c>
      <c r="U1763" s="42" t="s">
        <v>1406</v>
      </c>
      <c r="V1763" s="42" t="s">
        <v>1727</v>
      </c>
      <c r="W1763" s="42" t="s">
        <v>1393</v>
      </c>
      <c r="X1763" s="42" t="s">
        <v>1421</v>
      </c>
      <c r="Z1763" s="321"/>
      <c r="AA1763" s="321"/>
      <c r="AB1763" s="24" t="s">
        <v>140</v>
      </c>
      <c r="AG1763" s="24" t="s">
        <v>117</v>
      </c>
      <c r="AH1763" s="138" t="s">
        <v>1585</v>
      </c>
      <c r="AI1763" s="24" t="s">
        <v>133</v>
      </c>
      <c r="AJ1763" s="140" t="s">
        <v>1615</v>
      </c>
      <c r="AT1763" s="32" t="s">
        <v>161</v>
      </c>
      <c r="AU1763" s="32">
        <v>4</v>
      </c>
      <c r="AV1763" s="32"/>
      <c r="AW1763" s="32" t="s">
        <v>336</v>
      </c>
      <c r="BM1763" s="395"/>
      <c r="BN1763" s="395"/>
      <c r="BR1763" s="395"/>
      <c r="BS1763" s="395"/>
      <c r="BW1763" s="24">
        <v>3.8</v>
      </c>
      <c r="BX1763" s="24">
        <v>2.2999999999999998</v>
      </c>
      <c r="BY1763" s="136"/>
      <c r="BZ1763" s="136"/>
      <c r="CA1763" s="136" t="s">
        <v>1681</v>
      </c>
    </row>
    <row r="1764" spans="1:79" s="24" customFormat="1" x14ac:dyDescent="0.25">
      <c r="A1764" s="24">
        <v>82</v>
      </c>
      <c r="B1764" s="24" t="s">
        <v>1463</v>
      </c>
      <c r="C1764" s="24" t="s">
        <v>1464</v>
      </c>
      <c r="D1764" s="24">
        <v>2007</v>
      </c>
      <c r="E1764" s="24">
        <v>2001</v>
      </c>
      <c r="F1764" s="24" t="s">
        <v>1465</v>
      </c>
      <c r="G1764" s="24" t="s">
        <v>1466</v>
      </c>
      <c r="H1764" s="136" t="s">
        <v>2831</v>
      </c>
      <c r="I1764" s="24">
        <v>42.74</v>
      </c>
      <c r="J1764" s="24">
        <v>-84.48</v>
      </c>
      <c r="K1764" s="24">
        <v>260</v>
      </c>
      <c r="P1764" s="42"/>
      <c r="Q1764" s="42" t="s">
        <v>1735</v>
      </c>
      <c r="R1764" s="42" t="s">
        <v>1735</v>
      </c>
      <c r="T1764" s="42" t="s">
        <v>1974</v>
      </c>
      <c r="U1764" s="42" t="s">
        <v>1406</v>
      </c>
      <c r="V1764" s="42" t="s">
        <v>1727</v>
      </c>
      <c r="W1764" s="42" t="s">
        <v>1393</v>
      </c>
      <c r="X1764" s="42" t="s">
        <v>1421</v>
      </c>
      <c r="Z1764" s="321"/>
      <c r="AA1764" s="321"/>
      <c r="AB1764" s="24" t="s">
        <v>140</v>
      </c>
      <c r="AG1764" s="24" t="s">
        <v>132</v>
      </c>
      <c r="AH1764" s="138" t="s">
        <v>132</v>
      </c>
      <c r="AI1764" s="24" t="s">
        <v>133</v>
      </c>
      <c r="AJ1764" s="140" t="s">
        <v>1615</v>
      </c>
      <c r="AT1764" s="32" t="s">
        <v>161</v>
      </c>
      <c r="AU1764" s="32">
        <v>4</v>
      </c>
      <c r="AV1764" s="32"/>
      <c r="AW1764" s="32" t="s">
        <v>336</v>
      </c>
      <c r="BM1764" s="395"/>
      <c r="BN1764" s="395"/>
      <c r="BR1764" s="395"/>
      <c r="BS1764" s="395"/>
      <c r="BW1764" s="24">
        <v>3.8</v>
      </c>
      <c r="BX1764" s="24">
        <v>1.9</v>
      </c>
      <c r="BY1764" s="136"/>
      <c r="BZ1764" s="136"/>
      <c r="CA1764" s="136" t="s">
        <v>1681</v>
      </c>
    </row>
    <row r="1765" spans="1:79" s="24" customFormat="1" x14ac:dyDescent="0.25">
      <c r="A1765" s="24">
        <v>82</v>
      </c>
      <c r="B1765" s="24" t="s">
        <v>1463</v>
      </c>
      <c r="C1765" s="24" t="s">
        <v>1464</v>
      </c>
      <c r="D1765" s="24">
        <v>2007</v>
      </c>
      <c r="E1765" s="24">
        <v>2001</v>
      </c>
      <c r="F1765" s="24" t="s">
        <v>1465</v>
      </c>
      <c r="G1765" s="24" t="s">
        <v>1466</v>
      </c>
      <c r="H1765" s="136" t="s">
        <v>2831</v>
      </c>
      <c r="I1765" s="24">
        <v>42.74</v>
      </c>
      <c r="J1765" s="24">
        <v>-84.48</v>
      </c>
      <c r="K1765" s="24">
        <v>260</v>
      </c>
      <c r="P1765" s="42"/>
      <c r="Q1765" s="42" t="s">
        <v>1735</v>
      </c>
      <c r="R1765" s="42" t="s">
        <v>1735</v>
      </c>
      <c r="T1765" s="42" t="s">
        <v>1974</v>
      </c>
      <c r="U1765" s="42" t="s">
        <v>1406</v>
      </c>
      <c r="V1765" s="42" t="s">
        <v>1727</v>
      </c>
      <c r="W1765" s="42" t="s">
        <v>1393</v>
      </c>
      <c r="X1765" s="42" t="s">
        <v>1421</v>
      </c>
      <c r="Z1765" s="321"/>
      <c r="AA1765" s="321"/>
      <c r="AB1765" s="24" t="s">
        <v>140</v>
      </c>
      <c r="AG1765" s="24" t="s">
        <v>1549</v>
      </c>
      <c r="AH1765" s="138" t="s">
        <v>132</v>
      </c>
      <c r="AI1765" s="24" t="s">
        <v>133</v>
      </c>
      <c r="AJ1765" s="140" t="s">
        <v>1615</v>
      </c>
      <c r="AT1765" s="32" t="s">
        <v>161</v>
      </c>
      <c r="AU1765" s="32">
        <v>4</v>
      </c>
      <c r="AV1765" s="32"/>
      <c r="AW1765" s="32" t="s">
        <v>336</v>
      </c>
      <c r="BM1765" s="395"/>
      <c r="BN1765" s="395"/>
      <c r="BR1765" s="395"/>
      <c r="BS1765" s="395"/>
      <c r="BW1765" s="24">
        <v>3.8</v>
      </c>
      <c r="BX1765" s="24">
        <v>1.5</v>
      </c>
      <c r="BY1765" s="136"/>
      <c r="BZ1765" s="136"/>
      <c r="CA1765" s="136" t="s">
        <v>1681</v>
      </c>
    </row>
    <row r="1766" spans="1:79" s="24" customFormat="1" x14ac:dyDescent="0.25">
      <c r="A1766" s="24">
        <v>82</v>
      </c>
      <c r="B1766" s="24" t="s">
        <v>1463</v>
      </c>
      <c r="C1766" s="24" t="s">
        <v>1464</v>
      </c>
      <c r="D1766" s="24">
        <v>2007</v>
      </c>
      <c r="E1766" s="24">
        <v>2001</v>
      </c>
      <c r="F1766" s="24" t="s">
        <v>1465</v>
      </c>
      <c r="G1766" s="24" t="s">
        <v>1466</v>
      </c>
      <c r="H1766" s="136" t="s">
        <v>2831</v>
      </c>
      <c r="I1766" s="24">
        <v>42.74</v>
      </c>
      <c r="J1766" s="24">
        <v>-84.48</v>
      </c>
      <c r="K1766" s="24">
        <v>260</v>
      </c>
      <c r="P1766" s="42"/>
      <c r="Q1766" s="42" t="s">
        <v>1735</v>
      </c>
      <c r="R1766" s="42" t="s">
        <v>1735</v>
      </c>
      <c r="T1766" s="42" t="s">
        <v>1974</v>
      </c>
      <c r="U1766" s="42" t="s">
        <v>1406</v>
      </c>
      <c r="V1766" s="42" t="s">
        <v>1727</v>
      </c>
      <c r="W1766" s="42" t="s">
        <v>1393</v>
      </c>
      <c r="X1766" s="42" t="s">
        <v>1421</v>
      </c>
      <c r="Z1766" s="321"/>
      <c r="AA1766" s="321"/>
      <c r="AB1766" s="24" t="s">
        <v>140</v>
      </c>
      <c r="AG1766" s="24" t="s">
        <v>1550</v>
      </c>
      <c r="AH1766" s="138" t="s">
        <v>1585</v>
      </c>
      <c r="AI1766" s="24" t="s">
        <v>133</v>
      </c>
      <c r="AJ1766" s="140" t="s">
        <v>1615</v>
      </c>
      <c r="AT1766" s="32" t="s">
        <v>161</v>
      </c>
      <c r="AU1766" s="32">
        <v>4</v>
      </c>
      <c r="AV1766" s="32"/>
      <c r="AW1766" s="32" t="s">
        <v>336</v>
      </c>
      <c r="BM1766" s="395"/>
      <c r="BN1766" s="395"/>
      <c r="BR1766" s="395"/>
      <c r="BS1766" s="395"/>
      <c r="BW1766" s="24">
        <v>3.8</v>
      </c>
      <c r="BX1766" s="24">
        <v>1.3</v>
      </c>
      <c r="BY1766" s="136"/>
      <c r="BZ1766" s="136"/>
      <c r="CA1766" s="136" t="s">
        <v>1681</v>
      </c>
    </row>
    <row r="1767" spans="1:79" s="24" customFormat="1" x14ac:dyDescent="0.25">
      <c r="A1767" s="24">
        <v>82</v>
      </c>
      <c r="B1767" s="24" t="s">
        <v>1463</v>
      </c>
      <c r="C1767" s="24" t="s">
        <v>1464</v>
      </c>
      <c r="D1767" s="24">
        <v>2007</v>
      </c>
      <c r="E1767" s="24">
        <v>2001</v>
      </c>
      <c r="F1767" s="24" t="s">
        <v>1465</v>
      </c>
      <c r="G1767" s="24" t="s">
        <v>1466</v>
      </c>
      <c r="H1767" s="136" t="s">
        <v>2831</v>
      </c>
      <c r="I1767" s="24">
        <v>42.74</v>
      </c>
      <c r="J1767" s="24">
        <v>-84.48</v>
      </c>
      <c r="K1767" s="24">
        <v>260</v>
      </c>
      <c r="P1767" s="42"/>
      <c r="Q1767" s="42" t="s">
        <v>1735</v>
      </c>
      <c r="R1767" s="42" t="s">
        <v>1735</v>
      </c>
      <c r="T1767" s="42" t="s">
        <v>1974</v>
      </c>
      <c r="U1767" s="42" t="s">
        <v>1406</v>
      </c>
      <c r="V1767" s="42" t="s">
        <v>1727</v>
      </c>
      <c r="W1767" s="42" t="s">
        <v>1393</v>
      </c>
      <c r="X1767" s="42" t="s">
        <v>1421</v>
      </c>
      <c r="Z1767" s="321"/>
      <c r="AA1767" s="321"/>
      <c r="AB1767" s="24" t="s">
        <v>140</v>
      </c>
      <c r="AG1767" s="24" t="s">
        <v>1551</v>
      </c>
      <c r="AH1767" s="138" t="s">
        <v>1585</v>
      </c>
      <c r="AI1767" s="24" t="s">
        <v>133</v>
      </c>
      <c r="AJ1767" s="140" t="s">
        <v>1615</v>
      </c>
      <c r="AT1767" s="32" t="s">
        <v>161</v>
      </c>
      <c r="AU1767" s="32">
        <v>4</v>
      </c>
      <c r="AV1767" s="32"/>
      <c r="AW1767" s="32" t="s">
        <v>336</v>
      </c>
      <c r="BM1767" s="395"/>
      <c r="BN1767" s="395"/>
      <c r="BR1767" s="395"/>
      <c r="BS1767" s="395"/>
      <c r="BW1767" s="24">
        <v>3.8</v>
      </c>
      <c r="BX1767" s="24">
        <v>1.4</v>
      </c>
      <c r="BY1767" s="136"/>
      <c r="BZ1767" s="136"/>
      <c r="CA1767" s="136" t="s">
        <v>1681</v>
      </c>
    </row>
    <row r="1768" spans="1:79" s="24" customFormat="1" x14ac:dyDescent="0.25">
      <c r="A1768" s="24">
        <v>82</v>
      </c>
      <c r="B1768" s="24" t="s">
        <v>1463</v>
      </c>
      <c r="C1768" s="24" t="s">
        <v>1464</v>
      </c>
      <c r="D1768" s="24">
        <v>2007</v>
      </c>
      <c r="E1768" s="24">
        <v>2001</v>
      </c>
      <c r="F1768" s="24" t="s">
        <v>1465</v>
      </c>
      <c r="G1768" s="24" t="s">
        <v>1466</v>
      </c>
      <c r="H1768" s="136" t="s">
        <v>2831</v>
      </c>
      <c r="I1768" s="24">
        <v>42.74</v>
      </c>
      <c r="J1768" s="24">
        <v>-84.48</v>
      </c>
      <c r="K1768" s="24">
        <v>260</v>
      </c>
      <c r="P1768" s="42"/>
      <c r="Q1768" s="42" t="s">
        <v>1735</v>
      </c>
      <c r="R1768" s="42" t="s">
        <v>1735</v>
      </c>
      <c r="T1768" s="42" t="s">
        <v>1974</v>
      </c>
      <c r="U1768" s="42" t="s">
        <v>1406</v>
      </c>
      <c r="V1768" s="42" t="s">
        <v>1727</v>
      </c>
      <c r="W1768" s="42" t="s">
        <v>1393</v>
      </c>
      <c r="X1768" s="42" t="s">
        <v>1421</v>
      </c>
      <c r="Z1768" s="321"/>
      <c r="AA1768" s="321"/>
      <c r="AB1768" s="24" t="s">
        <v>140</v>
      </c>
      <c r="AG1768" s="24" t="s">
        <v>1552</v>
      </c>
      <c r="AH1768" s="138" t="s">
        <v>1585</v>
      </c>
      <c r="AI1768" s="24" t="s">
        <v>133</v>
      </c>
      <c r="AJ1768" s="140" t="s">
        <v>1615</v>
      </c>
      <c r="AT1768" s="32" t="s">
        <v>161</v>
      </c>
      <c r="AU1768" s="32">
        <v>4</v>
      </c>
      <c r="AV1768" s="32"/>
      <c r="AW1768" s="32" t="s">
        <v>336</v>
      </c>
      <c r="BM1768" s="395"/>
      <c r="BN1768" s="395"/>
      <c r="BR1768" s="395"/>
      <c r="BS1768" s="395"/>
      <c r="BW1768" s="24">
        <v>3.8</v>
      </c>
      <c r="BX1768" s="24">
        <v>1.5</v>
      </c>
      <c r="BY1768" s="136"/>
      <c r="BZ1768" s="136"/>
      <c r="CA1768" s="136" t="s">
        <v>1681</v>
      </c>
    </row>
    <row r="1769" spans="1:79" s="24" customFormat="1" x14ac:dyDescent="0.25">
      <c r="A1769" s="24">
        <v>82</v>
      </c>
      <c r="B1769" s="24" t="s">
        <v>1463</v>
      </c>
      <c r="C1769" s="24" t="s">
        <v>1464</v>
      </c>
      <c r="D1769" s="24">
        <v>2007</v>
      </c>
      <c r="E1769" s="24">
        <v>2001</v>
      </c>
      <c r="F1769" s="24" t="s">
        <v>1465</v>
      </c>
      <c r="G1769" s="24" t="s">
        <v>1466</v>
      </c>
      <c r="H1769" s="136" t="s">
        <v>2831</v>
      </c>
      <c r="I1769" s="24">
        <v>42.74</v>
      </c>
      <c r="J1769" s="24">
        <v>-84.48</v>
      </c>
      <c r="K1769" s="24">
        <v>260</v>
      </c>
      <c r="P1769" s="42"/>
      <c r="Q1769" s="42" t="s">
        <v>1735</v>
      </c>
      <c r="R1769" s="42" t="s">
        <v>1735</v>
      </c>
      <c r="T1769" s="42" t="s">
        <v>1974</v>
      </c>
      <c r="U1769" s="42" t="s">
        <v>1406</v>
      </c>
      <c r="V1769" s="42" t="s">
        <v>1727</v>
      </c>
      <c r="W1769" s="42" t="s">
        <v>1393</v>
      </c>
      <c r="X1769" s="42" t="s">
        <v>1421</v>
      </c>
      <c r="Z1769" s="321"/>
      <c r="AA1769" s="321"/>
      <c r="AB1769" s="24" t="s">
        <v>140</v>
      </c>
      <c r="AG1769" s="24" t="s">
        <v>1553</v>
      </c>
      <c r="AH1769" s="138" t="s">
        <v>1585</v>
      </c>
      <c r="AI1769" s="24" t="s">
        <v>133</v>
      </c>
      <c r="AJ1769" s="140" t="s">
        <v>1615</v>
      </c>
      <c r="AT1769" s="32" t="s">
        <v>161</v>
      </c>
      <c r="AU1769" s="32">
        <v>4</v>
      </c>
      <c r="AV1769" s="32"/>
      <c r="AW1769" s="32" t="s">
        <v>336</v>
      </c>
      <c r="BM1769" s="395"/>
      <c r="BN1769" s="395"/>
      <c r="BR1769" s="395"/>
      <c r="BS1769" s="395"/>
      <c r="BW1769" s="24">
        <v>3.8</v>
      </c>
      <c r="BX1769" s="24">
        <v>1.2</v>
      </c>
      <c r="BY1769" s="136"/>
      <c r="BZ1769" s="136"/>
      <c r="CA1769" s="136" t="s">
        <v>1681</v>
      </c>
    </row>
    <row r="1770" spans="1:79" s="136" customFormat="1" x14ac:dyDescent="0.25">
      <c r="A1770" s="136">
        <v>82</v>
      </c>
      <c r="B1770" s="136" t="s">
        <v>1463</v>
      </c>
      <c r="C1770" s="136" t="s">
        <v>1464</v>
      </c>
      <c r="D1770" s="136">
        <v>2007</v>
      </c>
      <c r="E1770" s="136">
        <v>2001</v>
      </c>
      <c r="F1770" s="136" t="s">
        <v>1465</v>
      </c>
      <c r="G1770" s="136" t="s">
        <v>1466</v>
      </c>
      <c r="H1770" s="136" t="s">
        <v>2831</v>
      </c>
      <c r="I1770" s="136">
        <v>42.74</v>
      </c>
      <c r="J1770" s="136">
        <v>-84.48</v>
      </c>
      <c r="K1770" s="136">
        <v>260</v>
      </c>
      <c r="P1770" s="137"/>
      <c r="Q1770" s="137" t="s">
        <v>1735</v>
      </c>
      <c r="R1770" s="137" t="s">
        <v>1735</v>
      </c>
      <c r="T1770" s="137" t="s">
        <v>1974</v>
      </c>
      <c r="U1770" s="137" t="s">
        <v>1407</v>
      </c>
      <c r="V1770" s="137" t="s">
        <v>1727</v>
      </c>
      <c r="W1770" s="137" t="s">
        <v>1393</v>
      </c>
      <c r="X1770" s="137" t="s">
        <v>1421</v>
      </c>
      <c r="Z1770" s="357"/>
      <c r="AA1770" s="357"/>
      <c r="AB1770" s="136" t="s">
        <v>140</v>
      </c>
      <c r="AG1770" s="136" t="s">
        <v>117</v>
      </c>
      <c r="AH1770" s="138" t="s">
        <v>1585</v>
      </c>
      <c r="AI1770" s="136" t="s">
        <v>133</v>
      </c>
      <c r="AJ1770" s="140" t="s">
        <v>1615</v>
      </c>
      <c r="AT1770" s="32" t="s">
        <v>161</v>
      </c>
      <c r="AU1770" s="32">
        <v>4</v>
      </c>
      <c r="AV1770" s="32"/>
      <c r="AW1770" s="32" t="s">
        <v>336</v>
      </c>
      <c r="BM1770" s="432"/>
      <c r="BN1770" s="432"/>
      <c r="BR1770" s="432"/>
      <c r="BS1770" s="432"/>
      <c r="BW1770" s="136">
        <v>3.1</v>
      </c>
      <c r="BX1770" s="136">
        <v>1.7</v>
      </c>
      <c r="CA1770" s="136" t="s">
        <v>1681</v>
      </c>
    </row>
    <row r="1771" spans="1:79" s="136" customFormat="1" x14ac:dyDescent="0.25">
      <c r="A1771" s="136">
        <v>82</v>
      </c>
      <c r="B1771" s="136" t="s">
        <v>1463</v>
      </c>
      <c r="C1771" s="136" t="s">
        <v>1464</v>
      </c>
      <c r="D1771" s="136">
        <v>2007</v>
      </c>
      <c r="E1771" s="136">
        <v>2001</v>
      </c>
      <c r="F1771" s="136" t="s">
        <v>1465</v>
      </c>
      <c r="G1771" s="136" t="s">
        <v>1466</v>
      </c>
      <c r="H1771" s="136" t="s">
        <v>2831</v>
      </c>
      <c r="I1771" s="136">
        <v>42.74</v>
      </c>
      <c r="J1771" s="136">
        <v>-84.48</v>
      </c>
      <c r="K1771" s="136">
        <v>260</v>
      </c>
      <c r="P1771" s="137"/>
      <c r="Q1771" s="137" t="s">
        <v>1735</v>
      </c>
      <c r="R1771" s="137" t="s">
        <v>1735</v>
      </c>
      <c r="T1771" s="137" t="s">
        <v>1974</v>
      </c>
      <c r="U1771" s="137" t="s">
        <v>1407</v>
      </c>
      <c r="V1771" s="137" t="s">
        <v>1727</v>
      </c>
      <c r="W1771" s="137" t="s">
        <v>1393</v>
      </c>
      <c r="X1771" s="137" t="s">
        <v>1421</v>
      </c>
      <c r="Z1771" s="357"/>
      <c r="AA1771" s="357"/>
      <c r="AB1771" s="136" t="s">
        <v>140</v>
      </c>
      <c r="AG1771" s="136" t="s">
        <v>132</v>
      </c>
      <c r="AH1771" s="138" t="s">
        <v>132</v>
      </c>
      <c r="AI1771" s="136" t="s">
        <v>133</v>
      </c>
      <c r="AJ1771" s="140" t="s">
        <v>1615</v>
      </c>
      <c r="AT1771" s="32" t="s">
        <v>161</v>
      </c>
      <c r="AU1771" s="32">
        <v>4</v>
      </c>
      <c r="AV1771" s="32"/>
      <c r="AW1771" s="32" t="s">
        <v>336</v>
      </c>
      <c r="BM1771" s="432"/>
      <c r="BN1771" s="432"/>
      <c r="BR1771" s="432"/>
      <c r="BS1771" s="432"/>
      <c r="BW1771" s="136">
        <v>3.1</v>
      </c>
      <c r="BX1771" s="136">
        <v>1.8</v>
      </c>
      <c r="CA1771" s="136" t="s">
        <v>1681</v>
      </c>
    </row>
    <row r="1772" spans="1:79" s="136" customFormat="1" x14ac:dyDescent="0.25">
      <c r="A1772" s="136">
        <v>82</v>
      </c>
      <c r="B1772" s="136" t="s">
        <v>1463</v>
      </c>
      <c r="C1772" s="136" t="s">
        <v>1464</v>
      </c>
      <c r="D1772" s="136">
        <v>2007</v>
      </c>
      <c r="E1772" s="136">
        <v>2001</v>
      </c>
      <c r="F1772" s="136" t="s">
        <v>1465</v>
      </c>
      <c r="G1772" s="136" t="s">
        <v>1466</v>
      </c>
      <c r="H1772" s="136" t="s">
        <v>2831</v>
      </c>
      <c r="I1772" s="136">
        <v>42.74</v>
      </c>
      <c r="J1772" s="136">
        <v>-84.48</v>
      </c>
      <c r="K1772" s="136">
        <v>260</v>
      </c>
      <c r="P1772" s="137"/>
      <c r="Q1772" s="137" t="s">
        <v>1735</v>
      </c>
      <c r="R1772" s="137" t="s">
        <v>1735</v>
      </c>
      <c r="T1772" s="137" t="s">
        <v>1974</v>
      </c>
      <c r="U1772" s="137" t="s">
        <v>1407</v>
      </c>
      <c r="V1772" s="137" t="s">
        <v>1727</v>
      </c>
      <c r="W1772" s="137" t="s">
        <v>1393</v>
      </c>
      <c r="X1772" s="137" t="s">
        <v>1421</v>
      </c>
      <c r="Z1772" s="357"/>
      <c r="AA1772" s="357"/>
      <c r="AB1772" s="136" t="s">
        <v>140</v>
      </c>
      <c r="AG1772" s="136" t="s">
        <v>1549</v>
      </c>
      <c r="AH1772" s="138" t="s">
        <v>132</v>
      </c>
      <c r="AI1772" s="136" t="s">
        <v>133</v>
      </c>
      <c r="AJ1772" s="140" t="s">
        <v>1615</v>
      </c>
      <c r="AT1772" s="32" t="s">
        <v>161</v>
      </c>
      <c r="AU1772" s="32">
        <v>4</v>
      </c>
      <c r="AV1772" s="32"/>
      <c r="AW1772" s="32" t="s">
        <v>336</v>
      </c>
      <c r="BM1772" s="432"/>
      <c r="BN1772" s="432"/>
      <c r="BR1772" s="432"/>
      <c r="BS1772" s="432"/>
      <c r="BW1772" s="136">
        <v>3.1</v>
      </c>
      <c r="BX1772" s="136">
        <v>1.5</v>
      </c>
      <c r="CA1772" s="136" t="s">
        <v>1681</v>
      </c>
    </row>
    <row r="1773" spans="1:79" s="136" customFormat="1" x14ac:dyDescent="0.25">
      <c r="A1773" s="136">
        <v>82</v>
      </c>
      <c r="B1773" s="136" t="s">
        <v>1463</v>
      </c>
      <c r="C1773" s="136" t="s">
        <v>1464</v>
      </c>
      <c r="D1773" s="136">
        <v>2007</v>
      </c>
      <c r="E1773" s="136">
        <v>2001</v>
      </c>
      <c r="F1773" s="136" t="s">
        <v>1465</v>
      </c>
      <c r="G1773" s="136" t="s">
        <v>1466</v>
      </c>
      <c r="H1773" s="136" t="s">
        <v>2831</v>
      </c>
      <c r="I1773" s="136">
        <v>42.74</v>
      </c>
      <c r="J1773" s="136">
        <v>-84.48</v>
      </c>
      <c r="K1773" s="136">
        <v>260</v>
      </c>
      <c r="P1773" s="137"/>
      <c r="Q1773" s="137" t="s">
        <v>1735</v>
      </c>
      <c r="R1773" s="137" t="s">
        <v>1735</v>
      </c>
      <c r="T1773" s="137" t="s">
        <v>1974</v>
      </c>
      <c r="U1773" s="137" t="s">
        <v>1407</v>
      </c>
      <c r="V1773" s="137" t="s">
        <v>1727</v>
      </c>
      <c r="W1773" s="137" t="s">
        <v>1393</v>
      </c>
      <c r="X1773" s="137" t="s">
        <v>1421</v>
      </c>
      <c r="Z1773" s="357"/>
      <c r="AA1773" s="357"/>
      <c r="AB1773" s="136" t="s">
        <v>140</v>
      </c>
      <c r="AG1773" s="136" t="s">
        <v>1550</v>
      </c>
      <c r="AH1773" s="138" t="s">
        <v>1585</v>
      </c>
      <c r="AI1773" s="136" t="s">
        <v>133</v>
      </c>
      <c r="AJ1773" s="140" t="s">
        <v>1615</v>
      </c>
      <c r="AT1773" s="32" t="s">
        <v>161</v>
      </c>
      <c r="AU1773" s="32">
        <v>4</v>
      </c>
      <c r="AV1773" s="32"/>
      <c r="AW1773" s="32" t="s">
        <v>336</v>
      </c>
      <c r="BM1773" s="432"/>
      <c r="BN1773" s="432"/>
      <c r="BR1773" s="432"/>
      <c r="BS1773" s="432"/>
      <c r="BW1773" s="136">
        <v>3.1</v>
      </c>
      <c r="BX1773" s="136">
        <v>1.6</v>
      </c>
      <c r="CA1773" s="136" t="s">
        <v>1681</v>
      </c>
    </row>
    <row r="1774" spans="1:79" s="136" customFormat="1" x14ac:dyDescent="0.25">
      <c r="A1774" s="136">
        <v>82</v>
      </c>
      <c r="B1774" s="136" t="s">
        <v>1463</v>
      </c>
      <c r="C1774" s="136" t="s">
        <v>1464</v>
      </c>
      <c r="D1774" s="136">
        <v>2007</v>
      </c>
      <c r="E1774" s="136">
        <v>2001</v>
      </c>
      <c r="F1774" s="136" t="s">
        <v>1465</v>
      </c>
      <c r="G1774" s="136" t="s">
        <v>1466</v>
      </c>
      <c r="H1774" s="136" t="s">
        <v>2831</v>
      </c>
      <c r="I1774" s="136">
        <v>42.74</v>
      </c>
      <c r="J1774" s="136">
        <v>-84.48</v>
      </c>
      <c r="K1774" s="136">
        <v>260</v>
      </c>
      <c r="P1774" s="137"/>
      <c r="Q1774" s="137" t="s">
        <v>1735</v>
      </c>
      <c r="R1774" s="137" t="s">
        <v>1735</v>
      </c>
      <c r="T1774" s="137" t="s">
        <v>1974</v>
      </c>
      <c r="U1774" s="137" t="s">
        <v>1407</v>
      </c>
      <c r="V1774" s="137" t="s">
        <v>1727</v>
      </c>
      <c r="W1774" s="137" t="s">
        <v>1393</v>
      </c>
      <c r="X1774" s="137" t="s">
        <v>1421</v>
      </c>
      <c r="Z1774" s="357"/>
      <c r="AA1774" s="357"/>
      <c r="AB1774" s="136" t="s">
        <v>140</v>
      </c>
      <c r="AG1774" s="136" t="s">
        <v>1551</v>
      </c>
      <c r="AH1774" s="138" t="s">
        <v>1585</v>
      </c>
      <c r="AI1774" s="136" t="s">
        <v>133</v>
      </c>
      <c r="AJ1774" s="140" t="s">
        <v>1615</v>
      </c>
      <c r="AT1774" s="32" t="s">
        <v>161</v>
      </c>
      <c r="AU1774" s="32">
        <v>4</v>
      </c>
      <c r="AV1774" s="32"/>
      <c r="AW1774" s="32" t="s">
        <v>336</v>
      </c>
      <c r="BM1774" s="432"/>
      <c r="BN1774" s="432"/>
      <c r="BR1774" s="432"/>
      <c r="BS1774" s="432"/>
      <c r="BW1774" s="136">
        <v>3.1</v>
      </c>
      <c r="BX1774" s="136">
        <v>1.9</v>
      </c>
      <c r="CA1774" s="136" t="s">
        <v>1681</v>
      </c>
    </row>
    <row r="1775" spans="1:79" s="136" customFormat="1" x14ac:dyDescent="0.25">
      <c r="A1775" s="136">
        <v>82</v>
      </c>
      <c r="B1775" s="136" t="s">
        <v>1463</v>
      </c>
      <c r="C1775" s="136" t="s">
        <v>1464</v>
      </c>
      <c r="D1775" s="136">
        <v>2007</v>
      </c>
      <c r="E1775" s="136">
        <v>2001</v>
      </c>
      <c r="F1775" s="136" t="s">
        <v>1465</v>
      </c>
      <c r="G1775" s="136" t="s">
        <v>1466</v>
      </c>
      <c r="H1775" s="136" t="s">
        <v>2831</v>
      </c>
      <c r="I1775" s="136">
        <v>42.74</v>
      </c>
      <c r="J1775" s="136">
        <v>-84.48</v>
      </c>
      <c r="K1775" s="136">
        <v>260</v>
      </c>
      <c r="P1775" s="137"/>
      <c r="Q1775" s="137" t="s">
        <v>1735</v>
      </c>
      <c r="R1775" s="137" t="s">
        <v>1735</v>
      </c>
      <c r="T1775" s="137" t="s">
        <v>1974</v>
      </c>
      <c r="U1775" s="137" t="s">
        <v>1407</v>
      </c>
      <c r="V1775" s="137" t="s">
        <v>1727</v>
      </c>
      <c r="W1775" s="137" t="s">
        <v>1393</v>
      </c>
      <c r="X1775" s="137" t="s">
        <v>1421</v>
      </c>
      <c r="Z1775" s="357"/>
      <c r="AA1775" s="357"/>
      <c r="AB1775" s="136" t="s">
        <v>140</v>
      </c>
      <c r="AG1775" s="136" t="s">
        <v>1552</v>
      </c>
      <c r="AH1775" s="138" t="s">
        <v>1585</v>
      </c>
      <c r="AI1775" s="136" t="s">
        <v>133</v>
      </c>
      <c r="AJ1775" s="140" t="s">
        <v>1615</v>
      </c>
      <c r="AT1775" s="32" t="s">
        <v>161</v>
      </c>
      <c r="AU1775" s="32">
        <v>4</v>
      </c>
      <c r="AV1775" s="32"/>
      <c r="AW1775" s="32" t="s">
        <v>336</v>
      </c>
      <c r="BM1775" s="432"/>
      <c r="BN1775" s="432"/>
      <c r="BR1775" s="432"/>
      <c r="BS1775" s="432"/>
      <c r="BW1775" s="136">
        <v>3.1</v>
      </c>
      <c r="BX1775" s="136">
        <v>1.6</v>
      </c>
      <c r="CA1775" s="136" t="s">
        <v>1681</v>
      </c>
    </row>
    <row r="1776" spans="1:79" s="136" customFormat="1" x14ac:dyDescent="0.25">
      <c r="A1776" s="136">
        <v>82</v>
      </c>
      <c r="B1776" s="136" t="s">
        <v>1463</v>
      </c>
      <c r="C1776" s="136" t="s">
        <v>1464</v>
      </c>
      <c r="D1776" s="136">
        <v>2007</v>
      </c>
      <c r="E1776" s="136">
        <v>2001</v>
      </c>
      <c r="F1776" s="136" t="s">
        <v>1465</v>
      </c>
      <c r="G1776" s="136" t="s">
        <v>1466</v>
      </c>
      <c r="H1776" s="136" t="s">
        <v>2831</v>
      </c>
      <c r="I1776" s="136">
        <v>42.74</v>
      </c>
      <c r="J1776" s="136">
        <v>-84.48</v>
      </c>
      <c r="K1776" s="136">
        <v>260</v>
      </c>
      <c r="P1776" s="137"/>
      <c r="Q1776" s="137" t="s">
        <v>1735</v>
      </c>
      <c r="R1776" s="137" t="s">
        <v>1735</v>
      </c>
      <c r="T1776" s="137" t="s">
        <v>1974</v>
      </c>
      <c r="U1776" s="137" t="s">
        <v>1407</v>
      </c>
      <c r="V1776" s="137" t="s">
        <v>1727</v>
      </c>
      <c r="W1776" s="137" t="s">
        <v>1393</v>
      </c>
      <c r="X1776" s="137" t="s">
        <v>1421</v>
      </c>
      <c r="Z1776" s="357"/>
      <c r="AA1776" s="357"/>
      <c r="AB1776" s="136" t="s">
        <v>140</v>
      </c>
      <c r="AG1776" s="136" t="s">
        <v>1553</v>
      </c>
      <c r="AH1776" s="138" t="s">
        <v>1585</v>
      </c>
      <c r="AI1776" s="136" t="s">
        <v>133</v>
      </c>
      <c r="AJ1776" s="140" t="s">
        <v>1615</v>
      </c>
      <c r="AT1776" s="32" t="s">
        <v>161</v>
      </c>
      <c r="AU1776" s="32">
        <v>4</v>
      </c>
      <c r="AV1776" s="32"/>
      <c r="AW1776" s="32" t="s">
        <v>336</v>
      </c>
      <c r="BM1776" s="432"/>
      <c r="BN1776" s="432"/>
      <c r="BR1776" s="432"/>
      <c r="BS1776" s="432"/>
      <c r="BW1776" s="136">
        <v>3.1</v>
      </c>
      <c r="BX1776" s="136">
        <v>1.5</v>
      </c>
      <c r="CA1776" s="136" t="s">
        <v>1681</v>
      </c>
    </row>
    <row r="1777" spans="1:249" s="164" customFormat="1" x14ac:dyDescent="0.25">
      <c r="A1777" s="164">
        <v>83</v>
      </c>
      <c r="B1777" s="164" t="s">
        <v>1757</v>
      </c>
      <c r="C1777" s="164" t="s">
        <v>1764</v>
      </c>
      <c r="D1777" s="164">
        <v>2001</v>
      </c>
      <c r="E1777" s="164">
        <v>1997</v>
      </c>
      <c r="F1777" s="164" t="s">
        <v>1756</v>
      </c>
      <c r="G1777" s="164" t="s">
        <v>1758</v>
      </c>
      <c r="H1777" s="164" t="s">
        <v>2831</v>
      </c>
      <c r="I1777" s="164">
        <f>34+41/60</f>
        <v>34.68333333333333</v>
      </c>
      <c r="J1777" s="164">
        <f>-86-52/60</f>
        <v>-86.86666666666666</v>
      </c>
      <c r="K1777" s="164">
        <v>185</v>
      </c>
      <c r="L1777" s="164">
        <v>15.7</v>
      </c>
      <c r="N1777" s="164">
        <v>1352</v>
      </c>
      <c r="Q1777" s="164">
        <v>2</v>
      </c>
      <c r="R1777" s="164">
        <v>3</v>
      </c>
      <c r="T1777" s="165" t="s">
        <v>2022</v>
      </c>
      <c r="U1777" s="164" t="s">
        <v>1386</v>
      </c>
      <c r="V1777" s="164">
        <v>15</v>
      </c>
      <c r="W1777" s="168" t="s">
        <v>1386</v>
      </c>
      <c r="X1777" s="168" t="s">
        <v>1765</v>
      </c>
      <c r="Y1777" s="166">
        <f t="shared" ref="Y1777:Y1782" si="260">AVERAGE(BM1777:BN1777)</f>
        <v>1.2606999999999999</v>
      </c>
      <c r="Z1777" s="358">
        <v>35</v>
      </c>
      <c r="AA1777" s="358">
        <v>55</v>
      </c>
      <c r="AB1777" s="164" t="s">
        <v>1759</v>
      </c>
      <c r="AF1777" s="164" t="s">
        <v>1760</v>
      </c>
      <c r="AG1777" s="164" t="s">
        <v>1761</v>
      </c>
      <c r="AH1777" s="164" t="s">
        <v>132</v>
      </c>
      <c r="AI1777" s="164" t="s">
        <v>1762</v>
      </c>
      <c r="AJ1777" s="164" t="s">
        <v>1621</v>
      </c>
      <c r="AK1777" s="164" t="s">
        <v>1099</v>
      </c>
      <c r="AL1777" s="164" t="s">
        <v>1099</v>
      </c>
      <c r="AM1777" s="164" t="s">
        <v>178</v>
      </c>
      <c r="AN1777" s="164" t="s">
        <v>1048</v>
      </c>
      <c r="AO1777" s="164" t="s">
        <v>1048</v>
      </c>
      <c r="AP1777" s="164" t="s">
        <v>178</v>
      </c>
      <c r="AQ1777" s="170" t="s">
        <v>1763</v>
      </c>
      <c r="AR1777" s="170" t="s">
        <v>1763</v>
      </c>
      <c r="AS1777" s="164" t="s">
        <v>178</v>
      </c>
      <c r="AT1777" s="164" t="s">
        <v>120</v>
      </c>
      <c r="AU1777" s="164">
        <v>4</v>
      </c>
      <c r="AW1777" s="164" t="s">
        <v>142</v>
      </c>
      <c r="BM1777" s="433">
        <v>1.2955000000000001</v>
      </c>
      <c r="BN1777" s="433">
        <v>1.2259</v>
      </c>
      <c r="BO1777" s="166"/>
      <c r="BP1777" s="166"/>
      <c r="BQ1777" s="166"/>
      <c r="BR1777" s="433">
        <v>1.8</v>
      </c>
      <c r="BS1777" s="433">
        <v>2.2000000000000002</v>
      </c>
      <c r="BW1777" s="164">
        <v>70.849999999999994</v>
      </c>
      <c r="BX1777" s="164">
        <v>57.49</v>
      </c>
      <c r="CA1777" s="164" t="s">
        <v>1766</v>
      </c>
      <c r="HU1777" s="165"/>
    </row>
    <row r="1778" spans="1:249" s="164" customFormat="1" x14ac:dyDescent="0.25">
      <c r="A1778" s="164">
        <v>83</v>
      </c>
      <c r="B1778" s="164" t="s">
        <v>1757</v>
      </c>
      <c r="C1778" s="164" t="s">
        <v>1764</v>
      </c>
      <c r="D1778" s="164">
        <v>2001</v>
      </c>
      <c r="E1778" s="164">
        <v>1997</v>
      </c>
      <c r="F1778" s="164" t="s">
        <v>1756</v>
      </c>
      <c r="G1778" s="164" t="s">
        <v>1758</v>
      </c>
      <c r="H1778" s="164" t="s">
        <v>2831</v>
      </c>
      <c r="I1778" s="164">
        <f t="shared" ref="I1778:I1782" si="261">34+41/60</f>
        <v>34.68333333333333</v>
      </c>
      <c r="J1778" s="164">
        <f t="shared" ref="J1778:J1782" si="262">-86-52/60</f>
        <v>-86.86666666666666</v>
      </c>
      <c r="K1778" s="164">
        <v>185</v>
      </c>
      <c r="L1778" s="164">
        <v>15.7</v>
      </c>
      <c r="N1778" s="164">
        <v>1352</v>
      </c>
      <c r="Q1778" s="164">
        <v>2</v>
      </c>
      <c r="R1778" s="164">
        <v>3</v>
      </c>
      <c r="T1778" s="165" t="s">
        <v>2022</v>
      </c>
      <c r="U1778" s="164" t="s">
        <v>1394</v>
      </c>
      <c r="V1778" s="164">
        <v>15</v>
      </c>
      <c r="W1778" s="168" t="s">
        <v>1386</v>
      </c>
      <c r="X1778" s="168" t="s">
        <v>1765</v>
      </c>
      <c r="Y1778" s="166">
        <f t="shared" si="260"/>
        <v>1.3564000000000001</v>
      </c>
      <c r="Z1778" s="358">
        <v>35</v>
      </c>
      <c r="AA1778" s="358">
        <v>55</v>
      </c>
      <c r="AB1778" s="164" t="s">
        <v>1759</v>
      </c>
      <c r="AF1778" s="164" t="s">
        <v>1760</v>
      </c>
      <c r="AG1778" s="164" t="s">
        <v>1761</v>
      </c>
      <c r="AH1778" s="164" t="s">
        <v>132</v>
      </c>
      <c r="AI1778" s="164" t="s">
        <v>1762</v>
      </c>
      <c r="AJ1778" s="164" t="s">
        <v>1621</v>
      </c>
      <c r="AK1778" s="164" t="s">
        <v>1099</v>
      </c>
      <c r="AL1778" s="164" t="s">
        <v>1099</v>
      </c>
      <c r="AM1778" s="164" t="s">
        <v>178</v>
      </c>
      <c r="AN1778" s="164" t="s">
        <v>1048</v>
      </c>
      <c r="AO1778" s="164" t="s">
        <v>1048</v>
      </c>
      <c r="AP1778" s="164" t="s">
        <v>178</v>
      </c>
      <c r="AQ1778" s="170" t="s">
        <v>1763</v>
      </c>
      <c r="AR1778" s="170" t="s">
        <v>1763</v>
      </c>
      <c r="AS1778" s="164" t="s">
        <v>178</v>
      </c>
      <c r="AT1778" s="164" t="s">
        <v>120</v>
      </c>
      <c r="AU1778" s="164">
        <v>4</v>
      </c>
      <c r="AW1778" s="164" t="s">
        <v>142</v>
      </c>
      <c r="BM1778" s="433">
        <v>1.3999000000000001</v>
      </c>
      <c r="BN1778" s="433">
        <v>1.3129</v>
      </c>
      <c r="BO1778" s="166"/>
      <c r="BP1778" s="166"/>
      <c r="BQ1778" s="166"/>
      <c r="BR1778" s="433">
        <v>1.2</v>
      </c>
      <c r="BS1778" s="433">
        <v>1.7</v>
      </c>
      <c r="BW1778" s="164">
        <v>69.64</v>
      </c>
      <c r="BX1778" s="164">
        <v>60.32</v>
      </c>
      <c r="CA1778" s="164" t="s">
        <v>1766</v>
      </c>
      <c r="HU1778" s="165"/>
    </row>
    <row r="1779" spans="1:249" s="164" customFormat="1" x14ac:dyDescent="0.25">
      <c r="A1779" s="164">
        <v>83</v>
      </c>
      <c r="B1779" s="164" t="s">
        <v>1757</v>
      </c>
      <c r="C1779" s="164" t="s">
        <v>1764</v>
      </c>
      <c r="D1779" s="164">
        <v>2001</v>
      </c>
      <c r="E1779" s="164">
        <v>1997</v>
      </c>
      <c r="F1779" s="164" t="s">
        <v>1756</v>
      </c>
      <c r="G1779" s="164" t="s">
        <v>1758</v>
      </c>
      <c r="H1779" s="164" t="s">
        <v>2831</v>
      </c>
      <c r="I1779" s="164">
        <f t="shared" si="261"/>
        <v>34.68333333333333</v>
      </c>
      <c r="J1779" s="164">
        <f t="shared" si="262"/>
        <v>-86.86666666666666</v>
      </c>
      <c r="K1779" s="164">
        <v>185</v>
      </c>
      <c r="L1779" s="164">
        <v>15.7</v>
      </c>
      <c r="N1779" s="164">
        <v>1352</v>
      </c>
      <c r="Q1779" s="164">
        <v>2</v>
      </c>
      <c r="R1779" s="164">
        <v>3</v>
      </c>
      <c r="T1779" s="165" t="s">
        <v>2022</v>
      </c>
      <c r="U1779" s="164" t="s">
        <v>1393</v>
      </c>
      <c r="V1779" s="164">
        <v>30</v>
      </c>
      <c r="W1779" s="168" t="s">
        <v>1386</v>
      </c>
      <c r="X1779" s="168" t="s">
        <v>1765</v>
      </c>
      <c r="Y1779" s="166">
        <f t="shared" si="260"/>
        <v>1.4782000000000002</v>
      </c>
      <c r="Z1779" s="358">
        <v>35</v>
      </c>
      <c r="AA1779" s="358">
        <v>55</v>
      </c>
      <c r="AB1779" s="164" t="s">
        <v>1759</v>
      </c>
      <c r="AF1779" s="164" t="s">
        <v>1760</v>
      </c>
      <c r="AG1779" s="164" t="s">
        <v>1761</v>
      </c>
      <c r="AH1779" s="164" t="s">
        <v>132</v>
      </c>
      <c r="AI1779" s="164" t="s">
        <v>1762</v>
      </c>
      <c r="AJ1779" s="164" t="s">
        <v>1621</v>
      </c>
      <c r="AK1779" s="164" t="s">
        <v>1099</v>
      </c>
      <c r="AL1779" s="164" t="s">
        <v>1099</v>
      </c>
      <c r="AM1779" s="164" t="s">
        <v>178</v>
      </c>
      <c r="AN1779" s="164" t="s">
        <v>1048</v>
      </c>
      <c r="AO1779" s="164" t="s">
        <v>1048</v>
      </c>
      <c r="AP1779" s="164" t="s">
        <v>178</v>
      </c>
      <c r="AQ1779" s="170" t="s">
        <v>1763</v>
      </c>
      <c r="AR1779" s="170" t="s">
        <v>1763</v>
      </c>
      <c r="AS1779" s="164" t="s">
        <v>178</v>
      </c>
      <c r="AT1779" s="164" t="s">
        <v>120</v>
      </c>
      <c r="AU1779" s="164">
        <v>4</v>
      </c>
      <c r="AW1779" s="164" t="s">
        <v>142</v>
      </c>
      <c r="BM1779" s="433">
        <v>1.3477000000000001</v>
      </c>
      <c r="BN1779" s="433">
        <v>1.6087</v>
      </c>
      <c r="BO1779" s="166"/>
      <c r="BP1779" s="166"/>
      <c r="BQ1779" s="166"/>
      <c r="BR1779" s="433">
        <v>1.5</v>
      </c>
      <c r="BS1779" s="433">
        <v>1.8286376790086811</v>
      </c>
      <c r="BW1779" s="164">
        <v>70.25</v>
      </c>
      <c r="BX1779" s="164">
        <v>58.9</v>
      </c>
      <c r="CA1779" s="164" t="s">
        <v>1766</v>
      </c>
      <c r="HU1779" s="165"/>
    </row>
    <row r="1780" spans="1:249" s="164" customFormat="1" x14ac:dyDescent="0.25">
      <c r="A1780" s="164">
        <v>83</v>
      </c>
      <c r="B1780" s="164" t="s">
        <v>1757</v>
      </c>
      <c r="C1780" s="164" t="s">
        <v>1764</v>
      </c>
      <c r="D1780" s="164">
        <v>2001</v>
      </c>
      <c r="E1780" s="164">
        <v>1997</v>
      </c>
      <c r="F1780" s="164" t="s">
        <v>1756</v>
      </c>
      <c r="G1780" s="164" t="s">
        <v>1758</v>
      </c>
      <c r="H1780" s="164" t="s">
        <v>2831</v>
      </c>
      <c r="I1780" s="164">
        <f t="shared" si="261"/>
        <v>34.68333333333333</v>
      </c>
      <c r="J1780" s="164">
        <f t="shared" si="262"/>
        <v>-86.86666666666666</v>
      </c>
      <c r="K1780" s="164">
        <v>185</v>
      </c>
      <c r="L1780" s="164">
        <v>15.7</v>
      </c>
      <c r="N1780" s="164">
        <v>1352</v>
      </c>
      <c r="Q1780" s="164">
        <v>2</v>
      </c>
      <c r="R1780" s="164">
        <v>3</v>
      </c>
      <c r="T1780" s="165" t="s">
        <v>2022</v>
      </c>
      <c r="U1780" s="164" t="s">
        <v>1406</v>
      </c>
      <c r="V1780" s="164">
        <v>30</v>
      </c>
      <c r="W1780" s="168" t="s">
        <v>1386</v>
      </c>
      <c r="X1780" s="168" t="s">
        <v>1765</v>
      </c>
      <c r="Y1780" s="166">
        <f t="shared" si="260"/>
        <v>1.5530604651162792</v>
      </c>
      <c r="Z1780" s="358">
        <v>35</v>
      </c>
      <c r="AA1780" s="358">
        <v>55</v>
      </c>
      <c r="AB1780" s="164" t="s">
        <v>1759</v>
      </c>
      <c r="AF1780" s="164" t="s">
        <v>1760</v>
      </c>
      <c r="AG1780" s="164" t="s">
        <v>1761</v>
      </c>
      <c r="AH1780" s="164" t="s">
        <v>132</v>
      </c>
      <c r="AI1780" s="164" t="s">
        <v>1762</v>
      </c>
      <c r="AJ1780" s="164" t="s">
        <v>1621</v>
      </c>
      <c r="AK1780" s="164" t="s">
        <v>1099</v>
      </c>
      <c r="AL1780" s="164" t="s">
        <v>1099</v>
      </c>
      <c r="AM1780" s="164" t="s">
        <v>178</v>
      </c>
      <c r="AN1780" s="164" t="s">
        <v>1048</v>
      </c>
      <c r="AO1780" s="164" t="s">
        <v>1048</v>
      </c>
      <c r="AP1780" s="164" t="s">
        <v>178</v>
      </c>
      <c r="AQ1780" s="170" t="s">
        <v>1763</v>
      </c>
      <c r="AR1780" s="170" t="s">
        <v>1763</v>
      </c>
      <c r="AS1780" s="164" t="s">
        <v>178</v>
      </c>
      <c r="AT1780" s="164" t="s">
        <v>120</v>
      </c>
      <c r="AU1780" s="164">
        <v>4</v>
      </c>
      <c r="AW1780" s="164" t="s">
        <v>142</v>
      </c>
      <c r="BM1780" s="433">
        <v>1.5480023255813955</v>
      </c>
      <c r="BN1780" s="433">
        <v>1.558118604651163</v>
      </c>
      <c r="BO1780" s="166"/>
      <c r="BP1780" s="166"/>
      <c r="BQ1780" s="166"/>
      <c r="BR1780" s="433">
        <v>0.34883720930232498</v>
      </c>
      <c r="BS1780" s="433">
        <v>0.290697674418604</v>
      </c>
      <c r="BW1780" s="164">
        <v>42.5</v>
      </c>
      <c r="BX1780" s="164">
        <v>42.5</v>
      </c>
      <c r="CA1780" s="164" t="s">
        <v>1766</v>
      </c>
      <c r="HU1780" s="165"/>
    </row>
    <row r="1781" spans="1:249" s="164" customFormat="1" x14ac:dyDescent="0.25">
      <c r="A1781" s="164">
        <v>83</v>
      </c>
      <c r="B1781" s="164" t="s">
        <v>1757</v>
      </c>
      <c r="C1781" s="164" t="s">
        <v>1764</v>
      </c>
      <c r="D1781" s="164">
        <v>2001</v>
      </c>
      <c r="E1781" s="164">
        <v>1997</v>
      </c>
      <c r="F1781" s="164" t="s">
        <v>1756</v>
      </c>
      <c r="G1781" s="164" t="s">
        <v>1758</v>
      </c>
      <c r="H1781" s="164" t="s">
        <v>2831</v>
      </c>
      <c r="I1781" s="164">
        <f t="shared" si="261"/>
        <v>34.68333333333333</v>
      </c>
      <c r="J1781" s="164">
        <f t="shared" si="262"/>
        <v>-86.86666666666666</v>
      </c>
      <c r="K1781" s="164">
        <v>185</v>
      </c>
      <c r="L1781" s="164">
        <v>15.7</v>
      </c>
      <c r="N1781" s="164">
        <v>1352</v>
      </c>
      <c r="Q1781" s="164">
        <v>2</v>
      </c>
      <c r="R1781" s="164">
        <v>3</v>
      </c>
      <c r="T1781" s="165" t="s">
        <v>2022</v>
      </c>
      <c r="U1781" s="164" t="s">
        <v>1407</v>
      </c>
      <c r="V1781" s="164">
        <v>30</v>
      </c>
      <c r="W1781" s="168" t="s">
        <v>1386</v>
      </c>
      <c r="X1781" s="168" t="s">
        <v>1765</v>
      </c>
      <c r="Y1781" s="166">
        <f t="shared" si="260"/>
        <v>1.5884674418604652</v>
      </c>
      <c r="Z1781" s="358">
        <v>35</v>
      </c>
      <c r="AA1781" s="358">
        <v>55</v>
      </c>
      <c r="AB1781" s="164" t="s">
        <v>1759</v>
      </c>
      <c r="AF1781" s="164" t="s">
        <v>1760</v>
      </c>
      <c r="AG1781" s="164" t="s">
        <v>1761</v>
      </c>
      <c r="AH1781" s="164" t="s">
        <v>132</v>
      </c>
      <c r="AI1781" s="164" t="s">
        <v>1762</v>
      </c>
      <c r="AJ1781" s="164" t="s">
        <v>1621</v>
      </c>
      <c r="AK1781" s="164" t="s">
        <v>1099</v>
      </c>
      <c r="AL1781" s="164" t="s">
        <v>1099</v>
      </c>
      <c r="AM1781" s="164" t="s">
        <v>178</v>
      </c>
      <c r="AN1781" s="164" t="s">
        <v>1048</v>
      </c>
      <c r="AO1781" s="164" t="s">
        <v>1048</v>
      </c>
      <c r="AP1781" s="164" t="s">
        <v>178</v>
      </c>
      <c r="AQ1781" s="170" t="s">
        <v>1763</v>
      </c>
      <c r="AR1781" s="170" t="s">
        <v>1763</v>
      </c>
      <c r="AS1781" s="164" t="s">
        <v>178</v>
      </c>
      <c r="AT1781" s="164" t="s">
        <v>120</v>
      </c>
      <c r="AU1781" s="164">
        <v>4</v>
      </c>
      <c r="AW1781" s="164" t="s">
        <v>142</v>
      </c>
      <c r="BM1781" s="433">
        <v>1.5884674418604652</v>
      </c>
      <c r="BN1781" s="433">
        <v>1.5884674418604652</v>
      </c>
      <c r="BO1781" s="166"/>
      <c r="BP1781" s="166"/>
      <c r="BQ1781" s="166"/>
      <c r="BR1781" s="433">
        <v>0.116279069767441</v>
      </c>
      <c r="BS1781" s="433">
        <v>0.116279069767441</v>
      </c>
      <c r="BW1781" s="164">
        <v>30.77</v>
      </c>
      <c r="BX1781" s="164">
        <v>30.77</v>
      </c>
      <c r="CA1781" s="164" t="s">
        <v>1766</v>
      </c>
      <c r="HU1781" s="165"/>
    </row>
    <row r="1782" spans="1:249" s="164" customFormat="1" x14ac:dyDescent="0.25">
      <c r="A1782" s="164">
        <v>83</v>
      </c>
      <c r="B1782" s="164" t="s">
        <v>1757</v>
      </c>
      <c r="C1782" s="164" t="s">
        <v>1764</v>
      </c>
      <c r="D1782" s="164">
        <v>2001</v>
      </c>
      <c r="E1782" s="164">
        <v>1997</v>
      </c>
      <c r="F1782" s="164" t="s">
        <v>1756</v>
      </c>
      <c r="G1782" s="164" t="s">
        <v>1758</v>
      </c>
      <c r="H1782" s="164" t="s">
        <v>2831</v>
      </c>
      <c r="I1782" s="164">
        <f t="shared" si="261"/>
        <v>34.68333333333333</v>
      </c>
      <c r="J1782" s="164">
        <f t="shared" si="262"/>
        <v>-86.86666666666666</v>
      </c>
      <c r="K1782" s="164">
        <v>185</v>
      </c>
      <c r="L1782" s="164">
        <v>15.7</v>
      </c>
      <c r="N1782" s="164">
        <v>1352</v>
      </c>
      <c r="Q1782" s="164">
        <v>2</v>
      </c>
      <c r="R1782" s="164">
        <v>3</v>
      </c>
      <c r="T1782" s="165" t="s">
        <v>2022</v>
      </c>
      <c r="U1782" s="164" t="s">
        <v>1414</v>
      </c>
      <c r="V1782" s="164">
        <v>60</v>
      </c>
      <c r="W1782" s="168" t="s">
        <v>1386</v>
      </c>
      <c r="X1782" s="168" t="s">
        <v>1765</v>
      </c>
      <c r="Y1782" s="166">
        <f t="shared" si="260"/>
        <v>1.6087</v>
      </c>
      <c r="Z1782" s="358">
        <v>35</v>
      </c>
      <c r="AA1782" s="358">
        <v>55</v>
      </c>
      <c r="AB1782" s="164" t="s">
        <v>1759</v>
      </c>
      <c r="AF1782" s="164" t="s">
        <v>1760</v>
      </c>
      <c r="AG1782" s="164" t="s">
        <v>1761</v>
      </c>
      <c r="AH1782" s="164" t="s">
        <v>132</v>
      </c>
      <c r="AI1782" s="164" t="s">
        <v>1762</v>
      </c>
      <c r="AJ1782" s="164" t="s">
        <v>1621</v>
      </c>
      <c r="AK1782" s="164" t="s">
        <v>1099</v>
      </c>
      <c r="AL1782" s="164" t="s">
        <v>1099</v>
      </c>
      <c r="AM1782" s="164" t="s">
        <v>178</v>
      </c>
      <c r="AN1782" s="164" t="s">
        <v>1048</v>
      </c>
      <c r="AO1782" s="164" t="s">
        <v>1048</v>
      </c>
      <c r="AP1782" s="164" t="s">
        <v>178</v>
      </c>
      <c r="AQ1782" s="170" t="s">
        <v>1763</v>
      </c>
      <c r="AR1782" s="170" t="s">
        <v>1763</v>
      </c>
      <c r="AS1782" s="164" t="s">
        <v>178</v>
      </c>
      <c r="AT1782" s="164" t="s">
        <v>120</v>
      </c>
      <c r="AU1782" s="164">
        <v>4</v>
      </c>
      <c r="AW1782" s="164" t="s">
        <v>142</v>
      </c>
      <c r="BM1782" s="433">
        <v>1.6087</v>
      </c>
      <c r="BN1782" s="433">
        <v>1.6087</v>
      </c>
      <c r="BO1782" s="166"/>
      <c r="BP1782" s="166"/>
      <c r="BQ1782" s="166"/>
      <c r="BR1782" s="433">
        <v>1.8861898383372332E-2</v>
      </c>
      <c r="BS1782" s="433">
        <v>1.6515586377609637E-2</v>
      </c>
      <c r="BW1782" s="164">
        <v>36.64</v>
      </c>
      <c r="BX1782" s="164">
        <v>36.64</v>
      </c>
      <c r="CA1782" s="164" t="s">
        <v>1766</v>
      </c>
      <c r="HU1782" s="165"/>
    </row>
    <row r="1783" spans="1:249" s="32" customFormat="1" x14ac:dyDescent="0.25">
      <c r="A1783" s="32">
        <v>84</v>
      </c>
      <c r="B1783" s="32" t="s">
        <v>1471</v>
      </c>
      <c r="C1783" s="32" t="s">
        <v>1472</v>
      </c>
      <c r="D1783" s="32">
        <v>1998</v>
      </c>
      <c r="E1783" s="32">
        <v>1995</v>
      </c>
      <c r="F1783" s="32" t="s">
        <v>1473</v>
      </c>
      <c r="G1783" s="32" t="s">
        <v>1474</v>
      </c>
      <c r="H1783" s="32" t="s">
        <v>2832</v>
      </c>
      <c r="I1783" s="32">
        <f t="shared" ref="I1783:I1794" si="263">58+23/60</f>
        <v>58.383333333333333</v>
      </c>
      <c r="J1783" s="32">
        <f t="shared" ref="J1783:J1794" si="264">-116-2/60</f>
        <v>-116.03333333333333</v>
      </c>
      <c r="K1783" s="32">
        <v>283</v>
      </c>
      <c r="Q1783" s="44" t="s">
        <v>1867</v>
      </c>
      <c r="R1783" s="44" t="s">
        <v>1729</v>
      </c>
      <c r="T1783" s="44" t="s">
        <v>2023</v>
      </c>
      <c r="U1783" s="44" t="s">
        <v>1384</v>
      </c>
      <c r="V1783" s="44" t="s">
        <v>1723</v>
      </c>
      <c r="W1783" s="44" t="s">
        <v>1384</v>
      </c>
      <c r="X1783" s="44" t="s">
        <v>1384</v>
      </c>
      <c r="Z1783" s="323"/>
      <c r="AA1783" s="323"/>
      <c r="AB1783" s="32" t="s">
        <v>241</v>
      </c>
      <c r="AG1783" s="32" t="s">
        <v>1519</v>
      </c>
      <c r="AH1783" s="138" t="s">
        <v>578</v>
      </c>
      <c r="AI1783" s="32" t="s">
        <v>1606</v>
      </c>
      <c r="AJ1783" s="141" t="s">
        <v>1616</v>
      </c>
      <c r="AT1783" s="32" t="s">
        <v>120</v>
      </c>
      <c r="AU1783" s="32">
        <v>3</v>
      </c>
      <c r="AW1783" s="32" t="s">
        <v>142</v>
      </c>
      <c r="BB1783" s="32" t="s">
        <v>1475</v>
      </c>
      <c r="BM1783" s="397"/>
      <c r="BN1783" s="397"/>
      <c r="BR1783" s="397"/>
      <c r="BS1783" s="397"/>
      <c r="GH1783" s="32">
        <v>4.0999999999999996</v>
      </c>
      <c r="GI1783" s="32">
        <v>4.17</v>
      </c>
      <c r="GL1783" s="32" t="s">
        <v>1664</v>
      </c>
      <c r="IO1783" s="32" t="s">
        <v>1478</v>
      </c>
    </row>
    <row r="1784" spans="1:249" s="32" customFormat="1" x14ac:dyDescent="0.25">
      <c r="A1784" s="32">
        <v>84</v>
      </c>
      <c r="B1784" s="32" t="s">
        <v>1471</v>
      </c>
      <c r="C1784" s="32" t="s">
        <v>1472</v>
      </c>
      <c r="D1784" s="32">
        <v>1998</v>
      </c>
      <c r="E1784" s="32">
        <v>1995</v>
      </c>
      <c r="F1784" s="32" t="s">
        <v>1473</v>
      </c>
      <c r="G1784" s="32" t="s">
        <v>1474</v>
      </c>
      <c r="H1784" s="32" t="s">
        <v>2832</v>
      </c>
      <c r="I1784" s="32">
        <f t="shared" si="263"/>
        <v>58.383333333333333</v>
      </c>
      <c r="J1784" s="32">
        <f t="shared" si="264"/>
        <v>-116.03333333333333</v>
      </c>
      <c r="K1784" s="32">
        <v>283</v>
      </c>
      <c r="Q1784" s="44" t="s">
        <v>1867</v>
      </c>
      <c r="R1784" s="44" t="s">
        <v>1729</v>
      </c>
      <c r="T1784" s="44" t="s">
        <v>2023</v>
      </c>
      <c r="U1784" s="44" t="s">
        <v>1384</v>
      </c>
      <c r="V1784" s="44" t="s">
        <v>1723</v>
      </c>
      <c r="W1784" s="44" t="s">
        <v>1384</v>
      </c>
      <c r="X1784" s="44" t="s">
        <v>1384</v>
      </c>
      <c r="Z1784" s="323"/>
      <c r="AA1784" s="323"/>
      <c r="AB1784" s="32" t="s">
        <v>241</v>
      </c>
      <c r="AG1784" s="32" t="s">
        <v>1519</v>
      </c>
      <c r="AH1784" s="138" t="s">
        <v>578</v>
      </c>
      <c r="AI1784" s="32" t="s">
        <v>1606</v>
      </c>
      <c r="AJ1784" s="141" t="s">
        <v>1616</v>
      </c>
      <c r="AT1784" s="32" t="s">
        <v>120</v>
      </c>
      <c r="AU1784" s="32">
        <v>3</v>
      </c>
      <c r="AW1784" s="32" t="s">
        <v>142</v>
      </c>
      <c r="BB1784" s="32" t="s">
        <v>1476</v>
      </c>
      <c r="BM1784" s="397"/>
      <c r="BN1784" s="397"/>
      <c r="BR1784" s="397"/>
      <c r="BS1784" s="397"/>
      <c r="GH1784" s="32">
        <v>85</v>
      </c>
      <c r="GI1784" s="32">
        <v>92</v>
      </c>
      <c r="GL1784" s="32" t="s">
        <v>1665</v>
      </c>
      <c r="IO1784" s="32" t="s">
        <v>1478</v>
      </c>
    </row>
    <row r="1785" spans="1:249" s="32" customFormat="1" x14ac:dyDescent="0.25">
      <c r="A1785" s="32">
        <v>84</v>
      </c>
      <c r="B1785" s="32" t="s">
        <v>1471</v>
      </c>
      <c r="C1785" s="32" t="s">
        <v>1472</v>
      </c>
      <c r="D1785" s="32">
        <v>1998</v>
      </c>
      <c r="E1785" s="32">
        <v>1995</v>
      </c>
      <c r="F1785" s="32" t="s">
        <v>1473</v>
      </c>
      <c r="G1785" s="32" t="s">
        <v>1474</v>
      </c>
      <c r="H1785" s="32" t="s">
        <v>2832</v>
      </c>
      <c r="I1785" s="32">
        <f t="shared" si="263"/>
        <v>58.383333333333333</v>
      </c>
      <c r="J1785" s="32">
        <f t="shared" si="264"/>
        <v>-116.03333333333333</v>
      </c>
      <c r="K1785" s="32">
        <v>283</v>
      </c>
      <c r="Q1785" s="44" t="s">
        <v>1867</v>
      </c>
      <c r="R1785" s="44" t="s">
        <v>1729</v>
      </c>
      <c r="T1785" s="44" t="s">
        <v>2023</v>
      </c>
      <c r="U1785" s="44" t="s">
        <v>1384</v>
      </c>
      <c r="V1785" s="44" t="s">
        <v>1723</v>
      </c>
      <c r="W1785" s="44" t="s">
        <v>1384</v>
      </c>
      <c r="X1785" s="44" t="s">
        <v>1384</v>
      </c>
      <c r="Z1785" s="323"/>
      <c r="AA1785" s="323"/>
      <c r="AB1785" s="32" t="s">
        <v>241</v>
      </c>
      <c r="AG1785" s="32" t="s">
        <v>1519</v>
      </c>
      <c r="AH1785" s="138" t="s">
        <v>578</v>
      </c>
      <c r="AI1785" s="32" t="s">
        <v>1606</v>
      </c>
      <c r="AJ1785" s="141" t="s">
        <v>1616</v>
      </c>
      <c r="AT1785" s="32" t="s">
        <v>120</v>
      </c>
      <c r="AU1785" s="32">
        <v>3</v>
      </c>
      <c r="AW1785" s="32" t="s">
        <v>142</v>
      </c>
      <c r="BB1785" s="32" t="s">
        <v>1477</v>
      </c>
      <c r="BM1785" s="397"/>
      <c r="BN1785" s="397"/>
      <c r="BR1785" s="397"/>
      <c r="BS1785" s="397"/>
      <c r="GH1785" s="32">
        <v>0.93</v>
      </c>
      <c r="GI1785" s="32">
        <v>0.92</v>
      </c>
      <c r="GL1785" s="32" t="s">
        <v>1666</v>
      </c>
      <c r="IO1785" s="32" t="s">
        <v>1478</v>
      </c>
    </row>
    <row r="1786" spans="1:249" s="32" customFormat="1" x14ac:dyDescent="0.25">
      <c r="A1786" s="32">
        <v>84</v>
      </c>
      <c r="B1786" s="32" t="s">
        <v>1471</v>
      </c>
      <c r="C1786" s="32" t="s">
        <v>1472</v>
      </c>
      <c r="D1786" s="32">
        <v>1998</v>
      </c>
      <c r="E1786" s="32">
        <v>1995</v>
      </c>
      <c r="F1786" s="32" t="s">
        <v>1473</v>
      </c>
      <c r="G1786" s="32" t="s">
        <v>1474</v>
      </c>
      <c r="H1786" s="32" t="s">
        <v>2832</v>
      </c>
      <c r="I1786" s="32">
        <f t="shared" si="263"/>
        <v>58.383333333333333</v>
      </c>
      <c r="J1786" s="32">
        <f t="shared" si="264"/>
        <v>-116.03333333333333</v>
      </c>
      <c r="K1786" s="32">
        <v>283</v>
      </c>
      <c r="Q1786" s="44" t="s">
        <v>1867</v>
      </c>
      <c r="R1786" s="44" t="s">
        <v>1729</v>
      </c>
      <c r="T1786" s="44" t="s">
        <v>2023</v>
      </c>
      <c r="U1786" s="44" t="s">
        <v>1384</v>
      </c>
      <c r="V1786" s="44" t="s">
        <v>1723</v>
      </c>
      <c r="W1786" s="44" t="s">
        <v>1384</v>
      </c>
      <c r="X1786" s="44" t="s">
        <v>1384</v>
      </c>
      <c r="Z1786" s="323"/>
      <c r="AA1786" s="323"/>
      <c r="AB1786" s="32" t="s">
        <v>241</v>
      </c>
      <c r="AG1786" s="32" t="s">
        <v>1542</v>
      </c>
      <c r="AH1786" s="138" t="s">
        <v>578</v>
      </c>
      <c r="AI1786" s="32" t="s">
        <v>1606</v>
      </c>
      <c r="AJ1786" s="141" t="s">
        <v>1616</v>
      </c>
      <c r="AT1786" s="32" t="s">
        <v>120</v>
      </c>
      <c r="AU1786" s="32">
        <v>3</v>
      </c>
      <c r="AW1786" s="32" t="s">
        <v>142</v>
      </c>
      <c r="BB1786" s="32" t="s">
        <v>1475</v>
      </c>
      <c r="BM1786" s="397"/>
      <c r="BN1786" s="397"/>
      <c r="BR1786" s="397"/>
      <c r="BS1786" s="397"/>
      <c r="GH1786" s="32">
        <v>4.0999999999999996</v>
      </c>
      <c r="GI1786" s="32">
        <v>4.1100000000000003</v>
      </c>
      <c r="GL1786" s="32" t="s">
        <v>1664</v>
      </c>
      <c r="IO1786" s="32" t="s">
        <v>1478</v>
      </c>
    </row>
    <row r="1787" spans="1:249" s="32" customFormat="1" x14ac:dyDescent="0.25">
      <c r="A1787" s="32">
        <v>84</v>
      </c>
      <c r="B1787" s="32" t="s">
        <v>1471</v>
      </c>
      <c r="C1787" s="32" t="s">
        <v>1472</v>
      </c>
      <c r="D1787" s="32">
        <v>1998</v>
      </c>
      <c r="E1787" s="32">
        <v>1995</v>
      </c>
      <c r="F1787" s="32" t="s">
        <v>1473</v>
      </c>
      <c r="G1787" s="32" t="s">
        <v>1474</v>
      </c>
      <c r="H1787" s="32" t="s">
        <v>2832</v>
      </c>
      <c r="I1787" s="32">
        <f t="shared" si="263"/>
        <v>58.383333333333333</v>
      </c>
      <c r="J1787" s="32">
        <f t="shared" si="264"/>
        <v>-116.03333333333333</v>
      </c>
      <c r="K1787" s="32">
        <v>283</v>
      </c>
      <c r="Q1787" s="44" t="s">
        <v>1867</v>
      </c>
      <c r="R1787" s="44" t="s">
        <v>1729</v>
      </c>
      <c r="T1787" s="44" t="s">
        <v>2023</v>
      </c>
      <c r="U1787" s="44" t="s">
        <v>1384</v>
      </c>
      <c r="V1787" s="44" t="s">
        <v>1723</v>
      </c>
      <c r="W1787" s="44" t="s">
        <v>1384</v>
      </c>
      <c r="X1787" s="44" t="s">
        <v>1384</v>
      </c>
      <c r="Z1787" s="323"/>
      <c r="AA1787" s="323"/>
      <c r="AB1787" s="32" t="s">
        <v>241</v>
      </c>
      <c r="AG1787" s="32" t="s">
        <v>1542</v>
      </c>
      <c r="AH1787" s="138" t="s">
        <v>578</v>
      </c>
      <c r="AI1787" s="32" t="s">
        <v>1606</v>
      </c>
      <c r="AJ1787" s="141" t="s">
        <v>1616</v>
      </c>
      <c r="AT1787" s="32" t="s">
        <v>120</v>
      </c>
      <c r="AU1787" s="32">
        <v>3</v>
      </c>
      <c r="AW1787" s="32" t="s">
        <v>142</v>
      </c>
      <c r="BB1787" s="32" t="s">
        <v>1476</v>
      </c>
      <c r="BM1787" s="397"/>
      <c r="BN1787" s="397"/>
      <c r="BR1787" s="397"/>
      <c r="BS1787" s="397"/>
      <c r="GH1787" s="32">
        <v>85</v>
      </c>
      <c r="GI1787" s="32">
        <v>91</v>
      </c>
      <c r="GL1787" s="32" t="s">
        <v>1665</v>
      </c>
      <c r="IO1787" s="32" t="s">
        <v>1478</v>
      </c>
    </row>
    <row r="1788" spans="1:249" s="32" customFormat="1" x14ac:dyDescent="0.25">
      <c r="A1788" s="32">
        <v>84</v>
      </c>
      <c r="B1788" s="32" t="s">
        <v>1471</v>
      </c>
      <c r="C1788" s="32" t="s">
        <v>1472</v>
      </c>
      <c r="D1788" s="32">
        <v>1998</v>
      </c>
      <c r="E1788" s="32">
        <v>1995</v>
      </c>
      <c r="F1788" s="32" t="s">
        <v>1473</v>
      </c>
      <c r="G1788" s="32" t="s">
        <v>1474</v>
      </c>
      <c r="H1788" s="32" t="s">
        <v>2832</v>
      </c>
      <c r="I1788" s="32">
        <f t="shared" si="263"/>
        <v>58.383333333333333</v>
      </c>
      <c r="J1788" s="32">
        <f t="shared" si="264"/>
        <v>-116.03333333333333</v>
      </c>
      <c r="K1788" s="32">
        <v>283</v>
      </c>
      <c r="Q1788" s="44" t="s">
        <v>1867</v>
      </c>
      <c r="R1788" s="44" t="s">
        <v>1729</v>
      </c>
      <c r="T1788" s="44" t="s">
        <v>2023</v>
      </c>
      <c r="U1788" s="44" t="s">
        <v>1384</v>
      </c>
      <c r="V1788" s="44" t="s">
        <v>1723</v>
      </c>
      <c r="W1788" s="44" t="s">
        <v>1384</v>
      </c>
      <c r="X1788" s="44" t="s">
        <v>1384</v>
      </c>
      <c r="Z1788" s="323"/>
      <c r="AA1788" s="323"/>
      <c r="AB1788" s="32" t="s">
        <v>241</v>
      </c>
      <c r="AG1788" s="32" t="s">
        <v>1542</v>
      </c>
      <c r="AH1788" s="138" t="s">
        <v>578</v>
      </c>
      <c r="AI1788" s="32" t="s">
        <v>1606</v>
      </c>
      <c r="AJ1788" s="141" t="s">
        <v>1616</v>
      </c>
      <c r="AT1788" s="32" t="s">
        <v>120</v>
      </c>
      <c r="AU1788" s="32">
        <v>3</v>
      </c>
      <c r="AW1788" s="32" t="s">
        <v>142</v>
      </c>
      <c r="BB1788" s="32" t="s">
        <v>1477</v>
      </c>
      <c r="BM1788" s="397"/>
      <c r="BN1788" s="397"/>
      <c r="BR1788" s="397"/>
      <c r="BS1788" s="397"/>
      <c r="GH1788" s="32">
        <v>0.93</v>
      </c>
      <c r="GI1788" s="32">
        <v>0.91</v>
      </c>
      <c r="GL1788" s="32" t="s">
        <v>1666</v>
      </c>
      <c r="IO1788" s="32" t="s">
        <v>1478</v>
      </c>
    </row>
    <row r="1789" spans="1:249" s="24" customFormat="1" x14ac:dyDescent="0.25">
      <c r="A1789" s="24">
        <v>84</v>
      </c>
      <c r="B1789" s="24" t="s">
        <v>1471</v>
      </c>
      <c r="C1789" s="24" t="s">
        <v>1472</v>
      </c>
      <c r="D1789" s="24">
        <v>1998</v>
      </c>
      <c r="E1789" s="24">
        <v>1996</v>
      </c>
      <c r="F1789" s="24" t="s">
        <v>1473</v>
      </c>
      <c r="G1789" s="24" t="s">
        <v>1474</v>
      </c>
      <c r="H1789" s="32" t="s">
        <v>2832</v>
      </c>
      <c r="I1789" s="24">
        <f t="shared" si="263"/>
        <v>58.383333333333333</v>
      </c>
      <c r="J1789" s="24">
        <f t="shared" si="264"/>
        <v>-116.03333333333333</v>
      </c>
      <c r="K1789" s="24">
        <v>283</v>
      </c>
      <c r="Q1789" s="42" t="s">
        <v>1729</v>
      </c>
      <c r="R1789" s="42" t="s">
        <v>1729</v>
      </c>
      <c r="T1789" s="42" t="s">
        <v>2023</v>
      </c>
      <c r="U1789" s="42" t="s">
        <v>1384</v>
      </c>
      <c r="V1789" s="42" t="s">
        <v>1723</v>
      </c>
      <c r="W1789" s="42" t="s">
        <v>1384</v>
      </c>
      <c r="X1789" s="42" t="s">
        <v>1384</v>
      </c>
      <c r="Z1789" s="321"/>
      <c r="AA1789" s="321"/>
      <c r="AB1789" s="24" t="s">
        <v>241</v>
      </c>
      <c r="AG1789" s="24" t="s">
        <v>1519</v>
      </c>
      <c r="AH1789" s="138" t="s">
        <v>578</v>
      </c>
      <c r="AI1789" s="24" t="s">
        <v>1606</v>
      </c>
      <c r="AJ1789" s="141" t="s">
        <v>1616</v>
      </c>
      <c r="AT1789" s="24" t="s">
        <v>120</v>
      </c>
      <c r="AU1789" s="24">
        <v>3</v>
      </c>
      <c r="AW1789" s="24" t="s">
        <v>142</v>
      </c>
      <c r="BB1789" s="24" t="s">
        <v>1475</v>
      </c>
      <c r="BM1789" s="395"/>
      <c r="BN1789" s="395"/>
      <c r="BR1789" s="395"/>
      <c r="BS1789" s="395"/>
      <c r="GH1789" s="24">
        <v>3.71</v>
      </c>
      <c r="GI1789" s="24">
        <v>4.09</v>
      </c>
      <c r="GL1789" s="24" t="s">
        <v>1664</v>
      </c>
      <c r="IO1789" s="24" t="s">
        <v>1478</v>
      </c>
    </row>
    <row r="1790" spans="1:249" s="24" customFormat="1" x14ac:dyDescent="0.25">
      <c r="A1790" s="24">
        <v>84</v>
      </c>
      <c r="B1790" s="24" t="s">
        <v>1471</v>
      </c>
      <c r="C1790" s="24" t="s">
        <v>1472</v>
      </c>
      <c r="D1790" s="24">
        <v>1998</v>
      </c>
      <c r="E1790" s="24">
        <v>1996</v>
      </c>
      <c r="F1790" s="24" t="s">
        <v>1473</v>
      </c>
      <c r="G1790" s="24" t="s">
        <v>1474</v>
      </c>
      <c r="H1790" s="32" t="s">
        <v>2832</v>
      </c>
      <c r="I1790" s="24">
        <f t="shared" si="263"/>
        <v>58.383333333333333</v>
      </c>
      <c r="J1790" s="24">
        <f t="shared" si="264"/>
        <v>-116.03333333333333</v>
      </c>
      <c r="K1790" s="24">
        <v>283</v>
      </c>
      <c r="Q1790" s="42" t="s">
        <v>1729</v>
      </c>
      <c r="R1790" s="42" t="s">
        <v>1729</v>
      </c>
      <c r="T1790" s="42" t="s">
        <v>2023</v>
      </c>
      <c r="U1790" s="42" t="s">
        <v>1384</v>
      </c>
      <c r="V1790" s="42" t="s">
        <v>1723</v>
      </c>
      <c r="W1790" s="42" t="s">
        <v>1384</v>
      </c>
      <c r="X1790" s="42" t="s">
        <v>1384</v>
      </c>
      <c r="Z1790" s="321"/>
      <c r="AA1790" s="321"/>
      <c r="AB1790" s="24" t="s">
        <v>241</v>
      </c>
      <c r="AG1790" s="24" t="s">
        <v>1519</v>
      </c>
      <c r="AH1790" s="138" t="s">
        <v>578</v>
      </c>
      <c r="AI1790" s="24" t="s">
        <v>1606</v>
      </c>
      <c r="AJ1790" s="141" t="s">
        <v>1616</v>
      </c>
      <c r="AT1790" s="24" t="s">
        <v>120</v>
      </c>
      <c r="AU1790" s="24">
        <v>3</v>
      </c>
      <c r="AW1790" s="24" t="s">
        <v>142</v>
      </c>
      <c r="BB1790" s="24" t="s">
        <v>1476</v>
      </c>
      <c r="BM1790" s="395"/>
      <c r="BN1790" s="395"/>
      <c r="BR1790" s="395"/>
      <c r="BS1790" s="395"/>
      <c r="GH1790" s="24">
        <v>71</v>
      </c>
      <c r="GI1790" s="24">
        <v>91</v>
      </c>
      <c r="GL1790" s="24" t="s">
        <v>1665</v>
      </c>
      <c r="IO1790" s="24" t="s">
        <v>1478</v>
      </c>
    </row>
    <row r="1791" spans="1:249" s="24" customFormat="1" x14ac:dyDescent="0.25">
      <c r="A1791" s="24">
        <v>84</v>
      </c>
      <c r="B1791" s="24" t="s">
        <v>1471</v>
      </c>
      <c r="C1791" s="24" t="s">
        <v>1472</v>
      </c>
      <c r="D1791" s="24">
        <v>1998</v>
      </c>
      <c r="E1791" s="24">
        <v>1996</v>
      </c>
      <c r="F1791" s="24" t="s">
        <v>1473</v>
      </c>
      <c r="G1791" s="24" t="s">
        <v>1474</v>
      </c>
      <c r="H1791" s="32" t="s">
        <v>2832</v>
      </c>
      <c r="I1791" s="24">
        <f t="shared" si="263"/>
        <v>58.383333333333333</v>
      </c>
      <c r="J1791" s="24">
        <f t="shared" si="264"/>
        <v>-116.03333333333333</v>
      </c>
      <c r="K1791" s="24">
        <v>283</v>
      </c>
      <c r="Q1791" s="42" t="s">
        <v>1729</v>
      </c>
      <c r="R1791" s="42" t="s">
        <v>1729</v>
      </c>
      <c r="T1791" s="42" t="s">
        <v>2023</v>
      </c>
      <c r="U1791" s="42" t="s">
        <v>1384</v>
      </c>
      <c r="V1791" s="42" t="s">
        <v>1723</v>
      </c>
      <c r="W1791" s="42" t="s">
        <v>1384</v>
      </c>
      <c r="X1791" s="42" t="s">
        <v>1384</v>
      </c>
      <c r="Z1791" s="321"/>
      <c r="AA1791" s="321"/>
      <c r="AB1791" s="24" t="s">
        <v>241</v>
      </c>
      <c r="AG1791" s="24" t="s">
        <v>1519</v>
      </c>
      <c r="AH1791" s="138" t="s">
        <v>578</v>
      </c>
      <c r="AI1791" s="24" t="s">
        <v>1606</v>
      </c>
      <c r="AJ1791" s="141" t="s">
        <v>1616</v>
      </c>
      <c r="AT1791" s="24" t="s">
        <v>120</v>
      </c>
      <c r="AU1791" s="24">
        <v>3</v>
      </c>
      <c r="AW1791" s="24" t="s">
        <v>142</v>
      </c>
      <c r="BB1791" s="24" t="s">
        <v>1477</v>
      </c>
      <c r="BM1791" s="395"/>
      <c r="BN1791" s="395"/>
      <c r="BR1791" s="395"/>
      <c r="BS1791" s="395"/>
      <c r="GH1791" s="24">
        <v>0.87</v>
      </c>
      <c r="GI1791" s="24">
        <v>0.91</v>
      </c>
      <c r="GL1791" s="24" t="s">
        <v>1666</v>
      </c>
      <c r="IO1791" s="24" t="s">
        <v>1478</v>
      </c>
    </row>
    <row r="1792" spans="1:249" s="24" customFormat="1" x14ac:dyDescent="0.25">
      <c r="A1792" s="24">
        <v>84</v>
      </c>
      <c r="B1792" s="24" t="s">
        <v>1471</v>
      </c>
      <c r="C1792" s="24" t="s">
        <v>1472</v>
      </c>
      <c r="D1792" s="24">
        <v>1998</v>
      </c>
      <c r="E1792" s="24">
        <v>1996</v>
      </c>
      <c r="F1792" s="24" t="s">
        <v>1473</v>
      </c>
      <c r="G1792" s="24" t="s">
        <v>1474</v>
      </c>
      <c r="H1792" s="32" t="s">
        <v>2832</v>
      </c>
      <c r="I1792" s="24">
        <f t="shared" si="263"/>
        <v>58.383333333333333</v>
      </c>
      <c r="J1792" s="24">
        <f t="shared" si="264"/>
        <v>-116.03333333333333</v>
      </c>
      <c r="K1792" s="24">
        <v>283</v>
      </c>
      <c r="Q1792" s="42" t="s">
        <v>1729</v>
      </c>
      <c r="R1792" s="42" t="s">
        <v>1729</v>
      </c>
      <c r="T1792" s="42" t="s">
        <v>2023</v>
      </c>
      <c r="U1792" s="42" t="s">
        <v>1384</v>
      </c>
      <c r="V1792" s="42" t="s">
        <v>1723</v>
      </c>
      <c r="W1792" s="42" t="s">
        <v>1384</v>
      </c>
      <c r="X1792" s="42" t="s">
        <v>1384</v>
      </c>
      <c r="Z1792" s="321"/>
      <c r="AA1792" s="321"/>
      <c r="AB1792" s="24" t="s">
        <v>241</v>
      </c>
      <c r="AG1792" s="24" t="s">
        <v>1542</v>
      </c>
      <c r="AH1792" s="138" t="s">
        <v>578</v>
      </c>
      <c r="AI1792" s="24" t="s">
        <v>1606</v>
      </c>
      <c r="AJ1792" s="141" t="s">
        <v>1616</v>
      </c>
      <c r="AT1792" s="24" t="s">
        <v>120</v>
      </c>
      <c r="AU1792" s="24">
        <v>3</v>
      </c>
      <c r="AW1792" s="24" t="s">
        <v>142</v>
      </c>
      <c r="BB1792" s="24" t="s">
        <v>1475</v>
      </c>
      <c r="BM1792" s="395"/>
      <c r="BN1792" s="395"/>
      <c r="BR1792" s="395"/>
      <c r="BS1792" s="395"/>
      <c r="GH1792" s="24">
        <v>3.71</v>
      </c>
      <c r="GI1792" s="24">
        <v>4.04</v>
      </c>
      <c r="GL1792" s="24" t="s">
        <v>1664</v>
      </c>
      <c r="IO1792" s="24" t="s">
        <v>1478</v>
      </c>
    </row>
    <row r="1793" spans="1:249" s="24" customFormat="1" x14ac:dyDescent="0.25">
      <c r="A1793" s="24">
        <v>84</v>
      </c>
      <c r="B1793" s="24" t="s">
        <v>1471</v>
      </c>
      <c r="C1793" s="24" t="s">
        <v>1472</v>
      </c>
      <c r="D1793" s="24">
        <v>1998</v>
      </c>
      <c r="E1793" s="24">
        <v>1996</v>
      </c>
      <c r="F1793" s="24" t="s">
        <v>1473</v>
      </c>
      <c r="G1793" s="24" t="s">
        <v>1474</v>
      </c>
      <c r="H1793" s="32" t="s">
        <v>2832</v>
      </c>
      <c r="I1793" s="24">
        <f t="shared" si="263"/>
        <v>58.383333333333333</v>
      </c>
      <c r="J1793" s="24">
        <f t="shared" si="264"/>
        <v>-116.03333333333333</v>
      </c>
      <c r="K1793" s="24">
        <v>283</v>
      </c>
      <c r="Q1793" s="42" t="s">
        <v>1729</v>
      </c>
      <c r="R1793" s="42" t="s">
        <v>1729</v>
      </c>
      <c r="T1793" s="42" t="s">
        <v>2023</v>
      </c>
      <c r="U1793" s="42" t="s">
        <v>1384</v>
      </c>
      <c r="V1793" s="42" t="s">
        <v>1723</v>
      </c>
      <c r="W1793" s="42" t="s">
        <v>1384</v>
      </c>
      <c r="X1793" s="42" t="s">
        <v>1384</v>
      </c>
      <c r="Z1793" s="321"/>
      <c r="AA1793" s="321"/>
      <c r="AB1793" s="24" t="s">
        <v>241</v>
      </c>
      <c r="AG1793" s="24" t="s">
        <v>1542</v>
      </c>
      <c r="AH1793" s="138" t="s">
        <v>578</v>
      </c>
      <c r="AI1793" s="24" t="s">
        <v>1606</v>
      </c>
      <c r="AJ1793" s="141" t="s">
        <v>1616</v>
      </c>
      <c r="AT1793" s="24" t="s">
        <v>120</v>
      </c>
      <c r="AU1793" s="24">
        <v>3</v>
      </c>
      <c r="AW1793" s="24" t="s">
        <v>142</v>
      </c>
      <c r="BB1793" s="24" t="s">
        <v>1476</v>
      </c>
      <c r="BM1793" s="395"/>
      <c r="BN1793" s="395"/>
      <c r="BR1793" s="395"/>
      <c r="BS1793" s="395"/>
      <c r="GH1793" s="24">
        <v>71</v>
      </c>
      <c r="GI1793" s="24">
        <v>88</v>
      </c>
      <c r="GL1793" s="24" t="s">
        <v>1665</v>
      </c>
      <c r="IO1793" s="24" t="s">
        <v>1478</v>
      </c>
    </row>
    <row r="1794" spans="1:249" s="24" customFormat="1" x14ac:dyDescent="0.25">
      <c r="A1794" s="24">
        <v>84</v>
      </c>
      <c r="B1794" s="24" t="s">
        <v>1471</v>
      </c>
      <c r="C1794" s="24" t="s">
        <v>1472</v>
      </c>
      <c r="D1794" s="24">
        <v>1998</v>
      </c>
      <c r="E1794" s="24">
        <v>1996</v>
      </c>
      <c r="F1794" s="24" t="s">
        <v>1473</v>
      </c>
      <c r="G1794" s="24" t="s">
        <v>1474</v>
      </c>
      <c r="H1794" s="32" t="s">
        <v>2832</v>
      </c>
      <c r="I1794" s="24">
        <f t="shared" si="263"/>
        <v>58.383333333333333</v>
      </c>
      <c r="J1794" s="24">
        <f t="shared" si="264"/>
        <v>-116.03333333333333</v>
      </c>
      <c r="K1794" s="24">
        <v>283</v>
      </c>
      <c r="Q1794" s="42" t="s">
        <v>1729</v>
      </c>
      <c r="R1794" s="42" t="s">
        <v>1729</v>
      </c>
      <c r="T1794" s="42" t="s">
        <v>2023</v>
      </c>
      <c r="U1794" s="42" t="s">
        <v>1384</v>
      </c>
      <c r="V1794" s="42" t="s">
        <v>1723</v>
      </c>
      <c r="W1794" s="42" t="s">
        <v>1384</v>
      </c>
      <c r="X1794" s="42" t="s">
        <v>1384</v>
      </c>
      <c r="Z1794" s="321"/>
      <c r="AA1794" s="321"/>
      <c r="AB1794" s="24" t="s">
        <v>241</v>
      </c>
      <c r="AG1794" s="24" t="s">
        <v>1542</v>
      </c>
      <c r="AH1794" s="138" t="s">
        <v>578</v>
      </c>
      <c r="AI1794" s="24" t="s">
        <v>1606</v>
      </c>
      <c r="AJ1794" s="141" t="s">
        <v>1616</v>
      </c>
      <c r="AT1794" s="24" t="s">
        <v>120</v>
      </c>
      <c r="AU1794" s="24">
        <v>3</v>
      </c>
      <c r="AW1794" s="24" t="s">
        <v>142</v>
      </c>
      <c r="BB1794" s="24" t="s">
        <v>1477</v>
      </c>
      <c r="BM1794" s="395"/>
      <c r="BN1794" s="395"/>
      <c r="BR1794" s="395"/>
      <c r="BS1794" s="395"/>
      <c r="GH1794" s="24">
        <v>0.87</v>
      </c>
      <c r="GI1794" s="24">
        <v>0.9</v>
      </c>
      <c r="GL1794" s="24" t="s">
        <v>1666</v>
      </c>
      <c r="IO1794" s="24" t="s">
        <v>1478</v>
      </c>
    </row>
    <row r="1795" spans="1:249" s="36" customFormat="1" x14ac:dyDescent="0.25">
      <c r="A1795" s="36">
        <v>85</v>
      </c>
      <c r="B1795" s="36" t="s">
        <v>1479</v>
      </c>
      <c r="C1795" s="36" t="s">
        <v>1480</v>
      </c>
      <c r="D1795" s="36">
        <v>2018</v>
      </c>
      <c r="E1795" s="36">
        <v>2014</v>
      </c>
      <c r="F1795" s="36" t="s">
        <v>297</v>
      </c>
      <c r="G1795" s="36" t="s">
        <v>1481</v>
      </c>
      <c r="H1795" s="36" t="s">
        <v>2831</v>
      </c>
      <c r="I1795" s="36">
        <v>34.67</v>
      </c>
      <c r="J1795" s="36">
        <v>-82.85</v>
      </c>
      <c r="K1795" s="36">
        <v>191</v>
      </c>
      <c r="Q1795" s="51" t="s">
        <v>1856</v>
      </c>
      <c r="R1795" s="51" t="s">
        <v>1735</v>
      </c>
      <c r="T1795" s="51" t="s">
        <v>2024</v>
      </c>
      <c r="U1795" s="51" t="s">
        <v>1386</v>
      </c>
      <c r="V1795" s="51" t="s">
        <v>1724</v>
      </c>
      <c r="W1795" s="51" t="s">
        <v>1386</v>
      </c>
      <c r="X1795" s="51" t="s">
        <v>1386</v>
      </c>
      <c r="Z1795" s="331"/>
      <c r="AA1795" s="331"/>
      <c r="AB1795" s="36" t="s">
        <v>241</v>
      </c>
      <c r="AG1795" s="36" t="s">
        <v>1584</v>
      </c>
      <c r="AH1795" s="138" t="s">
        <v>1586</v>
      </c>
      <c r="AI1795" s="36" t="s">
        <v>243</v>
      </c>
      <c r="AJ1795" s="142" t="s">
        <v>1621</v>
      </c>
      <c r="AK1795" s="36" t="s">
        <v>1099</v>
      </c>
      <c r="AL1795" s="36" t="s">
        <v>1099</v>
      </c>
      <c r="AM1795" s="36" t="s">
        <v>178</v>
      </c>
      <c r="AN1795" s="36" t="s">
        <v>488</v>
      </c>
      <c r="AO1795" s="36" t="s">
        <v>157</v>
      </c>
      <c r="AP1795" s="36" t="s">
        <v>503</v>
      </c>
      <c r="AQ1795" s="36" t="s">
        <v>1486</v>
      </c>
      <c r="AR1795" s="36" t="s">
        <v>1486</v>
      </c>
      <c r="AS1795" s="36" t="s">
        <v>178</v>
      </c>
      <c r="AT1795" s="36" t="s">
        <v>161</v>
      </c>
      <c r="AU1795" s="36">
        <v>3</v>
      </c>
      <c r="AW1795" s="36" t="s">
        <v>336</v>
      </c>
      <c r="BH1795" s="36">
        <f>10.8*1000</f>
        <v>10800</v>
      </c>
      <c r="BI1795" s="36">
        <f>19.7*1000</f>
        <v>19700</v>
      </c>
      <c r="BM1795" s="407"/>
      <c r="BN1795" s="407"/>
      <c r="BR1795" s="407"/>
      <c r="BS1795" s="407"/>
      <c r="BW1795" s="36">
        <v>61.3</v>
      </c>
      <c r="BX1795" s="36">
        <v>74.099999999999994</v>
      </c>
      <c r="CA1795" s="36" t="s">
        <v>1485</v>
      </c>
      <c r="GW1795" s="36">
        <v>52</v>
      </c>
      <c r="GX1795" s="36">
        <v>61.4</v>
      </c>
      <c r="HA1795" s="36" t="s">
        <v>1482</v>
      </c>
      <c r="IM1795" s="36">
        <v>99999</v>
      </c>
      <c r="IO1795" s="36" t="s">
        <v>1483</v>
      </c>
    </row>
    <row r="1796" spans="1:249" s="36" customFormat="1" x14ac:dyDescent="0.25">
      <c r="A1796" s="36">
        <v>85</v>
      </c>
      <c r="B1796" s="36" t="s">
        <v>1479</v>
      </c>
      <c r="C1796" s="36" t="s">
        <v>1480</v>
      </c>
      <c r="D1796" s="36">
        <v>2018</v>
      </c>
      <c r="E1796" s="36">
        <v>2015</v>
      </c>
      <c r="F1796" s="36" t="s">
        <v>297</v>
      </c>
      <c r="G1796" s="36" t="s">
        <v>1481</v>
      </c>
      <c r="H1796" s="36" t="s">
        <v>2831</v>
      </c>
      <c r="I1796" s="36">
        <v>34.67</v>
      </c>
      <c r="J1796" s="36">
        <v>-82.85</v>
      </c>
      <c r="K1796" s="36">
        <v>191</v>
      </c>
      <c r="Q1796" s="51" t="s">
        <v>1735</v>
      </c>
      <c r="R1796" s="51" t="s">
        <v>1735</v>
      </c>
      <c r="T1796" s="51" t="s">
        <v>2024</v>
      </c>
      <c r="U1796" s="51" t="s">
        <v>1386</v>
      </c>
      <c r="V1796" s="51" t="s">
        <v>1724</v>
      </c>
      <c r="W1796" s="51" t="s">
        <v>1386</v>
      </c>
      <c r="X1796" s="51" t="s">
        <v>1386</v>
      </c>
      <c r="Z1796" s="331"/>
      <c r="AA1796" s="331"/>
      <c r="AB1796" s="36" t="s">
        <v>241</v>
      </c>
      <c r="AG1796" s="36" t="s">
        <v>1584</v>
      </c>
      <c r="AH1796" s="138" t="s">
        <v>1586</v>
      </c>
      <c r="AI1796" s="36" t="s">
        <v>243</v>
      </c>
      <c r="AJ1796" s="142" t="s">
        <v>1621</v>
      </c>
      <c r="AK1796" s="36" t="s">
        <v>1099</v>
      </c>
      <c r="AL1796" s="36" t="s">
        <v>1099</v>
      </c>
      <c r="AM1796" s="36" t="s">
        <v>178</v>
      </c>
      <c r="AN1796" s="36" t="s">
        <v>488</v>
      </c>
      <c r="AO1796" s="36" t="s">
        <v>157</v>
      </c>
      <c r="AP1796" s="36" t="s">
        <v>503</v>
      </c>
      <c r="AQ1796" s="36" t="s">
        <v>1486</v>
      </c>
      <c r="AR1796" s="36" t="s">
        <v>1486</v>
      </c>
      <c r="AS1796" s="36" t="s">
        <v>178</v>
      </c>
      <c r="AT1796" s="36" t="s">
        <v>161</v>
      </c>
      <c r="AU1796" s="36">
        <v>3</v>
      </c>
      <c r="AW1796" s="36" t="s">
        <v>336</v>
      </c>
      <c r="BH1796" s="36">
        <f>31*1000</f>
        <v>31000</v>
      </c>
      <c r="BI1796" s="36">
        <f>21.2*1000</f>
        <v>21200</v>
      </c>
      <c r="BM1796" s="407"/>
      <c r="BN1796" s="407"/>
      <c r="BR1796" s="407"/>
      <c r="BS1796" s="407"/>
      <c r="BW1796" s="36">
        <v>113.4</v>
      </c>
      <c r="BX1796" s="36">
        <v>102.6</v>
      </c>
      <c r="CA1796" s="36" t="s">
        <v>1485</v>
      </c>
      <c r="GW1796" s="36">
        <v>100.1</v>
      </c>
      <c r="GX1796" s="36">
        <v>95</v>
      </c>
      <c r="HA1796" s="36" t="s">
        <v>1482</v>
      </c>
      <c r="IM1796" s="36">
        <v>99999</v>
      </c>
      <c r="IO1796" s="36" t="s">
        <v>1483</v>
      </c>
    </row>
    <row r="1797" spans="1:249" s="36" customFormat="1" x14ac:dyDescent="0.25">
      <c r="A1797" s="36">
        <v>85</v>
      </c>
      <c r="B1797" s="36" t="s">
        <v>1479</v>
      </c>
      <c r="C1797" s="36" t="s">
        <v>1480</v>
      </c>
      <c r="D1797" s="36">
        <v>2018</v>
      </c>
      <c r="E1797" s="36">
        <v>2014</v>
      </c>
      <c r="F1797" s="36" t="s">
        <v>297</v>
      </c>
      <c r="G1797" s="36" t="s">
        <v>1481</v>
      </c>
      <c r="H1797" s="36" t="s">
        <v>2831</v>
      </c>
      <c r="I1797" s="36">
        <v>34.67</v>
      </c>
      <c r="J1797" s="36">
        <v>-82.85</v>
      </c>
      <c r="K1797" s="36">
        <v>191</v>
      </c>
      <c r="Q1797" s="51" t="s">
        <v>1856</v>
      </c>
      <c r="R1797" s="51" t="s">
        <v>1735</v>
      </c>
      <c r="T1797" s="51" t="s">
        <v>2024</v>
      </c>
      <c r="U1797" s="51" t="s">
        <v>1386</v>
      </c>
      <c r="V1797" s="51" t="s">
        <v>1724</v>
      </c>
      <c r="W1797" s="51" t="s">
        <v>1386</v>
      </c>
      <c r="X1797" s="51" t="s">
        <v>1386</v>
      </c>
      <c r="Z1797" s="331"/>
      <c r="AA1797" s="331"/>
      <c r="AB1797" s="36" t="s">
        <v>241</v>
      </c>
      <c r="AG1797" s="36" t="s">
        <v>1584</v>
      </c>
      <c r="AH1797" s="138" t="s">
        <v>1586</v>
      </c>
      <c r="AI1797" s="36" t="s">
        <v>1484</v>
      </c>
      <c r="AJ1797" s="142" t="s">
        <v>1621</v>
      </c>
      <c r="AK1797" s="36" t="s">
        <v>1099</v>
      </c>
      <c r="AL1797" s="36" t="s">
        <v>1099</v>
      </c>
      <c r="AM1797" s="36" t="s">
        <v>178</v>
      </c>
      <c r="AN1797" s="36" t="s">
        <v>488</v>
      </c>
      <c r="AO1797" s="36" t="s">
        <v>157</v>
      </c>
      <c r="AP1797" s="36" t="s">
        <v>503</v>
      </c>
      <c r="AQ1797" s="36" t="s">
        <v>1486</v>
      </c>
      <c r="AR1797" s="36" t="s">
        <v>1486</v>
      </c>
      <c r="AS1797" s="36" t="s">
        <v>178</v>
      </c>
      <c r="AT1797" s="36" t="s">
        <v>161</v>
      </c>
      <c r="AU1797" s="36">
        <v>3</v>
      </c>
      <c r="AW1797" s="36" t="s">
        <v>336</v>
      </c>
      <c r="BH1797" s="36">
        <f>57.8*1000</f>
        <v>57800</v>
      </c>
      <c r="BI1797" s="36">
        <f>54.5*1000</f>
        <v>54500</v>
      </c>
      <c r="BM1797" s="407"/>
      <c r="BN1797" s="407"/>
      <c r="BR1797" s="407"/>
      <c r="BS1797" s="407"/>
      <c r="BW1797" s="36">
        <v>65.900000000000006</v>
      </c>
      <c r="BX1797" s="36">
        <v>78.599999999999994</v>
      </c>
      <c r="CA1797" s="36" t="s">
        <v>1485</v>
      </c>
      <c r="GW1797" s="36">
        <v>55</v>
      </c>
      <c r="GX1797" s="36">
        <v>65.2</v>
      </c>
      <c r="HA1797" s="36" t="s">
        <v>1482</v>
      </c>
      <c r="IM1797" s="36">
        <v>99999</v>
      </c>
      <c r="IO1797" s="36" t="s">
        <v>1483</v>
      </c>
    </row>
    <row r="1798" spans="1:249" s="36" customFormat="1" x14ac:dyDescent="0.25">
      <c r="A1798" s="36">
        <v>85</v>
      </c>
      <c r="B1798" s="36" t="s">
        <v>1479</v>
      </c>
      <c r="C1798" s="36" t="s">
        <v>1480</v>
      </c>
      <c r="D1798" s="36">
        <v>2018</v>
      </c>
      <c r="E1798" s="36">
        <v>2015</v>
      </c>
      <c r="F1798" s="36" t="s">
        <v>297</v>
      </c>
      <c r="G1798" s="36" t="s">
        <v>1481</v>
      </c>
      <c r="H1798" s="36" t="s">
        <v>2831</v>
      </c>
      <c r="I1798" s="36">
        <v>34.67</v>
      </c>
      <c r="J1798" s="36">
        <v>-82.85</v>
      </c>
      <c r="K1798" s="36">
        <v>191</v>
      </c>
      <c r="Q1798" s="51" t="s">
        <v>1735</v>
      </c>
      <c r="R1798" s="51" t="s">
        <v>1735</v>
      </c>
      <c r="T1798" s="51" t="s">
        <v>2024</v>
      </c>
      <c r="U1798" s="51" t="s">
        <v>1386</v>
      </c>
      <c r="V1798" s="51" t="s">
        <v>1724</v>
      </c>
      <c r="W1798" s="51" t="s">
        <v>1386</v>
      </c>
      <c r="X1798" s="51" t="s">
        <v>1386</v>
      </c>
      <c r="Z1798" s="331"/>
      <c r="AA1798" s="331"/>
      <c r="AB1798" s="36" t="s">
        <v>241</v>
      </c>
      <c r="AG1798" s="36" t="s">
        <v>1584</v>
      </c>
      <c r="AH1798" s="138" t="s">
        <v>1586</v>
      </c>
      <c r="AI1798" s="36" t="s">
        <v>1484</v>
      </c>
      <c r="AJ1798" s="142" t="s">
        <v>1621</v>
      </c>
      <c r="AK1798" s="36" t="s">
        <v>1099</v>
      </c>
      <c r="AL1798" s="36" t="s">
        <v>1099</v>
      </c>
      <c r="AM1798" s="36" t="s">
        <v>178</v>
      </c>
      <c r="AN1798" s="36" t="s">
        <v>488</v>
      </c>
      <c r="AO1798" s="36" t="s">
        <v>157</v>
      </c>
      <c r="AP1798" s="36" t="s">
        <v>503</v>
      </c>
      <c r="AQ1798" s="36" t="s">
        <v>1486</v>
      </c>
      <c r="AR1798" s="36" t="s">
        <v>1486</v>
      </c>
      <c r="AS1798" s="36" t="s">
        <v>178</v>
      </c>
      <c r="AT1798" s="36" t="s">
        <v>161</v>
      </c>
      <c r="AU1798" s="36">
        <v>3</v>
      </c>
      <c r="AW1798" s="36" t="s">
        <v>336</v>
      </c>
      <c r="BH1798" s="36">
        <f>25.14*1000</f>
        <v>25140</v>
      </c>
      <c r="BI1798" s="36">
        <f>23.32*1000</f>
        <v>23320</v>
      </c>
      <c r="BM1798" s="407"/>
      <c r="BN1798" s="407"/>
      <c r="BR1798" s="407"/>
      <c r="BS1798" s="407"/>
      <c r="BW1798" s="36">
        <v>103.8</v>
      </c>
      <c r="BX1798" s="36">
        <v>100</v>
      </c>
      <c r="CA1798" s="36" t="s">
        <v>1485</v>
      </c>
      <c r="GW1798" s="36">
        <v>91.8</v>
      </c>
      <c r="GX1798" s="36">
        <v>90.6</v>
      </c>
      <c r="HA1798" s="36" t="s">
        <v>1482</v>
      </c>
      <c r="IM1798" s="36">
        <v>99999</v>
      </c>
      <c r="IO1798" s="36" t="s">
        <v>1483</v>
      </c>
    </row>
    <row r="1799" spans="1:249" s="32" customFormat="1" x14ac:dyDescent="0.25">
      <c r="A1799" s="32">
        <v>86</v>
      </c>
      <c r="B1799" s="32" t="s">
        <v>1051</v>
      </c>
      <c r="C1799" s="32" t="s">
        <v>1052</v>
      </c>
      <c r="D1799" s="32">
        <v>2006</v>
      </c>
      <c r="E1799" s="32">
        <v>2002</v>
      </c>
      <c r="F1799" s="32" t="s">
        <v>330</v>
      </c>
      <c r="G1799" s="32" t="s">
        <v>1487</v>
      </c>
      <c r="H1799" s="32" t="s">
        <v>2831</v>
      </c>
      <c r="I1799" s="32">
        <v>40.07</v>
      </c>
      <c r="J1799" s="32">
        <v>-82.85</v>
      </c>
      <c r="K1799" s="32">
        <v>223</v>
      </c>
      <c r="Q1799" s="44" t="s">
        <v>1729</v>
      </c>
      <c r="R1799" s="44" t="s">
        <v>1852</v>
      </c>
      <c r="T1799" s="44" t="s">
        <v>2025</v>
      </c>
      <c r="U1799" s="44" t="s">
        <v>1398</v>
      </c>
      <c r="V1799" s="44" t="s">
        <v>1729</v>
      </c>
      <c r="W1799" s="44" t="s">
        <v>1398</v>
      </c>
      <c r="X1799" s="44" t="s">
        <v>1393</v>
      </c>
      <c r="Y1799" s="32">
        <f t="shared" ref="Y1799:Y1822" si="265">(1.32+1.4+1.45+1.45)/4</f>
        <v>1.405</v>
      </c>
      <c r="Z1799" s="323">
        <v>27.3</v>
      </c>
      <c r="AA1799" s="323">
        <v>58.7</v>
      </c>
      <c r="AB1799" s="32" t="s">
        <v>451</v>
      </c>
      <c r="AF1799" s="32" t="s">
        <v>1488</v>
      </c>
      <c r="AG1799" s="32" t="s">
        <v>132</v>
      </c>
      <c r="AH1799" s="138" t="s">
        <v>132</v>
      </c>
      <c r="AI1799" s="32" t="s">
        <v>1598</v>
      </c>
      <c r="AJ1799" s="140" t="s">
        <v>1615</v>
      </c>
      <c r="AK1799" s="32" t="s">
        <v>1489</v>
      </c>
      <c r="AL1799" s="32" t="s">
        <v>1490</v>
      </c>
      <c r="AM1799" s="32" t="s">
        <v>503</v>
      </c>
      <c r="AT1799" s="32" t="s">
        <v>120</v>
      </c>
      <c r="AU1799" s="32">
        <v>4</v>
      </c>
      <c r="AW1799" s="32" t="s">
        <v>142</v>
      </c>
      <c r="BM1799" s="397">
        <v>1.32</v>
      </c>
      <c r="BN1799" s="397">
        <v>1.24</v>
      </c>
      <c r="BR1799" s="397">
        <v>4.2</v>
      </c>
      <c r="BS1799" s="397">
        <v>4.4000000000000004</v>
      </c>
      <c r="BV1799" s="32" t="s">
        <v>1009</v>
      </c>
      <c r="BW1799" s="32">
        <f>10^1</f>
        <v>10</v>
      </c>
      <c r="BX1799" s="32">
        <f>10^1</f>
        <v>10</v>
      </c>
      <c r="CA1799" s="32" t="s">
        <v>1011</v>
      </c>
      <c r="CC1799" s="32">
        <v>5.9</v>
      </c>
      <c r="CF1799" s="32">
        <v>5.3</v>
      </c>
      <c r="DF1799" s="32">
        <v>38</v>
      </c>
      <c r="DG1799" s="32">
        <v>41</v>
      </c>
      <c r="DK1799" s="32">
        <v>39</v>
      </c>
      <c r="DL1799" s="32">
        <v>41</v>
      </c>
      <c r="DO1799" s="32" t="s">
        <v>1019</v>
      </c>
      <c r="DP1799" s="32">
        <v>3.1</v>
      </c>
      <c r="DQ1799" s="32">
        <v>3</v>
      </c>
      <c r="EY1799" s="32">
        <v>35.200000000000003</v>
      </c>
      <c r="EZ1799" s="32">
        <v>36.4</v>
      </c>
      <c r="FC1799" s="32" t="s">
        <v>1496</v>
      </c>
      <c r="FD1799" s="32">
        <v>24.3</v>
      </c>
      <c r="FE1799" s="32">
        <v>25.3</v>
      </c>
      <c r="FH1799" s="32" t="s">
        <v>1495</v>
      </c>
      <c r="IO1799" s="32" t="s">
        <v>1493</v>
      </c>
    </row>
    <row r="1800" spans="1:249" s="32" customFormat="1" x14ac:dyDescent="0.25">
      <c r="A1800" s="32">
        <v>86</v>
      </c>
      <c r="B1800" s="32" t="s">
        <v>1051</v>
      </c>
      <c r="C1800" s="32" t="s">
        <v>1052</v>
      </c>
      <c r="D1800" s="32">
        <v>2006</v>
      </c>
      <c r="E1800" s="32">
        <v>2002</v>
      </c>
      <c r="F1800" s="32" t="s">
        <v>330</v>
      </c>
      <c r="G1800" s="32" t="s">
        <v>1487</v>
      </c>
      <c r="H1800" s="32" t="s">
        <v>2831</v>
      </c>
      <c r="I1800" s="32">
        <v>40.07</v>
      </c>
      <c r="J1800" s="32">
        <v>-82.85</v>
      </c>
      <c r="K1800" s="32">
        <v>223</v>
      </c>
      <c r="Q1800" s="44" t="s">
        <v>1729</v>
      </c>
      <c r="R1800" s="44" t="s">
        <v>1852</v>
      </c>
      <c r="T1800" s="44" t="s">
        <v>2025</v>
      </c>
      <c r="U1800" s="44" t="s">
        <v>1398</v>
      </c>
      <c r="V1800" s="44" t="s">
        <v>1729</v>
      </c>
      <c r="W1800" s="44" t="s">
        <v>1398</v>
      </c>
      <c r="X1800" s="44" t="s">
        <v>1393</v>
      </c>
      <c r="Y1800" s="32">
        <f t="shared" si="265"/>
        <v>1.405</v>
      </c>
      <c r="Z1800" s="323">
        <v>27.3</v>
      </c>
      <c r="AA1800" s="323">
        <v>58.7</v>
      </c>
      <c r="AB1800" s="32" t="s">
        <v>451</v>
      </c>
      <c r="AF1800" s="32" t="s">
        <v>1488</v>
      </c>
      <c r="AG1800" s="32" t="s">
        <v>1522</v>
      </c>
      <c r="AH1800" s="138" t="s">
        <v>1586</v>
      </c>
      <c r="AI1800" s="32" t="s">
        <v>1598</v>
      </c>
      <c r="AJ1800" s="140" t="s">
        <v>1615</v>
      </c>
      <c r="AK1800" s="32" t="s">
        <v>1489</v>
      </c>
      <c r="AL1800" s="32" t="s">
        <v>1491</v>
      </c>
      <c r="AM1800" s="32" t="s">
        <v>503</v>
      </c>
      <c r="AT1800" s="32" t="s">
        <v>120</v>
      </c>
      <c r="AU1800" s="32">
        <v>4</v>
      </c>
      <c r="AW1800" s="32" t="s">
        <v>142</v>
      </c>
      <c r="BM1800" s="397">
        <v>1.32</v>
      </c>
      <c r="BN1800" s="397">
        <v>1.23</v>
      </c>
      <c r="BR1800" s="397">
        <v>4.2</v>
      </c>
      <c r="BS1800" s="397">
        <v>4.5</v>
      </c>
      <c r="BV1800" s="32" t="s">
        <v>1009</v>
      </c>
      <c r="BW1800" s="32">
        <f t="shared" ref="BW1800:BX1801" si="266">10^1</f>
        <v>10</v>
      </c>
      <c r="BX1800" s="32">
        <f t="shared" si="266"/>
        <v>10</v>
      </c>
      <c r="CA1800" s="32" t="s">
        <v>1011</v>
      </c>
      <c r="DP1800" s="32">
        <v>3.1</v>
      </c>
      <c r="DQ1800" s="32">
        <v>3</v>
      </c>
      <c r="IO1800" s="32" t="s">
        <v>1493</v>
      </c>
    </row>
    <row r="1801" spans="1:249" s="32" customFormat="1" x14ac:dyDescent="0.25">
      <c r="A1801" s="32">
        <v>86</v>
      </c>
      <c r="B1801" s="32" t="s">
        <v>1051</v>
      </c>
      <c r="C1801" s="32" t="s">
        <v>1052</v>
      </c>
      <c r="D1801" s="32">
        <v>2006</v>
      </c>
      <c r="E1801" s="32">
        <v>2002</v>
      </c>
      <c r="F1801" s="32" t="s">
        <v>330</v>
      </c>
      <c r="G1801" s="32" t="s">
        <v>1487</v>
      </c>
      <c r="H1801" s="32" t="s">
        <v>2831</v>
      </c>
      <c r="I1801" s="32">
        <v>40.07</v>
      </c>
      <c r="J1801" s="32">
        <v>-82.85</v>
      </c>
      <c r="K1801" s="32">
        <v>223</v>
      </c>
      <c r="Q1801" s="44" t="s">
        <v>1729</v>
      </c>
      <c r="R1801" s="44" t="s">
        <v>1852</v>
      </c>
      <c r="T1801" s="44" t="s">
        <v>2025</v>
      </c>
      <c r="U1801" s="44" t="s">
        <v>1398</v>
      </c>
      <c r="V1801" s="44" t="s">
        <v>1729</v>
      </c>
      <c r="W1801" s="44" t="s">
        <v>1398</v>
      </c>
      <c r="X1801" s="44" t="s">
        <v>1393</v>
      </c>
      <c r="Y1801" s="32">
        <f t="shared" si="265"/>
        <v>1.405</v>
      </c>
      <c r="Z1801" s="323">
        <v>27.3</v>
      </c>
      <c r="AA1801" s="323">
        <v>58.7</v>
      </c>
      <c r="AB1801" s="32" t="s">
        <v>451</v>
      </c>
      <c r="AF1801" s="32" t="s">
        <v>1488</v>
      </c>
      <c r="AG1801" s="32" t="s">
        <v>1583</v>
      </c>
      <c r="AH1801" s="138" t="s">
        <v>636</v>
      </c>
      <c r="AI1801" s="32" t="s">
        <v>1598</v>
      </c>
      <c r="AJ1801" s="140" t="s">
        <v>1615</v>
      </c>
      <c r="AK1801" s="32" t="s">
        <v>1489</v>
      </c>
      <c r="AL1801" s="32" t="s">
        <v>1492</v>
      </c>
      <c r="AM1801" s="32" t="s">
        <v>503</v>
      </c>
      <c r="AT1801" s="32" t="s">
        <v>120</v>
      </c>
      <c r="AU1801" s="32">
        <v>4</v>
      </c>
      <c r="AW1801" s="32" t="s">
        <v>142</v>
      </c>
      <c r="BM1801" s="397">
        <v>1.32</v>
      </c>
      <c r="BN1801" s="397">
        <v>1.23</v>
      </c>
      <c r="BR1801" s="397">
        <v>4.2</v>
      </c>
      <c r="BS1801" s="397">
        <v>4.7</v>
      </c>
      <c r="BV1801" s="32" t="s">
        <v>1009</v>
      </c>
      <c r="BW1801" s="32">
        <f t="shared" si="266"/>
        <v>10</v>
      </c>
      <c r="BX1801" s="32">
        <f>10^0.9</f>
        <v>7.9432823472428176</v>
      </c>
      <c r="CA1801" s="32" t="s">
        <v>1011</v>
      </c>
      <c r="DP1801" s="32">
        <v>3.1</v>
      </c>
      <c r="DQ1801" s="32">
        <v>3.1</v>
      </c>
      <c r="IO1801" s="32" t="s">
        <v>1493</v>
      </c>
    </row>
    <row r="1802" spans="1:249" s="32" customFormat="1" x14ac:dyDescent="0.25">
      <c r="A1802" s="32">
        <v>86</v>
      </c>
      <c r="B1802" s="32" t="s">
        <v>1051</v>
      </c>
      <c r="C1802" s="32" t="s">
        <v>1052</v>
      </c>
      <c r="D1802" s="32">
        <v>2006</v>
      </c>
      <c r="E1802" s="32">
        <v>2002</v>
      </c>
      <c r="F1802" s="32" t="s">
        <v>330</v>
      </c>
      <c r="G1802" s="32" t="s">
        <v>1487</v>
      </c>
      <c r="H1802" s="32" t="s">
        <v>2831</v>
      </c>
      <c r="I1802" s="32">
        <v>40.07</v>
      </c>
      <c r="J1802" s="32">
        <v>-82.85</v>
      </c>
      <c r="K1802" s="32">
        <v>223</v>
      </c>
      <c r="Q1802" s="44" t="s">
        <v>1729</v>
      </c>
      <c r="R1802" s="44" t="s">
        <v>1852</v>
      </c>
      <c r="T1802" s="44" t="s">
        <v>2025</v>
      </c>
      <c r="U1802" s="44" t="s">
        <v>1405</v>
      </c>
      <c r="V1802" s="44" t="s">
        <v>1729</v>
      </c>
      <c r="W1802" s="44" t="s">
        <v>1398</v>
      </c>
      <c r="X1802" s="44" t="s">
        <v>1393</v>
      </c>
      <c r="Y1802" s="32">
        <f t="shared" si="265"/>
        <v>1.405</v>
      </c>
      <c r="Z1802" s="323">
        <v>27.3</v>
      </c>
      <c r="AA1802" s="323">
        <v>58.7</v>
      </c>
      <c r="AB1802" s="32" t="s">
        <v>451</v>
      </c>
      <c r="AF1802" s="32" t="s">
        <v>1488</v>
      </c>
      <c r="AG1802" s="32" t="s">
        <v>132</v>
      </c>
      <c r="AH1802" s="138" t="s">
        <v>132</v>
      </c>
      <c r="AI1802" s="32" t="s">
        <v>1598</v>
      </c>
      <c r="AJ1802" s="140" t="s">
        <v>1615</v>
      </c>
      <c r="AK1802" s="32" t="s">
        <v>1489</v>
      </c>
      <c r="AL1802" s="32" t="s">
        <v>1490</v>
      </c>
      <c r="AM1802" s="32" t="s">
        <v>503</v>
      </c>
      <c r="AT1802" s="32" t="s">
        <v>120</v>
      </c>
      <c r="AU1802" s="32">
        <v>4</v>
      </c>
      <c r="AW1802" s="32" t="s">
        <v>142</v>
      </c>
      <c r="BM1802" s="397">
        <v>1.4</v>
      </c>
      <c r="BN1802" s="397">
        <v>1.38</v>
      </c>
      <c r="BR1802" s="397">
        <v>3.3</v>
      </c>
      <c r="BS1802" s="397">
        <v>3.5</v>
      </c>
      <c r="BV1802" s="32" t="s">
        <v>1009</v>
      </c>
      <c r="BW1802" s="32">
        <f>10^1.1</f>
        <v>12.58925411794168</v>
      </c>
      <c r="BX1802" s="32">
        <f>10^1</f>
        <v>10</v>
      </c>
      <c r="CA1802" s="32" t="s">
        <v>1011</v>
      </c>
      <c r="CC1802" s="32">
        <v>5.9</v>
      </c>
      <c r="CF1802" s="32">
        <v>5.8</v>
      </c>
      <c r="DF1802" s="32">
        <v>38</v>
      </c>
      <c r="DG1802" s="32">
        <v>43</v>
      </c>
      <c r="DK1802" s="32">
        <v>39</v>
      </c>
      <c r="DL1802" s="32">
        <v>40.299999999999997</v>
      </c>
      <c r="DO1802" s="32" t="s">
        <v>1019</v>
      </c>
      <c r="DP1802" s="32">
        <v>3.3</v>
      </c>
      <c r="DQ1802" s="32">
        <v>3.2</v>
      </c>
      <c r="EY1802" s="32">
        <v>35.200000000000003</v>
      </c>
      <c r="EZ1802" s="32">
        <v>36.4</v>
      </c>
      <c r="FC1802" s="32" t="s">
        <v>1496</v>
      </c>
      <c r="FD1802" s="32">
        <v>24.3</v>
      </c>
      <c r="FE1802" s="32">
        <v>25.6</v>
      </c>
      <c r="FH1802" s="32" t="s">
        <v>1495</v>
      </c>
      <c r="IO1802" s="32" t="s">
        <v>1493</v>
      </c>
    </row>
    <row r="1803" spans="1:249" s="32" customFormat="1" x14ac:dyDescent="0.25">
      <c r="A1803" s="32">
        <v>86</v>
      </c>
      <c r="B1803" s="32" t="s">
        <v>1051</v>
      </c>
      <c r="C1803" s="32" t="s">
        <v>1052</v>
      </c>
      <c r="D1803" s="32">
        <v>2006</v>
      </c>
      <c r="E1803" s="32">
        <v>2002</v>
      </c>
      <c r="F1803" s="32" t="s">
        <v>330</v>
      </c>
      <c r="G1803" s="32" t="s">
        <v>1487</v>
      </c>
      <c r="H1803" s="32" t="s">
        <v>2831</v>
      </c>
      <c r="I1803" s="32">
        <v>40.07</v>
      </c>
      <c r="J1803" s="32">
        <v>-82.85</v>
      </c>
      <c r="K1803" s="32">
        <v>223</v>
      </c>
      <c r="Q1803" s="44" t="s">
        <v>1729</v>
      </c>
      <c r="R1803" s="44" t="s">
        <v>1852</v>
      </c>
      <c r="T1803" s="44" t="s">
        <v>2025</v>
      </c>
      <c r="U1803" s="44" t="s">
        <v>1405</v>
      </c>
      <c r="V1803" s="44" t="s">
        <v>1729</v>
      </c>
      <c r="W1803" s="44" t="s">
        <v>1398</v>
      </c>
      <c r="X1803" s="44" t="s">
        <v>1393</v>
      </c>
      <c r="Y1803" s="32">
        <f t="shared" si="265"/>
        <v>1.405</v>
      </c>
      <c r="Z1803" s="323">
        <v>27.3</v>
      </c>
      <c r="AA1803" s="323">
        <v>58.7</v>
      </c>
      <c r="AB1803" s="32" t="s">
        <v>451</v>
      </c>
      <c r="AF1803" s="32" t="s">
        <v>1488</v>
      </c>
      <c r="AG1803" s="32" t="s">
        <v>1522</v>
      </c>
      <c r="AH1803" s="138" t="s">
        <v>1586</v>
      </c>
      <c r="AI1803" s="32" t="s">
        <v>1598</v>
      </c>
      <c r="AJ1803" s="140" t="s">
        <v>1615</v>
      </c>
      <c r="AK1803" s="32" t="s">
        <v>1489</v>
      </c>
      <c r="AL1803" s="32" t="s">
        <v>1491</v>
      </c>
      <c r="AM1803" s="32" t="s">
        <v>503</v>
      </c>
      <c r="AT1803" s="32" t="s">
        <v>120</v>
      </c>
      <c r="AU1803" s="32">
        <v>4</v>
      </c>
      <c r="AW1803" s="32" t="s">
        <v>142</v>
      </c>
      <c r="BM1803" s="397">
        <v>1.4</v>
      </c>
      <c r="BN1803" s="397">
        <v>1.35</v>
      </c>
      <c r="BR1803" s="397">
        <v>3.3</v>
      </c>
      <c r="BS1803" s="397">
        <v>3.6</v>
      </c>
      <c r="BV1803" s="32" t="s">
        <v>1009</v>
      </c>
      <c r="BW1803" s="32">
        <f t="shared" ref="BW1803:BW1807" si="267">10^1.1</f>
        <v>12.58925411794168</v>
      </c>
      <c r="BX1803" s="32">
        <f>10^0.6</f>
        <v>3.9810717055349727</v>
      </c>
      <c r="CA1803" s="32" t="s">
        <v>1011</v>
      </c>
      <c r="DP1803" s="32">
        <v>3.3</v>
      </c>
      <c r="DQ1803" s="32">
        <v>3.2</v>
      </c>
      <c r="IO1803" s="32" t="s">
        <v>1493</v>
      </c>
    </row>
    <row r="1804" spans="1:249" s="32" customFormat="1" x14ac:dyDescent="0.25">
      <c r="A1804" s="32">
        <v>86</v>
      </c>
      <c r="B1804" s="32" t="s">
        <v>1051</v>
      </c>
      <c r="C1804" s="32" t="s">
        <v>1052</v>
      </c>
      <c r="D1804" s="32">
        <v>2006</v>
      </c>
      <c r="E1804" s="32">
        <v>2002</v>
      </c>
      <c r="F1804" s="32" t="s">
        <v>330</v>
      </c>
      <c r="G1804" s="32" t="s">
        <v>1487</v>
      </c>
      <c r="H1804" s="32" t="s">
        <v>2831</v>
      </c>
      <c r="I1804" s="32">
        <v>40.07</v>
      </c>
      <c r="J1804" s="32">
        <v>-82.85</v>
      </c>
      <c r="K1804" s="32">
        <v>223</v>
      </c>
      <c r="Q1804" s="44" t="s">
        <v>1729</v>
      </c>
      <c r="R1804" s="44" t="s">
        <v>1852</v>
      </c>
      <c r="T1804" s="44" t="s">
        <v>2025</v>
      </c>
      <c r="U1804" s="44" t="s">
        <v>1405</v>
      </c>
      <c r="V1804" s="44" t="s">
        <v>1729</v>
      </c>
      <c r="W1804" s="44" t="s">
        <v>1398</v>
      </c>
      <c r="X1804" s="44" t="s">
        <v>1393</v>
      </c>
      <c r="Y1804" s="32">
        <f t="shared" si="265"/>
        <v>1.405</v>
      </c>
      <c r="Z1804" s="323">
        <v>27.3</v>
      </c>
      <c r="AA1804" s="323">
        <v>58.7</v>
      </c>
      <c r="AB1804" s="32" t="s">
        <v>451</v>
      </c>
      <c r="AF1804" s="32" t="s">
        <v>1488</v>
      </c>
      <c r="AG1804" s="32" t="s">
        <v>1583</v>
      </c>
      <c r="AH1804" s="138" t="s">
        <v>636</v>
      </c>
      <c r="AI1804" s="32" t="s">
        <v>1598</v>
      </c>
      <c r="AJ1804" s="140" t="s">
        <v>1615</v>
      </c>
      <c r="AK1804" s="32" t="s">
        <v>1489</v>
      </c>
      <c r="AL1804" s="32" t="s">
        <v>1492</v>
      </c>
      <c r="AM1804" s="32" t="s">
        <v>503</v>
      </c>
      <c r="AT1804" s="32" t="s">
        <v>120</v>
      </c>
      <c r="AU1804" s="32">
        <v>4</v>
      </c>
      <c r="AW1804" s="32" t="s">
        <v>142</v>
      </c>
      <c r="BM1804" s="397">
        <v>1.4</v>
      </c>
      <c r="BN1804" s="397">
        <v>1.36</v>
      </c>
      <c r="BR1804" s="397">
        <v>3.3</v>
      </c>
      <c r="BS1804" s="397">
        <v>3.8</v>
      </c>
      <c r="BV1804" s="32" t="s">
        <v>1009</v>
      </c>
      <c r="BW1804" s="32">
        <f t="shared" si="267"/>
        <v>12.58925411794168</v>
      </c>
      <c r="BX1804" s="32">
        <f>10^0.9</f>
        <v>7.9432823472428176</v>
      </c>
      <c r="CA1804" s="32" t="s">
        <v>1011</v>
      </c>
      <c r="DP1804" s="32">
        <v>3.3</v>
      </c>
      <c r="DQ1804" s="32">
        <v>3.2</v>
      </c>
      <c r="IO1804" s="32" t="s">
        <v>1493</v>
      </c>
    </row>
    <row r="1805" spans="1:249" s="32" customFormat="1" x14ac:dyDescent="0.25">
      <c r="A1805" s="32">
        <v>86</v>
      </c>
      <c r="B1805" s="32" t="s">
        <v>1051</v>
      </c>
      <c r="C1805" s="32" t="s">
        <v>1052</v>
      </c>
      <c r="D1805" s="32">
        <v>2006</v>
      </c>
      <c r="E1805" s="32">
        <v>2002</v>
      </c>
      <c r="F1805" s="32" t="s">
        <v>330</v>
      </c>
      <c r="G1805" s="32" t="s">
        <v>1487</v>
      </c>
      <c r="H1805" s="32" t="s">
        <v>2831</v>
      </c>
      <c r="I1805" s="32">
        <v>40.07</v>
      </c>
      <c r="J1805" s="32">
        <v>-82.85</v>
      </c>
      <c r="K1805" s="32">
        <v>223</v>
      </c>
      <c r="Q1805" s="44" t="s">
        <v>1729</v>
      </c>
      <c r="R1805" s="44" t="s">
        <v>1852</v>
      </c>
      <c r="T1805" s="44" t="s">
        <v>2025</v>
      </c>
      <c r="U1805" s="44" t="s">
        <v>1413</v>
      </c>
      <c r="V1805" s="44" t="s">
        <v>1729</v>
      </c>
      <c r="W1805" s="44" t="s">
        <v>1398</v>
      </c>
      <c r="X1805" s="44" t="s">
        <v>1393</v>
      </c>
      <c r="Y1805" s="32">
        <f t="shared" si="265"/>
        <v>1.405</v>
      </c>
      <c r="Z1805" s="323">
        <v>27.3</v>
      </c>
      <c r="AA1805" s="323">
        <v>58.7</v>
      </c>
      <c r="AB1805" s="32" t="s">
        <v>451</v>
      </c>
      <c r="AF1805" s="32" t="s">
        <v>1488</v>
      </c>
      <c r="AG1805" s="32" t="s">
        <v>132</v>
      </c>
      <c r="AH1805" s="138" t="s">
        <v>132</v>
      </c>
      <c r="AI1805" s="32" t="s">
        <v>1598</v>
      </c>
      <c r="AJ1805" s="140" t="s">
        <v>1615</v>
      </c>
      <c r="AK1805" s="32" t="s">
        <v>1489</v>
      </c>
      <c r="AL1805" s="32" t="s">
        <v>1490</v>
      </c>
      <c r="AM1805" s="32" t="s">
        <v>503</v>
      </c>
      <c r="AT1805" s="32" t="s">
        <v>120</v>
      </c>
      <c r="AU1805" s="32">
        <v>4</v>
      </c>
      <c r="AW1805" s="32" t="s">
        <v>142</v>
      </c>
      <c r="BM1805" s="397">
        <v>1.45</v>
      </c>
      <c r="BN1805" s="397">
        <v>1.46</v>
      </c>
      <c r="BR1805" s="397">
        <v>3.1</v>
      </c>
      <c r="BS1805" s="397">
        <v>3.3</v>
      </c>
      <c r="BV1805" s="32" t="s">
        <v>1009</v>
      </c>
      <c r="BW1805" s="32">
        <f t="shared" si="267"/>
        <v>12.58925411794168</v>
      </c>
      <c r="BX1805" s="32">
        <f>10^0.8</f>
        <v>6.3095734448019343</v>
      </c>
      <c r="CA1805" s="32" t="s">
        <v>1011</v>
      </c>
      <c r="CC1805" s="32">
        <v>5.9</v>
      </c>
      <c r="CF1805" s="32">
        <v>5.5</v>
      </c>
      <c r="DF1805" s="32">
        <v>38</v>
      </c>
      <c r="DG1805" s="32">
        <v>44</v>
      </c>
      <c r="DK1805" s="32">
        <v>39</v>
      </c>
      <c r="DL1805" s="32">
        <v>41.3</v>
      </c>
      <c r="DO1805" s="32" t="s">
        <v>1019</v>
      </c>
      <c r="DP1805" s="32">
        <v>3.2</v>
      </c>
      <c r="DQ1805" s="32">
        <v>3.2</v>
      </c>
      <c r="EY1805" s="32">
        <v>35.200000000000003</v>
      </c>
      <c r="EZ1805" s="32">
        <v>37.299999999999997</v>
      </c>
      <c r="FC1805" s="32" t="s">
        <v>1496</v>
      </c>
      <c r="FD1805" s="32">
        <v>24.3</v>
      </c>
      <c r="FE1805" s="32">
        <v>26.4</v>
      </c>
      <c r="FH1805" s="32" t="s">
        <v>1495</v>
      </c>
      <c r="IO1805" s="32" t="s">
        <v>1493</v>
      </c>
    </row>
    <row r="1806" spans="1:249" s="32" customFormat="1" x14ac:dyDescent="0.25">
      <c r="A1806" s="32">
        <v>86</v>
      </c>
      <c r="B1806" s="32" t="s">
        <v>1051</v>
      </c>
      <c r="C1806" s="32" t="s">
        <v>1052</v>
      </c>
      <c r="D1806" s="32">
        <v>2006</v>
      </c>
      <c r="E1806" s="32">
        <v>2002</v>
      </c>
      <c r="F1806" s="32" t="s">
        <v>330</v>
      </c>
      <c r="G1806" s="32" t="s">
        <v>1487</v>
      </c>
      <c r="H1806" s="32" t="s">
        <v>2831</v>
      </c>
      <c r="I1806" s="32">
        <v>40.07</v>
      </c>
      <c r="J1806" s="32">
        <v>-82.85</v>
      </c>
      <c r="K1806" s="32">
        <v>223</v>
      </c>
      <c r="Q1806" s="44" t="s">
        <v>1729</v>
      </c>
      <c r="R1806" s="44" t="s">
        <v>1852</v>
      </c>
      <c r="T1806" s="44" t="s">
        <v>2025</v>
      </c>
      <c r="U1806" s="44" t="s">
        <v>1413</v>
      </c>
      <c r="V1806" s="44" t="s">
        <v>1729</v>
      </c>
      <c r="W1806" s="44" t="s">
        <v>1398</v>
      </c>
      <c r="X1806" s="44" t="s">
        <v>1393</v>
      </c>
      <c r="Y1806" s="32">
        <f t="shared" si="265"/>
        <v>1.405</v>
      </c>
      <c r="Z1806" s="323">
        <v>27.3</v>
      </c>
      <c r="AA1806" s="323">
        <v>58.7</v>
      </c>
      <c r="AB1806" s="32" t="s">
        <v>451</v>
      </c>
      <c r="AF1806" s="32" t="s">
        <v>1488</v>
      </c>
      <c r="AG1806" s="32" t="s">
        <v>1522</v>
      </c>
      <c r="AH1806" s="138" t="s">
        <v>1586</v>
      </c>
      <c r="AI1806" s="32" t="s">
        <v>1598</v>
      </c>
      <c r="AJ1806" s="140" t="s">
        <v>1615</v>
      </c>
      <c r="AK1806" s="32" t="s">
        <v>1489</v>
      </c>
      <c r="AL1806" s="32" t="s">
        <v>1491</v>
      </c>
      <c r="AM1806" s="32" t="s">
        <v>503</v>
      </c>
      <c r="AT1806" s="32" t="s">
        <v>120</v>
      </c>
      <c r="AU1806" s="32">
        <v>4</v>
      </c>
      <c r="AW1806" s="32" t="s">
        <v>142</v>
      </c>
      <c r="BM1806" s="397">
        <v>1.45</v>
      </c>
      <c r="BN1806" s="397">
        <v>1.5</v>
      </c>
      <c r="BR1806" s="397">
        <v>3.1</v>
      </c>
      <c r="BS1806" s="397">
        <v>3.4</v>
      </c>
      <c r="BV1806" s="32" t="s">
        <v>1009</v>
      </c>
      <c r="BW1806" s="32">
        <f t="shared" si="267"/>
        <v>12.58925411794168</v>
      </c>
      <c r="BX1806" s="32">
        <f>10^0.3</f>
        <v>1.9952623149688797</v>
      </c>
      <c r="CA1806" s="32" t="s">
        <v>1011</v>
      </c>
      <c r="DP1806" s="32">
        <v>3.2</v>
      </c>
      <c r="DQ1806" s="32">
        <v>3.3</v>
      </c>
      <c r="IO1806" s="32" t="s">
        <v>1493</v>
      </c>
    </row>
    <row r="1807" spans="1:249" s="32" customFormat="1" x14ac:dyDescent="0.25">
      <c r="A1807" s="32">
        <v>86</v>
      </c>
      <c r="B1807" s="32" t="s">
        <v>1051</v>
      </c>
      <c r="C1807" s="32" t="s">
        <v>1052</v>
      </c>
      <c r="D1807" s="32">
        <v>2006</v>
      </c>
      <c r="E1807" s="32">
        <v>2002</v>
      </c>
      <c r="F1807" s="32" t="s">
        <v>330</v>
      </c>
      <c r="G1807" s="32" t="s">
        <v>1487</v>
      </c>
      <c r="H1807" s="32" t="s">
        <v>2831</v>
      </c>
      <c r="I1807" s="32">
        <v>40.07</v>
      </c>
      <c r="J1807" s="32">
        <v>-82.85</v>
      </c>
      <c r="K1807" s="32">
        <v>223</v>
      </c>
      <c r="Q1807" s="44" t="s">
        <v>1729</v>
      </c>
      <c r="R1807" s="44" t="s">
        <v>1852</v>
      </c>
      <c r="T1807" s="44" t="s">
        <v>2025</v>
      </c>
      <c r="U1807" s="44" t="s">
        <v>1413</v>
      </c>
      <c r="V1807" s="44" t="s">
        <v>1729</v>
      </c>
      <c r="W1807" s="44" t="s">
        <v>1398</v>
      </c>
      <c r="X1807" s="44" t="s">
        <v>1393</v>
      </c>
      <c r="Y1807" s="32">
        <f t="shared" si="265"/>
        <v>1.405</v>
      </c>
      <c r="Z1807" s="323">
        <v>27.3</v>
      </c>
      <c r="AA1807" s="323">
        <v>58.7</v>
      </c>
      <c r="AB1807" s="32" t="s">
        <v>451</v>
      </c>
      <c r="AF1807" s="32" t="s">
        <v>1488</v>
      </c>
      <c r="AG1807" s="32" t="s">
        <v>1583</v>
      </c>
      <c r="AH1807" s="138" t="s">
        <v>636</v>
      </c>
      <c r="AI1807" s="32" t="s">
        <v>1598</v>
      </c>
      <c r="AJ1807" s="140" t="s">
        <v>1615</v>
      </c>
      <c r="AK1807" s="32" t="s">
        <v>1489</v>
      </c>
      <c r="AL1807" s="32" t="s">
        <v>1492</v>
      </c>
      <c r="AM1807" s="32" t="s">
        <v>503</v>
      </c>
      <c r="AT1807" s="32" t="s">
        <v>120</v>
      </c>
      <c r="AU1807" s="32">
        <v>4</v>
      </c>
      <c r="AW1807" s="32" t="s">
        <v>142</v>
      </c>
      <c r="BM1807" s="397">
        <v>1.45</v>
      </c>
      <c r="BN1807" s="397">
        <v>1.43</v>
      </c>
      <c r="BR1807" s="397">
        <v>3.1</v>
      </c>
      <c r="BS1807" s="397">
        <v>3.6</v>
      </c>
      <c r="BV1807" s="32" t="s">
        <v>1009</v>
      </c>
      <c r="BW1807" s="32">
        <f t="shared" si="267"/>
        <v>12.58925411794168</v>
      </c>
      <c r="BX1807" s="32">
        <f>10^0.8</f>
        <v>6.3095734448019343</v>
      </c>
      <c r="CA1807" s="32" t="s">
        <v>1011</v>
      </c>
      <c r="DP1807" s="32">
        <v>3.2</v>
      </c>
      <c r="DQ1807" s="32">
        <v>3.3</v>
      </c>
      <c r="IO1807" s="32" t="s">
        <v>1493</v>
      </c>
    </row>
    <row r="1808" spans="1:249" s="32" customFormat="1" x14ac:dyDescent="0.25">
      <c r="A1808" s="32">
        <v>86</v>
      </c>
      <c r="B1808" s="32" t="s">
        <v>1051</v>
      </c>
      <c r="C1808" s="32" t="s">
        <v>1052</v>
      </c>
      <c r="D1808" s="32">
        <v>2006</v>
      </c>
      <c r="E1808" s="32">
        <v>2002</v>
      </c>
      <c r="F1808" s="32" t="s">
        <v>330</v>
      </c>
      <c r="G1808" s="32" t="s">
        <v>1487</v>
      </c>
      <c r="H1808" s="32" t="s">
        <v>2831</v>
      </c>
      <c r="I1808" s="32">
        <v>40.07</v>
      </c>
      <c r="J1808" s="32">
        <v>-82.85</v>
      </c>
      <c r="K1808" s="32">
        <v>223</v>
      </c>
      <c r="Q1808" s="44" t="s">
        <v>1729</v>
      </c>
      <c r="R1808" s="44" t="s">
        <v>1852</v>
      </c>
      <c r="T1808" s="44" t="s">
        <v>2025</v>
      </c>
      <c r="U1808" s="44" t="s">
        <v>1394</v>
      </c>
      <c r="V1808" s="44" t="s">
        <v>1724</v>
      </c>
      <c r="W1808" s="44" t="s">
        <v>1398</v>
      </c>
      <c r="X1808" s="44" t="s">
        <v>1393</v>
      </c>
      <c r="Y1808" s="32">
        <f t="shared" si="265"/>
        <v>1.405</v>
      </c>
      <c r="Z1808" s="323">
        <v>27.3</v>
      </c>
      <c r="AA1808" s="323">
        <v>58.7</v>
      </c>
      <c r="AB1808" s="32" t="s">
        <v>451</v>
      </c>
      <c r="AF1808" s="32" t="s">
        <v>1488</v>
      </c>
      <c r="AG1808" s="32" t="s">
        <v>132</v>
      </c>
      <c r="AH1808" s="138" t="s">
        <v>132</v>
      </c>
      <c r="AI1808" s="32" t="s">
        <v>1598</v>
      </c>
      <c r="AJ1808" s="140" t="s">
        <v>1615</v>
      </c>
      <c r="AK1808" s="32" t="s">
        <v>1489</v>
      </c>
      <c r="AL1808" s="32" t="s">
        <v>1490</v>
      </c>
      <c r="AM1808" s="32" t="s">
        <v>503</v>
      </c>
      <c r="AT1808" s="32" t="s">
        <v>120</v>
      </c>
      <c r="AU1808" s="32">
        <v>4</v>
      </c>
      <c r="AW1808" s="32" t="s">
        <v>142</v>
      </c>
      <c r="BM1808" s="397">
        <v>1.45</v>
      </c>
      <c r="BN1808" s="397">
        <v>1.44</v>
      </c>
      <c r="BR1808" s="397">
        <v>3.5</v>
      </c>
      <c r="BS1808" s="397">
        <v>3.6</v>
      </c>
      <c r="BV1808" s="32" t="s">
        <v>1009</v>
      </c>
      <c r="BW1808" s="32">
        <f>10^1</f>
        <v>10</v>
      </c>
      <c r="BX1808" s="32">
        <f>10^0.9</f>
        <v>7.9432823472428176</v>
      </c>
      <c r="CA1808" s="32" t="s">
        <v>1011</v>
      </c>
      <c r="DP1808" s="32">
        <v>3.2</v>
      </c>
      <c r="DQ1808" s="32">
        <v>3.2</v>
      </c>
      <c r="IO1808" s="32" t="s">
        <v>1493</v>
      </c>
    </row>
    <row r="1809" spans="1:250" s="32" customFormat="1" x14ac:dyDescent="0.25">
      <c r="A1809" s="32">
        <v>86</v>
      </c>
      <c r="B1809" s="32" t="s">
        <v>1051</v>
      </c>
      <c r="C1809" s="32" t="s">
        <v>1052</v>
      </c>
      <c r="D1809" s="32">
        <v>2006</v>
      </c>
      <c r="E1809" s="32">
        <v>2002</v>
      </c>
      <c r="F1809" s="32" t="s">
        <v>330</v>
      </c>
      <c r="G1809" s="32" t="s">
        <v>1487</v>
      </c>
      <c r="H1809" s="32" t="s">
        <v>2831</v>
      </c>
      <c r="I1809" s="32">
        <v>40.07</v>
      </c>
      <c r="J1809" s="32">
        <v>-82.85</v>
      </c>
      <c r="K1809" s="32">
        <v>223</v>
      </c>
      <c r="Q1809" s="44" t="s">
        <v>1729</v>
      </c>
      <c r="R1809" s="44" t="s">
        <v>1852</v>
      </c>
      <c r="T1809" s="44" t="s">
        <v>2025</v>
      </c>
      <c r="U1809" s="44" t="s">
        <v>1394</v>
      </c>
      <c r="V1809" s="44" t="s">
        <v>1724</v>
      </c>
      <c r="W1809" s="44" t="s">
        <v>1398</v>
      </c>
      <c r="X1809" s="44" t="s">
        <v>1393</v>
      </c>
      <c r="Y1809" s="32">
        <f t="shared" si="265"/>
        <v>1.405</v>
      </c>
      <c r="Z1809" s="323">
        <v>27.3</v>
      </c>
      <c r="AA1809" s="323">
        <v>58.7</v>
      </c>
      <c r="AB1809" s="32" t="s">
        <v>451</v>
      </c>
      <c r="AF1809" s="32" t="s">
        <v>1488</v>
      </c>
      <c r="AG1809" s="32" t="s">
        <v>1522</v>
      </c>
      <c r="AH1809" s="138" t="s">
        <v>1586</v>
      </c>
      <c r="AI1809" s="32" t="s">
        <v>1598</v>
      </c>
      <c r="AJ1809" s="140" t="s">
        <v>1615</v>
      </c>
      <c r="AK1809" s="32" t="s">
        <v>1489</v>
      </c>
      <c r="AL1809" s="32" t="s">
        <v>1491</v>
      </c>
      <c r="AM1809" s="32" t="s">
        <v>503</v>
      </c>
      <c r="AT1809" s="32" t="s">
        <v>120</v>
      </c>
      <c r="AU1809" s="32">
        <v>4</v>
      </c>
      <c r="AW1809" s="32" t="s">
        <v>142</v>
      </c>
      <c r="BM1809" s="397">
        <v>1.45</v>
      </c>
      <c r="BN1809" s="397">
        <v>1.42</v>
      </c>
      <c r="BR1809" s="397">
        <v>3.5</v>
      </c>
      <c r="BS1809" s="397">
        <v>3.7</v>
      </c>
      <c r="BV1809" s="32" t="s">
        <v>1009</v>
      </c>
      <c r="BW1809" s="32">
        <f t="shared" ref="BW1809:BW1810" si="268">10^1</f>
        <v>10</v>
      </c>
      <c r="BX1809" s="32">
        <f>10^0.7</f>
        <v>5.0118723362727229</v>
      </c>
      <c r="CA1809" s="32" t="s">
        <v>1011</v>
      </c>
      <c r="DP1809" s="32">
        <v>3.2</v>
      </c>
      <c r="DQ1809" s="32">
        <v>3.2</v>
      </c>
      <c r="IO1809" s="32" t="s">
        <v>1493</v>
      </c>
    </row>
    <row r="1810" spans="1:250" s="32" customFormat="1" x14ac:dyDescent="0.25">
      <c r="A1810" s="32">
        <v>86</v>
      </c>
      <c r="B1810" s="32" t="s">
        <v>1051</v>
      </c>
      <c r="C1810" s="32" t="s">
        <v>1052</v>
      </c>
      <c r="D1810" s="32">
        <v>2006</v>
      </c>
      <c r="E1810" s="32">
        <v>2002</v>
      </c>
      <c r="F1810" s="32" t="s">
        <v>330</v>
      </c>
      <c r="G1810" s="32" t="s">
        <v>1487</v>
      </c>
      <c r="H1810" s="32" t="s">
        <v>2831</v>
      </c>
      <c r="I1810" s="32">
        <v>40.07</v>
      </c>
      <c r="J1810" s="32">
        <v>-82.85</v>
      </c>
      <c r="K1810" s="32">
        <v>223</v>
      </c>
      <c r="Q1810" s="44" t="s">
        <v>1729</v>
      </c>
      <c r="R1810" s="44" t="s">
        <v>1852</v>
      </c>
      <c r="T1810" s="44" t="s">
        <v>2025</v>
      </c>
      <c r="U1810" s="44" t="s">
        <v>1394</v>
      </c>
      <c r="V1810" s="44" t="s">
        <v>1724</v>
      </c>
      <c r="W1810" s="44" t="s">
        <v>1398</v>
      </c>
      <c r="X1810" s="44" t="s">
        <v>1393</v>
      </c>
      <c r="Y1810" s="32">
        <f t="shared" si="265"/>
        <v>1.405</v>
      </c>
      <c r="Z1810" s="323">
        <v>27.3</v>
      </c>
      <c r="AA1810" s="323">
        <v>58.7</v>
      </c>
      <c r="AB1810" s="32" t="s">
        <v>451</v>
      </c>
      <c r="AF1810" s="32" t="s">
        <v>1488</v>
      </c>
      <c r="AG1810" s="32" t="s">
        <v>1583</v>
      </c>
      <c r="AH1810" s="138" t="s">
        <v>636</v>
      </c>
      <c r="AI1810" s="32" t="s">
        <v>1598</v>
      </c>
      <c r="AJ1810" s="140" t="s">
        <v>1615</v>
      </c>
      <c r="AK1810" s="32" t="s">
        <v>1489</v>
      </c>
      <c r="AL1810" s="32" t="s">
        <v>1492</v>
      </c>
      <c r="AM1810" s="32" t="s">
        <v>503</v>
      </c>
      <c r="AT1810" s="32" t="s">
        <v>120</v>
      </c>
      <c r="AU1810" s="32">
        <v>4</v>
      </c>
      <c r="AW1810" s="32" t="s">
        <v>142</v>
      </c>
      <c r="BM1810" s="397">
        <v>1.45</v>
      </c>
      <c r="BN1810" s="397">
        <v>1.39</v>
      </c>
      <c r="BR1810" s="397">
        <v>3.5</v>
      </c>
      <c r="BS1810" s="397">
        <v>3.7</v>
      </c>
      <c r="BV1810" s="32" t="s">
        <v>1009</v>
      </c>
      <c r="BW1810" s="32">
        <f t="shared" si="268"/>
        <v>10</v>
      </c>
      <c r="BX1810" s="32">
        <f>10^0.8</f>
        <v>6.3095734448019343</v>
      </c>
      <c r="CA1810" s="32" t="s">
        <v>1011</v>
      </c>
      <c r="DP1810" s="32">
        <v>3.2</v>
      </c>
      <c r="DQ1810" s="32">
        <v>3.3</v>
      </c>
      <c r="IO1810" s="32" t="s">
        <v>1493</v>
      </c>
    </row>
    <row r="1811" spans="1:250" s="24" customFormat="1" x14ac:dyDescent="0.25">
      <c r="A1811" s="24">
        <v>86</v>
      </c>
      <c r="B1811" s="24" t="s">
        <v>1051</v>
      </c>
      <c r="C1811" s="24" t="s">
        <v>1052</v>
      </c>
      <c r="D1811" s="24">
        <v>2006</v>
      </c>
      <c r="E1811" s="24">
        <v>2003</v>
      </c>
      <c r="F1811" s="24" t="s">
        <v>330</v>
      </c>
      <c r="G1811" s="24" t="s">
        <v>1487</v>
      </c>
      <c r="H1811" s="24" t="s">
        <v>2831</v>
      </c>
      <c r="I1811" s="24">
        <v>40.07</v>
      </c>
      <c r="J1811" s="24">
        <v>-82.85</v>
      </c>
      <c r="K1811" s="24">
        <v>223</v>
      </c>
      <c r="Q1811" s="42" t="s">
        <v>1852</v>
      </c>
      <c r="R1811" s="42" t="s">
        <v>1852</v>
      </c>
      <c r="T1811" s="42" t="s">
        <v>2025</v>
      </c>
      <c r="U1811" s="42" t="s">
        <v>1398</v>
      </c>
      <c r="V1811" s="42" t="s">
        <v>1729</v>
      </c>
      <c r="W1811" s="42" t="s">
        <v>1398</v>
      </c>
      <c r="X1811" s="42" t="s">
        <v>1393</v>
      </c>
      <c r="Y1811" s="24">
        <f t="shared" si="265"/>
        <v>1.405</v>
      </c>
      <c r="Z1811" s="321">
        <v>27.3</v>
      </c>
      <c r="AA1811" s="321">
        <v>58.7</v>
      </c>
      <c r="AB1811" s="24" t="s">
        <v>451</v>
      </c>
      <c r="AF1811" s="24" t="s">
        <v>1488</v>
      </c>
      <c r="AG1811" s="24" t="s">
        <v>132</v>
      </c>
      <c r="AH1811" s="138" t="s">
        <v>132</v>
      </c>
      <c r="AI1811" s="24" t="s">
        <v>1598</v>
      </c>
      <c r="AJ1811" s="140" t="s">
        <v>1615</v>
      </c>
      <c r="AK1811" s="24" t="s">
        <v>1489</v>
      </c>
      <c r="AL1811" s="24" t="s">
        <v>1490</v>
      </c>
      <c r="AM1811" s="24" t="s">
        <v>503</v>
      </c>
      <c r="AT1811" s="24" t="s">
        <v>120</v>
      </c>
      <c r="AU1811" s="24">
        <v>4</v>
      </c>
      <c r="AW1811" s="24" t="s">
        <v>142</v>
      </c>
      <c r="BM1811" s="395"/>
      <c r="BN1811" s="395"/>
      <c r="BR1811" s="395">
        <v>4</v>
      </c>
      <c r="BS1811" s="395">
        <v>4.4000000000000004</v>
      </c>
      <c r="BV1811" s="24" t="s">
        <v>1009</v>
      </c>
      <c r="BW1811" s="24">
        <f>10^0.9</f>
        <v>7.9432823472428176</v>
      </c>
      <c r="BX1811" s="24">
        <f>10^0.6</f>
        <v>3.9810717055349727</v>
      </c>
      <c r="CA1811" s="24" t="s">
        <v>1011</v>
      </c>
      <c r="DP1811" s="24">
        <v>3.1</v>
      </c>
      <c r="DQ1811" s="24">
        <v>3</v>
      </c>
      <c r="IO1811" s="24" t="s">
        <v>1493</v>
      </c>
    </row>
    <row r="1812" spans="1:250" s="24" customFormat="1" x14ac:dyDescent="0.25">
      <c r="A1812" s="24">
        <v>86</v>
      </c>
      <c r="B1812" s="24" t="s">
        <v>1051</v>
      </c>
      <c r="C1812" s="24" t="s">
        <v>1052</v>
      </c>
      <c r="D1812" s="24">
        <v>2006</v>
      </c>
      <c r="E1812" s="24">
        <v>2003</v>
      </c>
      <c r="F1812" s="24" t="s">
        <v>330</v>
      </c>
      <c r="G1812" s="24" t="s">
        <v>1487</v>
      </c>
      <c r="H1812" s="24" t="s">
        <v>2831</v>
      </c>
      <c r="I1812" s="24">
        <v>40.07</v>
      </c>
      <c r="J1812" s="24">
        <v>-82.85</v>
      </c>
      <c r="K1812" s="24">
        <v>223</v>
      </c>
      <c r="Q1812" s="42" t="s">
        <v>1852</v>
      </c>
      <c r="R1812" s="42" t="s">
        <v>1852</v>
      </c>
      <c r="T1812" s="42" t="s">
        <v>2025</v>
      </c>
      <c r="U1812" s="42" t="s">
        <v>1398</v>
      </c>
      <c r="V1812" s="42" t="s">
        <v>1729</v>
      </c>
      <c r="W1812" s="42" t="s">
        <v>1398</v>
      </c>
      <c r="X1812" s="42" t="s">
        <v>1393</v>
      </c>
      <c r="Y1812" s="24">
        <f t="shared" si="265"/>
        <v>1.405</v>
      </c>
      <c r="Z1812" s="321">
        <v>27.3</v>
      </c>
      <c r="AA1812" s="321">
        <v>58.7</v>
      </c>
      <c r="AB1812" s="24" t="s">
        <v>451</v>
      </c>
      <c r="AF1812" s="24" t="s">
        <v>1488</v>
      </c>
      <c r="AG1812" s="24" t="s">
        <v>1522</v>
      </c>
      <c r="AH1812" s="138" t="s">
        <v>1586</v>
      </c>
      <c r="AI1812" s="24" t="s">
        <v>1598</v>
      </c>
      <c r="AJ1812" s="140" t="s">
        <v>1615</v>
      </c>
      <c r="AK1812" s="24" t="s">
        <v>1489</v>
      </c>
      <c r="AL1812" s="24" t="s">
        <v>1491</v>
      </c>
      <c r="AM1812" s="24" t="s">
        <v>503</v>
      </c>
      <c r="AT1812" s="24" t="s">
        <v>120</v>
      </c>
      <c r="AU1812" s="24">
        <v>4</v>
      </c>
      <c r="AW1812" s="24" t="s">
        <v>142</v>
      </c>
      <c r="BM1812" s="395"/>
      <c r="BN1812" s="395"/>
      <c r="BR1812" s="395">
        <v>4</v>
      </c>
      <c r="BS1812" s="395">
        <v>4.5999999999999996</v>
      </c>
      <c r="BV1812" s="24" t="s">
        <v>1009</v>
      </c>
      <c r="BW1812" s="24">
        <f t="shared" ref="BW1812:BW1813" si="269">10^0.9</f>
        <v>7.9432823472428176</v>
      </c>
      <c r="BX1812" s="24">
        <f>10^0.7</f>
        <v>5.0118723362727229</v>
      </c>
      <c r="CA1812" s="24" t="s">
        <v>1011</v>
      </c>
      <c r="DP1812" s="24">
        <v>3.1</v>
      </c>
      <c r="DQ1812" s="24">
        <v>3.2</v>
      </c>
      <c r="IO1812" s="24" t="s">
        <v>1493</v>
      </c>
    </row>
    <row r="1813" spans="1:250" s="24" customFormat="1" x14ac:dyDescent="0.25">
      <c r="A1813" s="24">
        <v>86</v>
      </c>
      <c r="B1813" s="24" t="s">
        <v>1051</v>
      </c>
      <c r="C1813" s="24" t="s">
        <v>1052</v>
      </c>
      <c r="D1813" s="24">
        <v>2006</v>
      </c>
      <c r="E1813" s="24">
        <v>2003</v>
      </c>
      <c r="F1813" s="24" t="s">
        <v>330</v>
      </c>
      <c r="G1813" s="24" t="s">
        <v>1487</v>
      </c>
      <c r="H1813" s="24" t="s">
        <v>2831</v>
      </c>
      <c r="I1813" s="24">
        <v>40.07</v>
      </c>
      <c r="J1813" s="24">
        <v>-82.85</v>
      </c>
      <c r="K1813" s="24">
        <v>223</v>
      </c>
      <c r="Q1813" s="42" t="s">
        <v>1852</v>
      </c>
      <c r="R1813" s="42" t="s">
        <v>1852</v>
      </c>
      <c r="T1813" s="42" t="s">
        <v>2025</v>
      </c>
      <c r="U1813" s="42" t="s">
        <v>1398</v>
      </c>
      <c r="V1813" s="42" t="s">
        <v>1729</v>
      </c>
      <c r="W1813" s="42" t="s">
        <v>1398</v>
      </c>
      <c r="X1813" s="42" t="s">
        <v>1393</v>
      </c>
      <c r="Y1813" s="24">
        <f t="shared" si="265"/>
        <v>1.405</v>
      </c>
      <c r="Z1813" s="321">
        <v>27.3</v>
      </c>
      <c r="AA1813" s="321">
        <v>58.7</v>
      </c>
      <c r="AB1813" s="24" t="s">
        <v>451</v>
      </c>
      <c r="AF1813" s="24" t="s">
        <v>1488</v>
      </c>
      <c r="AG1813" s="24" t="s">
        <v>1583</v>
      </c>
      <c r="AH1813" s="138" t="s">
        <v>636</v>
      </c>
      <c r="AI1813" s="24" t="s">
        <v>1598</v>
      </c>
      <c r="AJ1813" s="140" t="s">
        <v>1615</v>
      </c>
      <c r="AK1813" s="24" t="s">
        <v>1489</v>
      </c>
      <c r="AL1813" s="24" t="s">
        <v>1492</v>
      </c>
      <c r="AM1813" s="24" t="s">
        <v>503</v>
      </c>
      <c r="AT1813" s="24" t="s">
        <v>120</v>
      </c>
      <c r="AU1813" s="24">
        <v>4</v>
      </c>
      <c r="AW1813" s="24" t="s">
        <v>142</v>
      </c>
      <c r="BM1813" s="395"/>
      <c r="BN1813" s="395"/>
      <c r="BR1813" s="395">
        <v>4</v>
      </c>
      <c r="BS1813" s="395">
        <v>4.7</v>
      </c>
      <c r="BV1813" s="24" t="s">
        <v>1009</v>
      </c>
      <c r="BW1813" s="24">
        <f t="shared" si="269"/>
        <v>7.9432823472428176</v>
      </c>
      <c r="BX1813" s="24">
        <f>10^0.6</f>
        <v>3.9810717055349727</v>
      </c>
      <c r="CA1813" s="24" t="s">
        <v>1011</v>
      </c>
      <c r="DP1813" s="24">
        <v>3.1</v>
      </c>
      <c r="DQ1813" s="24">
        <v>3</v>
      </c>
      <c r="IO1813" s="24" t="s">
        <v>1493</v>
      </c>
    </row>
    <row r="1814" spans="1:250" s="24" customFormat="1" x14ac:dyDescent="0.25">
      <c r="A1814" s="24">
        <v>86</v>
      </c>
      <c r="B1814" s="24" t="s">
        <v>1051</v>
      </c>
      <c r="C1814" s="24" t="s">
        <v>1052</v>
      </c>
      <c r="D1814" s="24">
        <v>2006</v>
      </c>
      <c r="E1814" s="24">
        <v>2003</v>
      </c>
      <c r="F1814" s="24" t="s">
        <v>330</v>
      </c>
      <c r="G1814" s="24" t="s">
        <v>1487</v>
      </c>
      <c r="H1814" s="24" t="s">
        <v>2831</v>
      </c>
      <c r="I1814" s="24">
        <v>40.07</v>
      </c>
      <c r="J1814" s="24">
        <v>-82.85</v>
      </c>
      <c r="K1814" s="24">
        <v>223</v>
      </c>
      <c r="Q1814" s="42" t="s">
        <v>1852</v>
      </c>
      <c r="R1814" s="42" t="s">
        <v>1852</v>
      </c>
      <c r="T1814" s="42" t="s">
        <v>2025</v>
      </c>
      <c r="U1814" s="42" t="s">
        <v>1405</v>
      </c>
      <c r="V1814" s="42" t="s">
        <v>1729</v>
      </c>
      <c r="W1814" s="42" t="s">
        <v>1398</v>
      </c>
      <c r="X1814" s="42" t="s">
        <v>1393</v>
      </c>
      <c r="Y1814" s="24">
        <f t="shared" si="265"/>
        <v>1.405</v>
      </c>
      <c r="Z1814" s="321">
        <v>27.3</v>
      </c>
      <c r="AA1814" s="321">
        <v>58.7</v>
      </c>
      <c r="AB1814" s="24" t="s">
        <v>451</v>
      </c>
      <c r="AF1814" s="24" t="s">
        <v>1488</v>
      </c>
      <c r="AG1814" s="24" t="s">
        <v>132</v>
      </c>
      <c r="AH1814" s="138" t="s">
        <v>132</v>
      </c>
      <c r="AI1814" s="24" t="s">
        <v>1598</v>
      </c>
      <c r="AJ1814" s="140" t="s">
        <v>1615</v>
      </c>
      <c r="AK1814" s="24" t="s">
        <v>1489</v>
      </c>
      <c r="AL1814" s="24" t="s">
        <v>1490</v>
      </c>
      <c r="AM1814" s="24" t="s">
        <v>503</v>
      </c>
      <c r="AT1814" s="24" t="s">
        <v>120</v>
      </c>
      <c r="AU1814" s="24">
        <v>4</v>
      </c>
      <c r="AW1814" s="24" t="s">
        <v>142</v>
      </c>
      <c r="BM1814" s="395"/>
      <c r="BN1814" s="395"/>
      <c r="BR1814" s="395">
        <v>3.2</v>
      </c>
      <c r="BS1814" s="395">
        <v>3.4</v>
      </c>
      <c r="BV1814" s="24" t="s">
        <v>1009</v>
      </c>
      <c r="BW1814" s="24">
        <f>10^0.8</f>
        <v>6.3095734448019343</v>
      </c>
      <c r="BX1814" s="24">
        <f>10^0.7</f>
        <v>5.0118723362727229</v>
      </c>
      <c r="CA1814" s="24" t="s">
        <v>1011</v>
      </c>
      <c r="DP1814" s="24">
        <v>3.3</v>
      </c>
      <c r="DQ1814" s="24">
        <v>3.2</v>
      </c>
      <c r="IO1814" s="24" t="s">
        <v>1493</v>
      </c>
    </row>
    <row r="1815" spans="1:250" s="24" customFormat="1" x14ac:dyDescent="0.25">
      <c r="A1815" s="24">
        <v>86</v>
      </c>
      <c r="B1815" s="24" t="s">
        <v>1051</v>
      </c>
      <c r="C1815" s="24" t="s">
        <v>1052</v>
      </c>
      <c r="D1815" s="24">
        <v>2006</v>
      </c>
      <c r="E1815" s="24">
        <v>2003</v>
      </c>
      <c r="F1815" s="24" t="s">
        <v>330</v>
      </c>
      <c r="G1815" s="24" t="s">
        <v>1487</v>
      </c>
      <c r="H1815" s="24" t="s">
        <v>2831</v>
      </c>
      <c r="I1815" s="24">
        <v>40.07</v>
      </c>
      <c r="J1815" s="24">
        <v>-82.85</v>
      </c>
      <c r="K1815" s="24">
        <v>223</v>
      </c>
      <c r="Q1815" s="42" t="s">
        <v>1852</v>
      </c>
      <c r="R1815" s="42" t="s">
        <v>1852</v>
      </c>
      <c r="T1815" s="42" t="s">
        <v>2025</v>
      </c>
      <c r="U1815" s="42" t="s">
        <v>1405</v>
      </c>
      <c r="V1815" s="42" t="s">
        <v>1729</v>
      </c>
      <c r="W1815" s="42" t="s">
        <v>1398</v>
      </c>
      <c r="X1815" s="42" t="s">
        <v>1393</v>
      </c>
      <c r="Y1815" s="24">
        <f t="shared" si="265"/>
        <v>1.405</v>
      </c>
      <c r="Z1815" s="321">
        <v>27.3</v>
      </c>
      <c r="AA1815" s="321">
        <v>58.7</v>
      </c>
      <c r="AB1815" s="24" t="s">
        <v>451</v>
      </c>
      <c r="AF1815" s="24" t="s">
        <v>1488</v>
      </c>
      <c r="AG1815" s="24" t="s">
        <v>1522</v>
      </c>
      <c r="AH1815" s="138" t="s">
        <v>1586</v>
      </c>
      <c r="AI1815" s="24" t="s">
        <v>1598</v>
      </c>
      <c r="AJ1815" s="140" t="s">
        <v>1615</v>
      </c>
      <c r="AK1815" s="24" t="s">
        <v>1489</v>
      </c>
      <c r="AL1815" s="24" t="s">
        <v>1491</v>
      </c>
      <c r="AM1815" s="24" t="s">
        <v>503</v>
      </c>
      <c r="AT1815" s="24" t="s">
        <v>120</v>
      </c>
      <c r="AU1815" s="24">
        <v>4</v>
      </c>
      <c r="AW1815" s="24" t="s">
        <v>142</v>
      </c>
      <c r="BM1815" s="395"/>
      <c r="BN1815" s="395"/>
      <c r="BR1815" s="395">
        <v>3.2</v>
      </c>
      <c r="BS1815" s="395">
        <v>3.5</v>
      </c>
      <c r="BV1815" s="24" t="s">
        <v>1009</v>
      </c>
      <c r="BW1815" s="24">
        <f t="shared" ref="BW1815:BW1816" si="270">10^0.8</f>
        <v>6.3095734448019343</v>
      </c>
      <c r="BX1815" s="24">
        <f>10^0.6</f>
        <v>3.9810717055349727</v>
      </c>
      <c r="CA1815" s="24" t="s">
        <v>1011</v>
      </c>
      <c r="DP1815" s="24">
        <v>3.3</v>
      </c>
      <c r="DQ1815" s="24">
        <v>3.3</v>
      </c>
      <c r="IO1815" s="24" t="s">
        <v>1493</v>
      </c>
    </row>
    <row r="1816" spans="1:250" s="24" customFormat="1" x14ac:dyDescent="0.25">
      <c r="A1816" s="24">
        <v>86</v>
      </c>
      <c r="B1816" s="24" t="s">
        <v>1051</v>
      </c>
      <c r="C1816" s="24" t="s">
        <v>1052</v>
      </c>
      <c r="D1816" s="24">
        <v>2006</v>
      </c>
      <c r="E1816" s="24">
        <v>2003</v>
      </c>
      <c r="F1816" s="24" t="s">
        <v>330</v>
      </c>
      <c r="G1816" s="24" t="s">
        <v>1487</v>
      </c>
      <c r="H1816" s="24" t="s">
        <v>2831</v>
      </c>
      <c r="I1816" s="24">
        <v>40.07</v>
      </c>
      <c r="J1816" s="24">
        <v>-82.85</v>
      </c>
      <c r="K1816" s="24">
        <v>223</v>
      </c>
      <c r="Q1816" s="42" t="s">
        <v>1852</v>
      </c>
      <c r="R1816" s="42" t="s">
        <v>1852</v>
      </c>
      <c r="T1816" s="42" t="s">
        <v>2025</v>
      </c>
      <c r="U1816" s="42" t="s">
        <v>1405</v>
      </c>
      <c r="V1816" s="42" t="s">
        <v>1729</v>
      </c>
      <c r="W1816" s="42" t="s">
        <v>1398</v>
      </c>
      <c r="X1816" s="42" t="s">
        <v>1393</v>
      </c>
      <c r="Y1816" s="24">
        <f t="shared" si="265"/>
        <v>1.405</v>
      </c>
      <c r="Z1816" s="321">
        <v>27.3</v>
      </c>
      <c r="AA1816" s="321">
        <v>58.7</v>
      </c>
      <c r="AB1816" s="24" t="s">
        <v>451</v>
      </c>
      <c r="AF1816" s="24" t="s">
        <v>1488</v>
      </c>
      <c r="AG1816" s="24" t="s">
        <v>1583</v>
      </c>
      <c r="AH1816" s="138" t="s">
        <v>636</v>
      </c>
      <c r="AI1816" s="24" t="s">
        <v>1598</v>
      </c>
      <c r="AJ1816" s="140" t="s">
        <v>1615</v>
      </c>
      <c r="AK1816" s="24" t="s">
        <v>1489</v>
      </c>
      <c r="AL1816" s="24" t="s">
        <v>1492</v>
      </c>
      <c r="AM1816" s="24" t="s">
        <v>503</v>
      </c>
      <c r="AT1816" s="24" t="s">
        <v>120</v>
      </c>
      <c r="AU1816" s="24">
        <v>4</v>
      </c>
      <c r="AW1816" s="24" t="s">
        <v>142</v>
      </c>
      <c r="BM1816" s="395"/>
      <c r="BN1816" s="395"/>
      <c r="BR1816" s="395">
        <v>3.2</v>
      </c>
      <c r="BS1816" s="395">
        <v>3.5</v>
      </c>
      <c r="BV1816" s="24" t="s">
        <v>1009</v>
      </c>
      <c r="BW1816" s="24">
        <f t="shared" si="270"/>
        <v>6.3095734448019343</v>
      </c>
      <c r="BX1816" s="24">
        <f>10^0.6</f>
        <v>3.9810717055349727</v>
      </c>
      <c r="CA1816" s="24" t="s">
        <v>1011</v>
      </c>
      <c r="DP1816" s="24">
        <v>3.3</v>
      </c>
      <c r="DQ1816" s="24">
        <v>3.3</v>
      </c>
      <c r="IO1816" s="24" t="s">
        <v>1493</v>
      </c>
    </row>
    <row r="1817" spans="1:250" s="24" customFormat="1" x14ac:dyDescent="0.25">
      <c r="A1817" s="24">
        <v>86</v>
      </c>
      <c r="B1817" s="24" t="s">
        <v>1051</v>
      </c>
      <c r="C1817" s="24" t="s">
        <v>1052</v>
      </c>
      <c r="D1817" s="24">
        <v>2006</v>
      </c>
      <c r="E1817" s="24">
        <v>2003</v>
      </c>
      <c r="F1817" s="24" t="s">
        <v>330</v>
      </c>
      <c r="G1817" s="24" t="s">
        <v>1487</v>
      </c>
      <c r="H1817" s="24" t="s">
        <v>2831</v>
      </c>
      <c r="I1817" s="24">
        <v>40.07</v>
      </c>
      <c r="J1817" s="24">
        <v>-82.85</v>
      </c>
      <c r="K1817" s="24">
        <v>223</v>
      </c>
      <c r="Q1817" s="42" t="s">
        <v>1852</v>
      </c>
      <c r="R1817" s="42" t="s">
        <v>1852</v>
      </c>
      <c r="T1817" s="42" t="s">
        <v>2025</v>
      </c>
      <c r="U1817" s="42" t="s">
        <v>1413</v>
      </c>
      <c r="V1817" s="42" t="s">
        <v>1729</v>
      </c>
      <c r="W1817" s="42" t="s">
        <v>1398</v>
      </c>
      <c r="X1817" s="42" t="s">
        <v>1393</v>
      </c>
      <c r="Y1817" s="24">
        <f t="shared" si="265"/>
        <v>1.405</v>
      </c>
      <c r="Z1817" s="321">
        <v>27.3</v>
      </c>
      <c r="AA1817" s="321">
        <v>58.7</v>
      </c>
      <c r="AB1817" s="24" t="s">
        <v>451</v>
      </c>
      <c r="AF1817" s="24" t="s">
        <v>1488</v>
      </c>
      <c r="AG1817" s="24" t="s">
        <v>132</v>
      </c>
      <c r="AH1817" s="138" t="s">
        <v>132</v>
      </c>
      <c r="AI1817" s="24" t="s">
        <v>1598</v>
      </c>
      <c r="AJ1817" s="140" t="s">
        <v>1615</v>
      </c>
      <c r="AK1817" s="24" t="s">
        <v>1489</v>
      </c>
      <c r="AL1817" s="24" t="s">
        <v>1490</v>
      </c>
      <c r="AM1817" s="24" t="s">
        <v>503</v>
      </c>
      <c r="AT1817" s="24" t="s">
        <v>120</v>
      </c>
      <c r="AU1817" s="24">
        <v>4</v>
      </c>
      <c r="AW1817" s="24" t="s">
        <v>142</v>
      </c>
      <c r="BM1817" s="395"/>
      <c r="BN1817" s="395"/>
      <c r="BR1817" s="395">
        <v>3.3</v>
      </c>
      <c r="BS1817" s="395">
        <v>3.3</v>
      </c>
      <c r="BV1817" s="24" t="s">
        <v>1009</v>
      </c>
      <c r="BW1817" s="24">
        <f>10^0.4</f>
        <v>2.5118864315095806</v>
      </c>
      <c r="BX1817" s="24">
        <f>10^0.3</f>
        <v>1.9952623149688797</v>
      </c>
      <c r="CA1817" s="24" t="s">
        <v>1011</v>
      </c>
      <c r="DP1817" s="24">
        <v>3.2</v>
      </c>
      <c r="DQ1817" s="24">
        <v>3.3</v>
      </c>
      <c r="IO1817" s="24" t="s">
        <v>1493</v>
      </c>
    </row>
    <row r="1818" spans="1:250" s="24" customFormat="1" x14ac:dyDescent="0.25">
      <c r="A1818" s="24">
        <v>86</v>
      </c>
      <c r="B1818" s="24" t="s">
        <v>1051</v>
      </c>
      <c r="C1818" s="24" t="s">
        <v>1052</v>
      </c>
      <c r="D1818" s="24">
        <v>2006</v>
      </c>
      <c r="E1818" s="24">
        <v>2003</v>
      </c>
      <c r="F1818" s="24" t="s">
        <v>330</v>
      </c>
      <c r="G1818" s="24" t="s">
        <v>1487</v>
      </c>
      <c r="H1818" s="24" t="s">
        <v>2831</v>
      </c>
      <c r="I1818" s="24">
        <v>40.07</v>
      </c>
      <c r="J1818" s="24">
        <v>-82.85</v>
      </c>
      <c r="K1818" s="24">
        <v>223</v>
      </c>
      <c r="Q1818" s="42" t="s">
        <v>1852</v>
      </c>
      <c r="R1818" s="42" t="s">
        <v>1852</v>
      </c>
      <c r="T1818" s="42" t="s">
        <v>2025</v>
      </c>
      <c r="U1818" s="42" t="s">
        <v>1413</v>
      </c>
      <c r="V1818" s="42" t="s">
        <v>1729</v>
      </c>
      <c r="W1818" s="42" t="s">
        <v>1398</v>
      </c>
      <c r="X1818" s="42" t="s">
        <v>1393</v>
      </c>
      <c r="Y1818" s="24">
        <f t="shared" si="265"/>
        <v>1.405</v>
      </c>
      <c r="Z1818" s="321">
        <v>27.3</v>
      </c>
      <c r="AA1818" s="321">
        <v>58.7</v>
      </c>
      <c r="AB1818" s="24" t="s">
        <v>451</v>
      </c>
      <c r="AF1818" s="24" t="s">
        <v>1488</v>
      </c>
      <c r="AG1818" s="24" t="s">
        <v>1522</v>
      </c>
      <c r="AH1818" s="138" t="s">
        <v>1586</v>
      </c>
      <c r="AI1818" s="24" t="s">
        <v>1598</v>
      </c>
      <c r="AJ1818" s="140" t="s">
        <v>1615</v>
      </c>
      <c r="AK1818" s="24" t="s">
        <v>1489</v>
      </c>
      <c r="AL1818" s="24" t="s">
        <v>1491</v>
      </c>
      <c r="AM1818" s="24" t="s">
        <v>503</v>
      </c>
      <c r="AT1818" s="24" t="s">
        <v>120</v>
      </c>
      <c r="AU1818" s="24">
        <v>4</v>
      </c>
      <c r="AW1818" s="24" t="s">
        <v>142</v>
      </c>
      <c r="BM1818" s="395"/>
      <c r="BN1818" s="395"/>
      <c r="BR1818" s="395">
        <v>3.3</v>
      </c>
      <c r="BS1818" s="395">
        <v>3.3</v>
      </c>
      <c r="BV1818" s="24" t="s">
        <v>1009</v>
      </c>
      <c r="BW1818" s="24">
        <f t="shared" ref="BW1818:BW1819" si="271">10^0.4</f>
        <v>2.5118864315095806</v>
      </c>
      <c r="BX1818" s="24">
        <f>10^0.6</f>
        <v>3.9810717055349727</v>
      </c>
      <c r="CA1818" s="24" t="s">
        <v>1011</v>
      </c>
      <c r="DP1818" s="24">
        <v>3.2</v>
      </c>
      <c r="DQ1818" s="24">
        <v>3.3</v>
      </c>
      <c r="IO1818" s="24" t="s">
        <v>1493</v>
      </c>
    </row>
    <row r="1819" spans="1:250" s="24" customFormat="1" x14ac:dyDescent="0.25">
      <c r="A1819" s="24">
        <v>86</v>
      </c>
      <c r="B1819" s="24" t="s">
        <v>1051</v>
      </c>
      <c r="C1819" s="24" t="s">
        <v>1052</v>
      </c>
      <c r="D1819" s="24">
        <v>2006</v>
      </c>
      <c r="E1819" s="24">
        <v>2003</v>
      </c>
      <c r="F1819" s="24" t="s">
        <v>330</v>
      </c>
      <c r="G1819" s="24" t="s">
        <v>1487</v>
      </c>
      <c r="H1819" s="24" t="s">
        <v>2831</v>
      </c>
      <c r="I1819" s="24">
        <v>40.07</v>
      </c>
      <c r="J1819" s="24">
        <v>-82.85</v>
      </c>
      <c r="K1819" s="24">
        <v>223</v>
      </c>
      <c r="Q1819" s="42" t="s">
        <v>1852</v>
      </c>
      <c r="R1819" s="42" t="s">
        <v>1852</v>
      </c>
      <c r="T1819" s="42" t="s">
        <v>2025</v>
      </c>
      <c r="U1819" s="42" t="s">
        <v>1413</v>
      </c>
      <c r="V1819" s="42" t="s">
        <v>1729</v>
      </c>
      <c r="W1819" s="42" t="s">
        <v>1398</v>
      </c>
      <c r="X1819" s="42" t="s">
        <v>1393</v>
      </c>
      <c r="Y1819" s="24">
        <f t="shared" si="265"/>
        <v>1.405</v>
      </c>
      <c r="Z1819" s="321">
        <v>27.3</v>
      </c>
      <c r="AA1819" s="321">
        <v>58.7</v>
      </c>
      <c r="AB1819" s="24" t="s">
        <v>451</v>
      </c>
      <c r="AF1819" s="24" t="s">
        <v>1488</v>
      </c>
      <c r="AG1819" s="24" t="s">
        <v>1583</v>
      </c>
      <c r="AH1819" s="138" t="s">
        <v>636</v>
      </c>
      <c r="AI1819" s="24" t="s">
        <v>1598</v>
      </c>
      <c r="AJ1819" s="140" t="s">
        <v>1615</v>
      </c>
      <c r="AK1819" s="24" t="s">
        <v>1489</v>
      </c>
      <c r="AL1819" s="24" t="s">
        <v>1492</v>
      </c>
      <c r="AM1819" s="24" t="s">
        <v>503</v>
      </c>
      <c r="AT1819" s="24" t="s">
        <v>120</v>
      </c>
      <c r="AU1819" s="24">
        <v>4</v>
      </c>
      <c r="AW1819" s="24" t="s">
        <v>142</v>
      </c>
      <c r="BM1819" s="395"/>
      <c r="BN1819" s="395"/>
      <c r="BR1819" s="395">
        <v>3.3</v>
      </c>
      <c r="BS1819" s="395">
        <v>3.3</v>
      </c>
      <c r="BV1819" s="24" t="s">
        <v>1009</v>
      </c>
      <c r="BW1819" s="24">
        <f t="shared" si="271"/>
        <v>2.5118864315095806</v>
      </c>
      <c r="BX1819" s="24">
        <f>10^0.3</f>
        <v>1.9952623149688797</v>
      </c>
      <c r="CA1819" s="24" t="s">
        <v>1011</v>
      </c>
      <c r="DP1819" s="24">
        <v>3.2</v>
      </c>
      <c r="DQ1819" s="24">
        <v>3.3</v>
      </c>
      <c r="IO1819" s="24" t="s">
        <v>1493</v>
      </c>
    </row>
    <row r="1820" spans="1:250" s="24" customFormat="1" x14ac:dyDescent="0.25">
      <c r="A1820" s="24">
        <v>86</v>
      </c>
      <c r="B1820" s="24" t="s">
        <v>1051</v>
      </c>
      <c r="C1820" s="24" t="s">
        <v>1052</v>
      </c>
      <c r="D1820" s="24">
        <v>2006</v>
      </c>
      <c r="E1820" s="24">
        <v>2003</v>
      </c>
      <c r="F1820" s="24" t="s">
        <v>330</v>
      </c>
      <c r="G1820" s="24" t="s">
        <v>1487</v>
      </c>
      <c r="H1820" s="24" t="s">
        <v>2831</v>
      </c>
      <c r="I1820" s="24">
        <v>40.07</v>
      </c>
      <c r="J1820" s="24">
        <v>-82.85</v>
      </c>
      <c r="K1820" s="24">
        <v>223</v>
      </c>
      <c r="Q1820" s="42" t="s">
        <v>1852</v>
      </c>
      <c r="R1820" s="42" t="s">
        <v>1852</v>
      </c>
      <c r="T1820" s="42" t="s">
        <v>2025</v>
      </c>
      <c r="U1820" s="42" t="s">
        <v>1394</v>
      </c>
      <c r="V1820" s="42" t="s">
        <v>1724</v>
      </c>
      <c r="W1820" s="42" t="s">
        <v>1398</v>
      </c>
      <c r="X1820" s="42" t="s">
        <v>1393</v>
      </c>
      <c r="Y1820" s="24">
        <f t="shared" si="265"/>
        <v>1.405</v>
      </c>
      <c r="Z1820" s="321">
        <v>27.3</v>
      </c>
      <c r="AA1820" s="321">
        <v>58.7</v>
      </c>
      <c r="AB1820" s="24" t="s">
        <v>451</v>
      </c>
      <c r="AF1820" s="24" t="s">
        <v>1488</v>
      </c>
      <c r="AG1820" s="24" t="s">
        <v>132</v>
      </c>
      <c r="AH1820" s="138" t="s">
        <v>132</v>
      </c>
      <c r="AI1820" s="24" t="s">
        <v>1598</v>
      </c>
      <c r="AJ1820" s="140" t="s">
        <v>1615</v>
      </c>
      <c r="AK1820" s="24" t="s">
        <v>1489</v>
      </c>
      <c r="AL1820" s="24" t="s">
        <v>1490</v>
      </c>
      <c r="AM1820" s="24" t="s">
        <v>503</v>
      </c>
      <c r="AT1820" s="24" t="s">
        <v>120</v>
      </c>
      <c r="AU1820" s="24">
        <v>4</v>
      </c>
      <c r="AW1820" s="24" t="s">
        <v>142</v>
      </c>
      <c r="BM1820" s="395"/>
      <c r="BN1820" s="395"/>
      <c r="BR1820" s="395">
        <v>3.7</v>
      </c>
      <c r="BS1820" s="395">
        <v>3.8</v>
      </c>
      <c r="BV1820" s="24" t="s">
        <v>1009</v>
      </c>
      <c r="BW1820" s="24">
        <f>10^0.8</f>
        <v>6.3095734448019343</v>
      </c>
      <c r="BX1820" s="24">
        <f>10^0.7</f>
        <v>5.0118723362727229</v>
      </c>
      <c r="CA1820" s="24" t="s">
        <v>1011</v>
      </c>
      <c r="DP1820" s="24">
        <v>3.2</v>
      </c>
      <c r="DQ1820" s="24">
        <v>3.2</v>
      </c>
      <c r="IO1820" s="24" t="s">
        <v>1493</v>
      </c>
    </row>
    <row r="1821" spans="1:250" s="24" customFormat="1" x14ac:dyDescent="0.25">
      <c r="A1821" s="24">
        <v>86</v>
      </c>
      <c r="B1821" s="24" t="s">
        <v>1051</v>
      </c>
      <c r="C1821" s="24" t="s">
        <v>1052</v>
      </c>
      <c r="D1821" s="24">
        <v>2006</v>
      </c>
      <c r="E1821" s="24">
        <v>2003</v>
      </c>
      <c r="F1821" s="24" t="s">
        <v>330</v>
      </c>
      <c r="G1821" s="24" t="s">
        <v>1487</v>
      </c>
      <c r="H1821" s="24" t="s">
        <v>2831</v>
      </c>
      <c r="I1821" s="24">
        <v>40.07</v>
      </c>
      <c r="J1821" s="24">
        <v>-82.85</v>
      </c>
      <c r="K1821" s="24">
        <v>223</v>
      </c>
      <c r="Q1821" s="42" t="s">
        <v>1852</v>
      </c>
      <c r="R1821" s="42" t="s">
        <v>1852</v>
      </c>
      <c r="T1821" s="42" t="s">
        <v>2025</v>
      </c>
      <c r="U1821" s="42" t="s">
        <v>1394</v>
      </c>
      <c r="V1821" s="42" t="s">
        <v>1724</v>
      </c>
      <c r="W1821" s="42" t="s">
        <v>1398</v>
      </c>
      <c r="X1821" s="42" t="s">
        <v>1393</v>
      </c>
      <c r="Y1821" s="24">
        <f t="shared" si="265"/>
        <v>1.405</v>
      </c>
      <c r="Z1821" s="321">
        <v>27.3</v>
      </c>
      <c r="AA1821" s="321">
        <v>58.7</v>
      </c>
      <c r="AB1821" s="24" t="s">
        <v>451</v>
      </c>
      <c r="AF1821" s="24" t="s">
        <v>1488</v>
      </c>
      <c r="AG1821" s="24" t="s">
        <v>1522</v>
      </c>
      <c r="AH1821" s="138" t="s">
        <v>1586</v>
      </c>
      <c r="AI1821" s="24" t="s">
        <v>1598</v>
      </c>
      <c r="AJ1821" s="140" t="s">
        <v>1615</v>
      </c>
      <c r="AK1821" s="24" t="s">
        <v>1489</v>
      </c>
      <c r="AL1821" s="24" t="s">
        <v>1491</v>
      </c>
      <c r="AM1821" s="24" t="s">
        <v>503</v>
      </c>
      <c r="AT1821" s="24" t="s">
        <v>120</v>
      </c>
      <c r="AU1821" s="24">
        <v>4</v>
      </c>
      <c r="AW1821" s="24" t="s">
        <v>142</v>
      </c>
      <c r="BM1821" s="395"/>
      <c r="BN1821" s="395"/>
      <c r="BR1821" s="395">
        <v>3.7</v>
      </c>
      <c r="BS1821" s="395">
        <v>3.7</v>
      </c>
      <c r="BV1821" s="24" t="s">
        <v>1009</v>
      </c>
      <c r="BW1821" s="24">
        <f t="shared" ref="BW1821:BW1822" si="272">10^0.8</f>
        <v>6.3095734448019343</v>
      </c>
      <c r="BX1821" s="24">
        <f>10^0.5</f>
        <v>3.1622776601683795</v>
      </c>
      <c r="CA1821" s="24" t="s">
        <v>1011</v>
      </c>
      <c r="DP1821" s="24">
        <v>3.2</v>
      </c>
      <c r="DQ1821" s="24">
        <v>3.3</v>
      </c>
      <c r="IO1821" s="24" t="s">
        <v>1493</v>
      </c>
    </row>
    <row r="1822" spans="1:250" s="24" customFormat="1" x14ac:dyDescent="0.25">
      <c r="A1822" s="24">
        <v>86</v>
      </c>
      <c r="B1822" s="24" t="s">
        <v>1051</v>
      </c>
      <c r="C1822" s="24" t="s">
        <v>1052</v>
      </c>
      <c r="D1822" s="24">
        <v>2006</v>
      </c>
      <c r="E1822" s="24">
        <v>2003</v>
      </c>
      <c r="F1822" s="24" t="s">
        <v>330</v>
      </c>
      <c r="G1822" s="24" t="s">
        <v>1487</v>
      </c>
      <c r="H1822" s="24" t="s">
        <v>2831</v>
      </c>
      <c r="I1822" s="24">
        <v>40.07</v>
      </c>
      <c r="J1822" s="24">
        <v>-82.85</v>
      </c>
      <c r="K1822" s="24">
        <v>223</v>
      </c>
      <c r="Q1822" s="42" t="s">
        <v>1852</v>
      </c>
      <c r="R1822" s="42" t="s">
        <v>1852</v>
      </c>
      <c r="T1822" s="42" t="s">
        <v>2025</v>
      </c>
      <c r="U1822" s="42" t="s">
        <v>1394</v>
      </c>
      <c r="V1822" s="42" t="s">
        <v>1724</v>
      </c>
      <c r="W1822" s="42" t="s">
        <v>1398</v>
      </c>
      <c r="X1822" s="42" t="s">
        <v>1393</v>
      </c>
      <c r="Y1822" s="24">
        <f t="shared" si="265"/>
        <v>1.405</v>
      </c>
      <c r="Z1822" s="321">
        <v>27.3</v>
      </c>
      <c r="AA1822" s="321">
        <v>58.7</v>
      </c>
      <c r="AB1822" s="24" t="s">
        <v>451</v>
      </c>
      <c r="AF1822" s="24" t="s">
        <v>1488</v>
      </c>
      <c r="AG1822" s="24" t="s">
        <v>1583</v>
      </c>
      <c r="AH1822" s="138" t="s">
        <v>636</v>
      </c>
      <c r="AI1822" s="24" t="s">
        <v>1598</v>
      </c>
      <c r="AJ1822" s="140" t="s">
        <v>1615</v>
      </c>
      <c r="AK1822" s="24" t="s">
        <v>1489</v>
      </c>
      <c r="AL1822" s="24" t="s">
        <v>1492</v>
      </c>
      <c r="AM1822" s="24" t="s">
        <v>503</v>
      </c>
      <c r="AT1822" s="24" t="s">
        <v>120</v>
      </c>
      <c r="AU1822" s="24">
        <v>4</v>
      </c>
      <c r="AW1822" s="24" t="s">
        <v>142</v>
      </c>
      <c r="BM1822" s="395"/>
      <c r="BN1822" s="395"/>
      <c r="BR1822" s="395">
        <v>3.7</v>
      </c>
      <c r="BS1822" s="395">
        <v>4</v>
      </c>
      <c r="BV1822" s="24" t="s">
        <v>1009</v>
      </c>
      <c r="BW1822" s="24">
        <f t="shared" si="272"/>
        <v>6.3095734448019343</v>
      </c>
      <c r="BX1822" s="24">
        <f>10^0.6</f>
        <v>3.9810717055349727</v>
      </c>
      <c r="CA1822" s="24" t="s">
        <v>1011</v>
      </c>
      <c r="DP1822" s="24">
        <v>3.2</v>
      </c>
      <c r="DQ1822" s="24">
        <v>3.3</v>
      </c>
      <c r="IO1822" s="24" t="s">
        <v>1493</v>
      </c>
    </row>
    <row r="1823" spans="1:250" x14ac:dyDescent="0.25">
      <c r="A1823" s="164">
        <v>87</v>
      </c>
      <c r="B1823" s="164" t="s">
        <v>2082</v>
      </c>
      <c r="C1823" s="164"/>
      <c r="D1823" s="164">
        <v>1991</v>
      </c>
      <c r="E1823" s="164">
        <v>1982</v>
      </c>
      <c r="F1823" s="164" t="s">
        <v>2065</v>
      </c>
      <c r="G1823" s="164" t="s">
        <v>2081</v>
      </c>
      <c r="H1823" s="164" t="s">
        <v>2831</v>
      </c>
      <c r="I1823" s="164">
        <v>40.82</v>
      </c>
      <c r="J1823" s="164">
        <v>-81.97</v>
      </c>
      <c r="K1823" s="164">
        <v>350</v>
      </c>
      <c r="L1823" s="164">
        <v>9</v>
      </c>
      <c r="M1823" s="164"/>
      <c r="N1823" s="164">
        <v>960</v>
      </c>
      <c r="O1823" s="164"/>
      <c r="P1823" s="164"/>
      <c r="Q1823" s="164">
        <v>2</v>
      </c>
      <c r="R1823" s="165" t="s">
        <v>1867</v>
      </c>
      <c r="T1823" s="165" t="s">
        <v>2098</v>
      </c>
      <c r="U1823" s="164" t="s">
        <v>1383</v>
      </c>
      <c r="V1823" s="168">
        <v>20</v>
      </c>
      <c r="W1823" s="168" t="s">
        <v>1398</v>
      </c>
      <c r="X1823" s="164" t="s">
        <v>1383</v>
      </c>
      <c r="Y1823" s="166">
        <f>AVERAGE(Sheet1!BM1823:BN1823)</f>
        <v>1.34074</v>
      </c>
      <c r="Z1823" s="358">
        <v>35</v>
      </c>
      <c r="AA1823" s="358">
        <v>55</v>
      </c>
      <c r="AB1823" s="164" t="s">
        <v>1759</v>
      </c>
      <c r="AC1823" s="164">
        <v>5.9</v>
      </c>
      <c r="AD1823" s="164">
        <v>1.48</v>
      </c>
      <c r="AE1823" s="164"/>
      <c r="AF1823" s="164" t="s">
        <v>2080</v>
      </c>
      <c r="AG1823" s="164" t="s">
        <v>1761</v>
      </c>
      <c r="AH1823" s="164" t="s">
        <v>132</v>
      </c>
      <c r="AI1823" s="164" t="s">
        <v>2029</v>
      </c>
      <c r="AJ1823" s="164" t="s">
        <v>133</v>
      </c>
      <c r="AK1823" s="164" t="s">
        <v>2029</v>
      </c>
      <c r="AL1823" s="164"/>
      <c r="AM1823" s="164"/>
      <c r="AN1823" s="164"/>
      <c r="AO1823" s="164"/>
      <c r="AP1823" s="185"/>
      <c r="AQ1823" s="164"/>
      <c r="AR1823" s="164"/>
      <c r="AS1823" s="164" t="s">
        <v>2091</v>
      </c>
      <c r="AT1823" s="164" t="s">
        <v>161</v>
      </c>
      <c r="AU1823" s="164">
        <v>3</v>
      </c>
      <c r="AV1823" s="164"/>
      <c r="AW1823" s="164" t="s">
        <v>142</v>
      </c>
      <c r="AX1823" s="164"/>
      <c r="AY1823" s="164"/>
      <c r="AZ1823" s="164"/>
      <c r="BA1823" s="164"/>
      <c r="BB1823" s="164"/>
      <c r="BH1823" s="164">
        <v>11900</v>
      </c>
      <c r="BI1823" s="164">
        <v>11100</v>
      </c>
      <c r="BJ1823" s="164"/>
      <c r="BM1823" s="433">
        <v>1.35118</v>
      </c>
      <c r="BN1823" s="433">
        <v>1.3303</v>
      </c>
      <c r="BR1823" s="433">
        <v>1.48</v>
      </c>
      <c r="BS1823" s="433">
        <v>1.6</v>
      </c>
      <c r="IO1823" s="164" t="s">
        <v>2097</v>
      </c>
      <c r="IP1823" s="164"/>
    </row>
    <row r="1824" spans="1:250" x14ac:dyDescent="0.25">
      <c r="A1824" s="164">
        <v>87</v>
      </c>
      <c r="B1824" s="164" t="s">
        <v>2082</v>
      </c>
      <c r="C1824" s="164"/>
      <c r="D1824" s="164">
        <v>1991</v>
      </c>
      <c r="E1824" s="164">
        <v>1982</v>
      </c>
      <c r="F1824" s="164" t="s">
        <v>2065</v>
      </c>
      <c r="G1824" s="164" t="s">
        <v>2081</v>
      </c>
      <c r="H1824" s="164" t="s">
        <v>2831</v>
      </c>
      <c r="I1824" s="164">
        <v>40.82</v>
      </c>
      <c r="J1824" s="164">
        <v>-81.97</v>
      </c>
      <c r="K1824" s="164">
        <v>350</v>
      </c>
      <c r="L1824" s="164">
        <v>9</v>
      </c>
      <c r="M1824" s="164"/>
      <c r="N1824" s="164">
        <v>960</v>
      </c>
      <c r="O1824" s="164"/>
      <c r="P1824" s="164"/>
      <c r="Q1824" s="164">
        <v>2</v>
      </c>
      <c r="R1824" s="165" t="s">
        <v>1867</v>
      </c>
      <c r="T1824" s="165" t="s">
        <v>2098</v>
      </c>
      <c r="U1824" s="164" t="s">
        <v>1398</v>
      </c>
      <c r="V1824" s="168">
        <v>5</v>
      </c>
      <c r="W1824" s="168" t="s">
        <v>1398</v>
      </c>
      <c r="X1824" s="164" t="s">
        <v>1383</v>
      </c>
      <c r="Y1824" s="166">
        <f>AVERAGE(Sheet1!BM1824:BN1824)</f>
        <v>1.32334</v>
      </c>
      <c r="Z1824" s="358">
        <v>35</v>
      </c>
      <c r="AA1824" s="358">
        <v>55</v>
      </c>
      <c r="AB1824" s="164" t="s">
        <v>1759</v>
      </c>
      <c r="AC1824" s="164">
        <v>6</v>
      </c>
      <c r="AD1824" s="164">
        <v>1.4</v>
      </c>
      <c r="AE1824" s="164"/>
      <c r="AF1824" s="164" t="s">
        <v>2080</v>
      </c>
      <c r="AG1824" s="164" t="s">
        <v>1761</v>
      </c>
      <c r="AH1824" s="164" t="s">
        <v>132</v>
      </c>
      <c r="AI1824" s="164" t="s">
        <v>2029</v>
      </c>
      <c r="AJ1824" s="164" t="s">
        <v>133</v>
      </c>
      <c r="AK1824" s="164" t="s">
        <v>2029</v>
      </c>
      <c r="AL1824" s="164"/>
      <c r="AM1824" s="164"/>
      <c r="AN1824" s="164"/>
      <c r="AO1824" s="164"/>
      <c r="AP1824" s="185"/>
      <c r="AQ1824" s="164"/>
      <c r="AR1824" s="164"/>
      <c r="AS1824" s="164" t="s">
        <v>2091</v>
      </c>
      <c r="AT1824" s="164" t="s">
        <v>161</v>
      </c>
      <c r="AU1824" s="164">
        <v>3</v>
      </c>
      <c r="AV1824" s="164"/>
      <c r="AW1824" s="164" t="s">
        <v>142</v>
      </c>
      <c r="AX1824" s="164"/>
      <c r="AY1824" s="164"/>
      <c r="AZ1824" s="164"/>
      <c r="BA1824" s="164"/>
      <c r="BB1824" s="164"/>
      <c r="BH1824" s="164">
        <v>6500</v>
      </c>
      <c r="BI1824" s="164">
        <v>6700</v>
      </c>
      <c r="BJ1824" s="164"/>
      <c r="BM1824" s="433">
        <v>1.3651</v>
      </c>
      <c r="BN1824" s="433">
        <v>1.2815799999999999</v>
      </c>
      <c r="BR1824" s="433">
        <v>1.4</v>
      </c>
      <c r="BS1824" s="433">
        <v>1.8800000000000001</v>
      </c>
      <c r="IO1824" s="164" t="s">
        <v>2097</v>
      </c>
      <c r="IP1824" s="164"/>
    </row>
    <row r="1825" spans="1:251" x14ac:dyDescent="0.25">
      <c r="A1825" s="164">
        <v>87</v>
      </c>
      <c r="B1825" s="164" t="s">
        <v>2082</v>
      </c>
      <c r="C1825" s="164"/>
      <c r="D1825" s="164">
        <v>1991</v>
      </c>
      <c r="E1825" s="164">
        <v>1982</v>
      </c>
      <c r="F1825" s="164" t="s">
        <v>2065</v>
      </c>
      <c r="G1825" s="164" t="s">
        <v>2081</v>
      </c>
      <c r="H1825" s="164" t="s">
        <v>2831</v>
      </c>
      <c r="I1825" s="164">
        <v>40.82</v>
      </c>
      <c r="J1825" s="164">
        <v>-81.97</v>
      </c>
      <c r="K1825" s="164">
        <v>350</v>
      </c>
      <c r="L1825" s="164">
        <v>9</v>
      </c>
      <c r="M1825" s="164"/>
      <c r="N1825" s="164">
        <v>960</v>
      </c>
      <c r="O1825" s="164"/>
      <c r="P1825" s="164"/>
      <c r="Q1825" s="164">
        <v>2</v>
      </c>
      <c r="R1825" s="165" t="s">
        <v>1867</v>
      </c>
      <c r="T1825" s="165" t="s">
        <v>2098</v>
      </c>
      <c r="U1825" s="164" t="s">
        <v>1405</v>
      </c>
      <c r="V1825" s="168">
        <v>5</v>
      </c>
      <c r="W1825" s="168" t="s">
        <v>1398</v>
      </c>
      <c r="X1825" s="164" t="s">
        <v>1383</v>
      </c>
      <c r="Y1825" s="166">
        <f>AVERAGE(Sheet1!BM1825:BN1825)</f>
        <v>1.34335</v>
      </c>
      <c r="Z1825" s="358">
        <v>35</v>
      </c>
      <c r="AA1825" s="358">
        <v>55</v>
      </c>
      <c r="AB1825" s="164" t="s">
        <v>1759</v>
      </c>
      <c r="AC1825" s="164">
        <v>5.8</v>
      </c>
      <c r="AD1825" s="164">
        <v>1.48</v>
      </c>
      <c r="AE1825" s="164"/>
      <c r="AF1825" s="164" t="s">
        <v>2080</v>
      </c>
      <c r="AG1825" s="164" t="s">
        <v>1761</v>
      </c>
      <c r="AH1825" s="164" t="s">
        <v>132</v>
      </c>
      <c r="AI1825" s="164" t="s">
        <v>2029</v>
      </c>
      <c r="AJ1825" s="164" t="s">
        <v>133</v>
      </c>
      <c r="AK1825" s="164" t="s">
        <v>2029</v>
      </c>
      <c r="AL1825" s="164"/>
      <c r="AM1825" s="164"/>
      <c r="AN1825" s="164"/>
      <c r="AO1825" s="164"/>
      <c r="AP1825" s="185"/>
      <c r="AQ1825" s="164"/>
      <c r="AR1825" s="164"/>
      <c r="AS1825" s="164" t="s">
        <v>2091</v>
      </c>
      <c r="AT1825" s="164" t="s">
        <v>161</v>
      </c>
      <c r="AU1825" s="164">
        <v>3</v>
      </c>
      <c r="AV1825" s="164"/>
      <c r="AW1825" s="164" t="s">
        <v>142</v>
      </c>
      <c r="AX1825" s="164"/>
      <c r="AY1825" s="164"/>
      <c r="AZ1825" s="164"/>
      <c r="BA1825" s="164"/>
      <c r="BB1825" s="164"/>
      <c r="BH1825" s="164">
        <v>11100</v>
      </c>
      <c r="BI1825" s="164">
        <v>10100</v>
      </c>
      <c r="BJ1825" s="164"/>
      <c r="BM1825" s="433">
        <v>1.35118</v>
      </c>
      <c r="BN1825" s="433">
        <v>1.33552</v>
      </c>
      <c r="BR1825" s="433">
        <v>1.48</v>
      </c>
      <c r="BS1825" s="433">
        <v>1.5699999999999998</v>
      </c>
      <c r="IO1825" s="164" t="s">
        <v>2097</v>
      </c>
      <c r="IP1825" s="164"/>
    </row>
    <row r="1826" spans="1:251" x14ac:dyDescent="0.25">
      <c r="A1826" s="164">
        <v>87</v>
      </c>
      <c r="B1826" s="164" t="s">
        <v>2082</v>
      </c>
      <c r="C1826" s="164"/>
      <c r="D1826" s="164">
        <v>1991</v>
      </c>
      <c r="E1826" s="164">
        <v>1982</v>
      </c>
      <c r="F1826" s="164" t="s">
        <v>2065</v>
      </c>
      <c r="G1826" s="164" t="s">
        <v>2081</v>
      </c>
      <c r="H1826" s="164" t="s">
        <v>2831</v>
      </c>
      <c r="I1826" s="164">
        <v>40.82</v>
      </c>
      <c r="J1826" s="164">
        <v>-81.97</v>
      </c>
      <c r="K1826" s="164">
        <v>350</v>
      </c>
      <c r="L1826" s="164">
        <v>9</v>
      </c>
      <c r="M1826" s="164"/>
      <c r="N1826" s="164">
        <v>960</v>
      </c>
      <c r="O1826" s="164"/>
      <c r="P1826" s="164"/>
      <c r="Q1826" s="164">
        <v>2</v>
      </c>
      <c r="R1826" s="165" t="s">
        <v>1867</v>
      </c>
      <c r="T1826" s="165" t="s">
        <v>2098</v>
      </c>
      <c r="U1826" s="164" t="s">
        <v>1413</v>
      </c>
      <c r="V1826" s="168">
        <v>5</v>
      </c>
      <c r="W1826" s="168" t="s">
        <v>1398</v>
      </c>
      <c r="X1826" s="164" t="s">
        <v>1383</v>
      </c>
      <c r="Y1826" s="166">
        <f>AVERAGE(Sheet1!BM1826:BN1826)</f>
        <v>1.3398700000000001</v>
      </c>
      <c r="Z1826" s="358">
        <v>35</v>
      </c>
      <c r="AA1826" s="358">
        <v>55</v>
      </c>
      <c r="AB1826" s="164" t="s">
        <v>1759</v>
      </c>
      <c r="AC1826" s="164">
        <v>5.8</v>
      </c>
      <c r="AD1826" s="164">
        <v>1.56</v>
      </c>
      <c r="AE1826" s="164"/>
      <c r="AF1826" s="164" t="s">
        <v>2080</v>
      </c>
      <c r="AG1826" s="164" t="s">
        <v>1761</v>
      </c>
      <c r="AH1826" s="164" t="s">
        <v>132</v>
      </c>
      <c r="AI1826" s="164" t="s">
        <v>2029</v>
      </c>
      <c r="AJ1826" s="164" t="s">
        <v>133</v>
      </c>
      <c r="AK1826" s="164" t="s">
        <v>2029</v>
      </c>
      <c r="AL1826" s="164"/>
      <c r="AM1826" s="164"/>
      <c r="AN1826" s="164"/>
      <c r="AO1826" s="164"/>
      <c r="AP1826" s="185"/>
      <c r="AQ1826" s="164"/>
      <c r="AR1826" s="164"/>
      <c r="AS1826" s="164" t="s">
        <v>2091</v>
      </c>
      <c r="AT1826" s="164" t="s">
        <v>161</v>
      </c>
      <c r="AU1826" s="164">
        <v>3</v>
      </c>
      <c r="AV1826" s="164"/>
      <c r="AW1826" s="164" t="s">
        <v>142</v>
      </c>
      <c r="AX1826" s="164"/>
      <c r="AY1826" s="164"/>
      <c r="AZ1826" s="164"/>
      <c r="BA1826" s="164"/>
      <c r="BB1826" s="164"/>
      <c r="BH1826" s="164">
        <v>10300</v>
      </c>
      <c r="BI1826" s="164">
        <v>8900</v>
      </c>
      <c r="BJ1826" s="164"/>
      <c r="BM1826" s="433">
        <v>1.3372600000000001</v>
      </c>
      <c r="BN1826" s="433">
        <v>1.3424800000000001</v>
      </c>
      <c r="BR1826" s="433">
        <v>1.56</v>
      </c>
      <c r="BS1826" s="433">
        <v>1.53</v>
      </c>
      <c r="IO1826" s="164" t="s">
        <v>2097</v>
      </c>
      <c r="IP1826" s="164"/>
    </row>
    <row r="1827" spans="1:251" x14ac:dyDescent="0.25">
      <c r="A1827" s="164">
        <v>87</v>
      </c>
      <c r="B1827" s="164" t="s">
        <v>2082</v>
      </c>
      <c r="C1827" s="164"/>
      <c r="D1827" s="164">
        <v>1991</v>
      </c>
      <c r="E1827" s="164">
        <v>1982</v>
      </c>
      <c r="F1827" s="164" t="s">
        <v>2065</v>
      </c>
      <c r="G1827" s="164" t="s">
        <v>2081</v>
      </c>
      <c r="H1827" s="164" t="s">
        <v>2831</v>
      </c>
      <c r="I1827" s="164">
        <v>40.82</v>
      </c>
      <c r="J1827" s="164">
        <v>-81.97</v>
      </c>
      <c r="K1827" s="164">
        <v>350</v>
      </c>
      <c r="L1827" s="164">
        <v>9</v>
      </c>
      <c r="M1827" s="164"/>
      <c r="N1827" s="164">
        <v>960</v>
      </c>
      <c r="O1827" s="164"/>
      <c r="P1827" s="164"/>
      <c r="Q1827" s="164">
        <v>2</v>
      </c>
      <c r="R1827" s="165" t="s">
        <v>1867</v>
      </c>
      <c r="T1827" s="165" t="s">
        <v>2098</v>
      </c>
      <c r="U1827" s="164" t="s">
        <v>2086</v>
      </c>
      <c r="V1827" s="168">
        <v>5</v>
      </c>
      <c r="W1827" s="168" t="s">
        <v>1398</v>
      </c>
      <c r="X1827" s="164" t="s">
        <v>1383</v>
      </c>
      <c r="Y1827" s="166">
        <f>AVERAGE(Sheet1!BM1827:BN1827)</f>
        <v>1.3564000000000001</v>
      </c>
      <c r="Z1827" s="358">
        <v>35</v>
      </c>
      <c r="AA1827" s="358">
        <v>55</v>
      </c>
      <c r="AB1827" s="164" t="s">
        <v>1759</v>
      </c>
      <c r="AC1827" s="164">
        <v>6</v>
      </c>
      <c r="AD1827" s="164">
        <v>1.46</v>
      </c>
      <c r="AE1827" s="164"/>
      <c r="AF1827" s="164" t="s">
        <v>2080</v>
      </c>
      <c r="AG1827" s="164" t="s">
        <v>1761</v>
      </c>
      <c r="AH1827" s="164" t="s">
        <v>132</v>
      </c>
      <c r="AI1827" s="164" t="s">
        <v>2029</v>
      </c>
      <c r="AJ1827" s="164" t="s">
        <v>133</v>
      </c>
      <c r="AK1827" s="164" t="s">
        <v>2029</v>
      </c>
      <c r="AL1827" s="164"/>
      <c r="AM1827" s="164"/>
      <c r="AN1827" s="164"/>
      <c r="AO1827" s="164"/>
      <c r="AP1827" s="185"/>
      <c r="AQ1827" s="164"/>
      <c r="AR1827" s="164"/>
      <c r="AS1827" s="164" t="s">
        <v>2091</v>
      </c>
      <c r="AT1827" s="164" t="s">
        <v>161</v>
      </c>
      <c r="AU1827" s="164">
        <v>3</v>
      </c>
      <c r="AV1827" s="164"/>
      <c r="AW1827" s="164" t="s">
        <v>142</v>
      </c>
      <c r="AX1827" s="164"/>
      <c r="AY1827" s="164"/>
      <c r="AZ1827" s="164"/>
      <c r="BA1827" s="164"/>
      <c r="BB1827" s="164"/>
      <c r="BJ1827" s="164"/>
      <c r="BM1827" s="433">
        <v>1.35466</v>
      </c>
      <c r="BN1827" s="433">
        <v>1.3581400000000001</v>
      </c>
      <c r="BR1827" s="433">
        <v>1.46</v>
      </c>
      <c r="BS1827" s="433">
        <v>1.44</v>
      </c>
      <c r="IO1827" s="164" t="s">
        <v>2097</v>
      </c>
      <c r="IP1827" s="164"/>
    </row>
    <row r="1828" spans="1:251" s="221" customFormat="1" x14ac:dyDescent="0.25">
      <c r="A1828" s="216">
        <v>87</v>
      </c>
      <c r="B1828" s="216" t="s">
        <v>2082</v>
      </c>
      <c r="C1828" s="216"/>
      <c r="D1828" s="216">
        <v>1991</v>
      </c>
      <c r="E1828" s="216">
        <v>1982</v>
      </c>
      <c r="F1828" s="216" t="s">
        <v>2065</v>
      </c>
      <c r="G1828" s="216" t="s">
        <v>2081</v>
      </c>
      <c r="H1828" s="164" t="s">
        <v>2831</v>
      </c>
      <c r="I1828" s="216">
        <v>40.82</v>
      </c>
      <c r="J1828" s="216">
        <v>-81.97</v>
      </c>
      <c r="K1828" s="216">
        <v>350</v>
      </c>
      <c r="L1828" s="216">
        <v>9</v>
      </c>
      <c r="M1828" s="216"/>
      <c r="N1828" s="216">
        <v>960</v>
      </c>
      <c r="O1828" s="216"/>
      <c r="P1828" s="216"/>
      <c r="Q1828" s="216">
        <v>2</v>
      </c>
      <c r="R1828" s="217" t="s">
        <v>1867</v>
      </c>
      <c r="T1828" s="217" t="s">
        <v>2098</v>
      </c>
      <c r="U1828" s="216" t="s">
        <v>1383</v>
      </c>
      <c r="V1828" s="218">
        <v>20</v>
      </c>
      <c r="W1828" s="218" t="s">
        <v>1398</v>
      </c>
      <c r="X1828" s="216" t="s">
        <v>1383</v>
      </c>
      <c r="Y1828" s="219">
        <f>AVERAGE(Sheet1!BM1828:BN1828)</f>
        <v>2.6962700000000002</v>
      </c>
      <c r="Z1828" s="359">
        <v>35</v>
      </c>
      <c r="AA1828" s="359">
        <v>55</v>
      </c>
      <c r="AB1828" s="216" t="s">
        <v>1759</v>
      </c>
      <c r="AC1828" s="216">
        <v>5.9</v>
      </c>
      <c r="AD1828" s="216">
        <v>1.48</v>
      </c>
      <c r="AE1828" s="216"/>
      <c r="AF1828" s="216" t="s">
        <v>2080</v>
      </c>
      <c r="AG1828" s="216" t="s">
        <v>1761</v>
      </c>
      <c r="AH1828" s="216" t="s">
        <v>132</v>
      </c>
      <c r="AI1828" s="216" t="s">
        <v>2090</v>
      </c>
      <c r="AJ1828" s="216" t="s">
        <v>159</v>
      </c>
      <c r="AK1828" s="216" t="s">
        <v>2090</v>
      </c>
      <c r="AL1828" s="216"/>
      <c r="AM1828" s="216"/>
      <c r="AN1828" s="216"/>
      <c r="AO1828" s="216"/>
      <c r="AP1828" s="220"/>
      <c r="AQ1828" s="216"/>
      <c r="AR1828" s="216"/>
      <c r="AS1828" s="216" t="s">
        <v>2089</v>
      </c>
      <c r="AT1828" s="164" t="s">
        <v>161</v>
      </c>
      <c r="AU1828" s="216">
        <v>3</v>
      </c>
      <c r="AV1828" s="216"/>
      <c r="AW1828" s="216" t="s">
        <v>142</v>
      </c>
      <c r="AX1828" s="216"/>
      <c r="AY1828" s="216"/>
      <c r="AZ1828" s="216"/>
      <c r="BA1828" s="216"/>
      <c r="BB1828" s="216"/>
      <c r="BH1828" s="216">
        <v>12300</v>
      </c>
      <c r="BI1828" s="216">
        <v>12100</v>
      </c>
      <c r="BJ1828" s="216"/>
      <c r="BM1828" s="434">
        <v>2.6919200000000001</v>
      </c>
      <c r="BN1828" s="434">
        <v>2.7006200000000002</v>
      </c>
      <c r="BR1828" s="434">
        <v>1.4750000000000001</v>
      </c>
      <c r="BS1828" s="434">
        <v>1.48</v>
      </c>
      <c r="IO1828" s="216" t="s">
        <v>2097</v>
      </c>
      <c r="IP1828" s="216"/>
      <c r="IQ1828" s="222"/>
    </row>
    <row r="1829" spans="1:251" s="221" customFormat="1" x14ac:dyDescent="0.25">
      <c r="A1829" s="216">
        <v>87</v>
      </c>
      <c r="B1829" s="216" t="s">
        <v>2082</v>
      </c>
      <c r="C1829" s="216"/>
      <c r="D1829" s="216">
        <v>1991</v>
      </c>
      <c r="E1829" s="216">
        <v>1982</v>
      </c>
      <c r="F1829" s="216" t="s">
        <v>2065</v>
      </c>
      <c r="G1829" s="216" t="s">
        <v>2081</v>
      </c>
      <c r="H1829" s="164" t="s">
        <v>2831</v>
      </c>
      <c r="I1829" s="216">
        <v>40.82</v>
      </c>
      <c r="J1829" s="216">
        <v>-81.97</v>
      </c>
      <c r="K1829" s="216">
        <v>350</v>
      </c>
      <c r="L1829" s="216">
        <v>9</v>
      </c>
      <c r="M1829" s="216"/>
      <c r="N1829" s="216">
        <v>960</v>
      </c>
      <c r="O1829" s="216"/>
      <c r="P1829" s="216"/>
      <c r="Q1829" s="216">
        <v>2</v>
      </c>
      <c r="R1829" s="217" t="s">
        <v>1867</v>
      </c>
      <c r="T1829" s="217" t="s">
        <v>2098</v>
      </c>
      <c r="U1829" s="216" t="s">
        <v>1398</v>
      </c>
      <c r="V1829" s="218">
        <v>5</v>
      </c>
      <c r="W1829" s="218" t="s">
        <v>1398</v>
      </c>
      <c r="X1829" s="216" t="s">
        <v>1383</v>
      </c>
      <c r="Y1829" s="219">
        <f>AVERAGE(Sheet1!BM1829:BN1829)</f>
        <v>1.33117</v>
      </c>
      <c r="Z1829" s="359">
        <v>35</v>
      </c>
      <c r="AA1829" s="359">
        <v>55</v>
      </c>
      <c r="AB1829" s="216" t="s">
        <v>1759</v>
      </c>
      <c r="AC1829" s="216">
        <v>6</v>
      </c>
      <c r="AD1829" s="216">
        <v>1.4</v>
      </c>
      <c r="AE1829" s="216"/>
      <c r="AF1829" s="216" t="s">
        <v>2080</v>
      </c>
      <c r="AG1829" s="216" t="s">
        <v>1761</v>
      </c>
      <c r="AH1829" s="216" t="s">
        <v>132</v>
      </c>
      <c r="AI1829" s="216" t="s">
        <v>2090</v>
      </c>
      <c r="AJ1829" s="216" t="s">
        <v>159</v>
      </c>
      <c r="AK1829" s="216" t="s">
        <v>2090</v>
      </c>
      <c r="AL1829" s="216"/>
      <c r="AM1829" s="216"/>
      <c r="AN1829" s="216"/>
      <c r="AO1829" s="216"/>
      <c r="AP1829" s="220"/>
      <c r="AQ1829" s="216"/>
      <c r="AR1829" s="216"/>
      <c r="AS1829" s="216" t="s">
        <v>2089</v>
      </c>
      <c r="AT1829" s="164" t="s">
        <v>161</v>
      </c>
      <c r="AU1829" s="216">
        <v>3</v>
      </c>
      <c r="AV1829" s="216"/>
      <c r="AW1829" s="216" t="s">
        <v>142</v>
      </c>
      <c r="AX1829" s="216"/>
      <c r="AY1829" s="216"/>
      <c r="AZ1829" s="216"/>
      <c r="BA1829" s="216"/>
      <c r="BB1829" s="216"/>
      <c r="BH1829" s="216">
        <v>6600</v>
      </c>
      <c r="BI1829" s="216">
        <v>7700</v>
      </c>
      <c r="BJ1829" s="216"/>
      <c r="BM1829" s="434">
        <v>1.34944</v>
      </c>
      <c r="BN1829" s="434">
        <v>1.3129</v>
      </c>
      <c r="BR1829" s="434">
        <v>1.49</v>
      </c>
      <c r="BS1829" s="434">
        <v>1.7</v>
      </c>
      <c r="IO1829" s="216" t="s">
        <v>2097</v>
      </c>
      <c r="IP1829" s="216"/>
      <c r="IQ1829" s="222"/>
    </row>
    <row r="1830" spans="1:251" s="221" customFormat="1" x14ac:dyDescent="0.25">
      <c r="A1830" s="216">
        <v>87</v>
      </c>
      <c r="B1830" s="216" t="s">
        <v>2082</v>
      </c>
      <c r="C1830" s="216"/>
      <c r="D1830" s="216">
        <v>1991</v>
      </c>
      <c r="E1830" s="216">
        <v>1982</v>
      </c>
      <c r="F1830" s="216" t="s">
        <v>2065</v>
      </c>
      <c r="G1830" s="216" t="s">
        <v>2081</v>
      </c>
      <c r="H1830" s="164" t="s">
        <v>2831</v>
      </c>
      <c r="I1830" s="216">
        <v>40.82</v>
      </c>
      <c r="J1830" s="216">
        <v>-81.97</v>
      </c>
      <c r="K1830" s="216">
        <v>350</v>
      </c>
      <c r="L1830" s="216">
        <v>9</v>
      </c>
      <c r="M1830" s="216"/>
      <c r="N1830" s="216">
        <v>960</v>
      </c>
      <c r="O1830" s="216"/>
      <c r="P1830" s="216"/>
      <c r="Q1830" s="216">
        <v>2</v>
      </c>
      <c r="R1830" s="217" t="s">
        <v>1867</v>
      </c>
      <c r="T1830" s="217" t="s">
        <v>2098</v>
      </c>
      <c r="U1830" s="216" t="s">
        <v>1405</v>
      </c>
      <c r="V1830" s="218">
        <v>5</v>
      </c>
      <c r="W1830" s="218" t="s">
        <v>1398</v>
      </c>
      <c r="X1830" s="216" t="s">
        <v>1383</v>
      </c>
      <c r="Y1830" s="219">
        <f>AVERAGE(Sheet1!BM1830:BN1830)</f>
        <v>1.35205</v>
      </c>
      <c r="Z1830" s="359">
        <v>35</v>
      </c>
      <c r="AA1830" s="359">
        <v>55</v>
      </c>
      <c r="AB1830" s="216" t="s">
        <v>1759</v>
      </c>
      <c r="AC1830" s="216">
        <v>5.8</v>
      </c>
      <c r="AD1830" s="216">
        <v>1.48</v>
      </c>
      <c r="AE1830" s="216"/>
      <c r="AF1830" s="216" t="s">
        <v>2080</v>
      </c>
      <c r="AG1830" s="216" t="s">
        <v>1761</v>
      </c>
      <c r="AH1830" s="216" t="s">
        <v>132</v>
      </c>
      <c r="AI1830" s="216" t="s">
        <v>2090</v>
      </c>
      <c r="AJ1830" s="216" t="s">
        <v>159</v>
      </c>
      <c r="AK1830" s="216" t="s">
        <v>2090</v>
      </c>
      <c r="AL1830" s="216"/>
      <c r="AM1830" s="216"/>
      <c r="AN1830" s="216"/>
      <c r="AO1830" s="216"/>
      <c r="AP1830" s="220"/>
      <c r="AQ1830" s="216"/>
      <c r="AR1830" s="216"/>
      <c r="AS1830" s="216" t="s">
        <v>2089</v>
      </c>
      <c r="AT1830" s="164" t="s">
        <v>161</v>
      </c>
      <c r="AU1830" s="216">
        <v>3</v>
      </c>
      <c r="AV1830" s="216"/>
      <c r="AW1830" s="216" t="s">
        <v>142</v>
      </c>
      <c r="AX1830" s="216"/>
      <c r="AY1830" s="216"/>
      <c r="AZ1830" s="216"/>
      <c r="BA1830" s="216"/>
      <c r="BB1830" s="216"/>
      <c r="BH1830" s="216">
        <v>11900</v>
      </c>
      <c r="BI1830" s="216">
        <v>11700</v>
      </c>
      <c r="BJ1830" s="216"/>
      <c r="BM1830" s="434">
        <v>1.339</v>
      </c>
      <c r="BN1830" s="434">
        <v>1.3651</v>
      </c>
      <c r="BR1830" s="434">
        <v>1.55</v>
      </c>
      <c r="BS1830" s="434">
        <v>1.4</v>
      </c>
      <c r="IO1830" s="216" t="s">
        <v>2097</v>
      </c>
      <c r="IP1830" s="216"/>
      <c r="IQ1830" s="222"/>
    </row>
    <row r="1831" spans="1:251" s="221" customFormat="1" x14ac:dyDescent="0.25">
      <c r="A1831" s="216">
        <v>87</v>
      </c>
      <c r="B1831" s="216" t="s">
        <v>2082</v>
      </c>
      <c r="C1831" s="216"/>
      <c r="D1831" s="216">
        <v>1991</v>
      </c>
      <c r="E1831" s="216">
        <v>1982</v>
      </c>
      <c r="F1831" s="216" t="s">
        <v>2065</v>
      </c>
      <c r="G1831" s="216" t="s">
        <v>2081</v>
      </c>
      <c r="H1831" s="164" t="s">
        <v>2831</v>
      </c>
      <c r="I1831" s="216">
        <v>40.82</v>
      </c>
      <c r="J1831" s="216">
        <v>-81.97</v>
      </c>
      <c r="K1831" s="216">
        <v>350</v>
      </c>
      <c r="L1831" s="216">
        <v>9</v>
      </c>
      <c r="M1831" s="216"/>
      <c r="N1831" s="216">
        <v>960</v>
      </c>
      <c r="O1831" s="216"/>
      <c r="P1831" s="216"/>
      <c r="Q1831" s="216">
        <v>2</v>
      </c>
      <c r="R1831" s="217" t="s">
        <v>1867</v>
      </c>
      <c r="T1831" s="217" t="s">
        <v>2098</v>
      </c>
      <c r="U1831" s="216" t="s">
        <v>1413</v>
      </c>
      <c r="V1831" s="218">
        <v>5</v>
      </c>
      <c r="W1831" s="218" t="s">
        <v>1398</v>
      </c>
      <c r="X1831" s="216" t="s">
        <v>1383</v>
      </c>
      <c r="Y1831" s="219">
        <f>AVERAGE(Sheet1!BM1831:BN1831)</f>
        <v>1.32769</v>
      </c>
      <c r="Z1831" s="359">
        <v>35</v>
      </c>
      <c r="AA1831" s="359">
        <v>55</v>
      </c>
      <c r="AB1831" s="216" t="s">
        <v>1759</v>
      </c>
      <c r="AC1831" s="216">
        <v>5.8</v>
      </c>
      <c r="AD1831" s="216">
        <v>1.56</v>
      </c>
      <c r="AE1831" s="216"/>
      <c r="AF1831" s="216" t="s">
        <v>2080</v>
      </c>
      <c r="AG1831" s="216" t="s">
        <v>1761</v>
      </c>
      <c r="AH1831" s="216" t="s">
        <v>132</v>
      </c>
      <c r="AI1831" s="216" t="s">
        <v>2090</v>
      </c>
      <c r="AJ1831" s="216" t="s">
        <v>159</v>
      </c>
      <c r="AK1831" s="216" t="s">
        <v>2090</v>
      </c>
      <c r="AL1831" s="216"/>
      <c r="AM1831" s="216"/>
      <c r="AN1831" s="216"/>
      <c r="AO1831" s="216"/>
      <c r="AP1831" s="220"/>
      <c r="AQ1831" s="216"/>
      <c r="AR1831" s="216"/>
      <c r="AS1831" s="216" t="s">
        <v>2089</v>
      </c>
      <c r="AT1831" s="164" t="s">
        <v>161</v>
      </c>
      <c r="AU1831" s="216">
        <v>3</v>
      </c>
      <c r="AV1831" s="216"/>
      <c r="AW1831" s="216" t="s">
        <v>142</v>
      </c>
      <c r="AX1831" s="216"/>
      <c r="AY1831" s="216"/>
      <c r="AZ1831" s="216"/>
      <c r="BA1831" s="216"/>
      <c r="BB1831" s="216"/>
      <c r="BH1831" s="216">
        <v>12100</v>
      </c>
      <c r="BI1831" s="216">
        <v>12100</v>
      </c>
      <c r="BJ1831" s="216"/>
      <c r="BM1831" s="434">
        <v>1.30246</v>
      </c>
      <c r="BN1831" s="434">
        <v>1.3529200000000001</v>
      </c>
      <c r="BR1831" s="434">
        <v>1.7600000000000002</v>
      </c>
      <c r="BS1831" s="434">
        <v>1.47</v>
      </c>
      <c r="IO1831" s="216" t="s">
        <v>2097</v>
      </c>
      <c r="IP1831" s="216"/>
      <c r="IQ1831" s="222"/>
    </row>
    <row r="1832" spans="1:251" s="221" customFormat="1" x14ac:dyDescent="0.25">
      <c r="A1832" s="216">
        <v>87</v>
      </c>
      <c r="B1832" s="216" t="s">
        <v>2082</v>
      </c>
      <c r="C1832" s="216"/>
      <c r="D1832" s="216">
        <v>1991</v>
      </c>
      <c r="E1832" s="216">
        <v>1982</v>
      </c>
      <c r="F1832" s="216" t="s">
        <v>2065</v>
      </c>
      <c r="G1832" s="216" t="s">
        <v>2081</v>
      </c>
      <c r="H1832" s="164" t="s">
        <v>2831</v>
      </c>
      <c r="I1832" s="216">
        <v>40.82</v>
      </c>
      <c r="J1832" s="216">
        <v>-81.97</v>
      </c>
      <c r="K1832" s="216">
        <v>350</v>
      </c>
      <c r="L1832" s="216">
        <v>9</v>
      </c>
      <c r="M1832" s="216"/>
      <c r="N1832" s="216">
        <v>960</v>
      </c>
      <c r="O1832" s="216"/>
      <c r="P1832" s="216"/>
      <c r="Q1832" s="216">
        <v>2</v>
      </c>
      <c r="R1832" s="217" t="s">
        <v>1867</v>
      </c>
      <c r="T1832" s="217" t="s">
        <v>2098</v>
      </c>
      <c r="U1832" s="216" t="s">
        <v>2086</v>
      </c>
      <c r="V1832" s="218">
        <v>5</v>
      </c>
      <c r="W1832" s="218" t="s">
        <v>1398</v>
      </c>
      <c r="X1832" s="216" t="s">
        <v>1383</v>
      </c>
      <c r="Y1832" s="219">
        <f>AVERAGE(Sheet1!BM1832:BN1832)</f>
        <v>1.37032</v>
      </c>
      <c r="Z1832" s="359">
        <v>35</v>
      </c>
      <c r="AA1832" s="359">
        <v>55</v>
      </c>
      <c r="AB1832" s="216" t="s">
        <v>1759</v>
      </c>
      <c r="AC1832" s="216">
        <v>6</v>
      </c>
      <c r="AD1832" s="216">
        <v>1.46</v>
      </c>
      <c r="AE1832" s="216"/>
      <c r="AF1832" s="216" t="s">
        <v>2080</v>
      </c>
      <c r="AG1832" s="216" t="s">
        <v>1761</v>
      </c>
      <c r="AH1832" s="216" t="s">
        <v>132</v>
      </c>
      <c r="AI1832" s="216" t="s">
        <v>2090</v>
      </c>
      <c r="AJ1832" s="216" t="s">
        <v>159</v>
      </c>
      <c r="AK1832" s="216" t="s">
        <v>2090</v>
      </c>
      <c r="AL1832" s="216"/>
      <c r="AM1832" s="216"/>
      <c r="AN1832" s="216"/>
      <c r="AO1832" s="216"/>
      <c r="AP1832" s="220"/>
      <c r="AQ1832" s="216"/>
      <c r="AR1832" s="216"/>
      <c r="AS1832" s="216" t="s">
        <v>2089</v>
      </c>
      <c r="AT1832" s="164" t="s">
        <v>161</v>
      </c>
      <c r="AU1832" s="216">
        <v>3</v>
      </c>
      <c r="AV1832" s="216"/>
      <c r="AW1832" s="216" t="s">
        <v>142</v>
      </c>
      <c r="AX1832" s="216"/>
      <c r="AY1832" s="216"/>
      <c r="AZ1832" s="216"/>
      <c r="BA1832" s="216"/>
      <c r="BB1832" s="216"/>
      <c r="BI1832" s="216"/>
      <c r="BJ1832" s="216"/>
      <c r="BM1832" s="434">
        <v>1.3685800000000001</v>
      </c>
      <c r="BN1832" s="434">
        <v>1.3720600000000001</v>
      </c>
      <c r="BR1832" s="434">
        <v>1.3800000000000001</v>
      </c>
      <c r="BS1832" s="434">
        <v>1.3599999999999999</v>
      </c>
      <c r="IO1832" s="216" t="s">
        <v>2097</v>
      </c>
      <c r="IP1832" s="216"/>
      <c r="IQ1832" s="222"/>
    </row>
    <row r="1833" spans="1:251" x14ac:dyDescent="0.25">
      <c r="A1833" s="164">
        <v>87</v>
      </c>
      <c r="B1833" s="164" t="s">
        <v>2082</v>
      </c>
      <c r="C1833" s="164"/>
      <c r="D1833" s="164">
        <v>1991</v>
      </c>
      <c r="E1833" s="164">
        <v>1982</v>
      </c>
      <c r="F1833" s="164" t="s">
        <v>2065</v>
      </c>
      <c r="G1833" s="164" t="s">
        <v>2081</v>
      </c>
      <c r="H1833" s="164" t="s">
        <v>2831</v>
      </c>
      <c r="I1833" s="164">
        <v>40.82</v>
      </c>
      <c r="J1833" s="164">
        <v>-81.97</v>
      </c>
      <c r="K1833" s="164">
        <v>350</v>
      </c>
      <c r="L1833" s="164">
        <v>9</v>
      </c>
      <c r="M1833" s="164"/>
      <c r="N1833" s="164">
        <v>960</v>
      </c>
      <c r="O1833" s="164"/>
      <c r="P1833" s="164"/>
      <c r="Q1833" s="164">
        <v>2</v>
      </c>
      <c r="R1833" s="165" t="s">
        <v>1867</v>
      </c>
      <c r="T1833" s="165" t="s">
        <v>2098</v>
      </c>
      <c r="U1833" s="164" t="s">
        <v>1383</v>
      </c>
      <c r="V1833" s="168">
        <v>20</v>
      </c>
      <c r="W1833" s="168" t="s">
        <v>1398</v>
      </c>
      <c r="X1833" s="164" t="s">
        <v>1383</v>
      </c>
      <c r="Y1833" s="166">
        <f>AVERAGE(Sheet1!BM1833:BN1833)</f>
        <v>1.338565</v>
      </c>
      <c r="Z1833" s="358">
        <v>35</v>
      </c>
      <c r="AA1833" s="358">
        <v>55</v>
      </c>
      <c r="AB1833" s="164" t="s">
        <v>1759</v>
      </c>
      <c r="AC1833" s="164">
        <v>6.1</v>
      </c>
      <c r="AD1833" s="164">
        <v>1.55</v>
      </c>
      <c r="AE1833" s="164"/>
      <c r="AF1833" s="164" t="s">
        <v>2080</v>
      </c>
      <c r="AG1833" s="164" t="s">
        <v>1761</v>
      </c>
      <c r="AH1833" s="164" t="s">
        <v>132</v>
      </c>
      <c r="AI1833" s="164" t="s">
        <v>2084</v>
      </c>
      <c r="AJ1833" s="164" t="s">
        <v>1615</v>
      </c>
      <c r="AK1833" s="164" t="s">
        <v>2084</v>
      </c>
      <c r="AL1833" s="164"/>
      <c r="AM1833" s="164"/>
      <c r="AN1833" s="164"/>
      <c r="AO1833" s="164"/>
      <c r="AP1833" s="185"/>
      <c r="AQ1833" s="164"/>
      <c r="AR1833" s="164"/>
      <c r="AS1833" s="164" t="s">
        <v>2088</v>
      </c>
      <c r="AT1833" s="164" t="s">
        <v>161</v>
      </c>
      <c r="AU1833" s="164">
        <v>3</v>
      </c>
      <c r="AV1833" s="164"/>
      <c r="AW1833" s="164" t="s">
        <v>142</v>
      </c>
      <c r="AX1833" s="164"/>
      <c r="AY1833" s="164"/>
      <c r="AZ1833" s="164"/>
      <c r="BA1833" s="164"/>
      <c r="BB1833" s="164"/>
      <c r="BH1833" s="216">
        <v>2900</v>
      </c>
      <c r="BI1833" s="164">
        <v>3000</v>
      </c>
      <c r="BJ1833" s="164"/>
      <c r="BM1833" s="433">
        <v>1.3398700000000001</v>
      </c>
      <c r="BN1833" s="433">
        <v>1.3372600000000001</v>
      </c>
      <c r="BR1833" s="433">
        <v>1.5449999999999999</v>
      </c>
      <c r="BS1833" s="433">
        <v>1.56</v>
      </c>
      <c r="IO1833" s="164" t="s">
        <v>2097</v>
      </c>
      <c r="IP1833" s="164"/>
    </row>
    <row r="1834" spans="1:251" x14ac:dyDescent="0.25">
      <c r="A1834" s="164">
        <v>87</v>
      </c>
      <c r="B1834" s="164" t="s">
        <v>2082</v>
      </c>
      <c r="C1834" s="164"/>
      <c r="D1834" s="164">
        <v>1991</v>
      </c>
      <c r="E1834" s="164">
        <v>1982</v>
      </c>
      <c r="F1834" s="164" t="s">
        <v>2065</v>
      </c>
      <c r="G1834" s="164" t="s">
        <v>2081</v>
      </c>
      <c r="H1834" s="164" t="s">
        <v>2831</v>
      </c>
      <c r="I1834" s="164">
        <v>40.82</v>
      </c>
      <c r="J1834" s="164">
        <v>-81.97</v>
      </c>
      <c r="K1834" s="164">
        <v>350</v>
      </c>
      <c r="L1834" s="164">
        <v>9</v>
      </c>
      <c r="M1834" s="164"/>
      <c r="N1834" s="164">
        <v>960</v>
      </c>
      <c r="O1834" s="164"/>
      <c r="P1834" s="164"/>
      <c r="Q1834" s="164">
        <v>2</v>
      </c>
      <c r="R1834" s="165" t="s">
        <v>1867</v>
      </c>
      <c r="T1834" s="165" t="s">
        <v>2098</v>
      </c>
      <c r="U1834" s="164" t="s">
        <v>1398</v>
      </c>
      <c r="V1834" s="168">
        <v>5</v>
      </c>
      <c r="W1834" s="168" t="s">
        <v>1398</v>
      </c>
      <c r="X1834" s="164" t="s">
        <v>1383</v>
      </c>
      <c r="Y1834" s="166">
        <f>AVERAGE(Sheet1!BM1834:BN1834)</f>
        <v>1.32769</v>
      </c>
      <c r="Z1834" s="358">
        <v>35</v>
      </c>
      <c r="AA1834" s="358">
        <v>55</v>
      </c>
      <c r="AB1834" s="164" t="s">
        <v>1759</v>
      </c>
      <c r="AC1834" s="164">
        <v>6.1</v>
      </c>
      <c r="AD1834" s="164">
        <v>1.49</v>
      </c>
      <c r="AE1834" s="164"/>
      <c r="AF1834" s="164" t="s">
        <v>2080</v>
      </c>
      <c r="AG1834" s="164" t="s">
        <v>1761</v>
      </c>
      <c r="AH1834" s="164" t="s">
        <v>132</v>
      </c>
      <c r="AI1834" s="164" t="s">
        <v>2084</v>
      </c>
      <c r="AJ1834" s="164" t="s">
        <v>1615</v>
      </c>
      <c r="AK1834" s="164" t="s">
        <v>2084</v>
      </c>
      <c r="AL1834" s="164"/>
      <c r="AM1834" s="164"/>
      <c r="AN1834" s="164"/>
      <c r="AO1834" s="164"/>
      <c r="AP1834" s="185"/>
      <c r="AQ1834" s="164"/>
      <c r="AR1834" s="164"/>
      <c r="AS1834" s="164" t="s">
        <v>2088</v>
      </c>
      <c r="AT1834" s="164" t="s">
        <v>161</v>
      </c>
      <c r="AU1834" s="164">
        <v>3</v>
      </c>
      <c r="AV1834" s="164"/>
      <c r="AW1834" s="164" t="s">
        <v>142</v>
      </c>
      <c r="AX1834" s="164"/>
      <c r="AY1834" s="164"/>
      <c r="AZ1834" s="164"/>
      <c r="BA1834" s="164"/>
      <c r="BB1834" s="164"/>
      <c r="BH1834" s="164">
        <v>1900</v>
      </c>
      <c r="BI1834" s="164">
        <v>1700</v>
      </c>
      <c r="BJ1834" s="164"/>
      <c r="BM1834" s="433">
        <v>1.34944</v>
      </c>
      <c r="BN1834" s="433">
        <v>1.3059400000000001</v>
      </c>
      <c r="BR1834" s="433">
        <v>1.49</v>
      </c>
      <c r="BS1834" s="433">
        <v>1.7399999999999998</v>
      </c>
      <c r="IO1834" s="164" t="s">
        <v>2097</v>
      </c>
      <c r="IP1834" s="164"/>
    </row>
    <row r="1835" spans="1:251" x14ac:dyDescent="0.25">
      <c r="A1835" s="164">
        <v>87</v>
      </c>
      <c r="B1835" s="164" t="s">
        <v>2082</v>
      </c>
      <c r="C1835" s="164"/>
      <c r="D1835" s="164">
        <v>1991</v>
      </c>
      <c r="E1835" s="164">
        <v>1982</v>
      </c>
      <c r="F1835" s="164" t="s">
        <v>2065</v>
      </c>
      <c r="G1835" s="164" t="s">
        <v>2081</v>
      </c>
      <c r="H1835" s="164" t="s">
        <v>2831</v>
      </c>
      <c r="I1835" s="164">
        <v>40.82</v>
      </c>
      <c r="J1835" s="164">
        <v>-81.97</v>
      </c>
      <c r="K1835" s="164">
        <v>350</v>
      </c>
      <c r="L1835" s="164">
        <v>9</v>
      </c>
      <c r="M1835" s="164"/>
      <c r="N1835" s="164">
        <v>960</v>
      </c>
      <c r="O1835" s="164"/>
      <c r="P1835" s="164"/>
      <c r="Q1835" s="164">
        <v>2</v>
      </c>
      <c r="R1835" s="165" t="s">
        <v>1867</v>
      </c>
      <c r="T1835" s="165" t="s">
        <v>2098</v>
      </c>
      <c r="U1835" s="164" t="s">
        <v>1405</v>
      </c>
      <c r="V1835" s="168">
        <v>5</v>
      </c>
      <c r="W1835" s="168" t="s">
        <v>1398</v>
      </c>
      <c r="X1835" s="164" t="s">
        <v>1383</v>
      </c>
      <c r="Y1835" s="166">
        <f>AVERAGE(Sheet1!BM1835:BN1835)</f>
        <v>1.3424800000000001</v>
      </c>
      <c r="Z1835" s="358">
        <v>35</v>
      </c>
      <c r="AA1835" s="358">
        <v>55</v>
      </c>
      <c r="AB1835" s="164" t="s">
        <v>1759</v>
      </c>
      <c r="AC1835" s="164">
        <v>6.1</v>
      </c>
      <c r="AD1835" s="164">
        <v>1.55</v>
      </c>
      <c r="AE1835" s="164"/>
      <c r="AF1835" s="164" t="s">
        <v>2080</v>
      </c>
      <c r="AG1835" s="164" t="s">
        <v>1761</v>
      </c>
      <c r="AH1835" s="164" t="s">
        <v>132</v>
      </c>
      <c r="AI1835" s="164" t="s">
        <v>2084</v>
      </c>
      <c r="AJ1835" s="164" t="s">
        <v>1615</v>
      </c>
      <c r="AK1835" s="164" t="s">
        <v>2084</v>
      </c>
      <c r="AL1835" s="164"/>
      <c r="AM1835" s="164"/>
      <c r="AN1835" s="164"/>
      <c r="AO1835" s="164"/>
      <c r="AP1835" s="185"/>
      <c r="AQ1835" s="164"/>
      <c r="AR1835" s="164"/>
      <c r="AS1835" s="164" t="s">
        <v>2088</v>
      </c>
      <c r="AT1835" s="164" t="s">
        <v>161</v>
      </c>
      <c r="AU1835" s="164">
        <v>3</v>
      </c>
      <c r="AV1835" s="164"/>
      <c r="AW1835" s="164" t="s">
        <v>142</v>
      </c>
      <c r="AX1835" s="164"/>
      <c r="AY1835" s="164"/>
      <c r="AZ1835" s="164"/>
      <c r="BA1835" s="164"/>
      <c r="BB1835" s="164"/>
      <c r="BH1835" s="164">
        <v>2600</v>
      </c>
      <c r="BI1835" s="164">
        <v>2700</v>
      </c>
      <c r="BJ1835" s="164"/>
      <c r="BM1835" s="433">
        <v>1.339</v>
      </c>
      <c r="BN1835" s="433">
        <v>1.34596</v>
      </c>
      <c r="BR1835" s="433">
        <v>1.55</v>
      </c>
      <c r="BS1835" s="433">
        <v>1.51</v>
      </c>
      <c r="IO1835" s="164" t="s">
        <v>2097</v>
      </c>
      <c r="IP1835" s="164"/>
    </row>
    <row r="1836" spans="1:251" x14ac:dyDescent="0.25">
      <c r="A1836" s="164">
        <v>87</v>
      </c>
      <c r="B1836" s="164" t="s">
        <v>2082</v>
      </c>
      <c r="C1836" s="164"/>
      <c r="D1836" s="164">
        <v>1991</v>
      </c>
      <c r="E1836" s="164">
        <v>1982</v>
      </c>
      <c r="F1836" s="164" t="s">
        <v>2065</v>
      </c>
      <c r="G1836" s="164" t="s">
        <v>2081</v>
      </c>
      <c r="H1836" s="164" t="s">
        <v>2831</v>
      </c>
      <c r="I1836" s="164">
        <v>40.82</v>
      </c>
      <c r="J1836" s="164">
        <v>-81.97</v>
      </c>
      <c r="K1836" s="164">
        <v>350</v>
      </c>
      <c r="L1836" s="164">
        <v>9</v>
      </c>
      <c r="M1836" s="164"/>
      <c r="N1836" s="164">
        <v>960</v>
      </c>
      <c r="O1836" s="164"/>
      <c r="P1836" s="164"/>
      <c r="Q1836" s="164">
        <v>2</v>
      </c>
      <c r="R1836" s="165" t="s">
        <v>1867</v>
      </c>
      <c r="T1836" s="165" t="s">
        <v>2098</v>
      </c>
      <c r="U1836" s="164" t="s">
        <v>1413</v>
      </c>
      <c r="V1836" s="168">
        <v>5</v>
      </c>
      <c r="W1836" s="168" t="s">
        <v>1398</v>
      </c>
      <c r="X1836" s="164" t="s">
        <v>1383</v>
      </c>
      <c r="Y1836" s="166">
        <f>AVERAGE(Sheet1!BM1836:BN1836)</f>
        <v>1.32073</v>
      </c>
      <c r="Z1836" s="358">
        <v>35</v>
      </c>
      <c r="AA1836" s="358">
        <v>55</v>
      </c>
      <c r="AB1836" s="164" t="s">
        <v>1759</v>
      </c>
      <c r="AC1836" s="164">
        <v>6</v>
      </c>
      <c r="AD1836" s="164">
        <v>1.76</v>
      </c>
      <c r="AE1836" s="164"/>
      <c r="AF1836" s="164" t="s">
        <v>2080</v>
      </c>
      <c r="AG1836" s="164" t="s">
        <v>1761</v>
      </c>
      <c r="AH1836" s="164" t="s">
        <v>132</v>
      </c>
      <c r="AI1836" s="164" t="s">
        <v>2084</v>
      </c>
      <c r="AJ1836" s="164" t="s">
        <v>1615</v>
      </c>
      <c r="AK1836" s="164" t="s">
        <v>2084</v>
      </c>
      <c r="AL1836" s="164"/>
      <c r="AM1836" s="164"/>
      <c r="AN1836" s="164"/>
      <c r="AO1836" s="164"/>
      <c r="AP1836" s="185"/>
      <c r="AQ1836" s="164"/>
      <c r="AR1836" s="164"/>
      <c r="AS1836" s="164" t="s">
        <v>2088</v>
      </c>
      <c r="AT1836" s="164" t="s">
        <v>161</v>
      </c>
      <c r="AU1836" s="164">
        <v>3</v>
      </c>
      <c r="AV1836" s="164"/>
      <c r="AW1836" s="164" t="s">
        <v>142</v>
      </c>
      <c r="AX1836" s="164"/>
      <c r="AY1836" s="164"/>
      <c r="AZ1836" s="164"/>
      <c r="BA1836" s="164"/>
      <c r="BB1836" s="164"/>
      <c r="BH1836" s="164">
        <v>2300</v>
      </c>
      <c r="BI1836" s="164">
        <v>2000</v>
      </c>
      <c r="BJ1836" s="164"/>
      <c r="BM1836" s="433">
        <v>1.30246</v>
      </c>
      <c r="BN1836" s="433">
        <v>1.339</v>
      </c>
      <c r="BR1836" s="433">
        <v>1.7600000000000002</v>
      </c>
      <c r="BS1836" s="433">
        <v>1.55</v>
      </c>
      <c r="IO1836" s="164" t="s">
        <v>2097</v>
      </c>
      <c r="IP1836" s="164"/>
    </row>
    <row r="1837" spans="1:251" x14ac:dyDescent="0.25">
      <c r="A1837" s="164">
        <v>87</v>
      </c>
      <c r="B1837" s="164" t="s">
        <v>2082</v>
      </c>
      <c r="C1837" s="164"/>
      <c r="D1837" s="164">
        <v>1991</v>
      </c>
      <c r="E1837" s="164">
        <v>1982</v>
      </c>
      <c r="F1837" s="164" t="s">
        <v>2065</v>
      </c>
      <c r="G1837" s="164" t="s">
        <v>2081</v>
      </c>
      <c r="H1837" s="164" t="s">
        <v>2831</v>
      </c>
      <c r="I1837" s="164">
        <v>40.82</v>
      </c>
      <c r="J1837" s="164">
        <v>-81.97</v>
      </c>
      <c r="K1837" s="164">
        <v>350</v>
      </c>
      <c r="L1837" s="164">
        <v>9</v>
      </c>
      <c r="M1837" s="164"/>
      <c r="N1837" s="164">
        <v>960</v>
      </c>
      <c r="O1837" s="164"/>
      <c r="P1837" s="164"/>
      <c r="Q1837" s="164">
        <v>2</v>
      </c>
      <c r="R1837" s="165" t="s">
        <v>1867</v>
      </c>
      <c r="T1837" s="165" t="s">
        <v>2098</v>
      </c>
      <c r="U1837" s="164" t="s">
        <v>2086</v>
      </c>
      <c r="V1837" s="168">
        <v>5</v>
      </c>
      <c r="W1837" s="168" t="s">
        <v>1398</v>
      </c>
      <c r="X1837" s="164" t="s">
        <v>1383</v>
      </c>
      <c r="Y1837" s="166">
        <f>AVERAGE(Sheet1!BM1837:BN1837)</f>
        <v>1.3616200000000001</v>
      </c>
      <c r="Z1837" s="358">
        <v>35</v>
      </c>
      <c r="AA1837" s="358">
        <v>55</v>
      </c>
      <c r="AB1837" s="164" t="s">
        <v>1759</v>
      </c>
      <c r="AC1837" s="164">
        <v>6.1</v>
      </c>
      <c r="AD1837" s="164">
        <v>1.38</v>
      </c>
      <c r="AE1837" s="164"/>
      <c r="AF1837" s="164" t="s">
        <v>2080</v>
      </c>
      <c r="AG1837" s="164" t="s">
        <v>1761</v>
      </c>
      <c r="AH1837" s="164" t="s">
        <v>132</v>
      </c>
      <c r="AI1837" s="164" t="s">
        <v>2084</v>
      </c>
      <c r="AJ1837" s="164" t="s">
        <v>1615</v>
      </c>
      <c r="AK1837" s="164" t="s">
        <v>2084</v>
      </c>
      <c r="AL1837" s="164"/>
      <c r="AM1837" s="164"/>
      <c r="AN1837" s="164"/>
      <c r="AO1837" s="164"/>
      <c r="AP1837" s="185"/>
      <c r="AQ1837" s="164"/>
      <c r="AR1837" s="164"/>
      <c r="AS1837" s="164" t="s">
        <v>2088</v>
      </c>
      <c r="AT1837" s="164" t="s">
        <v>161</v>
      </c>
      <c r="AU1837" s="164">
        <v>3</v>
      </c>
      <c r="AV1837" s="164"/>
      <c r="AW1837" s="164" t="s">
        <v>142</v>
      </c>
      <c r="AX1837" s="164"/>
      <c r="AY1837" s="164"/>
      <c r="AZ1837" s="164"/>
      <c r="BA1837" s="164"/>
      <c r="BB1837" s="164"/>
      <c r="BH1837" s="164"/>
      <c r="BI1837" s="164"/>
      <c r="BJ1837" s="164"/>
      <c r="BM1837" s="433">
        <v>1.3685800000000001</v>
      </c>
      <c r="BN1837" s="433">
        <v>1.35466</v>
      </c>
      <c r="BR1837" s="433">
        <v>1.3800000000000001</v>
      </c>
      <c r="BS1837" s="433">
        <v>1.46</v>
      </c>
      <c r="IO1837" s="164" t="s">
        <v>2097</v>
      </c>
      <c r="IP1837" s="164"/>
    </row>
    <row r="1838" spans="1:251" x14ac:dyDescent="0.25">
      <c r="A1838" s="164">
        <v>87</v>
      </c>
      <c r="B1838" s="164" t="s">
        <v>2082</v>
      </c>
      <c r="C1838" s="164"/>
      <c r="D1838" s="164">
        <v>1991</v>
      </c>
      <c r="E1838" s="164">
        <v>1982</v>
      </c>
      <c r="F1838" s="164" t="s">
        <v>2065</v>
      </c>
      <c r="G1838" s="164" t="s">
        <v>2081</v>
      </c>
      <c r="H1838" s="164" t="s">
        <v>2831</v>
      </c>
      <c r="I1838" s="164">
        <v>40.82</v>
      </c>
      <c r="J1838" s="164">
        <v>-81.97</v>
      </c>
      <c r="K1838" s="164">
        <v>350</v>
      </c>
      <c r="L1838" s="164">
        <v>9</v>
      </c>
      <c r="M1838" s="164"/>
      <c r="N1838" s="164">
        <v>960</v>
      </c>
      <c r="O1838" s="164"/>
      <c r="P1838" s="164"/>
      <c r="Q1838" s="164">
        <v>2</v>
      </c>
      <c r="R1838" s="165" t="s">
        <v>1867</v>
      </c>
      <c r="T1838" s="165" t="s">
        <v>2098</v>
      </c>
      <c r="U1838" s="164" t="s">
        <v>1383</v>
      </c>
      <c r="V1838" s="168">
        <v>20</v>
      </c>
      <c r="W1838" s="168" t="s">
        <v>1398</v>
      </c>
      <c r="X1838" s="164" t="s">
        <v>1383</v>
      </c>
      <c r="Y1838" s="166">
        <f>AVERAGE(Sheet1!BM1838:BN1838)</f>
        <v>1.4742850000000001</v>
      </c>
      <c r="Z1838" s="358">
        <v>35</v>
      </c>
      <c r="AA1838" s="358">
        <v>55</v>
      </c>
      <c r="AB1838" s="164" t="s">
        <v>1759</v>
      </c>
      <c r="AC1838" s="164">
        <v>6.1</v>
      </c>
      <c r="AD1838" s="164">
        <v>1.55</v>
      </c>
      <c r="AE1838" s="164"/>
      <c r="AF1838" s="164" t="s">
        <v>2080</v>
      </c>
      <c r="AG1838" s="164" t="s">
        <v>1761</v>
      </c>
      <c r="AH1838" s="164" t="s">
        <v>132</v>
      </c>
      <c r="AI1838" s="164" t="s">
        <v>2084</v>
      </c>
      <c r="AJ1838" s="164" t="s">
        <v>1615</v>
      </c>
      <c r="AK1838" s="164" t="s">
        <v>2084</v>
      </c>
      <c r="AL1838" s="164"/>
      <c r="AM1838" s="164"/>
      <c r="AN1838" s="164"/>
      <c r="AO1838" s="164"/>
      <c r="AP1838" s="185"/>
      <c r="AQ1838" s="164"/>
      <c r="AR1838" s="164"/>
      <c r="AS1838" s="164"/>
      <c r="AT1838" s="164" t="s">
        <v>161</v>
      </c>
      <c r="AU1838" s="164">
        <v>3</v>
      </c>
      <c r="AV1838" s="164"/>
      <c r="AW1838" s="164" t="s">
        <v>142</v>
      </c>
      <c r="AX1838" s="164"/>
      <c r="AY1838" s="164"/>
      <c r="AZ1838" s="164"/>
      <c r="BA1838" s="164"/>
      <c r="BB1838" s="164"/>
      <c r="BH1838" s="164"/>
      <c r="BI1838" s="164"/>
      <c r="BJ1838" s="164"/>
      <c r="BM1838" s="433">
        <v>1.3398700000000001</v>
      </c>
      <c r="BN1838" s="433">
        <v>1.6087</v>
      </c>
      <c r="BR1838" s="433">
        <v>1.5449999999999999</v>
      </c>
      <c r="BS1838" s="433">
        <v>1.5594775612559428</v>
      </c>
      <c r="IO1838" s="164"/>
      <c r="IP1838" s="164"/>
    </row>
    <row r="1839" spans="1:251" s="213" customFormat="1" x14ac:dyDescent="0.25">
      <c r="A1839" s="208">
        <v>87</v>
      </c>
      <c r="B1839" s="208" t="s">
        <v>2082</v>
      </c>
      <c r="C1839" s="208"/>
      <c r="D1839" s="208">
        <v>1991</v>
      </c>
      <c r="E1839" s="208">
        <v>1982</v>
      </c>
      <c r="F1839" s="208" t="s">
        <v>2065</v>
      </c>
      <c r="G1839" s="208" t="s">
        <v>2087</v>
      </c>
      <c r="H1839" s="164" t="s">
        <v>2831</v>
      </c>
      <c r="I1839" s="208">
        <v>41.2</v>
      </c>
      <c r="J1839" s="208">
        <v>-83.81</v>
      </c>
      <c r="K1839" s="208">
        <v>213</v>
      </c>
      <c r="L1839" s="208">
        <v>9.8000000000000007</v>
      </c>
      <c r="M1839" s="208"/>
      <c r="N1839" s="208">
        <v>849</v>
      </c>
      <c r="O1839" s="208"/>
      <c r="P1839" s="208"/>
      <c r="Q1839" s="208">
        <v>1</v>
      </c>
      <c r="R1839" s="210" t="s">
        <v>1867</v>
      </c>
      <c r="T1839" s="210" t="s">
        <v>2098</v>
      </c>
      <c r="U1839" s="208" t="s">
        <v>1398</v>
      </c>
      <c r="V1839" s="211">
        <v>5</v>
      </c>
      <c r="W1839" s="211" t="s">
        <v>1398</v>
      </c>
      <c r="X1839" s="208" t="s">
        <v>1383</v>
      </c>
      <c r="Y1839" s="212">
        <f>AVERAGE(Sheet1!BM1839:BN1839)</f>
        <v>1.18066</v>
      </c>
      <c r="Z1839" s="360">
        <v>10</v>
      </c>
      <c r="AA1839" s="360">
        <v>55</v>
      </c>
      <c r="AB1839" s="208" t="s">
        <v>548</v>
      </c>
      <c r="AC1839" s="208">
        <v>6.1</v>
      </c>
      <c r="AD1839" s="208">
        <v>1.55</v>
      </c>
      <c r="AE1839" s="208"/>
      <c r="AF1839" s="208" t="s">
        <v>2085</v>
      </c>
      <c r="AG1839" s="208" t="s">
        <v>1761</v>
      </c>
      <c r="AH1839" s="208" t="s">
        <v>132</v>
      </c>
      <c r="AI1839" s="208" t="s">
        <v>2084</v>
      </c>
      <c r="AJ1839" s="208" t="s">
        <v>1615</v>
      </c>
      <c r="AK1839" s="208" t="s">
        <v>2084</v>
      </c>
      <c r="AL1839" s="208"/>
      <c r="AM1839" s="208"/>
      <c r="AN1839" s="208"/>
      <c r="AO1839" s="208"/>
      <c r="AP1839" s="215"/>
      <c r="AQ1839" s="208"/>
      <c r="AR1839" s="208"/>
      <c r="AS1839" s="208" t="s">
        <v>2083</v>
      </c>
      <c r="AT1839" s="164" t="s">
        <v>161</v>
      </c>
      <c r="AU1839" s="208">
        <v>3</v>
      </c>
      <c r="AV1839" s="208"/>
      <c r="AW1839" s="208" t="s">
        <v>142</v>
      </c>
      <c r="AX1839" s="208"/>
      <c r="AY1839" s="208"/>
      <c r="AZ1839" s="208"/>
      <c r="BA1839" s="208"/>
      <c r="BB1839" s="208"/>
      <c r="BH1839" s="213">
        <v>9300</v>
      </c>
      <c r="BI1839" s="213">
        <v>8900</v>
      </c>
      <c r="BJ1839" s="208"/>
      <c r="BM1839" s="435">
        <v>1.1876200000000001</v>
      </c>
      <c r="BN1839" s="435">
        <v>1.1737000000000002</v>
      </c>
      <c r="BR1839" s="435">
        <v>2.42</v>
      </c>
      <c r="BS1839" s="435">
        <v>2.5</v>
      </c>
      <c r="IO1839" s="208" t="s">
        <v>2097</v>
      </c>
      <c r="IP1839" s="208"/>
      <c r="IQ1839" s="214"/>
    </row>
    <row r="1840" spans="1:251" s="213" customFormat="1" x14ac:dyDescent="0.25">
      <c r="A1840" s="208">
        <v>87</v>
      </c>
      <c r="B1840" s="208" t="s">
        <v>2082</v>
      </c>
      <c r="C1840" s="208"/>
      <c r="D1840" s="208">
        <v>1991</v>
      </c>
      <c r="E1840" s="208">
        <v>1983</v>
      </c>
      <c r="F1840" s="208" t="s">
        <v>2065</v>
      </c>
      <c r="G1840" s="208" t="s">
        <v>2087</v>
      </c>
      <c r="H1840" s="164" t="s">
        <v>2831</v>
      </c>
      <c r="I1840" s="208">
        <v>41.2</v>
      </c>
      <c r="J1840" s="208">
        <v>-83.81</v>
      </c>
      <c r="K1840" s="208">
        <v>213</v>
      </c>
      <c r="L1840" s="208">
        <v>9.8000000000000007</v>
      </c>
      <c r="M1840" s="208"/>
      <c r="N1840" s="208">
        <v>849</v>
      </c>
      <c r="O1840" s="208"/>
      <c r="P1840" s="208"/>
      <c r="Q1840" s="208">
        <v>2</v>
      </c>
      <c r="R1840" s="210" t="s">
        <v>1867</v>
      </c>
      <c r="T1840" s="210" t="s">
        <v>2098</v>
      </c>
      <c r="U1840" s="208" t="s">
        <v>1405</v>
      </c>
      <c r="V1840" s="211">
        <v>5</v>
      </c>
      <c r="W1840" s="211" t="s">
        <v>1398</v>
      </c>
      <c r="X1840" s="208" t="s">
        <v>1383</v>
      </c>
      <c r="Y1840" s="212">
        <f>AVERAGE(Sheet1!BM1840:BN1840)</f>
        <v>1.2267700000000001</v>
      </c>
      <c r="Z1840" s="360">
        <v>10</v>
      </c>
      <c r="AA1840" s="360">
        <v>55</v>
      </c>
      <c r="AB1840" s="208" t="s">
        <v>548</v>
      </c>
      <c r="AC1840" s="208">
        <v>6.1</v>
      </c>
      <c r="AD1840" s="208">
        <v>1.49</v>
      </c>
      <c r="AE1840" s="208"/>
      <c r="AF1840" s="208" t="s">
        <v>2085</v>
      </c>
      <c r="AG1840" s="208" t="s">
        <v>1761</v>
      </c>
      <c r="AH1840" s="208" t="s">
        <v>132</v>
      </c>
      <c r="AI1840" s="208" t="s">
        <v>2084</v>
      </c>
      <c r="AJ1840" s="208" t="s">
        <v>1615</v>
      </c>
      <c r="AK1840" s="208" t="s">
        <v>2084</v>
      </c>
      <c r="AL1840" s="208"/>
      <c r="AM1840" s="208"/>
      <c r="AN1840" s="208"/>
      <c r="AO1840" s="208"/>
      <c r="AP1840" s="215"/>
      <c r="AQ1840" s="208"/>
      <c r="AR1840" s="208"/>
      <c r="AS1840" s="208" t="s">
        <v>2083</v>
      </c>
      <c r="AT1840" s="164" t="s">
        <v>161</v>
      </c>
      <c r="AU1840" s="208">
        <v>3</v>
      </c>
      <c r="AV1840" s="208"/>
      <c r="AW1840" s="208" t="s">
        <v>142</v>
      </c>
      <c r="AX1840" s="208"/>
      <c r="AY1840" s="208"/>
      <c r="AZ1840" s="208"/>
      <c r="BA1840" s="208"/>
      <c r="BB1840" s="208"/>
      <c r="BH1840" s="213">
        <v>7600</v>
      </c>
      <c r="BI1840" s="213">
        <v>6300</v>
      </c>
      <c r="BJ1840" s="208"/>
      <c r="BM1840" s="435">
        <v>1.24156</v>
      </c>
      <c r="BN1840" s="435">
        <v>1.2119800000000001</v>
      </c>
      <c r="BR1840" s="435">
        <v>2.1100000000000003</v>
      </c>
      <c r="BS1840" s="435">
        <v>2.2800000000000002</v>
      </c>
      <c r="IO1840" s="208" t="s">
        <v>2097</v>
      </c>
      <c r="IP1840" s="208"/>
      <c r="IQ1840" s="214"/>
    </row>
    <row r="1841" spans="1:251" s="213" customFormat="1" x14ac:dyDescent="0.25">
      <c r="A1841" s="208">
        <v>87</v>
      </c>
      <c r="B1841" s="208" t="s">
        <v>2082</v>
      </c>
      <c r="C1841" s="208"/>
      <c r="D1841" s="208">
        <v>1991</v>
      </c>
      <c r="E1841" s="208">
        <v>1984</v>
      </c>
      <c r="F1841" s="208" t="s">
        <v>2065</v>
      </c>
      <c r="G1841" s="208" t="s">
        <v>2087</v>
      </c>
      <c r="H1841" s="164" t="s">
        <v>2831</v>
      </c>
      <c r="I1841" s="208">
        <v>41.2</v>
      </c>
      <c r="J1841" s="208">
        <v>-83.81</v>
      </c>
      <c r="K1841" s="208">
        <v>213</v>
      </c>
      <c r="L1841" s="208">
        <v>9.8000000000000007</v>
      </c>
      <c r="M1841" s="208"/>
      <c r="N1841" s="208">
        <v>849</v>
      </c>
      <c r="O1841" s="208"/>
      <c r="P1841" s="208"/>
      <c r="Q1841" s="208">
        <v>3</v>
      </c>
      <c r="R1841" s="210" t="s">
        <v>1867</v>
      </c>
      <c r="T1841" s="210" t="s">
        <v>2098</v>
      </c>
      <c r="U1841" s="208" t="s">
        <v>1413</v>
      </c>
      <c r="V1841" s="211">
        <v>5</v>
      </c>
      <c r="W1841" s="211" t="s">
        <v>1398</v>
      </c>
      <c r="X1841" s="208" t="s">
        <v>1383</v>
      </c>
      <c r="Y1841" s="212">
        <f>AVERAGE(Sheet1!BM1841:BN1841)</f>
        <v>1.23112</v>
      </c>
      <c r="Z1841" s="360">
        <v>10</v>
      </c>
      <c r="AA1841" s="360">
        <v>55</v>
      </c>
      <c r="AB1841" s="208" t="s">
        <v>548</v>
      </c>
      <c r="AC1841" s="208">
        <v>6.1</v>
      </c>
      <c r="AD1841" s="208">
        <v>1.55</v>
      </c>
      <c r="AE1841" s="208"/>
      <c r="AF1841" s="208" t="s">
        <v>2085</v>
      </c>
      <c r="AG1841" s="208" t="s">
        <v>1761</v>
      </c>
      <c r="AH1841" s="208" t="s">
        <v>132</v>
      </c>
      <c r="AI1841" s="208" t="s">
        <v>2084</v>
      </c>
      <c r="AJ1841" s="208" t="s">
        <v>1615</v>
      </c>
      <c r="AK1841" s="208" t="s">
        <v>2084</v>
      </c>
      <c r="AL1841" s="208"/>
      <c r="AM1841" s="208"/>
      <c r="AN1841" s="208"/>
      <c r="AO1841" s="208"/>
      <c r="AP1841" s="215"/>
      <c r="AQ1841" s="208"/>
      <c r="AR1841" s="208"/>
      <c r="AS1841" s="208" t="s">
        <v>2083</v>
      </c>
      <c r="AT1841" s="164" t="s">
        <v>161</v>
      </c>
      <c r="AU1841" s="208">
        <v>3</v>
      </c>
      <c r="AV1841" s="208"/>
      <c r="AW1841" s="208" t="s">
        <v>142</v>
      </c>
      <c r="AX1841" s="208"/>
      <c r="AY1841" s="208"/>
      <c r="AZ1841" s="208"/>
      <c r="BA1841" s="208"/>
      <c r="BB1841" s="208"/>
      <c r="BH1841" s="213">
        <v>11700</v>
      </c>
      <c r="BI1841" s="213">
        <v>12000</v>
      </c>
      <c r="BJ1841" s="208"/>
      <c r="BM1841" s="435">
        <v>1.2398199999999999</v>
      </c>
      <c r="BN1841" s="435">
        <v>1.2224200000000001</v>
      </c>
      <c r="BR1841" s="435">
        <v>2.12</v>
      </c>
      <c r="BS1841" s="435">
        <v>2.2199999999999998</v>
      </c>
      <c r="IO1841" s="208" t="s">
        <v>2097</v>
      </c>
      <c r="IP1841" s="208"/>
      <c r="IQ1841" s="214"/>
    </row>
    <row r="1842" spans="1:251" s="213" customFormat="1" x14ac:dyDescent="0.25">
      <c r="A1842" s="208">
        <v>87</v>
      </c>
      <c r="B1842" s="208" t="s">
        <v>2082</v>
      </c>
      <c r="C1842" s="208"/>
      <c r="D1842" s="208">
        <v>1991</v>
      </c>
      <c r="E1842" s="208">
        <v>1985</v>
      </c>
      <c r="F1842" s="208" t="s">
        <v>2065</v>
      </c>
      <c r="G1842" s="208" t="s">
        <v>2087</v>
      </c>
      <c r="H1842" s="164" t="s">
        <v>2831</v>
      </c>
      <c r="I1842" s="208">
        <v>41.2</v>
      </c>
      <c r="J1842" s="208">
        <v>-83.81</v>
      </c>
      <c r="K1842" s="208">
        <v>213</v>
      </c>
      <c r="L1842" s="208">
        <v>9.8000000000000007</v>
      </c>
      <c r="M1842" s="208"/>
      <c r="N1842" s="208">
        <v>849</v>
      </c>
      <c r="O1842" s="208"/>
      <c r="P1842" s="208"/>
      <c r="Q1842" s="208">
        <v>4</v>
      </c>
      <c r="R1842" s="210" t="s">
        <v>1867</v>
      </c>
      <c r="T1842" s="210" t="s">
        <v>2098</v>
      </c>
      <c r="U1842" s="208" t="s">
        <v>2086</v>
      </c>
      <c r="V1842" s="211">
        <v>5</v>
      </c>
      <c r="W1842" s="211" t="s">
        <v>1398</v>
      </c>
      <c r="X1842" s="208" t="s">
        <v>1383</v>
      </c>
      <c r="Y1842" s="212">
        <f>AVERAGE(Sheet1!BM1842:BN1842)</f>
        <v>1.23112</v>
      </c>
      <c r="Z1842" s="360">
        <v>10</v>
      </c>
      <c r="AA1842" s="360">
        <v>55</v>
      </c>
      <c r="AB1842" s="208" t="s">
        <v>548</v>
      </c>
      <c r="AC1842" s="208">
        <v>6</v>
      </c>
      <c r="AD1842" s="208">
        <v>1.76</v>
      </c>
      <c r="AE1842" s="208"/>
      <c r="AF1842" s="208" t="s">
        <v>2085</v>
      </c>
      <c r="AG1842" s="208" t="s">
        <v>1761</v>
      </c>
      <c r="AH1842" s="208" t="s">
        <v>132</v>
      </c>
      <c r="AI1842" s="208" t="s">
        <v>2084</v>
      </c>
      <c r="AJ1842" s="208" t="s">
        <v>1615</v>
      </c>
      <c r="AK1842" s="208" t="s">
        <v>2084</v>
      </c>
      <c r="AL1842" s="208"/>
      <c r="AM1842" s="208"/>
      <c r="AN1842" s="208"/>
      <c r="AO1842" s="208"/>
      <c r="AP1842" s="215"/>
      <c r="AQ1842" s="208"/>
      <c r="AR1842" s="208"/>
      <c r="AS1842" s="208" t="s">
        <v>2083</v>
      </c>
      <c r="AT1842" s="164" t="s">
        <v>161</v>
      </c>
      <c r="AU1842" s="208">
        <v>3</v>
      </c>
      <c r="AV1842" s="208"/>
      <c r="AW1842" s="208" t="s">
        <v>142</v>
      </c>
      <c r="AX1842" s="208"/>
      <c r="AY1842" s="208"/>
      <c r="AZ1842" s="208"/>
      <c r="BA1842" s="208"/>
      <c r="BB1842" s="208"/>
      <c r="BH1842" s="213">
        <v>9900</v>
      </c>
      <c r="BI1842" s="213">
        <v>8500</v>
      </c>
      <c r="BJ1842" s="208"/>
      <c r="BM1842" s="435">
        <v>1.2398199999999999</v>
      </c>
      <c r="BN1842" s="435">
        <v>1.2224200000000001</v>
      </c>
      <c r="BR1842" s="435">
        <v>2.12</v>
      </c>
      <c r="BS1842" s="435">
        <v>2.2199999999999998</v>
      </c>
      <c r="IO1842" s="208" t="s">
        <v>2097</v>
      </c>
      <c r="IP1842" s="208"/>
      <c r="IQ1842" s="214"/>
    </row>
    <row r="1843" spans="1:251" s="221" customFormat="1" x14ac:dyDescent="0.25">
      <c r="A1843" s="216">
        <v>87</v>
      </c>
      <c r="B1843" s="216" t="s">
        <v>2082</v>
      </c>
      <c r="C1843" s="216"/>
      <c r="D1843" s="216">
        <v>1991</v>
      </c>
      <c r="E1843" s="216">
        <v>1982</v>
      </c>
      <c r="F1843" s="216" t="s">
        <v>2065</v>
      </c>
      <c r="G1843" s="216" t="s">
        <v>2081</v>
      </c>
      <c r="H1843" s="164" t="s">
        <v>2831</v>
      </c>
      <c r="I1843" s="216">
        <v>41.2</v>
      </c>
      <c r="J1843" s="216">
        <v>-83.81</v>
      </c>
      <c r="K1843" s="216">
        <v>350</v>
      </c>
      <c r="L1843" s="216">
        <v>9</v>
      </c>
      <c r="M1843" s="216"/>
      <c r="N1843" s="216">
        <v>960</v>
      </c>
      <c r="O1843" s="216"/>
      <c r="P1843" s="216"/>
      <c r="Q1843" s="216">
        <v>2</v>
      </c>
      <c r="R1843" s="217" t="s">
        <v>1867</v>
      </c>
      <c r="T1843" s="217" t="s">
        <v>2098</v>
      </c>
      <c r="U1843" s="216" t="s">
        <v>1383</v>
      </c>
      <c r="V1843" s="218">
        <v>20</v>
      </c>
      <c r="W1843" s="218" t="s">
        <v>1398</v>
      </c>
      <c r="X1843" s="216" t="s">
        <v>1383</v>
      </c>
      <c r="Y1843" s="219"/>
      <c r="Z1843" s="359">
        <v>10</v>
      </c>
      <c r="AA1843" s="359">
        <v>55</v>
      </c>
      <c r="AB1843" s="216" t="s">
        <v>548</v>
      </c>
      <c r="AC1843" s="216">
        <v>6.1</v>
      </c>
      <c r="AD1843" s="216">
        <v>1.38</v>
      </c>
      <c r="AE1843" s="216"/>
      <c r="AF1843" s="216" t="s">
        <v>2080</v>
      </c>
      <c r="AG1843" s="216"/>
      <c r="AH1843" s="216" t="s">
        <v>132</v>
      </c>
      <c r="AI1843" s="216" t="s">
        <v>2084</v>
      </c>
      <c r="AJ1843" s="216" t="s">
        <v>1615</v>
      </c>
      <c r="AK1843" s="216" t="s">
        <v>2084</v>
      </c>
      <c r="AL1843" s="216"/>
      <c r="AM1843" s="216"/>
      <c r="AN1843" s="216"/>
      <c r="AO1843" s="216"/>
      <c r="AP1843" s="220"/>
      <c r="AQ1843" s="216"/>
      <c r="AR1843" s="216"/>
      <c r="AS1843" s="216"/>
      <c r="AT1843" s="164" t="s">
        <v>161</v>
      </c>
      <c r="AU1843" s="216">
        <v>3</v>
      </c>
      <c r="AV1843" s="216"/>
      <c r="AW1843" s="216" t="s">
        <v>142</v>
      </c>
      <c r="AX1843" s="216"/>
      <c r="AY1843" s="216"/>
      <c r="AZ1843" s="216"/>
      <c r="BA1843" s="216"/>
      <c r="BB1843" s="216"/>
      <c r="BH1843" s="216"/>
      <c r="BI1843" s="216"/>
      <c r="BJ1843" s="216"/>
      <c r="BM1843" s="434"/>
      <c r="BN1843" s="434"/>
      <c r="BR1843" s="434"/>
      <c r="BS1843" s="434"/>
      <c r="IO1843" s="216"/>
      <c r="IP1843" s="216"/>
      <c r="IQ1843" s="222"/>
    </row>
    <row r="1844" spans="1:251" s="191" customFormat="1" x14ac:dyDescent="0.25">
      <c r="A1844" s="187">
        <v>88</v>
      </c>
      <c r="B1844" s="187" t="s">
        <v>2077</v>
      </c>
      <c r="C1844" s="187"/>
      <c r="D1844" s="187">
        <v>1997</v>
      </c>
      <c r="E1844" s="187">
        <v>1994</v>
      </c>
      <c r="F1844" s="187" t="s">
        <v>1756</v>
      </c>
      <c r="G1844" s="187" t="s">
        <v>2076</v>
      </c>
      <c r="H1844" s="187" t="s">
        <v>2832</v>
      </c>
      <c r="I1844" s="187">
        <v>49.09</v>
      </c>
      <c r="J1844" s="187">
        <v>-123.03</v>
      </c>
      <c r="K1844" s="187">
        <v>2</v>
      </c>
      <c r="L1844" s="187">
        <v>10</v>
      </c>
      <c r="M1844" s="187"/>
      <c r="N1844" s="187">
        <v>1167</v>
      </c>
      <c r="O1844" s="187"/>
      <c r="P1844" s="187"/>
      <c r="Q1844" s="187">
        <v>2</v>
      </c>
      <c r="R1844" s="187">
        <v>2</v>
      </c>
      <c r="T1844" s="188" t="s">
        <v>2099</v>
      </c>
      <c r="U1844" s="187" t="s">
        <v>1398</v>
      </c>
      <c r="V1844" s="189">
        <v>5</v>
      </c>
      <c r="W1844" s="187" t="s">
        <v>1398</v>
      </c>
      <c r="X1844" s="187" t="s">
        <v>1398</v>
      </c>
      <c r="Y1844" s="190">
        <f>AVERAGE(Sheet1!BM1844:BN1844)</f>
        <v>1.2951519999999999</v>
      </c>
      <c r="Z1844" s="361">
        <v>3.6</v>
      </c>
      <c r="AA1844" s="361">
        <v>66.5</v>
      </c>
      <c r="AB1844" s="187" t="s">
        <v>1054</v>
      </c>
      <c r="AC1844" s="187">
        <v>5</v>
      </c>
      <c r="AD1844" s="187">
        <v>1.6719999999999999</v>
      </c>
      <c r="AE1844" s="187"/>
      <c r="AF1844" s="187" t="s">
        <v>2075</v>
      </c>
      <c r="AG1844" s="187" t="s">
        <v>2079</v>
      </c>
      <c r="AH1844" s="187" t="s">
        <v>1585</v>
      </c>
      <c r="AI1844" s="187" t="s">
        <v>2074</v>
      </c>
      <c r="AJ1844" s="187" t="s">
        <v>1621</v>
      </c>
      <c r="AK1844" s="187"/>
      <c r="AL1844" s="187"/>
      <c r="AM1844" s="187"/>
      <c r="AN1844" s="187" t="s">
        <v>1048</v>
      </c>
      <c r="AO1844" s="187" t="s">
        <v>1048</v>
      </c>
      <c r="AP1844" s="191" t="s">
        <v>178</v>
      </c>
      <c r="AQ1844" s="187"/>
      <c r="AR1844" s="187"/>
      <c r="AS1844" s="187" t="s">
        <v>2072</v>
      </c>
      <c r="AT1844" s="187" t="s">
        <v>120</v>
      </c>
      <c r="AU1844" s="187">
        <v>5</v>
      </c>
      <c r="AV1844" s="187"/>
      <c r="AW1844" s="187" t="s">
        <v>142</v>
      </c>
      <c r="AX1844" s="187"/>
      <c r="AY1844" s="187"/>
      <c r="AZ1844" s="187"/>
      <c r="BA1844" s="187"/>
      <c r="BB1844" s="187"/>
      <c r="BH1844" s="187"/>
      <c r="BI1844" s="187"/>
      <c r="BJ1844" s="187"/>
      <c r="BM1844" s="436">
        <v>1.307158</v>
      </c>
      <c r="BN1844" s="436">
        <v>1.2831459999999999</v>
      </c>
      <c r="BR1844" s="436">
        <v>1.7329999999999999</v>
      </c>
      <c r="BS1844" s="436">
        <v>1.871</v>
      </c>
      <c r="EY1844" s="191">
        <v>14.6</v>
      </c>
      <c r="EZ1844" s="191">
        <v>18</v>
      </c>
      <c r="FC1844" s="191" t="s">
        <v>2102</v>
      </c>
      <c r="IO1844" s="187"/>
      <c r="IP1844" s="187"/>
      <c r="IQ1844" s="192"/>
    </row>
    <row r="1845" spans="1:251" s="191" customFormat="1" x14ac:dyDescent="0.25">
      <c r="A1845" s="187">
        <v>88</v>
      </c>
      <c r="B1845" s="187" t="s">
        <v>2077</v>
      </c>
      <c r="C1845" s="187"/>
      <c r="D1845" s="187">
        <v>1997</v>
      </c>
      <c r="E1845" s="187">
        <v>1994</v>
      </c>
      <c r="F1845" s="187" t="s">
        <v>1756</v>
      </c>
      <c r="G1845" s="187" t="s">
        <v>2076</v>
      </c>
      <c r="H1845" s="187" t="s">
        <v>2832</v>
      </c>
      <c r="I1845" s="187">
        <v>49.09</v>
      </c>
      <c r="J1845" s="187">
        <v>-123.03</v>
      </c>
      <c r="K1845" s="187">
        <v>2</v>
      </c>
      <c r="L1845" s="187">
        <v>10</v>
      </c>
      <c r="M1845" s="187"/>
      <c r="N1845" s="187">
        <v>1167</v>
      </c>
      <c r="O1845" s="187"/>
      <c r="P1845" s="187"/>
      <c r="Q1845" s="187">
        <v>2</v>
      </c>
      <c r="R1845" s="187">
        <v>2</v>
      </c>
      <c r="T1845" s="188" t="s">
        <v>2099</v>
      </c>
      <c r="U1845" s="187" t="s">
        <v>1398</v>
      </c>
      <c r="V1845" s="189">
        <v>5</v>
      </c>
      <c r="W1845" s="187" t="s">
        <v>1398</v>
      </c>
      <c r="X1845" s="187" t="s">
        <v>1398</v>
      </c>
      <c r="Y1845" s="190">
        <f>AVERAGE(Sheet1!BM1845:BN1845)</f>
        <v>1.3043740000000001</v>
      </c>
      <c r="Z1845" s="361">
        <v>3.6</v>
      </c>
      <c r="AA1845" s="361">
        <v>66.5</v>
      </c>
      <c r="AB1845" s="187" t="s">
        <v>1054</v>
      </c>
      <c r="AC1845" s="187">
        <v>5</v>
      </c>
      <c r="AD1845" s="187">
        <v>1.6719999999999999</v>
      </c>
      <c r="AE1845" s="187"/>
      <c r="AF1845" s="187" t="s">
        <v>2075</v>
      </c>
      <c r="AG1845" s="187" t="s">
        <v>2079</v>
      </c>
      <c r="AH1845" s="187" t="s">
        <v>1585</v>
      </c>
      <c r="AI1845" s="187" t="s">
        <v>2074</v>
      </c>
      <c r="AJ1845" s="187" t="s">
        <v>1621</v>
      </c>
      <c r="AK1845" s="187"/>
      <c r="AL1845" s="187"/>
      <c r="AM1845" s="187"/>
      <c r="AN1845" s="187" t="s">
        <v>2073</v>
      </c>
      <c r="AO1845" s="187" t="s">
        <v>2073</v>
      </c>
      <c r="AP1845" s="191" t="s">
        <v>178</v>
      </c>
      <c r="AQ1845" s="187"/>
      <c r="AR1845" s="187"/>
      <c r="AS1845" s="187" t="s">
        <v>2072</v>
      </c>
      <c r="AT1845" s="187" t="s">
        <v>120</v>
      </c>
      <c r="AU1845" s="187">
        <v>5</v>
      </c>
      <c r="AV1845" s="187"/>
      <c r="AW1845" s="187" t="s">
        <v>142</v>
      </c>
      <c r="AX1845" s="187"/>
      <c r="AY1845" s="187"/>
      <c r="AZ1845" s="187"/>
      <c r="BA1845" s="187"/>
      <c r="BB1845" s="187"/>
      <c r="BH1845" s="187"/>
      <c r="BI1845" s="187"/>
      <c r="BJ1845" s="187"/>
      <c r="BM1845" s="436">
        <v>1.3153360000000001</v>
      </c>
      <c r="BN1845" s="436">
        <v>1.293412</v>
      </c>
      <c r="BR1845" s="436">
        <v>1.6859999999999999</v>
      </c>
      <c r="BS1845" s="436">
        <v>1.8120000000000001</v>
      </c>
      <c r="EY1845" s="191">
        <v>14.6</v>
      </c>
      <c r="EZ1845" s="191">
        <v>24.9</v>
      </c>
      <c r="FC1845" s="191" t="s">
        <v>2102</v>
      </c>
      <c r="IO1845" s="187"/>
      <c r="IP1845" s="187"/>
      <c r="IQ1845" s="192"/>
    </row>
    <row r="1846" spans="1:251" s="191" customFormat="1" x14ac:dyDescent="0.25">
      <c r="A1846" s="187">
        <v>88</v>
      </c>
      <c r="B1846" s="187" t="s">
        <v>2077</v>
      </c>
      <c r="C1846" s="187"/>
      <c r="D1846" s="187">
        <v>1997</v>
      </c>
      <c r="E1846" s="187">
        <v>1994</v>
      </c>
      <c r="F1846" s="187" t="s">
        <v>1756</v>
      </c>
      <c r="G1846" s="187" t="s">
        <v>2076</v>
      </c>
      <c r="H1846" s="187" t="s">
        <v>2832</v>
      </c>
      <c r="I1846" s="187">
        <v>49.09</v>
      </c>
      <c r="J1846" s="187">
        <v>-123.03</v>
      </c>
      <c r="K1846" s="187">
        <v>2</v>
      </c>
      <c r="L1846" s="187">
        <v>10</v>
      </c>
      <c r="M1846" s="187"/>
      <c r="N1846" s="187">
        <v>1167</v>
      </c>
      <c r="O1846" s="187"/>
      <c r="P1846" s="187"/>
      <c r="Q1846" s="187">
        <v>2</v>
      </c>
      <c r="R1846" s="187">
        <v>2</v>
      </c>
      <c r="T1846" s="188" t="s">
        <v>2099</v>
      </c>
      <c r="U1846" s="187" t="s">
        <v>1398</v>
      </c>
      <c r="V1846" s="189">
        <v>5</v>
      </c>
      <c r="W1846" s="187" t="s">
        <v>1398</v>
      </c>
      <c r="X1846" s="187" t="s">
        <v>1398</v>
      </c>
      <c r="Y1846" s="190">
        <f>AVERAGE(Sheet1!BM1846:BN1846)</f>
        <v>1.2988059999999999</v>
      </c>
      <c r="Z1846" s="361">
        <v>3.6</v>
      </c>
      <c r="AA1846" s="361">
        <v>66.5</v>
      </c>
      <c r="AB1846" s="187" t="s">
        <v>1054</v>
      </c>
      <c r="AC1846" s="187">
        <v>5</v>
      </c>
      <c r="AD1846" s="187">
        <v>1.6719999999999999</v>
      </c>
      <c r="AE1846" s="187"/>
      <c r="AF1846" s="187" t="s">
        <v>2075</v>
      </c>
      <c r="AG1846" s="187" t="s">
        <v>2078</v>
      </c>
      <c r="AH1846" s="187" t="s">
        <v>132</v>
      </c>
      <c r="AI1846" s="187" t="s">
        <v>2074</v>
      </c>
      <c r="AJ1846" s="187" t="s">
        <v>1621</v>
      </c>
      <c r="AK1846" s="187"/>
      <c r="AL1846" s="187"/>
      <c r="AM1846" s="187"/>
      <c r="AN1846" s="187" t="s">
        <v>1048</v>
      </c>
      <c r="AO1846" s="187" t="s">
        <v>1048</v>
      </c>
      <c r="AP1846" s="191" t="s">
        <v>178</v>
      </c>
      <c r="AQ1846" s="187"/>
      <c r="AR1846" s="187"/>
      <c r="AS1846" s="187" t="s">
        <v>2072</v>
      </c>
      <c r="AT1846" s="187" t="s">
        <v>120</v>
      </c>
      <c r="AU1846" s="187">
        <v>5</v>
      </c>
      <c r="AV1846" s="187"/>
      <c r="AW1846" s="187" t="s">
        <v>142</v>
      </c>
      <c r="AX1846" s="187"/>
      <c r="AY1846" s="187"/>
      <c r="AZ1846" s="187"/>
      <c r="BA1846" s="187"/>
      <c r="BB1846" s="187"/>
      <c r="BH1846" s="187"/>
      <c r="BI1846" s="187"/>
      <c r="BJ1846" s="187"/>
      <c r="BM1846" s="436">
        <v>1.307158</v>
      </c>
      <c r="BN1846" s="436">
        <v>1.290454</v>
      </c>
      <c r="BR1846" s="436">
        <v>1.7329999999999999</v>
      </c>
      <c r="BS1846" s="436">
        <v>1.829</v>
      </c>
      <c r="EY1846" s="191">
        <v>14.6</v>
      </c>
      <c r="EZ1846" s="191">
        <v>28</v>
      </c>
      <c r="FC1846" s="191" t="s">
        <v>2102</v>
      </c>
      <c r="IO1846" s="187"/>
      <c r="IP1846" s="187"/>
      <c r="IQ1846" s="192"/>
    </row>
    <row r="1847" spans="1:251" s="191" customFormat="1" x14ac:dyDescent="0.25">
      <c r="A1847" s="187">
        <v>88</v>
      </c>
      <c r="B1847" s="187" t="s">
        <v>2077</v>
      </c>
      <c r="C1847" s="187"/>
      <c r="D1847" s="187">
        <v>1997</v>
      </c>
      <c r="E1847" s="187">
        <v>1994</v>
      </c>
      <c r="F1847" s="187" t="s">
        <v>1756</v>
      </c>
      <c r="G1847" s="187" t="s">
        <v>2076</v>
      </c>
      <c r="H1847" s="187" t="s">
        <v>2832</v>
      </c>
      <c r="I1847" s="187">
        <v>49.09</v>
      </c>
      <c r="J1847" s="187">
        <v>-123.03</v>
      </c>
      <c r="K1847" s="187">
        <v>2</v>
      </c>
      <c r="L1847" s="187">
        <v>10</v>
      </c>
      <c r="M1847" s="187"/>
      <c r="N1847" s="187">
        <v>1167</v>
      </c>
      <c r="O1847" s="187"/>
      <c r="P1847" s="187"/>
      <c r="Q1847" s="187">
        <v>2</v>
      </c>
      <c r="R1847" s="187">
        <v>2</v>
      </c>
      <c r="T1847" s="188" t="s">
        <v>2099</v>
      </c>
      <c r="U1847" s="187" t="s">
        <v>1398</v>
      </c>
      <c r="V1847" s="189">
        <v>5</v>
      </c>
      <c r="W1847" s="187" t="s">
        <v>1398</v>
      </c>
      <c r="X1847" s="187" t="s">
        <v>1398</v>
      </c>
      <c r="Y1847" s="190">
        <f>AVERAGE(Sheet1!BM1847:BN1847)</f>
        <v>1.3249059999999999</v>
      </c>
      <c r="Z1847" s="361">
        <v>3.6</v>
      </c>
      <c r="AA1847" s="361">
        <v>66.5</v>
      </c>
      <c r="AB1847" s="187" t="s">
        <v>1054</v>
      </c>
      <c r="AC1847" s="187">
        <v>5</v>
      </c>
      <c r="AD1847" s="187">
        <v>1.6719999999999999</v>
      </c>
      <c r="AE1847" s="187"/>
      <c r="AF1847" s="187" t="s">
        <v>2075</v>
      </c>
      <c r="AG1847" s="187" t="s">
        <v>2078</v>
      </c>
      <c r="AH1847" s="187" t="s">
        <v>132</v>
      </c>
      <c r="AI1847" s="187" t="s">
        <v>2074</v>
      </c>
      <c r="AJ1847" s="187" t="s">
        <v>1621</v>
      </c>
      <c r="AK1847" s="187"/>
      <c r="AL1847" s="187"/>
      <c r="AM1847" s="187"/>
      <c r="AN1847" s="187" t="s">
        <v>2073</v>
      </c>
      <c r="AO1847" s="187" t="s">
        <v>2073</v>
      </c>
      <c r="AP1847" s="191" t="s">
        <v>178</v>
      </c>
      <c r="AQ1847" s="187"/>
      <c r="AR1847" s="187"/>
      <c r="AS1847" s="187" t="s">
        <v>2072</v>
      </c>
      <c r="AT1847" s="187" t="s">
        <v>120</v>
      </c>
      <c r="AU1847" s="187">
        <v>5</v>
      </c>
      <c r="AV1847" s="187"/>
      <c r="AW1847" s="187" t="s">
        <v>142</v>
      </c>
      <c r="AX1847" s="187"/>
      <c r="AY1847" s="187"/>
      <c r="AZ1847" s="187"/>
      <c r="BA1847" s="187"/>
      <c r="BB1847" s="187"/>
      <c r="BH1847" s="187"/>
      <c r="BI1847" s="187"/>
      <c r="BJ1847" s="187"/>
      <c r="BM1847" s="436">
        <v>1.3153360000000001</v>
      </c>
      <c r="BN1847" s="436">
        <v>1.334476</v>
      </c>
      <c r="BR1847" s="436">
        <v>1.6859999999999999</v>
      </c>
      <c r="BS1847" s="436">
        <v>1.5760000000000001</v>
      </c>
      <c r="EY1847" s="191">
        <v>14.2</v>
      </c>
      <c r="EZ1847" s="191">
        <v>14.7</v>
      </c>
      <c r="FC1847" s="191" t="s">
        <v>2103</v>
      </c>
      <c r="IO1847" s="187"/>
      <c r="IP1847" s="187"/>
      <c r="IQ1847" s="192"/>
    </row>
    <row r="1848" spans="1:251" s="191" customFormat="1" x14ac:dyDescent="0.25">
      <c r="A1848" s="187">
        <v>88</v>
      </c>
      <c r="B1848" s="187" t="s">
        <v>2077</v>
      </c>
      <c r="C1848" s="187"/>
      <c r="D1848" s="187">
        <v>1997</v>
      </c>
      <c r="E1848" s="187">
        <v>1994</v>
      </c>
      <c r="F1848" s="187" t="s">
        <v>1756</v>
      </c>
      <c r="G1848" s="187" t="s">
        <v>2076</v>
      </c>
      <c r="H1848" s="187" t="s">
        <v>2832</v>
      </c>
      <c r="I1848" s="187">
        <v>49.09</v>
      </c>
      <c r="J1848" s="187">
        <v>-123.03</v>
      </c>
      <c r="K1848" s="187">
        <v>2</v>
      </c>
      <c r="L1848" s="187">
        <v>10</v>
      </c>
      <c r="M1848" s="187"/>
      <c r="N1848" s="187">
        <v>1167</v>
      </c>
      <c r="O1848" s="187"/>
      <c r="P1848" s="187"/>
      <c r="Q1848" s="187">
        <v>2</v>
      </c>
      <c r="R1848" s="187">
        <v>2</v>
      </c>
      <c r="T1848" s="188" t="s">
        <v>2099</v>
      </c>
      <c r="U1848" s="187" t="s">
        <v>1398</v>
      </c>
      <c r="V1848" s="189">
        <v>5</v>
      </c>
      <c r="W1848" s="187" t="s">
        <v>1398</v>
      </c>
      <c r="X1848" s="187" t="s">
        <v>1398</v>
      </c>
      <c r="Y1848" s="190">
        <f>AVERAGE(Sheet1!BM1848:BN1848)</f>
        <v>1.2947169999999999</v>
      </c>
      <c r="Z1848" s="361">
        <v>3.6</v>
      </c>
      <c r="AA1848" s="361">
        <v>66.5</v>
      </c>
      <c r="AB1848" s="187" t="s">
        <v>1054</v>
      </c>
      <c r="AC1848" s="187">
        <v>5</v>
      </c>
      <c r="AD1848" s="187">
        <v>1.6719999999999999</v>
      </c>
      <c r="AE1848" s="187"/>
      <c r="AF1848" s="187" t="s">
        <v>2075</v>
      </c>
      <c r="AG1848" s="187" t="s">
        <v>2070</v>
      </c>
      <c r="AH1848" s="187" t="s">
        <v>132</v>
      </c>
      <c r="AI1848" s="187" t="s">
        <v>2074</v>
      </c>
      <c r="AJ1848" s="187" t="s">
        <v>1621</v>
      </c>
      <c r="AK1848" s="187"/>
      <c r="AL1848" s="187"/>
      <c r="AM1848" s="187"/>
      <c r="AN1848" s="187" t="s">
        <v>1048</v>
      </c>
      <c r="AO1848" s="187" t="s">
        <v>1048</v>
      </c>
      <c r="AP1848" s="191" t="s">
        <v>178</v>
      </c>
      <c r="AQ1848" s="187"/>
      <c r="AR1848" s="187"/>
      <c r="AS1848" s="187" t="s">
        <v>2072</v>
      </c>
      <c r="AT1848" s="187" t="s">
        <v>120</v>
      </c>
      <c r="AU1848" s="187">
        <v>5</v>
      </c>
      <c r="AV1848" s="187"/>
      <c r="AW1848" s="187" t="s">
        <v>142</v>
      </c>
      <c r="AX1848" s="187"/>
      <c r="AY1848" s="187"/>
      <c r="AZ1848" s="187"/>
      <c r="BA1848" s="187"/>
      <c r="BB1848" s="187"/>
      <c r="BH1848" s="187"/>
      <c r="BI1848" s="187"/>
      <c r="BJ1848" s="187"/>
      <c r="BM1848" s="436">
        <v>1.307158</v>
      </c>
      <c r="BN1848" s="436">
        <v>1.282276</v>
      </c>
      <c r="BR1848" s="436">
        <v>1.7329999999999999</v>
      </c>
      <c r="BS1848" s="436">
        <v>1.8760000000000001</v>
      </c>
      <c r="EY1848" s="191">
        <v>14.2</v>
      </c>
      <c r="EZ1848" s="191">
        <v>18</v>
      </c>
      <c r="FC1848" s="191" t="s">
        <v>2103</v>
      </c>
      <c r="IO1848" s="187"/>
      <c r="IP1848" s="187"/>
      <c r="IQ1848" s="192"/>
    </row>
    <row r="1849" spans="1:251" s="191" customFormat="1" x14ac:dyDescent="0.25">
      <c r="A1849" s="187">
        <v>88</v>
      </c>
      <c r="B1849" s="187" t="s">
        <v>2077</v>
      </c>
      <c r="C1849" s="187"/>
      <c r="D1849" s="187">
        <v>1997</v>
      </c>
      <c r="E1849" s="187">
        <v>1994</v>
      </c>
      <c r="F1849" s="187" t="s">
        <v>1756</v>
      </c>
      <c r="G1849" s="187" t="s">
        <v>2076</v>
      </c>
      <c r="H1849" s="187" t="s">
        <v>2832</v>
      </c>
      <c r="I1849" s="187">
        <v>49.09</v>
      </c>
      <c r="J1849" s="187">
        <v>-123.03</v>
      </c>
      <c r="K1849" s="187">
        <v>2</v>
      </c>
      <c r="L1849" s="187">
        <v>10</v>
      </c>
      <c r="M1849" s="187"/>
      <c r="N1849" s="187">
        <v>1167</v>
      </c>
      <c r="O1849" s="187"/>
      <c r="P1849" s="187"/>
      <c r="Q1849" s="187">
        <v>2</v>
      </c>
      <c r="R1849" s="187">
        <v>2</v>
      </c>
      <c r="T1849" s="188" t="s">
        <v>2099</v>
      </c>
      <c r="U1849" s="187" t="s">
        <v>1398</v>
      </c>
      <c r="V1849" s="189">
        <v>5</v>
      </c>
      <c r="W1849" s="187" t="s">
        <v>1398</v>
      </c>
      <c r="X1849" s="187" t="s">
        <v>1398</v>
      </c>
      <c r="Y1849" s="190">
        <f>AVERAGE(Sheet1!BM1849:BN1849)</f>
        <v>1.2921070000000001</v>
      </c>
      <c r="Z1849" s="361">
        <v>3.6</v>
      </c>
      <c r="AA1849" s="361">
        <v>66.5</v>
      </c>
      <c r="AB1849" s="187" t="s">
        <v>1054</v>
      </c>
      <c r="AC1849" s="187">
        <v>5</v>
      </c>
      <c r="AD1849" s="187">
        <v>1.6719999999999999</v>
      </c>
      <c r="AE1849" s="187"/>
      <c r="AF1849" s="187" t="s">
        <v>2075</v>
      </c>
      <c r="AG1849" s="187" t="s">
        <v>2070</v>
      </c>
      <c r="AH1849" s="187" t="s">
        <v>132</v>
      </c>
      <c r="AI1849" s="187" t="s">
        <v>2074</v>
      </c>
      <c r="AJ1849" s="187" t="s">
        <v>1621</v>
      </c>
      <c r="AK1849" s="187"/>
      <c r="AL1849" s="187"/>
      <c r="AM1849" s="187"/>
      <c r="AN1849" s="187" t="s">
        <v>2073</v>
      </c>
      <c r="AO1849" s="187" t="s">
        <v>2073</v>
      </c>
      <c r="AP1849" s="191" t="s">
        <v>178</v>
      </c>
      <c r="AQ1849" s="187"/>
      <c r="AR1849" s="187"/>
      <c r="AS1849" s="187" t="s">
        <v>2072</v>
      </c>
      <c r="AT1849" s="187" t="s">
        <v>120</v>
      </c>
      <c r="AU1849" s="187">
        <v>5</v>
      </c>
      <c r="AV1849" s="187"/>
      <c r="AW1849" s="187" t="s">
        <v>142</v>
      </c>
      <c r="AX1849" s="187"/>
      <c r="AY1849" s="187"/>
      <c r="AZ1849" s="187"/>
      <c r="BA1849" s="187"/>
      <c r="BB1849" s="187"/>
      <c r="BH1849" s="187"/>
      <c r="BI1849" s="187"/>
      <c r="BJ1849" s="187"/>
      <c r="BM1849" s="436">
        <v>1.3153360000000001</v>
      </c>
      <c r="BN1849" s="436">
        <v>1.268878</v>
      </c>
      <c r="BR1849" s="436">
        <v>1.6859999999999999</v>
      </c>
      <c r="BS1849" s="436">
        <v>1.9530000000000001</v>
      </c>
      <c r="EY1849" s="191">
        <v>14.2</v>
      </c>
      <c r="EZ1849" s="191">
        <v>21.1</v>
      </c>
      <c r="FC1849" s="191" t="s">
        <v>2103</v>
      </c>
      <c r="IO1849" s="187"/>
      <c r="IP1849" s="187"/>
      <c r="IQ1849" s="192"/>
    </row>
    <row r="1850" spans="1:251" x14ac:dyDescent="0.25">
      <c r="A1850" s="164">
        <v>89</v>
      </c>
      <c r="B1850" s="164" t="s">
        <v>2066</v>
      </c>
      <c r="C1850" s="164"/>
      <c r="D1850" s="164">
        <v>1997</v>
      </c>
      <c r="E1850" s="164">
        <v>1992</v>
      </c>
      <c r="F1850" s="164" t="s">
        <v>2065</v>
      </c>
      <c r="G1850" s="164" t="s">
        <v>2064</v>
      </c>
      <c r="H1850" s="164" t="s">
        <v>2831</v>
      </c>
      <c r="I1850" s="164">
        <v>47.87</v>
      </c>
      <c r="J1850" s="164">
        <v>-121.82</v>
      </c>
      <c r="K1850" s="169">
        <v>114</v>
      </c>
      <c r="L1850" s="169">
        <v>10.7</v>
      </c>
      <c r="M1850" s="164"/>
      <c r="N1850" s="169">
        <v>1633</v>
      </c>
      <c r="O1850" s="164"/>
      <c r="P1850" s="164"/>
      <c r="Q1850" s="164">
        <v>6</v>
      </c>
      <c r="R1850" s="165" t="s">
        <v>1991</v>
      </c>
      <c r="T1850" s="165" t="s">
        <v>2101</v>
      </c>
      <c r="U1850" s="164" t="s">
        <v>1386</v>
      </c>
      <c r="V1850" s="168">
        <v>15</v>
      </c>
      <c r="W1850" s="168" t="s">
        <v>1386</v>
      </c>
      <c r="X1850" s="168" t="s">
        <v>1393</v>
      </c>
      <c r="Y1850" s="166">
        <f>AVERAGE(Sheet1!BM1850:BN1850)</f>
        <v>1.32769</v>
      </c>
      <c r="Z1850" s="358">
        <v>35</v>
      </c>
      <c r="AA1850" s="358">
        <v>55</v>
      </c>
      <c r="AB1850" s="164" t="s">
        <v>1759</v>
      </c>
      <c r="AC1850" s="164"/>
      <c r="AD1850" s="164"/>
      <c r="AE1850" s="164"/>
      <c r="AF1850" s="164" t="s">
        <v>2063</v>
      </c>
      <c r="AG1850" s="164" t="s">
        <v>1761</v>
      </c>
      <c r="AH1850" s="164" t="s">
        <v>132</v>
      </c>
      <c r="AI1850" s="164" t="s">
        <v>2068</v>
      </c>
      <c r="AJ1850" s="164" t="s">
        <v>1621</v>
      </c>
      <c r="AK1850" s="164"/>
      <c r="AL1850" s="164"/>
      <c r="AM1850" s="164"/>
      <c r="AN1850" s="164" t="s">
        <v>2028</v>
      </c>
      <c r="AO1850" s="164" t="s">
        <v>2028</v>
      </c>
      <c r="AP1850" s="37" t="s">
        <v>178</v>
      </c>
      <c r="AQ1850" s="164" t="s">
        <v>2067</v>
      </c>
      <c r="AR1850" s="164"/>
      <c r="AT1850" s="164" t="s">
        <v>120</v>
      </c>
      <c r="AU1850" s="164">
        <v>3</v>
      </c>
      <c r="AV1850" s="164"/>
      <c r="AW1850" s="164" t="s">
        <v>142</v>
      </c>
      <c r="AX1850" s="164"/>
      <c r="AY1850" s="164">
        <v>4050</v>
      </c>
      <c r="AZ1850" s="164">
        <v>32</v>
      </c>
      <c r="BA1850" s="164"/>
      <c r="BB1850" s="164"/>
      <c r="BH1850" s="164"/>
      <c r="BI1850" s="164"/>
      <c r="BJ1850" s="164"/>
      <c r="BM1850" s="433">
        <v>1.33552</v>
      </c>
      <c r="BN1850" s="433">
        <v>1.31986</v>
      </c>
      <c r="BR1850" s="433">
        <v>1.5699999999999998</v>
      </c>
      <c r="BS1850" s="433">
        <v>1.6600000000000001</v>
      </c>
      <c r="IO1850" s="164" t="s">
        <v>2096</v>
      </c>
      <c r="IP1850" s="164"/>
    </row>
    <row r="1851" spans="1:251" x14ac:dyDescent="0.25">
      <c r="A1851" s="164">
        <v>89</v>
      </c>
      <c r="B1851" s="164" t="s">
        <v>2066</v>
      </c>
      <c r="C1851" s="164"/>
      <c r="D1851" s="164">
        <v>1997</v>
      </c>
      <c r="E1851" s="164">
        <v>1992</v>
      </c>
      <c r="F1851" s="164" t="s">
        <v>2065</v>
      </c>
      <c r="G1851" s="164" t="s">
        <v>2064</v>
      </c>
      <c r="H1851" s="164" t="s">
        <v>2831</v>
      </c>
      <c r="I1851" s="164">
        <v>47.87</v>
      </c>
      <c r="J1851" s="164">
        <v>-121.82</v>
      </c>
      <c r="K1851" s="169">
        <v>114</v>
      </c>
      <c r="L1851" s="169">
        <v>10.7</v>
      </c>
      <c r="M1851" s="164"/>
      <c r="N1851" s="169">
        <v>1633</v>
      </c>
      <c r="O1851" s="164"/>
      <c r="P1851" s="164"/>
      <c r="Q1851" s="164">
        <v>6</v>
      </c>
      <c r="R1851" s="165" t="s">
        <v>1991</v>
      </c>
      <c r="T1851" s="165" t="s">
        <v>2101</v>
      </c>
      <c r="U1851" s="164" t="s">
        <v>1394</v>
      </c>
      <c r="V1851" s="168">
        <v>15</v>
      </c>
      <c r="W1851" s="168" t="s">
        <v>1386</v>
      </c>
      <c r="X1851" s="168" t="s">
        <v>1393</v>
      </c>
      <c r="Y1851" s="166">
        <f>AVERAGE(Sheet1!BM1851:BN1851)</f>
        <v>1.3372600000000001</v>
      </c>
      <c r="Z1851" s="358">
        <v>35</v>
      </c>
      <c r="AA1851" s="358">
        <v>55</v>
      </c>
      <c r="AB1851" s="164" t="s">
        <v>1759</v>
      </c>
      <c r="AC1851" s="164"/>
      <c r="AD1851" s="164"/>
      <c r="AE1851" s="164"/>
      <c r="AF1851" s="164" t="s">
        <v>2063</v>
      </c>
      <c r="AG1851" s="164" t="s">
        <v>1761</v>
      </c>
      <c r="AH1851" s="164" t="s">
        <v>132</v>
      </c>
      <c r="AI1851" s="164" t="s">
        <v>2068</v>
      </c>
      <c r="AJ1851" s="164" t="s">
        <v>1621</v>
      </c>
      <c r="AK1851" s="164"/>
      <c r="AL1851" s="164"/>
      <c r="AM1851" s="164"/>
      <c r="AN1851" s="164" t="s">
        <v>2028</v>
      </c>
      <c r="AO1851" s="164" t="s">
        <v>2028</v>
      </c>
      <c r="AP1851" s="37" t="s">
        <v>178</v>
      </c>
      <c r="AQ1851" s="164" t="s">
        <v>2067</v>
      </c>
      <c r="AR1851" s="164"/>
      <c r="AT1851" s="164" t="s">
        <v>120</v>
      </c>
      <c r="AU1851" s="164">
        <v>3</v>
      </c>
      <c r="AV1851" s="164"/>
      <c r="AW1851" s="164" t="s">
        <v>142</v>
      </c>
      <c r="AX1851" s="164"/>
      <c r="AY1851" s="164"/>
      <c r="AZ1851" s="164"/>
      <c r="BA1851" s="164"/>
      <c r="BB1851" s="164"/>
      <c r="BH1851" s="164"/>
      <c r="BI1851" s="164"/>
      <c r="BJ1851" s="164"/>
      <c r="BM1851" s="433">
        <v>1.3477000000000001</v>
      </c>
      <c r="BN1851" s="433">
        <v>1.3268200000000001</v>
      </c>
      <c r="BR1851" s="433">
        <v>1.5</v>
      </c>
      <c r="BS1851" s="433">
        <v>1.6199999999999999</v>
      </c>
      <c r="IO1851" s="164" t="s">
        <v>2096</v>
      </c>
      <c r="IP1851" s="164"/>
    </row>
    <row r="1852" spans="1:251" x14ac:dyDescent="0.25">
      <c r="A1852" s="164">
        <v>89</v>
      </c>
      <c r="B1852" s="164" t="s">
        <v>2066</v>
      </c>
      <c r="C1852" s="164"/>
      <c r="D1852" s="164">
        <v>1997</v>
      </c>
      <c r="E1852" s="164">
        <v>1992</v>
      </c>
      <c r="F1852" s="164" t="s">
        <v>2065</v>
      </c>
      <c r="G1852" s="164" t="s">
        <v>2064</v>
      </c>
      <c r="H1852" s="164" t="s">
        <v>2831</v>
      </c>
      <c r="I1852" s="164">
        <v>47.87</v>
      </c>
      <c r="J1852" s="164">
        <v>-121.82</v>
      </c>
      <c r="K1852" s="169">
        <v>114</v>
      </c>
      <c r="L1852" s="169">
        <v>10.7</v>
      </c>
      <c r="M1852" s="164"/>
      <c r="N1852" s="169">
        <v>1633</v>
      </c>
      <c r="O1852" s="164"/>
      <c r="P1852" s="164"/>
      <c r="Q1852" s="164">
        <v>6</v>
      </c>
      <c r="R1852" s="165" t="s">
        <v>1991</v>
      </c>
      <c r="T1852" s="165" t="s">
        <v>2101</v>
      </c>
      <c r="U1852" s="164" t="s">
        <v>1393</v>
      </c>
      <c r="V1852" s="168">
        <v>30</v>
      </c>
      <c r="W1852" s="168" t="s">
        <v>1386</v>
      </c>
      <c r="X1852" s="168" t="s">
        <v>1393</v>
      </c>
      <c r="Y1852" s="166">
        <f>AVERAGE(Sheet1!BM1852:BN1852)</f>
        <v>2.6649500000000002</v>
      </c>
      <c r="Z1852" s="358">
        <v>35</v>
      </c>
      <c r="AA1852" s="358">
        <v>55</v>
      </c>
      <c r="AB1852" s="164" t="s">
        <v>1759</v>
      </c>
      <c r="AC1852" s="164"/>
      <c r="AD1852" s="164"/>
      <c r="AE1852" s="164"/>
      <c r="AF1852" s="164" t="s">
        <v>2063</v>
      </c>
      <c r="AG1852" s="164"/>
      <c r="AH1852" s="164" t="s">
        <v>132</v>
      </c>
      <c r="AI1852" s="164" t="s">
        <v>2068</v>
      </c>
      <c r="AJ1852" s="164" t="s">
        <v>1621</v>
      </c>
      <c r="AK1852" s="164"/>
      <c r="AL1852" s="164"/>
      <c r="AM1852" s="164"/>
      <c r="AN1852" s="164" t="s">
        <v>2028</v>
      </c>
      <c r="AO1852" s="164" t="s">
        <v>2028</v>
      </c>
      <c r="AP1852" s="37" t="s">
        <v>178</v>
      </c>
      <c r="AQ1852" s="164" t="s">
        <v>2067</v>
      </c>
      <c r="AR1852" s="164"/>
      <c r="AT1852" s="164" t="s">
        <v>120</v>
      </c>
      <c r="AU1852" s="164">
        <v>3</v>
      </c>
      <c r="AV1852" s="164"/>
      <c r="AW1852" s="164" t="s">
        <v>142</v>
      </c>
      <c r="AX1852" s="164"/>
      <c r="AY1852" s="164"/>
      <c r="AZ1852" s="164"/>
      <c r="BA1852" s="164"/>
      <c r="BB1852" s="164"/>
      <c r="BH1852" s="164"/>
      <c r="BI1852" s="164"/>
      <c r="BJ1852" s="164"/>
      <c r="BM1852" s="433">
        <v>2.6832200000000004</v>
      </c>
      <c r="BN1852" s="433">
        <v>2.6466799999999999</v>
      </c>
      <c r="BR1852" s="433">
        <v>0.76</v>
      </c>
      <c r="BS1852" s="433">
        <v>0.80880732850828474</v>
      </c>
      <c r="IO1852" s="164"/>
      <c r="IP1852" s="164"/>
    </row>
    <row r="1853" spans="1:251" x14ac:dyDescent="0.25">
      <c r="A1853" s="164">
        <v>89</v>
      </c>
      <c r="B1853" s="164" t="s">
        <v>2066</v>
      </c>
      <c r="C1853" s="164"/>
      <c r="D1853" s="164">
        <v>1997</v>
      </c>
      <c r="E1853" s="164">
        <v>1993</v>
      </c>
      <c r="F1853" s="164" t="s">
        <v>2065</v>
      </c>
      <c r="G1853" s="164" t="s">
        <v>2064</v>
      </c>
      <c r="H1853" s="164" t="s">
        <v>2831</v>
      </c>
      <c r="I1853" s="164">
        <v>47.87</v>
      </c>
      <c r="J1853" s="164">
        <v>-121.82</v>
      </c>
      <c r="K1853" s="169">
        <v>114</v>
      </c>
      <c r="L1853" s="169">
        <v>10.7</v>
      </c>
      <c r="M1853" s="164"/>
      <c r="N1853" s="169">
        <v>1633</v>
      </c>
      <c r="O1853" s="164"/>
      <c r="P1853" s="164"/>
      <c r="Q1853" s="164">
        <v>7</v>
      </c>
      <c r="R1853" s="165" t="s">
        <v>1991</v>
      </c>
      <c r="T1853" s="165" t="s">
        <v>2101</v>
      </c>
      <c r="U1853" s="164" t="s">
        <v>1386</v>
      </c>
      <c r="V1853" s="168">
        <v>15</v>
      </c>
      <c r="W1853" s="168" t="s">
        <v>1386</v>
      </c>
      <c r="X1853" s="168" t="s">
        <v>1393</v>
      </c>
      <c r="Y1853" s="166">
        <f>AVERAGE(Sheet1!BM1853:BN1853)</f>
        <v>1.33552</v>
      </c>
      <c r="Z1853" s="358">
        <v>35</v>
      </c>
      <c r="AA1853" s="358">
        <v>55</v>
      </c>
      <c r="AB1853" s="164" t="s">
        <v>1759</v>
      </c>
      <c r="AC1853" s="164"/>
      <c r="AD1853" s="164"/>
      <c r="AE1853" s="164"/>
      <c r="AF1853" s="164" t="s">
        <v>2063</v>
      </c>
      <c r="AG1853" s="164" t="s">
        <v>1761</v>
      </c>
      <c r="AH1853" s="164" t="s">
        <v>132</v>
      </c>
      <c r="AI1853" s="164" t="s">
        <v>2068</v>
      </c>
      <c r="AJ1853" s="164" t="s">
        <v>1621</v>
      </c>
      <c r="AK1853" s="164"/>
      <c r="AL1853" s="164"/>
      <c r="AM1853" s="164"/>
      <c r="AN1853" s="164" t="s">
        <v>2028</v>
      </c>
      <c r="AO1853" s="164" t="s">
        <v>2028</v>
      </c>
      <c r="AP1853" s="37" t="s">
        <v>178</v>
      </c>
      <c r="AQ1853" s="164" t="s">
        <v>2067</v>
      </c>
      <c r="AR1853" s="164"/>
      <c r="AT1853" s="164" t="s">
        <v>120</v>
      </c>
      <c r="AU1853" s="164">
        <v>3</v>
      </c>
      <c r="AV1853" s="164"/>
      <c r="AW1853" s="164" t="s">
        <v>142</v>
      </c>
      <c r="AX1853" s="164"/>
      <c r="AY1853" s="164">
        <v>4190</v>
      </c>
      <c r="AZ1853" s="164">
        <v>37</v>
      </c>
      <c r="BA1853" s="164"/>
      <c r="BB1853" s="164"/>
      <c r="BH1853" s="164"/>
      <c r="BI1853" s="164"/>
      <c r="BJ1853" s="164"/>
      <c r="BM1853" s="433">
        <v>1.34422</v>
      </c>
      <c r="BN1853" s="433">
        <v>1.3268200000000001</v>
      </c>
      <c r="BR1853" s="433">
        <v>1.52</v>
      </c>
      <c r="BS1853" s="433">
        <v>1.6199999999999999</v>
      </c>
      <c r="IO1853" s="164" t="s">
        <v>2096</v>
      </c>
      <c r="IP1853" s="164"/>
    </row>
    <row r="1854" spans="1:251" x14ac:dyDescent="0.25">
      <c r="A1854" s="164">
        <v>89</v>
      </c>
      <c r="B1854" s="164" t="s">
        <v>2066</v>
      </c>
      <c r="C1854" s="164"/>
      <c r="D1854" s="164">
        <v>1997</v>
      </c>
      <c r="E1854" s="164">
        <v>1993</v>
      </c>
      <c r="F1854" s="164" t="s">
        <v>2065</v>
      </c>
      <c r="G1854" s="164" t="s">
        <v>2064</v>
      </c>
      <c r="H1854" s="164" t="s">
        <v>2831</v>
      </c>
      <c r="I1854" s="164">
        <v>47.87</v>
      </c>
      <c r="J1854" s="164">
        <v>-121.82</v>
      </c>
      <c r="K1854" s="169">
        <v>114</v>
      </c>
      <c r="L1854" s="169">
        <v>10.7</v>
      </c>
      <c r="M1854" s="164"/>
      <c r="N1854" s="169">
        <v>1633</v>
      </c>
      <c r="O1854" s="164"/>
      <c r="P1854" s="164"/>
      <c r="Q1854" s="164">
        <v>7</v>
      </c>
      <c r="R1854" s="165" t="s">
        <v>1991</v>
      </c>
      <c r="T1854" s="165" t="s">
        <v>2101</v>
      </c>
      <c r="U1854" s="164" t="s">
        <v>1394</v>
      </c>
      <c r="V1854" s="168">
        <v>15</v>
      </c>
      <c r="W1854" s="168" t="s">
        <v>1386</v>
      </c>
      <c r="X1854" s="168" t="s">
        <v>1393</v>
      </c>
      <c r="Y1854" s="166">
        <f>AVERAGE(Sheet1!BM1854:BN1854)</f>
        <v>1.34422</v>
      </c>
      <c r="Z1854" s="358">
        <v>35</v>
      </c>
      <c r="AA1854" s="358">
        <v>55</v>
      </c>
      <c r="AB1854" s="164" t="s">
        <v>1759</v>
      </c>
      <c r="AC1854" s="164"/>
      <c r="AD1854" s="164"/>
      <c r="AE1854" s="164"/>
      <c r="AF1854" s="164" t="s">
        <v>2063</v>
      </c>
      <c r="AG1854" s="164" t="s">
        <v>1761</v>
      </c>
      <c r="AH1854" s="164" t="s">
        <v>132</v>
      </c>
      <c r="AI1854" s="164" t="s">
        <v>2068</v>
      </c>
      <c r="AJ1854" s="164" t="s">
        <v>1621</v>
      </c>
      <c r="AK1854" s="164"/>
      <c r="AL1854" s="164"/>
      <c r="AM1854" s="164"/>
      <c r="AN1854" s="164" t="s">
        <v>2028</v>
      </c>
      <c r="AO1854" s="164" t="s">
        <v>2028</v>
      </c>
      <c r="AP1854" s="37" t="s">
        <v>178</v>
      </c>
      <c r="AQ1854" s="164" t="s">
        <v>2067</v>
      </c>
      <c r="AR1854" s="164"/>
      <c r="AT1854" s="164" t="s">
        <v>120</v>
      </c>
      <c r="AU1854" s="164">
        <v>3</v>
      </c>
      <c r="AV1854" s="164"/>
      <c r="AW1854" s="164" t="s">
        <v>142</v>
      </c>
      <c r="AX1854" s="164"/>
      <c r="AY1854" s="164"/>
      <c r="AZ1854" s="164"/>
      <c r="BA1854" s="164"/>
      <c r="BB1854" s="164"/>
      <c r="BH1854" s="164"/>
      <c r="BI1854" s="164"/>
      <c r="BJ1854" s="164"/>
      <c r="BM1854" s="433">
        <v>1.35118</v>
      </c>
      <c r="BN1854" s="433">
        <v>1.3372600000000001</v>
      </c>
      <c r="BR1854" s="433">
        <v>1.48</v>
      </c>
      <c r="BS1854" s="433">
        <v>1.56</v>
      </c>
      <c r="IO1854" s="164" t="s">
        <v>2096</v>
      </c>
      <c r="IP1854" s="164"/>
    </row>
    <row r="1855" spans="1:251" x14ac:dyDescent="0.25">
      <c r="A1855" s="164">
        <v>89</v>
      </c>
      <c r="B1855" s="164" t="s">
        <v>2066</v>
      </c>
      <c r="C1855" s="164"/>
      <c r="D1855" s="164">
        <v>1997</v>
      </c>
      <c r="E1855" s="164">
        <v>1993</v>
      </c>
      <c r="F1855" s="164" t="s">
        <v>2065</v>
      </c>
      <c r="G1855" s="164" t="s">
        <v>2064</v>
      </c>
      <c r="H1855" s="164" t="s">
        <v>2831</v>
      </c>
      <c r="I1855" s="164">
        <v>47.87</v>
      </c>
      <c r="J1855" s="164">
        <v>-121.82</v>
      </c>
      <c r="K1855" s="169">
        <v>114</v>
      </c>
      <c r="L1855" s="169">
        <v>10.7</v>
      </c>
      <c r="M1855" s="164"/>
      <c r="N1855" s="169">
        <v>1633</v>
      </c>
      <c r="O1855" s="164"/>
      <c r="P1855" s="164"/>
      <c r="Q1855" s="164">
        <v>7</v>
      </c>
      <c r="R1855" s="165" t="s">
        <v>1991</v>
      </c>
      <c r="T1855" s="165" t="s">
        <v>2101</v>
      </c>
      <c r="U1855" s="164" t="s">
        <v>1393</v>
      </c>
      <c r="V1855" s="168">
        <v>30</v>
      </c>
      <c r="W1855" s="168" t="s">
        <v>1386</v>
      </c>
      <c r="X1855" s="168" t="s">
        <v>1393</v>
      </c>
      <c r="Y1855" s="166">
        <f>AVERAGE(Sheet1!BM1855:BN1855)</f>
        <v>2.6797400000000002</v>
      </c>
      <c r="Z1855" s="358">
        <v>35</v>
      </c>
      <c r="AA1855" s="358">
        <v>55</v>
      </c>
      <c r="AB1855" s="164" t="s">
        <v>1759</v>
      </c>
      <c r="AC1855" s="164"/>
      <c r="AD1855" s="164"/>
      <c r="AE1855" s="164"/>
      <c r="AF1855" s="164" t="s">
        <v>2063</v>
      </c>
      <c r="AG1855" s="164"/>
      <c r="AH1855" s="164" t="s">
        <v>132</v>
      </c>
      <c r="AI1855" s="164" t="s">
        <v>2068</v>
      </c>
      <c r="AJ1855" s="164" t="s">
        <v>1621</v>
      </c>
      <c r="AK1855" s="164"/>
      <c r="AL1855" s="164"/>
      <c r="AM1855" s="164"/>
      <c r="AN1855" s="164" t="s">
        <v>2028</v>
      </c>
      <c r="AO1855" s="164" t="s">
        <v>2028</v>
      </c>
      <c r="AP1855" s="37" t="s">
        <v>178</v>
      </c>
      <c r="AQ1855" s="164" t="s">
        <v>2067</v>
      </c>
      <c r="AR1855" s="164"/>
      <c r="AT1855" s="164" t="s">
        <v>120</v>
      </c>
      <c r="AU1855" s="164">
        <v>3</v>
      </c>
      <c r="AV1855" s="164"/>
      <c r="AW1855" s="164" t="s">
        <v>142</v>
      </c>
      <c r="AX1855" s="164"/>
      <c r="AY1855" s="164"/>
      <c r="AZ1855" s="164"/>
      <c r="BA1855" s="164"/>
      <c r="BB1855" s="164"/>
      <c r="BH1855" s="164"/>
      <c r="BI1855" s="164"/>
      <c r="BJ1855" s="164"/>
      <c r="BM1855" s="433">
        <v>2.6954000000000002</v>
      </c>
      <c r="BN1855" s="433">
        <v>2.6640800000000002</v>
      </c>
      <c r="BR1855" s="433">
        <v>0.74</v>
      </c>
      <c r="BS1855" s="433">
        <v>0.78570416264747334</v>
      </c>
      <c r="IO1855" s="164"/>
      <c r="IP1855" s="164"/>
    </row>
    <row r="1856" spans="1:251" s="213" customFormat="1" x14ac:dyDescent="0.25">
      <c r="A1856" s="208">
        <v>89</v>
      </c>
      <c r="B1856" s="208" t="s">
        <v>2066</v>
      </c>
      <c r="C1856" s="208"/>
      <c r="D1856" s="208">
        <v>1997</v>
      </c>
      <c r="E1856" s="208">
        <v>1992</v>
      </c>
      <c r="F1856" s="208" t="s">
        <v>2065</v>
      </c>
      <c r="G1856" s="208" t="s">
        <v>2064</v>
      </c>
      <c r="H1856" s="164" t="s">
        <v>2831</v>
      </c>
      <c r="I1856" s="208">
        <v>47.87</v>
      </c>
      <c r="J1856" s="208">
        <v>-121.82</v>
      </c>
      <c r="K1856" s="209">
        <v>114</v>
      </c>
      <c r="L1856" s="209">
        <v>10.7</v>
      </c>
      <c r="M1856" s="208"/>
      <c r="N1856" s="209">
        <v>1633</v>
      </c>
      <c r="O1856" s="208"/>
      <c r="P1856" s="208"/>
      <c r="Q1856" s="164">
        <v>6</v>
      </c>
      <c r="R1856" s="165" t="s">
        <v>1991</v>
      </c>
      <c r="T1856" s="165" t="s">
        <v>2101</v>
      </c>
      <c r="U1856" s="208" t="s">
        <v>1386</v>
      </c>
      <c r="V1856" s="211">
        <v>15</v>
      </c>
      <c r="W1856" s="211" t="s">
        <v>1386</v>
      </c>
      <c r="X1856" s="211" t="s">
        <v>1393</v>
      </c>
      <c r="Y1856" s="212">
        <f>AVERAGE(Sheet1!BM1856:BN1856)</f>
        <v>1.33291</v>
      </c>
      <c r="Z1856" s="360">
        <v>35</v>
      </c>
      <c r="AA1856" s="360">
        <v>55</v>
      </c>
      <c r="AB1856" s="208" t="s">
        <v>1759</v>
      </c>
      <c r="AC1856" s="208"/>
      <c r="AD1856" s="208"/>
      <c r="AE1856" s="208"/>
      <c r="AF1856" s="208" t="s">
        <v>2063</v>
      </c>
      <c r="AG1856" s="208" t="s">
        <v>2071</v>
      </c>
      <c r="AH1856" s="208" t="s">
        <v>578</v>
      </c>
      <c r="AI1856" s="208" t="s">
        <v>2068</v>
      </c>
      <c r="AJ1856" s="208" t="s">
        <v>1621</v>
      </c>
      <c r="AK1856" s="208"/>
      <c r="AL1856" s="208"/>
      <c r="AM1856" s="208"/>
      <c r="AN1856" s="208" t="s">
        <v>2028</v>
      </c>
      <c r="AO1856" s="208" t="s">
        <v>2028</v>
      </c>
      <c r="AP1856" s="37" t="s">
        <v>178</v>
      </c>
      <c r="AQ1856" s="208" t="s">
        <v>2067</v>
      </c>
      <c r="AR1856" s="208"/>
      <c r="AT1856" s="164" t="s">
        <v>120</v>
      </c>
      <c r="AU1856" s="208">
        <v>3</v>
      </c>
      <c r="AV1856" s="208"/>
      <c r="AW1856" s="208" t="s">
        <v>142</v>
      </c>
      <c r="AX1856" s="208"/>
      <c r="AY1856" s="208">
        <v>2860</v>
      </c>
      <c r="AZ1856" s="208">
        <v>14</v>
      </c>
      <c r="BA1856" s="208"/>
      <c r="BB1856" s="208"/>
      <c r="BH1856" s="208"/>
      <c r="BI1856" s="208"/>
      <c r="BJ1856" s="208"/>
      <c r="BM1856" s="435">
        <v>1.33552</v>
      </c>
      <c r="BN1856" s="435">
        <v>1.3303</v>
      </c>
      <c r="BR1856" s="435">
        <v>1.5699999999999998</v>
      </c>
      <c r="BS1856" s="435">
        <v>1.6</v>
      </c>
      <c r="IO1856" s="208" t="s">
        <v>2096</v>
      </c>
      <c r="IP1856" s="208"/>
      <c r="IQ1856" s="214"/>
    </row>
    <row r="1857" spans="1:251" s="213" customFormat="1" x14ac:dyDescent="0.25">
      <c r="A1857" s="208">
        <v>89</v>
      </c>
      <c r="B1857" s="208" t="s">
        <v>2066</v>
      </c>
      <c r="C1857" s="208"/>
      <c r="D1857" s="208">
        <v>1997</v>
      </c>
      <c r="E1857" s="208">
        <v>1992</v>
      </c>
      <c r="F1857" s="208" t="s">
        <v>2065</v>
      </c>
      <c r="G1857" s="208" t="s">
        <v>2064</v>
      </c>
      <c r="H1857" s="164" t="s">
        <v>2831</v>
      </c>
      <c r="I1857" s="208">
        <v>47.87</v>
      </c>
      <c r="J1857" s="208">
        <v>-121.82</v>
      </c>
      <c r="K1857" s="209">
        <v>114</v>
      </c>
      <c r="L1857" s="209">
        <v>10.7</v>
      </c>
      <c r="M1857" s="208"/>
      <c r="N1857" s="209">
        <v>1633</v>
      </c>
      <c r="O1857" s="208"/>
      <c r="P1857" s="208"/>
      <c r="Q1857" s="164">
        <v>6</v>
      </c>
      <c r="R1857" s="165" t="s">
        <v>1991</v>
      </c>
      <c r="T1857" s="165" t="s">
        <v>2101</v>
      </c>
      <c r="U1857" s="208" t="s">
        <v>1394</v>
      </c>
      <c r="V1857" s="211">
        <v>15</v>
      </c>
      <c r="W1857" s="211" t="s">
        <v>1386</v>
      </c>
      <c r="X1857" s="211" t="s">
        <v>1393</v>
      </c>
      <c r="Y1857" s="212">
        <f>AVERAGE(Sheet1!BM1857:BN1857)</f>
        <v>1.34422</v>
      </c>
      <c r="Z1857" s="360">
        <v>35</v>
      </c>
      <c r="AA1857" s="360">
        <v>55</v>
      </c>
      <c r="AB1857" s="208" t="s">
        <v>1759</v>
      </c>
      <c r="AC1857" s="208"/>
      <c r="AD1857" s="208"/>
      <c r="AE1857" s="208"/>
      <c r="AF1857" s="208" t="s">
        <v>2063</v>
      </c>
      <c r="AG1857" s="208" t="s">
        <v>2071</v>
      </c>
      <c r="AH1857" s="208" t="s">
        <v>578</v>
      </c>
      <c r="AI1857" s="208" t="s">
        <v>2068</v>
      </c>
      <c r="AJ1857" s="208" t="s">
        <v>1621</v>
      </c>
      <c r="AK1857" s="208"/>
      <c r="AL1857" s="208"/>
      <c r="AM1857" s="208"/>
      <c r="AN1857" s="208" t="s">
        <v>2028</v>
      </c>
      <c r="AO1857" s="208" t="s">
        <v>2028</v>
      </c>
      <c r="AP1857" s="37" t="s">
        <v>178</v>
      </c>
      <c r="AQ1857" s="208" t="s">
        <v>2067</v>
      </c>
      <c r="AR1857" s="208"/>
      <c r="AT1857" s="164" t="s">
        <v>120</v>
      </c>
      <c r="AU1857" s="208">
        <v>3</v>
      </c>
      <c r="AV1857" s="208"/>
      <c r="AW1857" s="208" t="s">
        <v>142</v>
      </c>
      <c r="AX1857" s="208"/>
      <c r="AY1857" s="208"/>
      <c r="AZ1857" s="208"/>
      <c r="BA1857" s="208"/>
      <c r="BB1857" s="208"/>
      <c r="BH1857" s="208"/>
      <c r="BI1857" s="208"/>
      <c r="BJ1857" s="208"/>
      <c r="BM1857" s="435">
        <v>1.3477000000000001</v>
      </c>
      <c r="BN1857" s="435">
        <v>1.34074</v>
      </c>
      <c r="BR1857" s="435">
        <v>1.5</v>
      </c>
      <c r="BS1857" s="435">
        <v>1.54</v>
      </c>
      <c r="IO1857" s="208" t="s">
        <v>2096</v>
      </c>
      <c r="IP1857" s="208"/>
      <c r="IQ1857" s="214"/>
    </row>
    <row r="1858" spans="1:251" s="213" customFormat="1" x14ac:dyDescent="0.25">
      <c r="A1858" s="208">
        <v>89</v>
      </c>
      <c r="B1858" s="208" t="s">
        <v>2066</v>
      </c>
      <c r="C1858" s="208"/>
      <c r="D1858" s="208">
        <v>1997</v>
      </c>
      <c r="E1858" s="208">
        <v>1992</v>
      </c>
      <c r="F1858" s="208" t="s">
        <v>2065</v>
      </c>
      <c r="G1858" s="208" t="s">
        <v>2064</v>
      </c>
      <c r="H1858" s="164" t="s">
        <v>2831</v>
      </c>
      <c r="I1858" s="208">
        <v>47.87</v>
      </c>
      <c r="J1858" s="208">
        <v>-121.82</v>
      </c>
      <c r="K1858" s="209">
        <v>114</v>
      </c>
      <c r="L1858" s="209">
        <v>10.7</v>
      </c>
      <c r="M1858" s="208"/>
      <c r="N1858" s="209">
        <v>1633</v>
      </c>
      <c r="O1858" s="208"/>
      <c r="P1858" s="208"/>
      <c r="Q1858" s="164">
        <v>6</v>
      </c>
      <c r="R1858" s="165" t="s">
        <v>1991</v>
      </c>
      <c r="T1858" s="165" t="s">
        <v>2101</v>
      </c>
      <c r="U1858" s="208" t="s">
        <v>1393</v>
      </c>
      <c r="V1858" s="211">
        <v>30</v>
      </c>
      <c r="W1858" s="211" t="s">
        <v>1386</v>
      </c>
      <c r="X1858" s="211" t="s">
        <v>1393</v>
      </c>
      <c r="Y1858" s="212">
        <f>AVERAGE(Sheet1!BM1858:BN1858)</f>
        <v>2.67713</v>
      </c>
      <c r="Z1858" s="360">
        <v>35</v>
      </c>
      <c r="AA1858" s="360">
        <v>55</v>
      </c>
      <c r="AB1858" s="208" t="s">
        <v>1759</v>
      </c>
      <c r="AC1858" s="208"/>
      <c r="AD1858" s="208"/>
      <c r="AE1858" s="208"/>
      <c r="AF1858" s="208" t="s">
        <v>2063</v>
      </c>
      <c r="AG1858" s="208"/>
      <c r="AH1858" s="208" t="s">
        <v>578</v>
      </c>
      <c r="AI1858" s="208" t="s">
        <v>2068</v>
      </c>
      <c r="AJ1858" s="208" t="s">
        <v>1621</v>
      </c>
      <c r="AK1858" s="208"/>
      <c r="AL1858" s="208"/>
      <c r="AM1858" s="208"/>
      <c r="AN1858" s="208" t="s">
        <v>2028</v>
      </c>
      <c r="AO1858" s="208" t="s">
        <v>2028</v>
      </c>
      <c r="AP1858" s="37" t="s">
        <v>178</v>
      </c>
      <c r="AQ1858" s="208" t="s">
        <v>2067</v>
      </c>
      <c r="AR1858" s="208"/>
      <c r="AT1858" s="164" t="s">
        <v>120</v>
      </c>
      <c r="AU1858" s="208">
        <v>3</v>
      </c>
      <c r="AV1858" s="208"/>
      <c r="AW1858" s="208" t="s">
        <v>142</v>
      </c>
      <c r="AX1858" s="208"/>
      <c r="AY1858" s="208"/>
      <c r="AZ1858" s="208"/>
      <c r="BA1858" s="208"/>
      <c r="BB1858" s="208"/>
      <c r="BH1858" s="208"/>
      <c r="BI1858" s="208"/>
      <c r="BJ1858" s="208"/>
      <c r="BM1858" s="435">
        <v>2.6832200000000004</v>
      </c>
      <c r="BN1858" s="435">
        <v>2.6710400000000001</v>
      </c>
      <c r="BR1858" s="435">
        <v>0.76</v>
      </c>
      <c r="BS1858" s="435">
        <v>0.78137826939274446</v>
      </c>
      <c r="IO1858" s="208"/>
      <c r="IP1858" s="208"/>
      <c r="IQ1858" s="214"/>
    </row>
    <row r="1859" spans="1:251" s="213" customFormat="1" x14ac:dyDescent="0.25">
      <c r="A1859" s="208">
        <v>89</v>
      </c>
      <c r="B1859" s="208" t="s">
        <v>2066</v>
      </c>
      <c r="C1859" s="208"/>
      <c r="D1859" s="208">
        <v>1997</v>
      </c>
      <c r="E1859" s="208">
        <v>1993</v>
      </c>
      <c r="F1859" s="208" t="s">
        <v>2065</v>
      </c>
      <c r="G1859" s="208" t="s">
        <v>2064</v>
      </c>
      <c r="H1859" s="164" t="s">
        <v>2831</v>
      </c>
      <c r="I1859" s="208">
        <v>47.87</v>
      </c>
      <c r="J1859" s="208">
        <v>-121.82</v>
      </c>
      <c r="K1859" s="209">
        <v>114</v>
      </c>
      <c r="L1859" s="209">
        <v>10.7</v>
      </c>
      <c r="M1859" s="208"/>
      <c r="N1859" s="209">
        <v>1633</v>
      </c>
      <c r="O1859" s="208"/>
      <c r="P1859" s="208"/>
      <c r="Q1859" s="164">
        <v>7</v>
      </c>
      <c r="R1859" s="165" t="s">
        <v>1991</v>
      </c>
      <c r="T1859" s="165" t="s">
        <v>2101</v>
      </c>
      <c r="U1859" s="208" t="s">
        <v>1386</v>
      </c>
      <c r="V1859" s="211">
        <v>15</v>
      </c>
      <c r="W1859" s="211" t="s">
        <v>1386</v>
      </c>
      <c r="X1859" s="211" t="s">
        <v>1393</v>
      </c>
      <c r="Y1859" s="212">
        <f>AVERAGE(Sheet1!BM1859:BN1859)</f>
        <v>1.34161</v>
      </c>
      <c r="Z1859" s="360">
        <v>35</v>
      </c>
      <c r="AA1859" s="360">
        <v>55</v>
      </c>
      <c r="AB1859" s="208" t="s">
        <v>1759</v>
      </c>
      <c r="AC1859" s="208"/>
      <c r="AD1859" s="208"/>
      <c r="AE1859" s="208"/>
      <c r="AF1859" s="208" t="s">
        <v>2063</v>
      </c>
      <c r="AG1859" s="208" t="s">
        <v>2071</v>
      </c>
      <c r="AH1859" s="208" t="s">
        <v>578</v>
      </c>
      <c r="AI1859" s="208" t="s">
        <v>2068</v>
      </c>
      <c r="AJ1859" s="208" t="s">
        <v>1621</v>
      </c>
      <c r="AK1859" s="208"/>
      <c r="AL1859" s="208"/>
      <c r="AM1859" s="208"/>
      <c r="AN1859" s="208" t="s">
        <v>2028</v>
      </c>
      <c r="AO1859" s="208" t="s">
        <v>2028</v>
      </c>
      <c r="AP1859" s="37" t="s">
        <v>178</v>
      </c>
      <c r="AQ1859" s="208" t="s">
        <v>2067</v>
      </c>
      <c r="AR1859" s="208"/>
      <c r="AT1859" s="164" t="s">
        <v>120</v>
      </c>
      <c r="AU1859" s="208">
        <v>3</v>
      </c>
      <c r="AV1859" s="208"/>
      <c r="AW1859" s="208" t="s">
        <v>142</v>
      </c>
      <c r="AX1859" s="208"/>
      <c r="AY1859" s="208">
        <v>2270</v>
      </c>
      <c r="AZ1859" s="208">
        <v>23</v>
      </c>
      <c r="BA1859" s="208"/>
      <c r="BB1859" s="208"/>
      <c r="BH1859" s="208"/>
      <c r="BI1859" s="208"/>
      <c r="BJ1859" s="208"/>
      <c r="BM1859" s="435">
        <v>1.34422</v>
      </c>
      <c r="BN1859" s="435">
        <v>1.339</v>
      </c>
      <c r="BR1859" s="435">
        <v>1.52</v>
      </c>
      <c r="BS1859" s="435">
        <v>1.55</v>
      </c>
      <c r="IO1859" s="208" t="s">
        <v>2096</v>
      </c>
      <c r="IP1859" s="208"/>
      <c r="IQ1859" s="214"/>
    </row>
    <row r="1860" spans="1:251" s="213" customFormat="1" x14ac:dyDescent="0.25">
      <c r="A1860" s="208">
        <v>89</v>
      </c>
      <c r="B1860" s="208" t="s">
        <v>2066</v>
      </c>
      <c r="C1860" s="208"/>
      <c r="D1860" s="208">
        <v>1997</v>
      </c>
      <c r="E1860" s="208">
        <v>1993</v>
      </c>
      <c r="F1860" s="208" t="s">
        <v>2065</v>
      </c>
      <c r="G1860" s="208" t="s">
        <v>2064</v>
      </c>
      <c r="H1860" s="164" t="s">
        <v>2831</v>
      </c>
      <c r="I1860" s="208">
        <v>47.87</v>
      </c>
      <c r="J1860" s="208">
        <v>-121.82</v>
      </c>
      <c r="K1860" s="209">
        <v>114</v>
      </c>
      <c r="L1860" s="209">
        <v>10.7</v>
      </c>
      <c r="M1860" s="208"/>
      <c r="N1860" s="209">
        <v>1633</v>
      </c>
      <c r="O1860" s="208"/>
      <c r="P1860" s="208"/>
      <c r="Q1860" s="164">
        <v>7</v>
      </c>
      <c r="R1860" s="165" t="s">
        <v>1991</v>
      </c>
      <c r="T1860" s="165" t="s">
        <v>2101</v>
      </c>
      <c r="U1860" s="208" t="s">
        <v>1394</v>
      </c>
      <c r="V1860" s="211">
        <v>15</v>
      </c>
      <c r="W1860" s="211" t="s">
        <v>1386</v>
      </c>
      <c r="X1860" s="211" t="s">
        <v>1393</v>
      </c>
      <c r="Y1860" s="212">
        <f>AVERAGE(Sheet1!BM1860:BN1860)</f>
        <v>1.34944</v>
      </c>
      <c r="Z1860" s="360">
        <v>35</v>
      </c>
      <c r="AA1860" s="360">
        <v>55</v>
      </c>
      <c r="AB1860" s="208" t="s">
        <v>1759</v>
      </c>
      <c r="AC1860" s="208"/>
      <c r="AD1860" s="208"/>
      <c r="AE1860" s="208"/>
      <c r="AF1860" s="208" t="s">
        <v>2063</v>
      </c>
      <c r="AG1860" s="208" t="s">
        <v>2071</v>
      </c>
      <c r="AH1860" s="208" t="s">
        <v>578</v>
      </c>
      <c r="AI1860" s="208" t="s">
        <v>2068</v>
      </c>
      <c r="AJ1860" s="208" t="s">
        <v>1621</v>
      </c>
      <c r="AK1860" s="208"/>
      <c r="AL1860" s="208"/>
      <c r="AM1860" s="208"/>
      <c r="AN1860" s="208" t="s">
        <v>2028</v>
      </c>
      <c r="AO1860" s="208" t="s">
        <v>2028</v>
      </c>
      <c r="AP1860" s="37" t="s">
        <v>178</v>
      </c>
      <c r="AQ1860" s="208" t="s">
        <v>2067</v>
      </c>
      <c r="AR1860" s="208"/>
      <c r="AT1860" s="164" t="s">
        <v>120</v>
      </c>
      <c r="AU1860" s="208">
        <v>3</v>
      </c>
      <c r="AV1860" s="208"/>
      <c r="AW1860" s="208" t="s">
        <v>142</v>
      </c>
      <c r="AX1860" s="208"/>
      <c r="AY1860" s="208"/>
      <c r="AZ1860" s="208"/>
      <c r="BA1860" s="208"/>
      <c r="BB1860" s="208"/>
      <c r="BH1860" s="208"/>
      <c r="BI1860" s="208"/>
      <c r="BJ1860" s="208"/>
      <c r="BM1860" s="435">
        <v>1.35118</v>
      </c>
      <c r="BN1860" s="435">
        <v>1.3477000000000001</v>
      </c>
      <c r="BR1860" s="435">
        <v>1.48</v>
      </c>
      <c r="BS1860" s="435">
        <v>1.5</v>
      </c>
      <c r="IO1860" s="208" t="s">
        <v>2096</v>
      </c>
      <c r="IP1860" s="208"/>
      <c r="IQ1860" s="214"/>
    </row>
    <row r="1861" spans="1:251" s="213" customFormat="1" x14ac:dyDescent="0.25">
      <c r="A1861" s="208">
        <v>89</v>
      </c>
      <c r="B1861" s="208" t="s">
        <v>2066</v>
      </c>
      <c r="C1861" s="208"/>
      <c r="D1861" s="208">
        <v>1997</v>
      </c>
      <c r="E1861" s="208">
        <v>1993</v>
      </c>
      <c r="F1861" s="208" t="s">
        <v>2065</v>
      </c>
      <c r="G1861" s="208" t="s">
        <v>2064</v>
      </c>
      <c r="H1861" s="164" t="s">
        <v>2831</v>
      </c>
      <c r="I1861" s="208">
        <v>47.87</v>
      </c>
      <c r="J1861" s="208">
        <v>-121.82</v>
      </c>
      <c r="K1861" s="209">
        <v>114</v>
      </c>
      <c r="L1861" s="209">
        <v>10.7</v>
      </c>
      <c r="M1861" s="208"/>
      <c r="N1861" s="209">
        <v>1633</v>
      </c>
      <c r="O1861" s="208"/>
      <c r="P1861" s="208"/>
      <c r="Q1861" s="164">
        <v>7</v>
      </c>
      <c r="R1861" s="165" t="s">
        <v>1991</v>
      </c>
      <c r="T1861" s="165" t="s">
        <v>2101</v>
      </c>
      <c r="U1861" s="208" t="s">
        <v>1393</v>
      </c>
      <c r="V1861" s="211">
        <v>30</v>
      </c>
      <c r="W1861" s="211" t="s">
        <v>1386</v>
      </c>
      <c r="X1861" s="211" t="s">
        <v>1393</v>
      </c>
      <c r="Y1861" s="212">
        <f>AVERAGE(Sheet1!BM1861:BN1861)</f>
        <v>2.6910500000000002</v>
      </c>
      <c r="Z1861" s="360">
        <v>35</v>
      </c>
      <c r="AA1861" s="360">
        <v>55</v>
      </c>
      <c r="AB1861" s="208" t="s">
        <v>1759</v>
      </c>
      <c r="AC1861" s="208"/>
      <c r="AD1861" s="208"/>
      <c r="AE1861" s="208"/>
      <c r="AF1861" s="208" t="s">
        <v>2063</v>
      </c>
      <c r="AG1861" s="208"/>
      <c r="AH1861" s="208" t="s">
        <v>578</v>
      </c>
      <c r="AI1861" s="208" t="s">
        <v>2068</v>
      </c>
      <c r="AJ1861" s="208" t="s">
        <v>1621</v>
      </c>
      <c r="AK1861" s="208"/>
      <c r="AL1861" s="208"/>
      <c r="AM1861" s="208"/>
      <c r="AN1861" s="208" t="s">
        <v>2028</v>
      </c>
      <c r="AO1861" s="208" t="s">
        <v>2028</v>
      </c>
      <c r="AP1861" s="37" t="s">
        <v>178</v>
      </c>
      <c r="AQ1861" s="208" t="s">
        <v>2067</v>
      </c>
      <c r="AR1861" s="208"/>
      <c r="AT1861" s="164" t="s">
        <v>120</v>
      </c>
      <c r="AU1861" s="208">
        <v>3</v>
      </c>
      <c r="AV1861" s="208"/>
      <c r="AW1861" s="208" t="s">
        <v>142</v>
      </c>
      <c r="AX1861" s="208"/>
      <c r="AY1861" s="208"/>
      <c r="AZ1861" s="208"/>
      <c r="BA1861" s="208"/>
      <c r="BB1861" s="208"/>
      <c r="BH1861" s="208"/>
      <c r="BI1861" s="208"/>
      <c r="BJ1861" s="208"/>
      <c r="BM1861" s="435">
        <v>2.6954000000000002</v>
      </c>
      <c r="BN1861" s="435">
        <v>2.6867000000000001</v>
      </c>
      <c r="BR1861" s="435">
        <v>0.75</v>
      </c>
      <c r="BS1861" s="435">
        <v>0.7599985159902054</v>
      </c>
      <c r="IO1861" s="208"/>
      <c r="IP1861" s="208"/>
      <c r="IQ1861" s="214"/>
    </row>
    <row r="1862" spans="1:251" x14ac:dyDescent="0.25">
      <c r="A1862" s="164">
        <v>89</v>
      </c>
      <c r="B1862" s="164" t="s">
        <v>2066</v>
      </c>
      <c r="C1862" s="164"/>
      <c r="D1862" s="164">
        <v>1997</v>
      </c>
      <c r="E1862" s="164">
        <v>1992</v>
      </c>
      <c r="F1862" s="164" t="s">
        <v>2065</v>
      </c>
      <c r="G1862" s="164" t="s">
        <v>2064</v>
      </c>
      <c r="H1862" s="164" t="s">
        <v>2831</v>
      </c>
      <c r="I1862" s="164">
        <v>47.87</v>
      </c>
      <c r="J1862" s="164">
        <v>-121.82</v>
      </c>
      <c r="K1862" s="169">
        <v>114</v>
      </c>
      <c r="L1862" s="169">
        <v>10.7</v>
      </c>
      <c r="M1862" s="164"/>
      <c r="N1862" s="169">
        <v>1633</v>
      </c>
      <c r="O1862" s="164"/>
      <c r="P1862" s="164"/>
      <c r="Q1862" s="164">
        <v>6</v>
      </c>
      <c r="R1862" s="165" t="s">
        <v>1991</v>
      </c>
      <c r="T1862" s="165" t="s">
        <v>2101</v>
      </c>
      <c r="U1862" s="164" t="s">
        <v>1386</v>
      </c>
      <c r="V1862" s="168">
        <v>15</v>
      </c>
      <c r="W1862" s="168" t="s">
        <v>1386</v>
      </c>
      <c r="X1862" s="168" t="s">
        <v>1393</v>
      </c>
      <c r="Y1862" s="166">
        <f>AVERAGE(Sheet1!BM1862:BN1862)</f>
        <v>1.32769</v>
      </c>
      <c r="Z1862" s="358">
        <v>35</v>
      </c>
      <c r="AA1862" s="358">
        <v>55</v>
      </c>
      <c r="AB1862" s="164" t="s">
        <v>1759</v>
      </c>
      <c r="AC1862" s="164"/>
      <c r="AD1862" s="164"/>
      <c r="AE1862" s="164"/>
      <c r="AF1862" s="164" t="s">
        <v>2063</v>
      </c>
      <c r="AG1862" s="164" t="s">
        <v>2070</v>
      </c>
      <c r="AH1862" s="164" t="s">
        <v>132</v>
      </c>
      <c r="AI1862" s="164" t="s">
        <v>2068</v>
      </c>
      <c r="AJ1862" s="164" t="s">
        <v>1621</v>
      </c>
      <c r="AK1862" s="164"/>
      <c r="AL1862" s="164"/>
      <c r="AM1862" s="164"/>
      <c r="AN1862" s="164" t="s">
        <v>2028</v>
      </c>
      <c r="AO1862" s="164" t="s">
        <v>2028</v>
      </c>
      <c r="AP1862" s="37" t="s">
        <v>178</v>
      </c>
      <c r="AQ1862" s="164" t="s">
        <v>2067</v>
      </c>
      <c r="AR1862" s="164"/>
      <c r="AT1862" s="164" t="s">
        <v>120</v>
      </c>
      <c r="AU1862" s="164">
        <v>3</v>
      </c>
      <c r="AV1862" s="164"/>
      <c r="AW1862" s="164" t="s">
        <v>142</v>
      </c>
      <c r="AX1862" s="164"/>
      <c r="AY1862" s="164">
        <v>4650</v>
      </c>
      <c r="AZ1862" s="164">
        <v>47</v>
      </c>
      <c r="BA1862" s="164"/>
      <c r="BB1862" s="164"/>
      <c r="BH1862" s="164"/>
      <c r="BI1862" s="164"/>
      <c r="BJ1862" s="164"/>
      <c r="BM1862" s="433">
        <v>1.33552</v>
      </c>
      <c r="BN1862" s="433">
        <v>1.31986</v>
      </c>
      <c r="BR1862" s="433">
        <v>1.5699999999999998</v>
      </c>
      <c r="BS1862" s="433">
        <v>1.6600000000000001</v>
      </c>
      <c r="IO1862" s="164" t="s">
        <v>2096</v>
      </c>
      <c r="IP1862" s="164"/>
    </row>
    <row r="1863" spans="1:251" x14ac:dyDescent="0.25">
      <c r="A1863" s="164">
        <v>89</v>
      </c>
      <c r="B1863" s="164" t="s">
        <v>2066</v>
      </c>
      <c r="C1863" s="164"/>
      <c r="D1863" s="164">
        <v>1997</v>
      </c>
      <c r="E1863" s="164">
        <v>1992</v>
      </c>
      <c r="F1863" s="164" t="s">
        <v>2065</v>
      </c>
      <c r="G1863" s="164" t="s">
        <v>2064</v>
      </c>
      <c r="H1863" s="164" t="s">
        <v>2831</v>
      </c>
      <c r="I1863" s="164">
        <v>47.87</v>
      </c>
      <c r="J1863" s="164">
        <v>-121.82</v>
      </c>
      <c r="K1863" s="169">
        <v>114</v>
      </c>
      <c r="L1863" s="169">
        <v>10.7</v>
      </c>
      <c r="M1863" s="164"/>
      <c r="N1863" s="169">
        <v>1633</v>
      </c>
      <c r="O1863" s="164"/>
      <c r="P1863" s="164"/>
      <c r="Q1863" s="164">
        <v>6</v>
      </c>
      <c r="R1863" s="165" t="s">
        <v>1991</v>
      </c>
      <c r="T1863" s="165" t="s">
        <v>2101</v>
      </c>
      <c r="U1863" s="164" t="s">
        <v>1394</v>
      </c>
      <c r="V1863" s="168">
        <v>15</v>
      </c>
      <c r="W1863" s="168" t="s">
        <v>1386</v>
      </c>
      <c r="X1863" s="168" t="s">
        <v>1393</v>
      </c>
      <c r="Y1863" s="166">
        <f>AVERAGE(Sheet1!BM1863:BN1863)</f>
        <v>1.34335</v>
      </c>
      <c r="Z1863" s="358">
        <v>35</v>
      </c>
      <c r="AA1863" s="358">
        <v>55</v>
      </c>
      <c r="AB1863" s="164" t="s">
        <v>1759</v>
      </c>
      <c r="AC1863" s="164"/>
      <c r="AD1863" s="164"/>
      <c r="AE1863" s="164"/>
      <c r="AF1863" s="164" t="s">
        <v>2063</v>
      </c>
      <c r="AG1863" s="164" t="s">
        <v>2070</v>
      </c>
      <c r="AH1863" s="164" t="s">
        <v>132</v>
      </c>
      <c r="AI1863" s="164" t="s">
        <v>2068</v>
      </c>
      <c r="AJ1863" s="164" t="s">
        <v>1621</v>
      </c>
      <c r="AK1863" s="164"/>
      <c r="AL1863" s="164"/>
      <c r="AM1863" s="164"/>
      <c r="AN1863" s="164" t="s">
        <v>2028</v>
      </c>
      <c r="AO1863" s="164" t="s">
        <v>2028</v>
      </c>
      <c r="AP1863" s="37" t="s">
        <v>178</v>
      </c>
      <c r="AQ1863" s="164" t="s">
        <v>2067</v>
      </c>
      <c r="AR1863" s="164"/>
      <c r="AT1863" s="164" t="s">
        <v>120</v>
      </c>
      <c r="AU1863" s="164">
        <v>3</v>
      </c>
      <c r="AV1863" s="164"/>
      <c r="AW1863" s="164" t="s">
        <v>142</v>
      </c>
      <c r="AX1863" s="164"/>
      <c r="AY1863" s="164"/>
      <c r="BA1863" s="164"/>
      <c r="BB1863" s="164"/>
      <c r="BH1863" s="164"/>
      <c r="BI1863" s="164"/>
      <c r="BJ1863" s="164"/>
      <c r="BM1863" s="433">
        <v>1.3477000000000001</v>
      </c>
      <c r="BN1863" s="433">
        <v>1.339</v>
      </c>
      <c r="BR1863" s="433">
        <v>1.5</v>
      </c>
      <c r="BS1863" s="433">
        <v>1.55</v>
      </c>
      <c r="IO1863" s="164" t="s">
        <v>2096</v>
      </c>
      <c r="IP1863" s="164"/>
    </row>
    <row r="1864" spans="1:251" x14ac:dyDescent="0.25">
      <c r="A1864" s="164">
        <v>89</v>
      </c>
      <c r="B1864" s="164" t="s">
        <v>2066</v>
      </c>
      <c r="C1864" s="164"/>
      <c r="D1864" s="164">
        <v>1997</v>
      </c>
      <c r="E1864" s="164">
        <v>1992</v>
      </c>
      <c r="F1864" s="164" t="s">
        <v>2065</v>
      </c>
      <c r="G1864" s="164" t="s">
        <v>2064</v>
      </c>
      <c r="H1864" s="164" t="s">
        <v>2831</v>
      </c>
      <c r="I1864" s="164">
        <v>47.87</v>
      </c>
      <c r="J1864" s="164">
        <v>-121.82</v>
      </c>
      <c r="K1864" s="169">
        <v>114</v>
      </c>
      <c r="L1864" s="169">
        <v>10.7</v>
      </c>
      <c r="M1864" s="164"/>
      <c r="N1864" s="169">
        <v>1633</v>
      </c>
      <c r="O1864" s="164"/>
      <c r="P1864" s="164"/>
      <c r="Q1864" s="164">
        <v>6</v>
      </c>
      <c r="R1864" s="165" t="s">
        <v>1991</v>
      </c>
      <c r="T1864" s="165" t="s">
        <v>2101</v>
      </c>
      <c r="U1864" s="164" t="s">
        <v>1393</v>
      </c>
      <c r="V1864" s="168">
        <v>30</v>
      </c>
      <c r="W1864" s="168" t="s">
        <v>1386</v>
      </c>
      <c r="X1864" s="168" t="s">
        <v>1393</v>
      </c>
      <c r="Y1864" s="166">
        <f>AVERAGE(Sheet1!BM1864:BN1864)</f>
        <v>2.6710400000000001</v>
      </c>
      <c r="Z1864" s="358">
        <v>35</v>
      </c>
      <c r="AA1864" s="358">
        <v>55</v>
      </c>
      <c r="AB1864" s="164" t="s">
        <v>1759</v>
      </c>
      <c r="AC1864" s="164"/>
      <c r="AD1864" s="164"/>
      <c r="AE1864" s="164"/>
      <c r="AF1864" s="164" t="s">
        <v>2063</v>
      </c>
      <c r="AG1864" s="164"/>
      <c r="AH1864" s="164" t="s">
        <v>132</v>
      </c>
      <c r="AI1864" s="164" t="s">
        <v>2068</v>
      </c>
      <c r="AJ1864" s="164" t="s">
        <v>1621</v>
      </c>
      <c r="AK1864" s="164"/>
      <c r="AL1864" s="164"/>
      <c r="AM1864" s="164"/>
      <c r="AN1864" s="164" t="s">
        <v>2028</v>
      </c>
      <c r="AO1864" s="164" t="s">
        <v>2028</v>
      </c>
      <c r="AP1864" s="37" t="s">
        <v>178</v>
      </c>
      <c r="AQ1864" s="164" t="s">
        <v>2067</v>
      </c>
      <c r="AR1864" s="164"/>
      <c r="AT1864" s="164" t="s">
        <v>120</v>
      </c>
      <c r="AU1864" s="164">
        <v>3</v>
      </c>
      <c r="AV1864" s="164"/>
      <c r="AW1864" s="164" t="s">
        <v>142</v>
      </c>
      <c r="AX1864" s="164"/>
      <c r="AY1864" s="164"/>
      <c r="BA1864" s="164"/>
      <c r="BB1864" s="164"/>
      <c r="BH1864" s="164"/>
      <c r="BI1864" s="164"/>
      <c r="BJ1864" s="164"/>
      <c r="BM1864" s="433">
        <v>2.6832200000000004</v>
      </c>
      <c r="BN1864" s="433">
        <v>2.6588599999999998</v>
      </c>
      <c r="BR1864" s="433">
        <v>0.76</v>
      </c>
      <c r="BS1864" s="433">
        <v>0.79501822437220948</v>
      </c>
      <c r="IO1864" s="164"/>
      <c r="IP1864" s="164"/>
    </row>
    <row r="1865" spans="1:251" x14ac:dyDescent="0.25">
      <c r="A1865" s="164">
        <v>89</v>
      </c>
      <c r="B1865" s="164" t="s">
        <v>2066</v>
      </c>
      <c r="C1865" s="164"/>
      <c r="D1865" s="164">
        <v>1997</v>
      </c>
      <c r="E1865" s="164">
        <v>1993</v>
      </c>
      <c r="F1865" s="164" t="s">
        <v>2065</v>
      </c>
      <c r="G1865" s="164" t="s">
        <v>2064</v>
      </c>
      <c r="H1865" s="164" t="s">
        <v>2831</v>
      </c>
      <c r="I1865" s="164">
        <v>47.87</v>
      </c>
      <c r="J1865" s="164">
        <v>-121.82</v>
      </c>
      <c r="K1865" s="169">
        <v>114</v>
      </c>
      <c r="L1865" s="169">
        <v>10.7</v>
      </c>
      <c r="M1865" s="164"/>
      <c r="N1865" s="169">
        <v>1633</v>
      </c>
      <c r="O1865" s="164"/>
      <c r="P1865" s="164"/>
      <c r="Q1865" s="164">
        <v>7</v>
      </c>
      <c r="R1865" s="165" t="s">
        <v>1991</v>
      </c>
      <c r="T1865" s="165" t="s">
        <v>2101</v>
      </c>
      <c r="U1865" s="164" t="s">
        <v>1386</v>
      </c>
      <c r="V1865" s="168">
        <v>15</v>
      </c>
      <c r="W1865" s="168" t="s">
        <v>1386</v>
      </c>
      <c r="X1865" s="168" t="s">
        <v>1393</v>
      </c>
      <c r="Y1865" s="166">
        <f>AVERAGE(Sheet1!BM1865:BN1865)</f>
        <v>1.339</v>
      </c>
      <c r="Z1865" s="358">
        <v>35</v>
      </c>
      <c r="AA1865" s="358">
        <v>55</v>
      </c>
      <c r="AB1865" s="164" t="s">
        <v>1759</v>
      </c>
      <c r="AC1865" s="164"/>
      <c r="AD1865" s="164"/>
      <c r="AE1865" s="164"/>
      <c r="AF1865" s="164" t="s">
        <v>2063</v>
      </c>
      <c r="AG1865" s="164" t="s">
        <v>2070</v>
      </c>
      <c r="AH1865" s="164" t="s">
        <v>132</v>
      </c>
      <c r="AI1865" s="164" t="s">
        <v>2068</v>
      </c>
      <c r="AJ1865" s="164" t="s">
        <v>1621</v>
      </c>
      <c r="AK1865" s="164"/>
      <c r="AL1865" s="164"/>
      <c r="AM1865" s="164"/>
      <c r="AN1865" s="164" t="s">
        <v>2028</v>
      </c>
      <c r="AO1865" s="164" t="s">
        <v>2028</v>
      </c>
      <c r="AP1865" s="37" t="s">
        <v>178</v>
      </c>
      <c r="AQ1865" s="164" t="s">
        <v>2067</v>
      </c>
      <c r="AR1865" s="164"/>
      <c r="AT1865" s="164" t="s">
        <v>120</v>
      </c>
      <c r="AU1865" s="164">
        <v>3</v>
      </c>
      <c r="AV1865" s="164"/>
      <c r="AW1865" s="164" t="s">
        <v>142</v>
      </c>
      <c r="AX1865" s="164"/>
      <c r="AY1865" s="164">
        <v>4420</v>
      </c>
      <c r="AZ1865" s="37">
        <v>54</v>
      </c>
      <c r="BA1865" s="164"/>
      <c r="BB1865" s="164"/>
      <c r="BH1865" s="164"/>
      <c r="BI1865" s="164"/>
      <c r="BJ1865" s="164"/>
      <c r="BM1865" s="433">
        <v>1.34422</v>
      </c>
      <c r="BN1865" s="433">
        <v>1.33378</v>
      </c>
      <c r="BR1865" s="433">
        <v>1.52</v>
      </c>
      <c r="BS1865" s="433">
        <v>1.58</v>
      </c>
      <c r="IO1865" s="164" t="s">
        <v>2096</v>
      </c>
      <c r="IP1865" s="164"/>
    </row>
    <row r="1866" spans="1:251" x14ac:dyDescent="0.25">
      <c r="A1866" s="164">
        <v>89</v>
      </c>
      <c r="B1866" s="164" t="s">
        <v>2066</v>
      </c>
      <c r="C1866" s="164"/>
      <c r="D1866" s="164">
        <v>1997</v>
      </c>
      <c r="E1866" s="164">
        <v>1993</v>
      </c>
      <c r="F1866" s="164" t="s">
        <v>2065</v>
      </c>
      <c r="G1866" s="164" t="s">
        <v>2064</v>
      </c>
      <c r="H1866" s="164" t="s">
        <v>2831</v>
      </c>
      <c r="I1866" s="164">
        <v>47.87</v>
      </c>
      <c r="J1866" s="164">
        <v>-121.82</v>
      </c>
      <c r="K1866" s="169">
        <v>114</v>
      </c>
      <c r="L1866" s="169">
        <v>10.7</v>
      </c>
      <c r="M1866" s="164"/>
      <c r="N1866" s="169">
        <v>1633</v>
      </c>
      <c r="O1866" s="164"/>
      <c r="P1866" s="164"/>
      <c r="Q1866" s="164">
        <v>7</v>
      </c>
      <c r="R1866" s="165" t="s">
        <v>1991</v>
      </c>
      <c r="T1866" s="165" t="s">
        <v>2101</v>
      </c>
      <c r="U1866" s="164" t="s">
        <v>1394</v>
      </c>
      <c r="V1866" s="168">
        <v>15</v>
      </c>
      <c r="W1866" s="168" t="s">
        <v>1386</v>
      </c>
      <c r="X1866" s="168" t="s">
        <v>1393</v>
      </c>
      <c r="Y1866" s="166">
        <f>AVERAGE(Sheet1!BM1866:BN1866)</f>
        <v>1.3468300000000002</v>
      </c>
      <c r="Z1866" s="358">
        <v>35</v>
      </c>
      <c r="AA1866" s="358">
        <v>55</v>
      </c>
      <c r="AB1866" s="164" t="s">
        <v>1759</v>
      </c>
      <c r="AC1866" s="164"/>
      <c r="AD1866" s="164"/>
      <c r="AE1866" s="164"/>
      <c r="AF1866" s="164" t="s">
        <v>2063</v>
      </c>
      <c r="AG1866" s="164" t="s">
        <v>2070</v>
      </c>
      <c r="AH1866" s="164" t="s">
        <v>132</v>
      </c>
      <c r="AI1866" s="164" t="s">
        <v>2068</v>
      </c>
      <c r="AJ1866" s="164" t="s">
        <v>1621</v>
      </c>
      <c r="AK1866" s="164"/>
      <c r="AL1866" s="164"/>
      <c r="AM1866" s="164"/>
      <c r="AN1866" s="164" t="s">
        <v>2028</v>
      </c>
      <c r="AO1866" s="164" t="s">
        <v>2028</v>
      </c>
      <c r="AP1866" s="37" t="s">
        <v>178</v>
      </c>
      <c r="AQ1866" s="164" t="s">
        <v>2067</v>
      </c>
      <c r="AR1866" s="164"/>
      <c r="AT1866" s="164" t="s">
        <v>120</v>
      </c>
      <c r="AU1866" s="164">
        <v>3</v>
      </c>
      <c r="AV1866" s="164"/>
      <c r="AW1866" s="164" t="s">
        <v>142</v>
      </c>
      <c r="AX1866" s="164"/>
      <c r="AY1866" s="164"/>
      <c r="BA1866" s="164"/>
      <c r="BB1866" s="164"/>
      <c r="BH1866" s="164"/>
      <c r="BI1866" s="164"/>
      <c r="BJ1866" s="164"/>
      <c r="BM1866" s="433">
        <v>1.35118</v>
      </c>
      <c r="BN1866" s="433">
        <v>1.3424800000000001</v>
      </c>
      <c r="BR1866" s="433">
        <v>1.48</v>
      </c>
      <c r="BS1866" s="433">
        <v>1.53</v>
      </c>
      <c r="IO1866" s="164" t="s">
        <v>2096</v>
      </c>
      <c r="IP1866" s="164"/>
    </row>
    <row r="1867" spans="1:251" x14ac:dyDescent="0.25">
      <c r="A1867" s="164">
        <v>89</v>
      </c>
      <c r="B1867" s="164" t="s">
        <v>2066</v>
      </c>
      <c r="C1867" s="164"/>
      <c r="D1867" s="164">
        <v>1997</v>
      </c>
      <c r="E1867" s="164">
        <v>1993</v>
      </c>
      <c r="F1867" s="164" t="s">
        <v>2065</v>
      </c>
      <c r="G1867" s="164" t="s">
        <v>2064</v>
      </c>
      <c r="H1867" s="164" t="s">
        <v>2831</v>
      </c>
      <c r="I1867" s="164">
        <v>47.87</v>
      </c>
      <c r="J1867" s="164">
        <v>-121.82</v>
      </c>
      <c r="K1867" s="169">
        <v>114</v>
      </c>
      <c r="L1867" s="169">
        <v>10.7</v>
      </c>
      <c r="M1867" s="164"/>
      <c r="N1867" s="169">
        <v>1633</v>
      </c>
      <c r="O1867" s="164"/>
      <c r="P1867" s="164"/>
      <c r="Q1867" s="164">
        <v>7</v>
      </c>
      <c r="R1867" s="165" t="s">
        <v>1991</v>
      </c>
      <c r="T1867" s="165" t="s">
        <v>2101</v>
      </c>
      <c r="U1867" s="164" t="s">
        <v>1393</v>
      </c>
      <c r="V1867" s="168">
        <v>30</v>
      </c>
      <c r="W1867" s="168" t="s">
        <v>1386</v>
      </c>
      <c r="X1867" s="168" t="s">
        <v>1393</v>
      </c>
      <c r="Y1867" s="166">
        <f>AVERAGE(Sheet1!BM1867:BN1867)</f>
        <v>2.6858300000000002</v>
      </c>
      <c r="Z1867" s="358">
        <v>35</v>
      </c>
      <c r="AA1867" s="358">
        <v>55</v>
      </c>
      <c r="AB1867" s="164" t="s">
        <v>1759</v>
      </c>
      <c r="AC1867" s="164"/>
      <c r="AD1867" s="164"/>
      <c r="AE1867" s="164"/>
      <c r="AF1867" s="164" t="s">
        <v>2063</v>
      </c>
      <c r="AG1867" s="164"/>
      <c r="AH1867" s="164" t="s">
        <v>132</v>
      </c>
      <c r="AI1867" s="164" t="s">
        <v>2068</v>
      </c>
      <c r="AJ1867" s="164" t="s">
        <v>1621</v>
      </c>
      <c r="AK1867" s="164"/>
      <c r="AL1867" s="164"/>
      <c r="AM1867" s="164"/>
      <c r="AN1867" s="164" t="s">
        <v>2028</v>
      </c>
      <c r="AO1867" s="164" t="s">
        <v>2028</v>
      </c>
      <c r="AP1867" s="37" t="s">
        <v>178</v>
      </c>
      <c r="AQ1867" s="164" t="s">
        <v>2067</v>
      </c>
      <c r="AR1867" s="164"/>
      <c r="AT1867" s="164" t="s">
        <v>120</v>
      </c>
      <c r="AU1867" s="164">
        <v>3</v>
      </c>
      <c r="AV1867" s="164"/>
      <c r="AW1867" s="164" t="s">
        <v>142</v>
      </c>
      <c r="AX1867" s="164"/>
      <c r="AY1867" s="164"/>
      <c r="BA1867" s="164"/>
      <c r="BB1867" s="164"/>
      <c r="BH1867" s="164"/>
      <c r="BI1867" s="164"/>
      <c r="BJ1867" s="164"/>
      <c r="BM1867" s="433">
        <v>2.6954000000000002</v>
      </c>
      <c r="BN1867" s="433">
        <v>2.6762600000000001</v>
      </c>
      <c r="BR1867" s="433">
        <v>0.74</v>
      </c>
      <c r="BS1867" s="433">
        <v>0.77193863619499892</v>
      </c>
      <c r="IO1867" s="164"/>
      <c r="IP1867" s="164"/>
    </row>
    <row r="1868" spans="1:251" s="213" customFormat="1" x14ac:dyDescent="0.25">
      <c r="A1868" s="208">
        <v>89</v>
      </c>
      <c r="B1868" s="208" t="s">
        <v>2066</v>
      </c>
      <c r="C1868" s="208"/>
      <c r="D1868" s="208">
        <v>1997</v>
      </c>
      <c r="E1868" s="208">
        <v>1992</v>
      </c>
      <c r="F1868" s="208" t="s">
        <v>2065</v>
      </c>
      <c r="G1868" s="208" t="s">
        <v>2064</v>
      </c>
      <c r="H1868" s="164" t="s">
        <v>2831</v>
      </c>
      <c r="I1868" s="208">
        <v>47.87</v>
      </c>
      <c r="J1868" s="208">
        <v>-121.82</v>
      </c>
      <c r="K1868" s="209">
        <v>114</v>
      </c>
      <c r="L1868" s="209">
        <v>10.7</v>
      </c>
      <c r="M1868" s="208"/>
      <c r="N1868" s="209">
        <v>1633</v>
      </c>
      <c r="O1868" s="208"/>
      <c r="P1868" s="208"/>
      <c r="Q1868" s="164">
        <v>6</v>
      </c>
      <c r="R1868" s="165" t="s">
        <v>1991</v>
      </c>
      <c r="T1868" s="165" t="s">
        <v>2101</v>
      </c>
      <c r="U1868" s="208" t="s">
        <v>1386</v>
      </c>
      <c r="V1868" s="211">
        <v>15</v>
      </c>
      <c r="W1868" s="211" t="s">
        <v>1386</v>
      </c>
      <c r="X1868" s="211" t="s">
        <v>1393</v>
      </c>
      <c r="Y1868" s="212">
        <f>AVERAGE(Sheet1!BM1868:BN1868)</f>
        <v>1.3346499999999999</v>
      </c>
      <c r="Z1868" s="360">
        <v>35</v>
      </c>
      <c r="AA1868" s="360">
        <v>55</v>
      </c>
      <c r="AB1868" s="208" t="s">
        <v>1759</v>
      </c>
      <c r="AC1868" s="208"/>
      <c r="AD1868" s="208"/>
      <c r="AE1868" s="208"/>
      <c r="AF1868" s="208" t="s">
        <v>2063</v>
      </c>
      <c r="AG1868" s="208" t="s">
        <v>2034</v>
      </c>
      <c r="AH1868" s="208" t="s">
        <v>578</v>
      </c>
      <c r="AI1868" s="208" t="s">
        <v>2068</v>
      </c>
      <c r="AJ1868" s="208" t="s">
        <v>1621</v>
      </c>
      <c r="AK1868" s="208"/>
      <c r="AL1868" s="208"/>
      <c r="AM1868" s="208"/>
      <c r="AN1868" s="208" t="s">
        <v>2028</v>
      </c>
      <c r="AO1868" s="208" t="s">
        <v>2028</v>
      </c>
      <c r="AP1868" s="37" t="s">
        <v>178</v>
      </c>
      <c r="AQ1868" s="208" t="s">
        <v>2067</v>
      </c>
      <c r="AR1868" s="208"/>
      <c r="AT1868" s="164" t="s">
        <v>120</v>
      </c>
      <c r="AU1868" s="208">
        <v>3</v>
      </c>
      <c r="AV1868" s="208"/>
      <c r="AW1868" s="208" t="s">
        <v>142</v>
      </c>
      <c r="AX1868" s="208"/>
      <c r="AY1868" s="208">
        <v>2700</v>
      </c>
      <c r="AZ1868" s="213">
        <v>10</v>
      </c>
      <c r="BA1868" s="208"/>
      <c r="BB1868" s="208"/>
      <c r="BH1868" s="208"/>
      <c r="BI1868" s="208"/>
      <c r="BJ1868" s="208"/>
      <c r="BM1868" s="435">
        <v>1.33552</v>
      </c>
      <c r="BN1868" s="435">
        <v>1.33378</v>
      </c>
      <c r="BR1868" s="435">
        <v>1.5699999999999998</v>
      </c>
      <c r="BS1868" s="435">
        <v>1.58</v>
      </c>
      <c r="IO1868" s="208" t="s">
        <v>2096</v>
      </c>
      <c r="IP1868" s="208"/>
      <c r="IQ1868" s="214"/>
    </row>
    <row r="1869" spans="1:251" s="213" customFormat="1" x14ac:dyDescent="0.25">
      <c r="A1869" s="208">
        <v>89</v>
      </c>
      <c r="B1869" s="208" t="s">
        <v>2066</v>
      </c>
      <c r="C1869" s="208"/>
      <c r="D1869" s="208">
        <v>1997</v>
      </c>
      <c r="E1869" s="208">
        <v>1992</v>
      </c>
      <c r="F1869" s="208" t="s">
        <v>2065</v>
      </c>
      <c r="G1869" s="208" t="s">
        <v>2064</v>
      </c>
      <c r="H1869" s="164" t="s">
        <v>2831</v>
      </c>
      <c r="I1869" s="208">
        <v>47.87</v>
      </c>
      <c r="J1869" s="208">
        <v>-121.82</v>
      </c>
      <c r="K1869" s="209">
        <v>114</v>
      </c>
      <c r="L1869" s="209">
        <v>10.7</v>
      </c>
      <c r="M1869" s="208"/>
      <c r="N1869" s="209">
        <v>1633</v>
      </c>
      <c r="O1869" s="208"/>
      <c r="P1869" s="208"/>
      <c r="Q1869" s="164">
        <v>6</v>
      </c>
      <c r="R1869" s="165" t="s">
        <v>1991</v>
      </c>
      <c r="T1869" s="165" t="s">
        <v>2101</v>
      </c>
      <c r="U1869" s="208" t="s">
        <v>1394</v>
      </c>
      <c r="V1869" s="211">
        <v>15</v>
      </c>
      <c r="W1869" s="211" t="s">
        <v>1386</v>
      </c>
      <c r="X1869" s="211" t="s">
        <v>1393</v>
      </c>
      <c r="Y1869" s="212">
        <f>AVERAGE(Sheet1!BM1869:BN1869)</f>
        <v>1.34857</v>
      </c>
      <c r="Z1869" s="360">
        <v>35</v>
      </c>
      <c r="AA1869" s="360">
        <v>55</v>
      </c>
      <c r="AB1869" s="208" t="s">
        <v>1759</v>
      </c>
      <c r="AC1869" s="208"/>
      <c r="AD1869" s="208"/>
      <c r="AE1869" s="208"/>
      <c r="AF1869" s="208" t="s">
        <v>2063</v>
      </c>
      <c r="AG1869" s="208" t="s">
        <v>2034</v>
      </c>
      <c r="AH1869" s="208" t="s">
        <v>578</v>
      </c>
      <c r="AI1869" s="208" t="s">
        <v>2068</v>
      </c>
      <c r="AJ1869" s="208" t="s">
        <v>1621</v>
      </c>
      <c r="AK1869" s="208"/>
      <c r="AL1869" s="208"/>
      <c r="AM1869" s="208"/>
      <c r="AN1869" s="208" t="s">
        <v>2028</v>
      </c>
      <c r="AO1869" s="208" t="s">
        <v>2028</v>
      </c>
      <c r="AP1869" s="37" t="s">
        <v>178</v>
      </c>
      <c r="AQ1869" s="208" t="s">
        <v>2067</v>
      </c>
      <c r="AR1869" s="208"/>
      <c r="AT1869" s="164" t="s">
        <v>120</v>
      </c>
      <c r="AU1869" s="208">
        <v>3</v>
      </c>
      <c r="AV1869" s="208"/>
      <c r="AW1869" s="208" t="s">
        <v>142</v>
      </c>
      <c r="AX1869" s="208"/>
      <c r="AY1869" s="208"/>
      <c r="AZ1869" s="208"/>
      <c r="BA1869" s="208"/>
      <c r="BB1869" s="208"/>
      <c r="BH1869" s="208"/>
      <c r="BI1869" s="208"/>
      <c r="BJ1869" s="208"/>
      <c r="BM1869" s="435">
        <v>1.3477000000000001</v>
      </c>
      <c r="BN1869" s="435">
        <v>1.34944</v>
      </c>
      <c r="BR1869" s="435">
        <v>1.5</v>
      </c>
      <c r="BS1869" s="435">
        <v>1.49</v>
      </c>
      <c r="IO1869" s="208" t="s">
        <v>2096</v>
      </c>
      <c r="IP1869" s="208"/>
      <c r="IQ1869" s="214"/>
    </row>
    <row r="1870" spans="1:251" s="213" customFormat="1" x14ac:dyDescent="0.25">
      <c r="A1870" s="208">
        <v>89</v>
      </c>
      <c r="B1870" s="208" t="s">
        <v>2066</v>
      </c>
      <c r="C1870" s="208"/>
      <c r="D1870" s="208">
        <v>1997</v>
      </c>
      <c r="E1870" s="208">
        <v>1992</v>
      </c>
      <c r="F1870" s="208" t="s">
        <v>2065</v>
      </c>
      <c r="G1870" s="208" t="s">
        <v>2064</v>
      </c>
      <c r="H1870" s="164" t="s">
        <v>2831</v>
      </c>
      <c r="I1870" s="208">
        <v>47.87</v>
      </c>
      <c r="J1870" s="208">
        <v>-121.82</v>
      </c>
      <c r="K1870" s="209">
        <v>114</v>
      </c>
      <c r="L1870" s="209">
        <v>10.7</v>
      </c>
      <c r="M1870" s="208"/>
      <c r="N1870" s="209">
        <v>1633</v>
      </c>
      <c r="O1870" s="208"/>
      <c r="P1870" s="208"/>
      <c r="Q1870" s="164">
        <v>6</v>
      </c>
      <c r="R1870" s="165" t="s">
        <v>1991</v>
      </c>
      <c r="T1870" s="165" t="s">
        <v>2101</v>
      </c>
      <c r="U1870" s="208" t="s">
        <v>1393</v>
      </c>
      <c r="V1870" s="211">
        <v>30</v>
      </c>
      <c r="W1870" s="211" t="s">
        <v>1386</v>
      </c>
      <c r="X1870" s="211" t="s">
        <v>1393</v>
      </c>
      <c r="Y1870" s="212">
        <f>AVERAGE(Sheet1!BM1870:BN1870)</f>
        <v>1.475155</v>
      </c>
      <c r="Z1870" s="360">
        <v>35</v>
      </c>
      <c r="AA1870" s="360">
        <v>55</v>
      </c>
      <c r="AB1870" s="208" t="s">
        <v>1759</v>
      </c>
      <c r="AC1870" s="208"/>
      <c r="AD1870" s="208"/>
      <c r="AE1870" s="208"/>
      <c r="AF1870" s="208" t="s">
        <v>2063</v>
      </c>
      <c r="AG1870" s="208"/>
      <c r="AH1870" s="208" t="s">
        <v>578</v>
      </c>
      <c r="AI1870" s="208" t="s">
        <v>2068</v>
      </c>
      <c r="AJ1870" s="208" t="s">
        <v>1621</v>
      </c>
      <c r="AK1870" s="208"/>
      <c r="AL1870" s="208"/>
      <c r="AM1870" s="208"/>
      <c r="AN1870" s="208" t="s">
        <v>2028</v>
      </c>
      <c r="AO1870" s="208" t="s">
        <v>2028</v>
      </c>
      <c r="AP1870" s="37" t="s">
        <v>178</v>
      </c>
      <c r="AQ1870" s="208" t="s">
        <v>2067</v>
      </c>
      <c r="AR1870" s="208"/>
      <c r="AT1870" s="164" t="s">
        <v>120</v>
      </c>
      <c r="AU1870" s="208">
        <v>3</v>
      </c>
      <c r="AV1870" s="208"/>
      <c r="AW1870" s="208" t="s">
        <v>142</v>
      </c>
      <c r="AX1870" s="208"/>
      <c r="AY1870" s="208"/>
      <c r="AZ1870" s="208"/>
      <c r="BA1870" s="208"/>
      <c r="BB1870" s="208"/>
      <c r="BH1870" s="208"/>
      <c r="BI1870" s="208"/>
      <c r="BJ1870" s="208"/>
      <c r="BM1870" s="435">
        <v>1.34161</v>
      </c>
      <c r="BN1870" s="435">
        <v>1.6087</v>
      </c>
      <c r="BR1870" s="435">
        <v>1.5349999999999999</v>
      </c>
      <c r="BS1870" s="435">
        <v>1.5347373677894471</v>
      </c>
      <c r="IO1870" s="208"/>
      <c r="IP1870" s="208"/>
      <c r="IQ1870" s="214"/>
    </row>
    <row r="1871" spans="1:251" s="213" customFormat="1" x14ac:dyDescent="0.25">
      <c r="A1871" s="208">
        <v>89</v>
      </c>
      <c r="B1871" s="208" t="s">
        <v>2066</v>
      </c>
      <c r="C1871" s="208"/>
      <c r="D1871" s="208">
        <v>1997</v>
      </c>
      <c r="E1871" s="208">
        <v>1993</v>
      </c>
      <c r="F1871" s="208" t="s">
        <v>2065</v>
      </c>
      <c r="G1871" s="208" t="s">
        <v>2064</v>
      </c>
      <c r="H1871" s="164" t="s">
        <v>2831</v>
      </c>
      <c r="I1871" s="208">
        <v>47.87</v>
      </c>
      <c r="J1871" s="208">
        <v>-121.82</v>
      </c>
      <c r="K1871" s="209">
        <v>114</v>
      </c>
      <c r="L1871" s="209">
        <v>10.7</v>
      </c>
      <c r="M1871" s="208"/>
      <c r="N1871" s="209">
        <v>1633</v>
      </c>
      <c r="O1871" s="208"/>
      <c r="P1871" s="208"/>
      <c r="Q1871" s="164">
        <v>7</v>
      </c>
      <c r="R1871" s="165" t="s">
        <v>1991</v>
      </c>
      <c r="T1871" s="165" t="s">
        <v>2101</v>
      </c>
      <c r="U1871" s="208" t="s">
        <v>1386</v>
      </c>
      <c r="V1871" s="211">
        <v>15</v>
      </c>
      <c r="W1871" s="211" t="s">
        <v>1386</v>
      </c>
      <c r="X1871" s="211" t="s">
        <v>1393</v>
      </c>
      <c r="Y1871" s="212">
        <f>AVERAGE(Sheet1!BM1871:BN1871)</f>
        <v>1.3424800000000001</v>
      </c>
      <c r="Z1871" s="360">
        <v>35</v>
      </c>
      <c r="AA1871" s="360">
        <v>55</v>
      </c>
      <c r="AB1871" s="208" t="s">
        <v>1759</v>
      </c>
      <c r="AC1871" s="208"/>
      <c r="AD1871" s="208"/>
      <c r="AE1871" s="208"/>
      <c r="AF1871" s="208" t="s">
        <v>2063</v>
      </c>
      <c r="AG1871" s="208" t="s">
        <v>2034</v>
      </c>
      <c r="AH1871" s="208" t="s">
        <v>578</v>
      </c>
      <c r="AI1871" s="208" t="s">
        <v>2068</v>
      </c>
      <c r="AJ1871" s="208" t="s">
        <v>1621</v>
      </c>
      <c r="AK1871" s="208"/>
      <c r="AL1871" s="208"/>
      <c r="AM1871" s="208"/>
      <c r="AN1871" s="208" t="s">
        <v>2028</v>
      </c>
      <c r="AO1871" s="208" t="s">
        <v>2028</v>
      </c>
      <c r="AP1871" s="37" t="s">
        <v>178</v>
      </c>
      <c r="AQ1871" s="208" t="s">
        <v>2067</v>
      </c>
      <c r="AR1871" s="208"/>
      <c r="AT1871" s="164" t="s">
        <v>120</v>
      </c>
      <c r="AU1871" s="208">
        <v>3</v>
      </c>
      <c r="AV1871" s="208"/>
      <c r="AW1871" s="208" t="s">
        <v>142</v>
      </c>
      <c r="AX1871" s="208"/>
      <c r="AY1871" s="208">
        <v>3480</v>
      </c>
      <c r="AZ1871" s="208">
        <v>10</v>
      </c>
      <c r="BA1871" s="208"/>
      <c r="BB1871" s="208"/>
      <c r="BH1871" s="208"/>
      <c r="BI1871" s="208"/>
      <c r="BJ1871" s="208"/>
      <c r="BM1871" s="435">
        <v>1.34422</v>
      </c>
      <c r="BN1871" s="435">
        <v>1.34074</v>
      </c>
      <c r="BR1871" s="435">
        <v>1.52</v>
      </c>
      <c r="BS1871" s="435">
        <v>1.54</v>
      </c>
      <c r="IO1871" s="208" t="s">
        <v>2096</v>
      </c>
      <c r="IP1871" s="208"/>
      <c r="IQ1871" s="214"/>
    </row>
    <row r="1872" spans="1:251" s="213" customFormat="1" x14ac:dyDescent="0.25">
      <c r="A1872" s="208">
        <v>89</v>
      </c>
      <c r="B1872" s="208" t="s">
        <v>2066</v>
      </c>
      <c r="C1872" s="208"/>
      <c r="D1872" s="208">
        <v>1997</v>
      </c>
      <c r="E1872" s="208">
        <v>1993</v>
      </c>
      <c r="F1872" s="208" t="s">
        <v>2065</v>
      </c>
      <c r="G1872" s="208" t="s">
        <v>2064</v>
      </c>
      <c r="H1872" s="164" t="s">
        <v>2831</v>
      </c>
      <c r="I1872" s="208">
        <v>47.87</v>
      </c>
      <c r="J1872" s="208">
        <v>-121.82</v>
      </c>
      <c r="K1872" s="209">
        <v>114</v>
      </c>
      <c r="L1872" s="209">
        <v>10.7</v>
      </c>
      <c r="M1872" s="208"/>
      <c r="N1872" s="209">
        <v>1633</v>
      </c>
      <c r="O1872" s="208"/>
      <c r="P1872" s="208"/>
      <c r="Q1872" s="164">
        <v>7</v>
      </c>
      <c r="R1872" s="165" t="s">
        <v>1991</v>
      </c>
      <c r="T1872" s="165" t="s">
        <v>2101</v>
      </c>
      <c r="U1872" s="208" t="s">
        <v>1394</v>
      </c>
      <c r="V1872" s="211">
        <v>15</v>
      </c>
      <c r="W1872" s="211" t="s">
        <v>1386</v>
      </c>
      <c r="X1872" s="211" t="s">
        <v>1393</v>
      </c>
      <c r="Y1872" s="212">
        <f>AVERAGE(Sheet1!BM1872:BN1872)</f>
        <v>1.35379</v>
      </c>
      <c r="Z1872" s="360">
        <v>35</v>
      </c>
      <c r="AA1872" s="360">
        <v>55</v>
      </c>
      <c r="AB1872" s="208" t="s">
        <v>1759</v>
      </c>
      <c r="AC1872" s="208"/>
      <c r="AD1872" s="208"/>
      <c r="AE1872" s="208"/>
      <c r="AF1872" s="208" t="s">
        <v>2063</v>
      </c>
      <c r="AG1872" s="208" t="s">
        <v>2034</v>
      </c>
      <c r="AH1872" s="208" t="s">
        <v>578</v>
      </c>
      <c r="AI1872" s="208" t="s">
        <v>2068</v>
      </c>
      <c r="AJ1872" s="208" t="s">
        <v>1621</v>
      </c>
      <c r="AK1872" s="208"/>
      <c r="AL1872" s="208"/>
      <c r="AM1872" s="208"/>
      <c r="AN1872" s="208" t="s">
        <v>2028</v>
      </c>
      <c r="AO1872" s="208" t="s">
        <v>2028</v>
      </c>
      <c r="AP1872" s="37" t="s">
        <v>178</v>
      </c>
      <c r="AQ1872" s="208" t="s">
        <v>2067</v>
      </c>
      <c r="AR1872" s="208"/>
      <c r="AT1872" s="164" t="s">
        <v>120</v>
      </c>
      <c r="AU1872" s="208">
        <v>3</v>
      </c>
      <c r="AV1872" s="208"/>
      <c r="AW1872" s="208" t="s">
        <v>142</v>
      </c>
      <c r="AX1872" s="208"/>
      <c r="AY1872" s="208"/>
      <c r="AZ1872" s="208"/>
      <c r="BA1872" s="208"/>
      <c r="BB1872" s="208"/>
      <c r="BH1872" s="208"/>
      <c r="BI1872" s="208"/>
      <c r="BJ1872" s="208"/>
      <c r="BM1872" s="435">
        <v>1.35118</v>
      </c>
      <c r="BN1872" s="435">
        <v>1.3564000000000001</v>
      </c>
      <c r="BR1872" s="435">
        <v>1.48</v>
      </c>
      <c r="BS1872" s="435">
        <v>1.45</v>
      </c>
      <c r="IO1872" s="208" t="s">
        <v>2096</v>
      </c>
      <c r="IP1872" s="208"/>
      <c r="IQ1872" s="214"/>
    </row>
    <row r="1873" spans="1:251" s="213" customFormat="1" x14ac:dyDescent="0.25">
      <c r="A1873" s="208">
        <v>89</v>
      </c>
      <c r="B1873" s="208" t="s">
        <v>2066</v>
      </c>
      <c r="C1873" s="208"/>
      <c r="D1873" s="208">
        <v>1997</v>
      </c>
      <c r="E1873" s="208">
        <v>1993</v>
      </c>
      <c r="F1873" s="208" t="s">
        <v>2065</v>
      </c>
      <c r="G1873" s="208" t="s">
        <v>2064</v>
      </c>
      <c r="H1873" s="164" t="s">
        <v>2831</v>
      </c>
      <c r="I1873" s="208">
        <v>47.87</v>
      </c>
      <c r="J1873" s="208">
        <v>-121.82</v>
      </c>
      <c r="K1873" s="209">
        <v>114</v>
      </c>
      <c r="L1873" s="209">
        <v>10.7</v>
      </c>
      <c r="M1873" s="208"/>
      <c r="N1873" s="209">
        <v>1633</v>
      </c>
      <c r="O1873" s="208"/>
      <c r="P1873" s="208"/>
      <c r="Q1873" s="164">
        <v>7</v>
      </c>
      <c r="R1873" s="165" t="s">
        <v>1991</v>
      </c>
      <c r="T1873" s="165" t="s">
        <v>2101</v>
      </c>
      <c r="U1873" s="208" t="s">
        <v>1393</v>
      </c>
      <c r="V1873" s="211">
        <v>30</v>
      </c>
      <c r="W1873" s="211" t="s">
        <v>1386</v>
      </c>
      <c r="X1873" s="211" t="s">
        <v>1393</v>
      </c>
      <c r="Y1873" s="212">
        <f>AVERAGE(Sheet1!BM1873:BN1873)</f>
        <v>1.4782000000000002</v>
      </c>
      <c r="Z1873" s="360">
        <v>35</v>
      </c>
      <c r="AA1873" s="360">
        <v>55</v>
      </c>
      <c r="AB1873" s="208" t="s">
        <v>1759</v>
      </c>
      <c r="AC1873" s="208"/>
      <c r="AD1873" s="208"/>
      <c r="AE1873" s="208"/>
      <c r="AF1873" s="208" t="s">
        <v>2063</v>
      </c>
      <c r="AG1873" s="208"/>
      <c r="AH1873" s="208" t="s">
        <v>578</v>
      </c>
      <c r="AI1873" s="208" t="s">
        <v>2068</v>
      </c>
      <c r="AJ1873" s="208" t="s">
        <v>1621</v>
      </c>
      <c r="AK1873" s="208"/>
      <c r="AL1873" s="208"/>
      <c r="AM1873" s="208"/>
      <c r="AN1873" s="208" t="s">
        <v>2028</v>
      </c>
      <c r="AO1873" s="208" t="s">
        <v>2028</v>
      </c>
      <c r="AP1873" s="37" t="s">
        <v>178</v>
      </c>
      <c r="AQ1873" s="208" t="s">
        <v>2067</v>
      </c>
      <c r="AR1873" s="208"/>
      <c r="AT1873" s="164" t="s">
        <v>120</v>
      </c>
      <c r="AU1873" s="208">
        <v>3</v>
      </c>
      <c r="AV1873" s="208"/>
      <c r="AW1873" s="208" t="s">
        <v>142</v>
      </c>
      <c r="AX1873" s="208"/>
      <c r="AY1873" s="208"/>
      <c r="AZ1873" s="208"/>
      <c r="BA1873" s="208"/>
      <c r="BB1873" s="208"/>
      <c r="BH1873" s="208"/>
      <c r="BI1873" s="208"/>
      <c r="BJ1873" s="208"/>
      <c r="BM1873" s="435">
        <v>1.3477000000000001</v>
      </c>
      <c r="BN1873" s="435">
        <v>1.6087</v>
      </c>
      <c r="BR1873" s="435">
        <v>1.5</v>
      </c>
      <c r="BS1873" s="435">
        <v>1.4957036432440454</v>
      </c>
      <c r="IO1873" s="208"/>
      <c r="IP1873" s="208"/>
      <c r="IQ1873" s="214"/>
    </row>
    <row r="1874" spans="1:251" x14ac:dyDescent="0.25">
      <c r="A1874" s="164">
        <v>89</v>
      </c>
      <c r="B1874" s="164" t="s">
        <v>2066</v>
      </c>
      <c r="C1874" s="164"/>
      <c r="D1874" s="164">
        <v>1997</v>
      </c>
      <c r="E1874" s="164">
        <v>1992</v>
      </c>
      <c r="F1874" s="164" t="s">
        <v>2065</v>
      </c>
      <c r="G1874" s="164" t="s">
        <v>2064</v>
      </c>
      <c r="H1874" s="164" t="s">
        <v>2831</v>
      </c>
      <c r="I1874" s="164">
        <v>47.87</v>
      </c>
      <c r="J1874" s="164">
        <v>-121.82</v>
      </c>
      <c r="K1874" s="169">
        <v>114</v>
      </c>
      <c r="L1874" s="169">
        <v>10.7</v>
      </c>
      <c r="M1874" s="164"/>
      <c r="N1874" s="169">
        <v>1633</v>
      </c>
      <c r="O1874" s="164"/>
      <c r="P1874" s="164"/>
      <c r="Q1874" s="164">
        <v>6</v>
      </c>
      <c r="R1874" s="165" t="s">
        <v>1991</v>
      </c>
      <c r="T1874" s="165" t="s">
        <v>2101</v>
      </c>
      <c r="U1874" s="164" t="s">
        <v>1386</v>
      </c>
      <c r="V1874" s="168">
        <v>15</v>
      </c>
      <c r="W1874" s="168" t="s">
        <v>1386</v>
      </c>
      <c r="X1874" s="168" t="s">
        <v>1393</v>
      </c>
      <c r="Y1874" s="166">
        <f>AVERAGE(Sheet1!BM1874:BN1874)</f>
        <v>1.33813</v>
      </c>
      <c r="Z1874" s="358">
        <v>35</v>
      </c>
      <c r="AA1874" s="358">
        <v>55</v>
      </c>
      <c r="AB1874" s="164" t="s">
        <v>1759</v>
      </c>
      <c r="AC1874" s="164"/>
      <c r="AD1874" s="164"/>
      <c r="AE1874" s="164"/>
      <c r="AF1874" s="164" t="s">
        <v>2063</v>
      </c>
      <c r="AG1874" s="164" t="s">
        <v>2069</v>
      </c>
      <c r="AH1874" s="164" t="s">
        <v>1131</v>
      </c>
      <c r="AI1874" s="164" t="s">
        <v>2068</v>
      </c>
      <c r="AJ1874" s="164" t="s">
        <v>1621</v>
      </c>
      <c r="AK1874" s="164"/>
      <c r="AL1874" s="164"/>
      <c r="AM1874" s="164"/>
      <c r="AN1874" s="164" t="s">
        <v>2028</v>
      </c>
      <c r="AO1874" s="164" t="s">
        <v>2028</v>
      </c>
      <c r="AP1874" s="37" t="s">
        <v>178</v>
      </c>
      <c r="AQ1874" s="164" t="s">
        <v>2067</v>
      </c>
      <c r="AR1874" s="164"/>
      <c r="AT1874" s="164" t="s">
        <v>120</v>
      </c>
      <c r="AU1874" s="164">
        <v>3</v>
      </c>
      <c r="AV1874" s="164"/>
      <c r="AW1874" s="164" t="s">
        <v>142</v>
      </c>
      <c r="AX1874" s="164"/>
      <c r="AY1874" s="164">
        <v>2590</v>
      </c>
      <c r="AZ1874" s="164">
        <v>28</v>
      </c>
      <c r="BA1874" s="164"/>
      <c r="BB1874" s="164"/>
      <c r="BH1874" s="164"/>
      <c r="BI1874" s="164"/>
      <c r="BJ1874" s="164"/>
      <c r="BM1874" s="433">
        <v>1.33552</v>
      </c>
      <c r="BN1874" s="433">
        <v>1.34074</v>
      </c>
      <c r="BR1874" s="433">
        <v>1.5699999999999998</v>
      </c>
      <c r="BS1874" s="433">
        <v>1.54</v>
      </c>
      <c r="IO1874" s="164" t="s">
        <v>2096</v>
      </c>
      <c r="IP1874" s="164"/>
    </row>
    <row r="1875" spans="1:251" x14ac:dyDescent="0.25">
      <c r="A1875" s="164">
        <v>89</v>
      </c>
      <c r="B1875" s="164" t="s">
        <v>2066</v>
      </c>
      <c r="C1875" s="164"/>
      <c r="D1875" s="164">
        <v>1997</v>
      </c>
      <c r="E1875" s="164">
        <v>1992</v>
      </c>
      <c r="F1875" s="164" t="s">
        <v>2065</v>
      </c>
      <c r="G1875" s="164" t="s">
        <v>2064</v>
      </c>
      <c r="H1875" s="164" t="s">
        <v>2831</v>
      </c>
      <c r="I1875" s="164">
        <v>47.87</v>
      </c>
      <c r="J1875" s="164">
        <v>-121.82</v>
      </c>
      <c r="K1875" s="169">
        <v>114</v>
      </c>
      <c r="L1875" s="169">
        <v>10.7</v>
      </c>
      <c r="M1875" s="164"/>
      <c r="N1875" s="169">
        <v>1633</v>
      </c>
      <c r="O1875" s="164"/>
      <c r="P1875" s="164"/>
      <c r="Q1875" s="164">
        <v>6</v>
      </c>
      <c r="R1875" s="165" t="s">
        <v>1991</v>
      </c>
      <c r="T1875" s="165" t="s">
        <v>2101</v>
      </c>
      <c r="U1875" s="164" t="s">
        <v>1394</v>
      </c>
      <c r="V1875" s="168">
        <v>15</v>
      </c>
      <c r="W1875" s="168" t="s">
        <v>1386</v>
      </c>
      <c r="X1875" s="168" t="s">
        <v>1393</v>
      </c>
      <c r="Y1875" s="166">
        <f>AVERAGE(Sheet1!BM1875:BN1875)</f>
        <v>1.3529200000000001</v>
      </c>
      <c r="Z1875" s="358">
        <v>35</v>
      </c>
      <c r="AA1875" s="358">
        <v>55</v>
      </c>
      <c r="AB1875" s="164" t="s">
        <v>1759</v>
      </c>
      <c r="AC1875" s="164"/>
      <c r="AD1875" s="164"/>
      <c r="AE1875" s="164"/>
      <c r="AF1875" s="164" t="s">
        <v>2063</v>
      </c>
      <c r="AG1875" s="164" t="s">
        <v>2069</v>
      </c>
      <c r="AH1875" s="164" t="s">
        <v>1131</v>
      </c>
      <c r="AI1875" s="164" t="s">
        <v>2068</v>
      </c>
      <c r="AJ1875" s="164" t="s">
        <v>1621</v>
      </c>
      <c r="AK1875" s="164"/>
      <c r="AL1875" s="164"/>
      <c r="AM1875" s="164"/>
      <c r="AN1875" s="164" t="s">
        <v>2028</v>
      </c>
      <c r="AO1875" s="164" t="s">
        <v>2028</v>
      </c>
      <c r="AP1875" s="37" t="s">
        <v>178</v>
      </c>
      <c r="AQ1875" s="164" t="s">
        <v>2067</v>
      </c>
      <c r="AR1875" s="164"/>
      <c r="AT1875" s="164" t="s">
        <v>120</v>
      </c>
      <c r="AU1875" s="164">
        <v>3</v>
      </c>
      <c r="AV1875" s="164"/>
      <c r="AW1875" s="164" t="s">
        <v>142</v>
      </c>
      <c r="AX1875" s="164"/>
      <c r="AY1875" s="164"/>
      <c r="AZ1875" s="164"/>
      <c r="BA1875" s="164"/>
      <c r="BB1875" s="164"/>
      <c r="BH1875" s="164"/>
      <c r="BI1875" s="164"/>
      <c r="BJ1875" s="164"/>
      <c r="BM1875" s="433">
        <v>1.3477000000000001</v>
      </c>
      <c r="BN1875" s="433">
        <v>1.3581400000000001</v>
      </c>
      <c r="BR1875" s="433">
        <v>1.5</v>
      </c>
      <c r="BS1875" s="433">
        <v>1.44</v>
      </c>
      <c r="IO1875" s="164" t="s">
        <v>2096</v>
      </c>
      <c r="IP1875" s="164"/>
    </row>
    <row r="1876" spans="1:251" x14ac:dyDescent="0.25">
      <c r="A1876" s="164">
        <v>89</v>
      </c>
      <c r="B1876" s="164" t="s">
        <v>2066</v>
      </c>
      <c r="C1876" s="164"/>
      <c r="D1876" s="164">
        <v>1997</v>
      </c>
      <c r="E1876" s="164">
        <v>1992</v>
      </c>
      <c r="F1876" s="164" t="s">
        <v>2065</v>
      </c>
      <c r="G1876" s="164" t="s">
        <v>2064</v>
      </c>
      <c r="H1876" s="164" t="s">
        <v>2831</v>
      </c>
      <c r="I1876" s="164">
        <v>47.87</v>
      </c>
      <c r="J1876" s="164">
        <v>-121.82</v>
      </c>
      <c r="K1876" s="169">
        <v>114</v>
      </c>
      <c r="L1876" s="169">
        <v>10.7</v>
      </c>
      <c r="M1876" s="164"/>
      <c r="N1876" s="169">
        <v>1633</v>
      </c>
      <c r="O1876" s="164"/>
      <c r="P1876" s="164"/>
      <c r="Q1876" s="164">
        <v>6</v>
      </c>
      <c r="R1876" s="165" t="s">
        <v>1991</v>
      </c>
      <c r="T1876" s="165" t="s">
        <v>2101</v>
      </c>
      <c r="U1876" s="164" t="s">
        <v>1393</v>
      </c>
      <c r="V1876" s="168">
        <v>30</v>
      </c>
      <c r="W1876" s="168" t="s">
        <v>1386</v>
      </c>
      <c r="X1876" s="168" t="s">
        <v>1393</v>
      </c>
      <c r="Y1876" s="166">
        <f>AVERAGE(Sheet1!BM1876:BN1876)</f>
        <v>1.475155</v>
      </c>
      <c r="Z1876" s="358">
        <v>35</v>
      </c>
      <c r="AA1876" s="358">
        <v>55</v>
      </c>
      <c r="AB1876" s="164" t="s">
        <v>1759</v>
      </c>
      <c r="AC1876" s="164"/>
      <c r="AD1876" s="164"/>
      <c r="AE1876" s="164"/>
      <c r="AF1876" s="164" t="s">
        <v>2063</v>
      </c>
      <c r="AG1876" s="164"/>
      <c r="AH1876" s="164" t="s">
        <v>1131</v>
      </c>
      <c r="AI1876" s="164" t="s">
        <v>2068</v>
      </c>
      <c r="AJ1876" s="164" t="s">
        <v>1621</v>
      </c>
      <c r="AK1876" s="164"/>
      <c r="AL1876" s="164"/>
      <c r="AM1876" s="164"/>
      <c r="AN1876" s="164" t="s">
        <v>2028</v>
      </c>
      <c r="AO1876" s="164" t="s">
        <v>2028</v>
      </c>
      <c r="AP1876" s="37" t="s">
        <v>178</v>
      </c>
      <c r="AQ1876" s="164" t="s">
        <v>2067</v>
      </c>
      <c r="AR1876" s="164"/>
      <c r="AT1876" s="164" t="s">
        <v>120</v>
      </c>
      <c r="AU1876" s="164">
        <v>3</v>
      </c>
      <c r="AV1876" s="164"/>
      <c r="AW1876" s="164" t="s">
        <v>142</v>
      </c>
      <c r="AX1876" s="164"/>
      <c r="AY1876" s="164"/>
      <c r="AZ1876" s="164"/>
      <c r="BA1876" s="164"/>
      <c r="BB1876" s="164"/>
      <c r="BH1876" s="164"/>
      <c r="BI1876" s="164"/>
      <c r="BJ1876" s="164"/>
      <c r="BM1876" s="433">
        <v>1.34161</v>
      </c>
      <c r="BN1876" s="433">
        <v>1.6087</v>
      </c>
      <c r="BR1876" s="433">
        <v>1.5349999999999999</v>
      </c>
      <c r="BS1876" s="433">
        <v>1.4983718070079981</v>
      </c>
      <c r="IO1876" s="164"/>
      <c r="IP1876" s="164"/>
    </row>
    <row r="1877" spans="1:251" x14ac:dyDescent="0.25">
      <c r="A1877" s="164">
        <v>89</v>
      </c>
      <c r="B1877" s="164" t="s">
        <v>2066</v>
      </c>
      <c r="C1877" s="164"/>
      <c r="D1877" s="164">
        <v>1997</v>
      </c>
      <c r="E1877" s="164">
        <v>1993</v>
      </c>
      <c r="F1877" s="164" t="s">
        <v>2065</v>
      </c>
      <c r="G1877" s="164" t="s">
        <v>2064</v>
      </c>
      <c r="H1877" s="164" t="s">
        <v>2831</v>
      </c>
      <c r="I1877" s="164">
        <v>47.87</v>
      </c>
      <c r="J1877" s="164">
        <v>-121.82</v>
      </c>
      <c r="K1877" s="169">
        <v>114</v>
      </c>
      <c r="L1877" s="169">
        <v>10.7</v>
      </c>
      <c r="M1877" s="164"/>
      <c r="N1877" s="169">
        <v>1633</v>
      </c>
      <c r="O1877" s="164"/>
      <c r="P1877" s="164"/>
      <c r="Q1877" s="164">
        <v>7</v>
      </c>
      <c r="R1877" s="165" t="s">
        <v>1991</v>
      </c>
      <c r="T1877" s="165" t="s">
        <v>2101</v>
      </c>
      <c r="U1877" s="164" t="s">
        <v>1386</v>
      </c>
      <c r="V1877" s="168">
        <v>15</v>
      </c>
      <c r="W1877" s="168" t="s">
        <v>1386</v>
      </c>
      <c r="X1877" s="168" t="s">
        <v>1393</v>
      </c>
      <c r="Y1877" s="166">
        <f>AVERAGE(Sheet1!BM1877:BN1877)</f>
        <v>1.34944</v>
      </c>
      <c r="Z1877" s="358">
        <v>35</v>
      </c>
      <c r="AA1877" s="358">
        <v>55</v>
      </c>
      <c r="AB1877" s="164" t="s">
        <v>1759</v>
      </c>
      <c r="AC1877" s="164"/>
      <c r="AD1877" s="164"/>
      <c r="AE1877" s="164"/>
      <c r="AF1877" s="164" t="s">
        <v>2063</v>
      </c>
      <c r="AG1877" s="164" t="s">
        <v>2069</v>
      </c>
      <c r="AH1877" s="164" t="s">
        <v>1131</v>
      </c>
      <c r="AI1877" s="164" t="s">
        <v>2068</v>
      </c>
      <c r="AJ1877" s="164" t="s">
        <v>1621</v>
      </c>
      <c r="AK1877" s="164"/>
      <c r="AL1877" s="164"/>
      <c r="AM1877" s="164"/>
      <c r="AN1877" s="164" t="s">
        <v>2028</v>
      </c>
      <c r="AO1877" s="164" t="s">
        <v>2028</v>
      </c>
      <c r="AP1877" s="37" t="s">
        <v>178</v>
      </c>
      <c r="AQ1877" s="164" t="s">
        <v>2067</v>
      </c>
      <c r="AR1877" s="164"/>
      <c r="AT1877" s="164" t="s">
        <v>120</v>
      </c>
      <c r="AU1877" s="164">
        <v>3</v>
      </c>
      <c r="AV1877" s="164"/>
      <c r="AW1877" s="164" t="s">
        <v>142</v>
      </c>
      <c r="AX1877" s="164"/>
      <c r="AY1877" s="164"/>
      <c r="AZ1877" s="164">
        <v>23</v>
      </c>
      <c r="BA1877" s="164"/>
      <c r="BB1877" s="164"/>
      <c r="BH1877" s="164"/>
      <c r="BI1877" s="164"/>
      <c r="BJ1877" s="164"/>
      <c r="BM1877" s="433">
        <v>1.34422</v>
      </c>
      <c r="BN1877" s="433">
        <v>1.35466</v>
      </c>
      <c r="BR1877" s="433">
        <v>1.52</v>
      </c>
      <c r="BS1877" s="433">
        <v>1.46</v>
      </c>
      <c r="IO1877" s="164" t="s">
        <v>2096</v>
      </c>
      <c r="IP1877" s="164"/>
    </row>
    <row r="1878" spans="1:251" x14ac:dyDescent="0.25">
      <c r="A1878" s="164">
        <v>89</v>
      </c>
      <c r="B1878" s="164" t="s">
        <v>2066</v>
      </c>
      <c r="C1878" s="164"/>
      <c r="D1878" s="164">
        <v>1997</v>
      </c>
      <c r="E1878" s="164">
        <v>1993</v>
      </c>
      <c r="F1878" s="164" t="s">
        <v>2065</v>
      </c>
      <c r="G1878" s="164" t="s">
        <v>2064</v>
      </c>
      <c r="H1878" s="164" t="s">
        <v>2831</v>
      </c>
      <c r="I1878" s="164">
        <v>47.87</v>
      </c>
      <c r="J1878" s="164">
        <v>-121.82</v>
      </c>
      <c r="K1878" s="169">
        <v>114</v>
      </c>
      <c r="L1878" s="169">
        <v>10.7</v>
      </c>
      <c r="M1878" s="164"/>
      <c r="N1878" s="169">
        <v>1633</v>
      </c>
      <c r="O1878" s="164"/>
      <c r="P1878" s="164"/>
      <c r="Q1878" s="164">
        <v>7</v>
      </c>
      <c r="R1878" s="165" t="s">
        <v>1991</v>
      </c>
      <c r="T1878" s="165" t="s">
        <v>2101</v>
      </c>
      <c r="U1878" s="164" t="s">
        <v>1394</v>
      </c>
      <c r="V1878" s="168">
        <v>15</v>
      </c>
      <c r="W1878" s="168" t="s">
        <v>1386</v>
      </c>
      <c r="X1878" s="168" t="s">
        <v>1393</v>
      </c>
      <c r="Y1878" s="166">
        <f>AVERAGE(Sheet1!BM1878:BN1878)</f>
        <v>1.3581400000000001</v>
      </c>
      <c r="Z1878" s="358">
        <v>35</v>
      </c>
      <c r="AA1878" s="358">
        <v>55</v>
      </c>
      <c r="AB1878" s="164" t="s">
        <v>1759</v>
      </c>
      <c r="AC1878" s="164"/>
      <c r="AD1878" s="164"/>
      <c r="AE1878" s="164"/>
      <c r="AF1878" s="164" t="s">
        <v>2063</v>
      </c>
      <c r="AG1878" s="164" t="s">
        <v>2069</v>
      </c>
      <c r="AH1878" s="164" t="s">
        <v>1131</v>
      </c>
      <c r="AI1878" s="164" t="s">
        <v>2068</v>
      </c>
      <c r="AJ1878" s="164" t="s">
        <v>1621</v>
      </c>
      <c r="AK1878" s="164"/>
      <c r="AL1878" s="164"/>
      <c r="AM1878" s="164"/>
      <c r="AN1878" s="164" t="s">
        <v>2028</v>
      </c>
      <c r="AO1878" s="164" t="s">
        <v>2028</v>
      </c>
      <c r="AP1878" s="37" t="s">
        <v>178</v>
      </c>
      <c r="AQ1878" s="164" t="s">
        <v>2067</v>
      </c>
      <c r="AR1878" s="164"/>
      <c r="AT1878" s="164" t="s">
        <v>120</v>
      </c>
      <c r="AU1878" s="164">
        <v>3</v>
      </c>
      <c r="AV1878" s="164"/>
      <c r="AW1878" s="164" t="s">
        <v>142</v>
      </c>
      <c r="AX1878" s="164"/>
      <c r="AY1878" s="164"/>
      <c r="AZ1878" s="164"/>
      <c r="BA1878" s="164"/>
      <c r="BB1878" s="164"/>
      <c r="BH1878" s="164"/>
      <c r="BI1878" s="164"/>
      <c r="BJ1878" s="164"/>
      <c r="BM1878" s="433">
        <v>1.35118</v>
      </c>
      <c r="BN1878" s="433">
        <v>1.3651</v>
      </c>
      <c r="BR1878" s="433">
        <v>1.48</v>
      </c>
      <c r="BS1878" s="433">
        <v>1.4</v>
      </c>
      <c r="IO1878" s="164" t="s">
        <v>2096</v>
      </c>
      <c r="IP1878" s="164"/>
    </row>
    <row r="1879" spans="1:251" x14ac:dyDescent="0.25">
      <c r="A1879" s="164">
        <v>89</v>
      </c>
      <c r="B1879" s="164" t="s">
        <v>2066</v>
      </c>
      <c r="C1879" s="164"/>
      <c r="D1879" s="164">
        <v>1997</v>
      </c>
      <c r="E1879" s="164">
        <v>1993</v>
      </c>
      <c r="F1879" s="164" t="s">
        <v>2065</v>
      </c>
      <c r="G1879" s="164" t="s">
        <v>2064</v>
      </c>
      <c r="H1879" s="164" t="s">
        <v>2831</v>
      </c>
      <c r="I1879" s="164">
        <v>47.87</v>
      </c>
      <c r="J1879" s="164">
        <v>-121.82</v>
      </c>
      <c r="K1879" s="169">
        <v>114</v>
      </c>
      <c r="L1879" s="169">
        <v>10.7</v>
      </c>
      <c r="M1879" s="164"/>
      <c r="N1879" s="169">
        <v>1633</v>
      </c>
      <c r="O1879" s="164"/>
      <c r="P1879" s="164"/>
      <c r="Q1879" s="164">
        <v>7</v>
      </c>
      <c r="R1879" s="165" t="s">
        <v>1991</v>
      </c>
      <c r="T1879" s="165" t="s">
        <v>2101</v>
      </c>
      <c r="U1879" s="164" t="s">
        <v>1393</v>
      </c>
      <c r="V1879" s="168">
        <v>30</v>
      </c>
      <c r="W1879" s="168" t="s">
        <v>1386</v>
      </c>
      <c r="X1879" s="168" t="s">
        <v>1393</v>
      </c>
      <c r="Y1879" s="166">
        <f>AVERAGE(Sheet1!BM1879:BN1879)</f>
        <v>1.4782000000000002</v>
      </c>
      <c r="Z1879" s="358">
        <v>35</v>
      </c>
      <c r="AA1879" s="358">
        <v>55</v>
      </c>
      <c r="AB1879" s="164" t="s">
        <v>1759</v>
      </c>
      <c r="AC1879" s="164"/>
      <c r="AD1879" s="164"/>
      <c r="AE1879" s="164"/>
      <c r="AF1879" s="164" t="s">
        <v>2063</v>
      </c>
      <c r="AG1879" s="164"/>
      <c r="AH1879" s="164" t="s">
        <v>1131</v>
      </c>
      <c r="AI1879" s="164" t="s">
        <v>2068</v>
      </c>
      <c r="AJ1879" s="164" t="s">
        <v>1621</v>
      </c>
      <c r="AK1879" s="164"/>
      <c r="AL1879" s="164"/>
      <c r="AM1879" s="164"/>
      <c r="AN1879" s="164" t="s">
        <v>2028</v>
      </c>
      <c r="AO1879" s="164" t="s">
        <v>2028</v>
      </c>
      <c r="AP1879" s="37" t="s">
        <v>178</v>
      </c>
      <c r="AQ1879" s="164" t="s">
        <v>2067</v>
      </c>
      <c r="AR1879" s="164"/>
      <c r="AT1879" s="164" t="s">
        <v>120</v>
      </c>
      <c r="AU1879" s="164">
        <v>3</v>
      </c>
      <c r="AV1879" s="164"/>
      <c r="AW1879" s="164" t="s">
        <v>142</v>
      </c>
      <c r="AX1879" s="164"/>
      <c r="AY1879" s="164"/>
      <c r="AZ1879" s="164"/>
      <c r="BA1879" s="164"/>
      <c r="BB1879" s="164"/>
      <c r="BH1879" s="164"/>
      <c r="BI1879" s="164"/>
      <c r="BJ1879" s="164"/>
      <c r="BM1879" s="433">
        <v>1.3477000000000001</v>
      </c>
      <c r="BN1879" s="433">
        <v>1.6087</v>
      </c>
      <c r="BR1879" s="433">
        <v>1.5</v>
      </c>
      <c r="BS1879" s="433">
        <v>1.4428075981301474</v>
      </c>
      <c r="IO1879" s="164"/>
      <c r="IP1879" s="164"/>
    </row>
    <row r="1880" spans="1:251" s="24" customFormat="1" x14ac:dyDescent="0.25">
      <c r="A1880" s="245">
        <v>90</v>
      </c>
      <c r="B1880" s="245" t="s">
        <v>2062</v>
      </c>
      <c r="C1880" s="245"/>
      <c r="D1880" s="245">
        <v>1996</v>
      </c>
      <c r="E1880" s="245">
        <v>1994</v>
      </c>
      <c r="F1880" s="245" t="s">
        <v>2061</v>
      </c>
      <c r="G1880" s="250" t="s">
        <v>2060</v>
      </c>
      <c r="H1880" s="250" t="s">
        <v>2831</v>
      </c>
      <c r="I1880" s="245">
        <v>30.55</v>
      </c>
      <c r="J1880" s="245">
        <v>-87.88</v>
      </c>
      <c r="K1880" s="245">
        <v>235</v>
      </c>
      <c r="L1880" s="245">
        <v>18</v>
      </c>
      <c r="M1880" s="245"/>
      <c r="N1880" s="245">
        <v>1339</v>
      </c>
      <c r="O1880" s="245"/>
      <c r="P1880" s="245"/>
      <c r="Q1880" s="245">
        <v>19</v>
      </c>
      <c r="R1880" s="246" t="s">
        <v>2100</v>
      </c>
      <c r="T1880" s="246"/>
      <c r="U1880" s="245" t="s">
        <v>1393</v>
      </c>
      <c r="V1880" s="247">
        <v>30</v>
      </c>
      <c r="W1880" s="247" t="s">
        <v>1393</v>
      </c>
      <c r="X1880" s="247" t="s">
        <v>1393</v>
      </c>
      <c r="Y1880" s="248">
        <f>AVERAGE(Sheet1!BM1880:BN1880)</f>
        <v>1.8450000000000002</v>
      </c>
      <c r="Z1880" s="362">
        <v>68</v>
      </c>
      <c r="AA1880" s="362">
        <v>18.5</v>
      </c>
      <c r="AB1880" s="245" t="s">
        <v>241</v>
      </c>
      <c r="AC1880" s="245"/>
      <c r="AD1880" s="245"/>
      <c r="AE1880" s="245"/>
      <c r="AF1880" s="245" t="s">
        <v>2059</v>
      </c>
      <c r="AG1880" s="245" t="s">
        <v>2058</v>
      </c>
      <c r="AH1880" s="245" t="s">
        <v>578</v>
      </c>
      <c r="AI1880" s="245" t="s">
        <v>2057</v>
      </c>
      <c r="AJ1880" s="245" t="s">
        <v>1621</v>
      </c>
      <c r="AK1880" s="245"/>
      <c r="AL1880" s="245"/>
      <c r="AM1880" s="245"/>
      <c r="AN1880" s="245"/>
      <c r="AO1880" s="245"/>
      <c r="AP1880" s="244"/>
      <c r="AQ1880" s="245"/>
      <c r="AR1880" s="245"/>
      <c r="AS1880" s="251" t="s">
        <v>2056</v>
      </c>
      <c r="AT1880" s="245"/>
      <c r="AU1880" s="245"/>
      <c r="AV1880" s="245"/>
      <c r="AW1880" s="245"/>
      <c r="AX1880" s="245"/>
      <c r="AY1880" s="245"/>
      <c r="AZ1880" s="245"/>
      <c r="BA1880" s="245"/>
      <c r="BB1880" s="245"/>
      <c r="BH1880" s="245">
        <f>1.04*1000</f>
        <v>1040</v>
      </c>
      <c r="BI1880" s="245">
        <v>2500</v>
      </c>
      <c r="BJ1880" s="245"/>
      <c r="BM1880" s="437">
        <v>1.84</v>
      </c>
      <c r="BN1880" s="437">
        <v>1.85</v>
      </c>
      <c r="BR1880" s="437">
        <v>5.7999999999999996E-2</v>
      </c>
      <c r="BS1880" s="437">
        <v>0.20400000000000001</v>
      </c>
      <c r="IO1880" s="245" t="s">
        <v>2095</v>
      </c>
      <c r="IP1880" s="245"/>
      <c r="IQ1880" s="249"/>
    </row>
    <row r="1881" spans="1:251" s="92" customFormat="1" x14ac:dyDescent="0.25">
      <c r="A1881" s="252">
        <v>91</v>
      </c>
      <c r="B1881" s="252" t="s">
        <v>769</v>
      </c>
      <c r="C1881" s="253" t="s">
        <v>2128</v>
      </c>
      <c r="D1881" s="252">
        <v>2006</v>
      </c>
      <c r="E1881" s="253">
        <v>1999</v>
      </c>
      <c r="F1881" s="252" t="s">
        <v>948</v>
      </c>
      <c r="G1881" s="252" t="s">
        <v>2042</v>
      </c>
      <c r="H1881" s="252" t="s">
        <v>2831</v>
      </c>
      <c r="I1881" s="253">
        <v>32.56</v>
      </c>
      <c r="J1881" s="253">
        <v>-83.91</v>
      </c>
      <c r="K1881" s="254">
        <v>16</v>
      </c>
      <c r="L1881" s="254">
        <v>18.100000000000001</v>
      </c>
      <c r="M1881" s="253"/>
      <c r="N1881" s="254">
        <v>1258</v>
      </c>
      <c r="O1881" s="253"/>
      <c r="P1881" s="253"/>
      <c r="Q1881" s="254">
        <v>6</v>
      </c>
      <c r="R1881" s="255" t="s">
        <v>1984</v>
      </c>
      <c r="T1881" s="255" t="s">
        <v>2112</v>
      </c>
      <c r="U1881" s="256" t="s">
        <v>1392</v>
      </c>
      <c r="V1881" s="256">
        <v>10</v>
      </c>
      <c r="W1881" s="256" t="s">
        <v>1392</v>
      </c>
      <c r="X1881" s="256" t="s">
        <v>1421</v>
      </c>
      <c r="Y1881" s="257">
        <f>AVERAGE(Sheet1!BM1881:BN1881)</f>
        <v>1.421</v>
      </c>
      <c r="Z1881" s="363">
        <v>65</v>
      </c>
      <c r="AA1881" s="363">
        <v>25</v>
      </c>
      <c r="AB1881" s="253" t="s">
        <v>241</v>
      </c>
      <c r="AC1881" s="253"/>
      <c r="AD1881" s="253"/>
      <c r="AE1881" s="253"/>
      <c r="AF1881" s="252" t="s">
        <v>2039</v>
      </c>
      <c r="AG1881" s="254" t="s">
        <v>132</v>
      </c>
      <c r="AH1881" s="254" t="s">
        <v>132</v>
      </c>
      <c r="AI1881" s="254" t="s">
        <v>2037</v>
      </c>
      <c r="AJ1881" s="253" t="s">
        <v>1621</v>
      </c>
      <c r="AK1881" s="253"/>
      <c r="AL1881" s="253"/>
      <c r="AM1881" s="253"/>
      <c r="AN1881" s="254" t="s">
        <v>1048</v>
      </c>
      <c r="AO1881" s="254" t="s">
        <v>1048</v>
      </c>
      <c r="AP1881" s="92" t="s">
        <v>178</v>
      </c>
      <c r="AQ1881" s="253" t="s">
        <v>162</v>
      </c>
      <c r="AR1881" s="253"/>
      <c r="AS1881" s="258" t="s">
        <v>2035</v>
      </c>
      <c r="AT1881" s="253" t="s">
        <v>161</v>
      </c>
      <c r="AU1881" s="254">
        <v>4</v>
      </c>
      <c r="AV1881" s="254">
        <v>4</v>
      </c>
      <c r="AW1881" s="253" t="s">
        <v>142</v>
      </c>
      <c r="AX1881" s="253"/>
      <c r="AY1881" s="254">
        <f>1/3*12160</f>
        <v>4053.333333333333</v>
      </c>
      <c r="AZ1881" s="253"/>
      <c r="BA1881" s="253"/>
      <c r="BB1881" s="253"/>
      <c r="BI1881" s="254"/>
      <c r="BJ1881" s="253"/>
      <c r="BM1881" s="438">
        <f t="shared" ref="BM1881:BM1925" si="273">BN1881</f>
        <v>1.421</v>
      </c>
      <c r="BN1881" s="439">
        <v>1.421</v>
      </c>
      <c r="BR1881" s="438">
        <v>0.74595355383532724</v>
      </c>
      <c r="BS1881" s="438">
        <v>0.78184377199155519</v>
      </c>
      <c r="IO1881" s="254" t="s">
        <v>2093</v>
      </c>
      <c r="IP1881" s="253"/>
      <c r="IQ1881" s="259"/>
    </row>
    <row r="1882" spans="1:251" s="92" customFormat="1" x14ac:dyDescent="0.25">
      <c r="A1882" s="252">
        <v>91</v>
      </c>
      <c r="B1882" s="252" t="s">
        <v>769</v>
      </c>
      <c r="C1882" s="253" t="s">
        <v>2128</v>
      </c>
      <c r="D1882" s="252">
        <v>2006</v>
      </c>
      <c r="E1882" s="253">
        <v>1999</v>
      </c>
      <c r="F1882" s="252" t="s">
        <v>948</v>
      </c>
      <c r="G1882" s="252" t="s">
        <v>2042</v>
      </c>
      <c r="H1882" s="252" t="s">
        <v>2831</v>
      </c>
      <c r="I1882" s="253">
        <v>32.56</v>
      </c>
      <c r="J1882" s="253">
        <v>-83.91</v>
      </c>
      <c r="K1882" s="254">
        <v>16</v>
      </c>
      <c r="L1882" s="254">
        <v>18.100000000000001</v>
      </c>
      <c r="M1882" s="253"/>
      <c r="N1882" s="254">
        <v>1258</v>
      </c>
      <c r="O1882" s="253"/>
      <c r="P1882" s="253"/>
      <c r="Q1882" s="254">
        <v>6</v>
      </c>
      <c r="R1882" s="255" t="s">
        <v>1984</v>
      </c>
      <c r="T1882" s="255" t="s">
        <v>2112</v>
      </c>
      <c r="U1882" s="256" t="s">
        <v>1412</v>
      </c>
      <c r="V1882" s="256">
        <v>20</v>
      </c>
      <c r="W1882" s="256" t="s">
        <v>1392</v>
      </c>
      <c r="X1882" s="256" t="s">
        <v>1421</v>
      </c>
      <c r="Y1882" s="257">
        <f>AVERAGE(Sheet1!BM1882:BN1882)</f>
        <v>1.5469999999999999</v>
      </c>
      <c r="Z1882" s="363">
        <v>65</v>
      </c>
      <c r="AA1882" s="363">
        <v>25</v>
      </c>
      <c r="AB1882" s="253" t="s">
        <v>241</v>
      </c>
      <c r="AC1882" s="253"/>
      <c r="AD1882" s="253"/>
      <c r="AE1882" s="253"/>
      <c r="AF1882" s="252" t="s">
        <v>2039</v>
      </c>
      <c r="AG1882" s="254" t="s">
        <v>132</v>
      </c>
      <c r="AH1882" s="254" t="s">
        <v>132</v>
      </c>
      <c r="AI1882" s="254" t="s">
        <v>2037</v>
      </c>
      <c r="AJ1882" s="253" t="s">
        <v>1621</v>
      </c>
      <c r="AK1882" s="253"/>
      <c r="AL1882" s="253"/>
      <c r="AM1882" s="253"/>
      <c r="AN1882" s="254" t="s">
        <v>1048</v>
      </c>
      <c r="AO1882" s="254" t="s">
        <v>1048</v>
      </c>
      <c r="AP1882" s="92" t="s">
        <v>2125</v>
      </c>
      <c r="AQ1882" s="253" t="s">
        <v>162</v>
      </c>
      <c r="AR1882" s="253"/>
      <c r="AS1882" s="258" t="s">
        <v>2035</v>
      </c>
      <c r="AT1882" s="253" t="s">
        <v>161</v>
      </c>
      <c r="AU1882" s="254">
        <v>4</v>
      </c>
      <c r="AV1882" s="254">
        <v>4</v>
      </c>
      <c r="AW1882" s="253" t="s">
        <v>142</v>
      </c>
      <c r="AX1882" s="253"/>
      <c r="AY1882" s="254"/>
      <c r="AZ1882" s="253"/>
      <c r="BA1882" s="253"/>
      <c r="BB1882" s="253"/>
      <c r="BI1882" s="254"/>
      <c r="BJ1882" s="253"/>
      <c r="BM1882" s="438">
        <f t="shared" si="273"/>
        <v>1.5469999999999999</v>
      </c>
      <c r="BN1882" s="439">
        <v>1.5469999999999999</v>
      </c>
      <c r="BR1882" s="438">
        <v>0.45248868778280549</v>
      </c>
      <c r="BS1882" s="438">
        <v>0.45572074983839694</v>
      </c>
      <c r="IO1882" s="254" t="s">
        <v>2093</v>
      </c>
      <c r="IP1882" s="253"/>
      <c r="IQ1882" s="259"/>
    </row>
    <row r="1883" spans="1:251" s="92" customFormat="1" x14ac:dyDescent="0.25">
      <c r="A1883" s="252">
        <v>91</v>
      </c>
      <c r="B1883" s="252" t="s">
        <v>769</v>
      </c>
      <c r="C1883" s="253" t="s">
        <v>2128</v>
      </c>
      <c r="D1883" s="252">
        <v>2006</v>
      </c>
      <c r="E1883" s="253">
        <v>1999</v>
      </c>
      <c r="F1883" s="252" t="s">
        <v>948</v>
      </c>
      <c r="G1883" s="252" t="s">
        <v>2042</v>
      </c>
      <c r="H1883" s="252" t="s">
        <v>2831</v>
      </c>
      <c r="I1883" s="253">
        <v>32.56</v>
      </c>
      <c r="J1883" s="253">
        <v>-83.91</v>
      </c>
      <c r="K1883" s="254">
        <v>16</v>
      </c>
      <c r="L1883" s="254">
        <v>18.100000000000001</v>
      </c>
      <c r="M1883" s="253"/>
      <c r="N1883" s="254">
        <v>1258</v>
      </c>
      <c r="O1883" s="253"/>
      <c r="P1883" s="253"/>
      <c r="Q1883" s="254">
        <v>6</v>
      </c>
      <c r="R1883" s="255" t="s">
        <v>1984</v>
      </c>
      <c r="T1883" s="255" t="s">
        <v>2112</v>
      </c>
      <c r="U1883" s="256" t="s">
        <v>1406</v>
      </c>
      <c r="V1883" s="256">
        <v>30</v>
      </c>
      <c r="W1883" s="256" t="s">
        <v>1392</v>
      </c>
      <c r="X1883" s="256" t="s">
        <v>1421</v>
      </c>
      <c r="Y1883" s="257">
        <f>AVERAGE(Sheet1!BM1883:BN1883)</f>
        <v>1.3979999999999999</v>
      </c>
      <c r="Z1883" s="363">
        <v>65</v>
      </c>
      <c r="AA1883" s="363">
        <v>25</v>
      </c>
      <c r="AB1883" s="253" t="s">
        <v>241</v>
      </c>
      <c r="AC1883" s="253"/>
      <c r="AD1883" s="253"/>
      <c r="AE1883" s="253"/>
      <c r="AF1883" s="252" t="s">
        <v>2039</v>
      </c>
      <c r="AG1883" s="254" t="s">
        <v>132</v>
      </c>
      <c r="AH1883" s="254" t="s">
        <v>132</v>
      </c>
      <c r="AI1883" s="254" t="s">
        <v>2037</v>
      </c>
      <c r="AJ1883" s="253" t="s">
        <v>1621</v>
      </c>
      <c r="AK1883" s="253"/>
      <c r="AL1883" s="253"/>
      <c r="AM1883" s="253"/>
      <c r="AN1883" s="254" t="s">
        <v>1048</v>
      </c>
      <c r="AO1883" s="254" t="s">
        <v>1048</v>
      </c>
      <c r="AP1883" s="92" t="s">
        <v>178</v>
      </c>
      <c r="AQ1883" s="253" t="s">
        <v>162</v>
      </c>
      <c r="AR1883" s="253"/>
      <c r="AS1883" s="258" t="s">
        <v>2035</v>
      </c>
      <c r="AT1883" s="253" t="s">
        <v>161</v>
      </c>
      <c r="AU1883" s="254">
        <v>4</v>
      </c>
      <c r="AV1883" s="254">
        <v>4</v>
      </c>
      <c r="AW1883" s="253" t="s">
        <v>142</v>
      </c>
      <c r="AX1883" s="253"/>
      <c r="AY1883" s="254"/>
      <c r="AZ1883" s="253"/>
      <c r="BA1883" s="253"/>
      <c r="BB1883" s="253"/>
      <c r="BI1883" s="254"/>
      <c r="BJ1883" s="253"/>
      <c r="BM1883" s="438">
        <f t="shared" si="273"/>
        <v>1.3979999999999999</v>
      </c>
      <c r="BN1883" s="439">
        <v>1.3979999999999999</v>
      </c>
      <c r="BR1883" s="438">
        <v>0.24082021936099188</v>
      </c>
      <c r="BS1883" s="438">
        <v>0.24558893657606107</v>
      </c>
      <c r="IO1883" s="254" t="s">
        <v>2093</v>
      </c>
      <c r="IP1883" s="253"/>
      <c r="IQ1883" s="259"/>
    </row>
    <row r="1884" spans="1:251" s="92" customFormat="1" x14ac:dyDescent="0.25">
      <c r="A1884" s="252">
        <v>91</v>
      </c>
      <c r="B1884" s="252" t="s">
        <v>769</v>
      </c>
      <c r="C1884" s="253" t="s">
        <v>2128</v>
      </c>
      <c r="D1884" s="252">
        <v>2006</v>
      </c>
      <c r="E1884" s="253">
        <v>1999</v>
      </c>
      <c r="F1884" s="252" t="s">
        <v>948</v>
      </c>
      <c r="G1884" s="252" t="s">
        <v>2042</v>
      </c>
      <c r="H1884" s="252" t="s">
        <v>2831</v>
      </c>
      <c r="I1884" s="253">
        <v>32.56</v>
      </c>
      <c r="J1884" s="253">
        <v>-83.91</v>
      </c>
      <c r="K1884" s="254">
        <v>16</v>
      </c>
      <c r="L1884" s="254">
        <v>18.100000000000001</v>
      </c>
      <c r="M1884" s="253"/>
      <c r="N1884" s="254">
        <v>1258</v>
      </c>
      <c r="O1884" s="253"/>
      <c r="P1884" s="253"/>
      <c r="Q1884" s="254">
        <v>6</v>
      </c>
      <c r="R1884" s="255" t="s">
        <v>1984</v>
      </c>
      <c r="T1884" s="255" t="s">
        <v>2112</v>
      </c>
      <c r="U1884" s="256" t="s">
        <v>1407</v>
      </c>
      <c r="V1884" s="256">
        <v>30</v>
      </c>
      <c r="W1884" s="256" t="s">
        <v>1392</v>
      </c>
      <c r="X1884" s="256" t="s">
        <v>1421</v>
      </c>
      <c r="Y1884" s="257">
        <f>AVERAGE(Sheet1!BM1884:BN1884)</f>
        <v>1.6160000000000001</v>
      </c>
      <c r="Z1884" s="363">
        <v>65</v>
      </c>
      <c r="AA1884" s="363">
        <v>25</v>
      </c>
      <c r="AB1884" s="253" t="s">
        <v>241</v>
      </c>
      <c r="AC1884" s="253"/>
      <c r="AD1884" s="253"/>
      <c r="AE1884" s="253"/>
      <c r="AF1884" s="252" t="s">
        <v>2039</v>
      </c>
      <c r="AG1884" s="254" t="s">
        <v>132</v>
      </c>
      <c r="AH1884" s="254" t="s">
        <v>132</v>
      </c>
      <c r="AI1884" s="254" t="s">
        <v>2037</v>
      </c>
      <c r="AJ1884" s="253" t="s">
        <v>1621</v>
      </c>
      <c r="AK1884" s="253"/>
      <c r="AL1884" s="253"/>
      <c r="AM1884" s="253"/>
      <c r="AN1884" s="254" t="s">
        <v>1048</v>
      </c>
      <c r="AO1884" s="254" t="s">
        <v>1048</v>
      </c>
      <c r="AP1884" s="92" t="s">
        <v>2125</v>
      </c>
      <c r="AQ1884" s="253" t="s">
        <v>162</v>
      </c>
      <c r="AR1884" s="253"/>
      <c r="AS1884" s="258" t="s">
        <v>2035</v>
      </c>
      <c r="AT1884" s="253" t="s">
        <v>161</v>
      </c>
      <c r="AU1884" s="254">
        <v>4</v>
      </c>
      <c r="AV1884" s="254">
        <v>4</v>
      </c>
      <c r="AW1884" s="253" t="s">
        <v>142</v>
      </c>
      <c r="AX1884" s="253"/>
      <c r="AY1884" s="254"/>
      <c r="AZ1884" s="253"/>
      <c r="BA1884" s="253"/>
      <c r="BB1884" s="253"/>
      <c r="BI1884" s="254"/>
      <c r="BJ1884" s="253"/>
      <c r="BM1884" s="438">
        <f t="shared" si="273"/>
        <v>1.6160000000000001</v>
      </c>
      <c r="BN1884" s="439">
        <v>1.6160000000000001</v>
      </c>
      <c r="BR1884" s="438">
        <v>0.17326732673267325</v>
      </c>
      <c r="BS1884" s="438">
        <v>0.16295379537953794</v>
      </c>
      <c r="IO1884" s="254" t="s">
        <v>2093</v>
      </c>
      <c r="IP1884" s="253"/>
      <c r="IQ1884" s="259"/>
    </row>
    <row r="1885" spans="1:251" s="92" customFormat="1" x14ac:dyDescent="0.25">
      <c r="A1885" s="252">
        <v>91</v>
      </c>
      <c r="B1885" s="252" t="s">
        <v>769</v>
      </c>
      <c r="C1885" s="253" t="s">
        <v>2128</v>
      </c>
      <c r="D1885" s="252">
        <v>2006</v>
      </c>
      <c r="E1885" s="253">
        <v>1999</v>
      </c>
      <c r="F1885" s="252" t="s">
        <v>948</v>
      </c>
      <c r="G1885" s="252" t="s">
        <v>2042</v>
      </c>
      <c r="H1885" s="252" t="s">
        <v>2831</v>
      </c>
      <c r="I1885" s="253">
        <v>32.56</v>
      </c>
      <c r="J1885" s="253">
        <v>-83.91</v>
      </c>
      <c r="K1885" s="254">
        <v>16</v>
      </c>
      <c r="L1885" s="254">
        <v>18.100000000000001</v>
      </c>
      <c r="M1885" s="253"/>
      <c r="N1885" s="254">
        <v>1258</v>
      </c>
      <c r="O1885" s="253"/>
      <c r="P1885" s="253"/>
      <c r="Q1885" s="254">
        <v>6</v>
      </c>
      <c r="R1885" s="255" t="s">
        <v>1984</v>
      </c>
      <c r="T1885" s="255" t="s">
        <v>2112</v>
      </c>
      <c r="U1885" s="256" t="s">
        <v>1419</v>
      </c>
      <c r="V1885" s="256">
        <v>30</v>
      </c>
      <c r="W1885" s="256" t="s">
        <v>1392</v>
      </c>
      <c r="X1885" s="256" t="s">
        <v>1421</v>
      </c>
      <c r="Y1885" s="257">
        <f>AVERAGE(Sheet1!BM1885:BN1885)</f>
        <v>1.6279999999999999</v>
      </c>
      <c r="Z1885" s="363">
        <v>65</v>
      </c>
      <c r="AA1885" s="363">
        <v>25</v>
      </c>
      <c r="AB1885" s="253" t="s">
        <v>241</v>
      </c>
      <c r="AC1885" s="253"/>
      <c r="AD1885" s="253"/>
      <c r="AE1885" s="253"/>
      <c r="AF1885" s="252" t="s">
        <v>2039</v>
      </c>
      <c r="AG1885" s="254" t="s">
        <v>132</v>
      </c>
      <c r="AH1885" s="254" t="s">
        <v>132</v>
      </c>
      <c r="AI1885" s="254" t="s">
        <v>2037</v>
      </c>
      <c r="AJ1885" s="253" t="s">
        <v>1621</v>
      </c>
      <c r="AK1885" s="253"/>
      <c r="AL1885" s="253"/>
      <c r="AM1885" s="253"/>
      <c r="AN1885" s="254" t="s">
        <v>1048</v>
      </c>
      <c r="AO1885" s="254" t="s">
        <v>1048</v>
      </c>
      <c r="AP1885" s="92" t="s">
        <v>178</v>
      </c>
      <c r="AQ1885" s="253" t="s">
        <v>162</v>
      </c>
      <c r="AR1885" s="253"/>
      <c r="AS1885" s="258" t="s">
        <v>2035</v>
      </c>
      <c r="AT1885" s="253" t="s">
        <v>161</v>
      </c>
      <c r="AU1885" s="254">
        <v>4</v>
      </c>
      <c r="AV1885" s="254">
        <v>4</v>
      </c>
      <c r="AW1885" s="253" t="s">
        <v>142</v>
      </c>
      <c r="AX1885" s="253"/>
      <c r="AY1885" s="254"/>
      <c r="AZ1885" s="253"/>
      <c r="BA1885" s="253"/>
      <c r="BB1885" s="253"/>
      <c r="BI1885" s="254"/>
      <c r="BJ1885" s="253"/>
      <c r="BM1885" s="438">
        <f t="shared" si="273"/>
        <v>1.6279999999999999</v>
      </c>
      <c r="BN1885" s="439">
        <v>1.6279999999999999</v>
      </c>
      <c r="BR1885" s="438">
        <v>0.14332514332514337</v>
      </c>
      <c r="BS1885" s="438">
        <v>0.10851760851760854</v>
      </c>
      <c r="IO1885" s="254" t="s">
        <v>2093</v>
      </c>
      <c r="IP1885" s="253"/>
      <c r="IQ1885" s="259"/>
    </row>
    <row r="1886" spans="1:251" s="36" customFormat="1" x14ac:dyDescent="0.25">
      <c r="A1886" s="223">
        <v>91</v>
      </c>
      <c r="B1886" s="223" t="s">
        <v>769</v>
      </c>
      <c r="C1886" s="224" t="s">
        <v>2128</v>
      </c>
      <c r="D1886" s="223">
        <v>2006</v>
      </c>
      <c r="E1886" s="224">
        <v>1999</v>
      </c>
      <c r="F1886" s="223" t="s">
        <v>948</v>
      </c>
      <c r="G1886" s="223" t="s">
        <v>2042</v>
      </c>
      <c r="H1886" s="252" t="s">
        <v>2831</v>
      </c>
      <c r="I1886" s="224">
        <v>32.56</v>
      </c>
      <c r="J1886" s="224">
        <v>-83.91</v>
      </c>
      <c r="K1886" s="225">
        <v>16</v>
      </c>
      <c r="L1886" s="225">
        <v>18.100000000000001</v>
      </c>
      <c r="M1886" s="224"/>
      <c r="N1886" s="225">
        <v>1258</v>
      </c>
      <c r="O1886" s="224"/>
      <c r="P1886" s="224"/>
      <c r="Q1886" s="225">
        <v>6</v>
      </c>
      <c r="R1886" s="226" t="s">
        <v>1984</v>
      </c>
      <c r="T1886" s="226" t="s">
        <v>2112</v>
      </c>
      <c r="U1886" s="227" t="s">
        <v>1392</v>
      </c>
      <c r="V1886" s="227">
        <v>10</v>
      </c>
      <c r="W1886" s="227" t="s">
        <v>1392</v>
      </c>
      <c r="X1886" s="227" t="s">
        <v>1421</v>
      </c>
      <c r="Y1886" s="228">
        <f>AVERAGE(Sheet1!BM1886:BN1886)</f>
        <v>1.421</v>
      </c>
      <c r="Z1886" s="364">
        <v>65</v>
      </c>
      <c r="AA1886" s="364">
        <v>25</v>
      </c>
      <c r="AB1886" s="224" t="s">
        <v>241</v>
      </c>
      <c r="AC1886" s="224"/>
      <c r="AD1886" s="224"/>
      <c r="AE1886" s="224"/>
      <c r="AF1886" s="223" t="s">
        <v>2039</v>
      </c>
      <c r="AG1886" s="225" t="s">
        <v>132</v>
      </c>
      <c r="AH1886" s="225" t="s">
        <v>132</v>
      </c>
      <c r="AI1886" s="225" t="s">
        <v>2037</v>
      </c>
      <c r="AJ1886" s="224" t="s">
        <v>1621</v>
      </c>
      <c r="AK1886" s="224"/>
      <c r="AL1886" s="224"/>
      <c r="AM1886" s="224"/>
      <c r="AN1886" s="225" t="s">
        <v>1048</v>
      </c>
      <c r="AO1886" s="225" t="s">
        <v>1048</v>
      </c>
      <c r="AP1886" s="92" t="s">
        <v>2125</v>
      </c>
      <c r="AQ1886" s="224" t="s">
        <v>2041</v>
      </c>
      <c r="AR1886" s="224"/>
      <c r="AS1886" s="229" t="s">
        <v>2035</v>
      </c>
      <c r="AT1886" s="253" t="s">
        <v>161</v>
      </c>
      <c r="AU1886" s="225">
        <v>4</v>
      </c>
      <c r="AV1886" s="225">
        <v>4</v>
      </c>
      <c r="AW1886" s="224" t="s">
        <v>142</v>
      </c>
      <c r="AX1886" s="224"/>
      <c r="AY1886" s="225">
        <f>1/3*13740</f>
        <v>4580</v>
      </c>
      <c r="AZ1886" s="224"/>
      <c r="BA1886" s="224"/>
      <c r="BB1886" s="224"/>
      <c r="BI1886" s="225"/>
      <c r="BJ1886" s="224"/>
      <c r="BM1886" s="440">
        <f t="shared" si="273"/>
        <v>1.421</v>
      </c>
      <c r="BN1886" s="440">
        <v>1.421</v>
      </c>
      <c r="BR1886" s="441">
        <v>0.74595355383532724</v>
      </c>
      <c r="BS1886" s="441">
        <v>0.78114004222378608</v>
      </c>
      <c r="IO1886" s="225" t="s">
        <v>2093</v>
      </c>
      <c r="IP1886" s="224"/>
      <c r="IQ1886" s="230"/>
    </row>
    <row r="1887" spans="1:251" s="36" customFormat="1" x14ac:dyDescent="0.25">
      <c r="A1887" s="223">
        <v>91</v>
      </c>
      <c r="B1887" s="223" t="s">
        <v>769</v>
      </c>
      <c r="C1887" s="224" t="s">
        <v>2128</v>
      </c>
      <c r="D1887" s="223">
        <v>2006</v>
      </c>
      <c r="E1887" s="224">
        <v>1999</v>
      </c>
      <c r="F1887" s="223" t="s">
        <v>948</v>
      </c>
      <c r="G1887" s="223" t="s">
        <v>2042</v>
      </c>
      <c r="H1887" s="252" t="s">
        <v>2831</v>
      </c>
      <c r="I1887" s="224">
        <v>32.56</v>
      </c>
      <c r="J1887" s="224">
        <v>-83.91</v>
      </c>
      <c r="K1887" s="225">
        <v>16</v>
      </c>
      <c r="L1887" s="225">
        <v>18.100000000000001</v>
      </c>
      <c r="M1887" s="224"/>
      <c r="N1887" s="225">
        <v>1258</v>
      </c>
      <c r="O1887" s="224"/>
      <c r="P1887" s="224"/>
      <c r="Q1887" s="225">
        <v>6</v>
      </c>
      <c r="R1887" s="226" t="s">
        <v>1984</v>
      </c>
      <c r="T1887" s="226" t="s">
        <v>2112</v>
      </c>
      <c r="U1887" s="227" t="s">
        <v>1412</v>
      </c>
      <c r="V1887" s="227">
        <v>20</v>
      </c>
      <c r="W1887" s="227" t="s">
        <v>1392</v>
      </c>
      <c r="X1887" s="227" t="s">
        <v>1421</v>
      </c>
      <c r="Y1887" s="228">
        <f>AVERAGE(Sheet1!BM1887:BN1887)</f>
        <v>1.5469999999999999</v>
      </c>
      <c r="Z1887" s="364">
        <v>65</v>
      </c>
      <c r="AA1887" s="364">
        <v>25</v>
      </c>
      <c r="AB1887" s="224" t="s">
        <v>241</v>
      </c>
      <c r="AC1887" s="224"/>
      <c r="AD1887" s="224"/>
      <c r="AE1887" s="224"/>
      <c r="AF1887" s="223" t="s">
        <v>2039</v>
      </c>
      <c r="AG1887" s="225" t="s">
        <v>132</v>
      </c>
      <c r="AH1887" s="225" t="s">
        <v>132</v>
      </c>
      <c r="AI1887" s="225" t="s">
        <v>2037</v>
      </c>
      <c r="AJ1887" s="224" t="s">
        <v>1621</v>
      </c>
      <c r="AK1887" s="224"/>
      <c r="AL1887" s="224"/>
      <c r="AM1887" s="224"/>
      <c r="AN1887" s="225" t="s">
        <v>1048</v>
      </c>
      <c r="AO1887" s="225" t="s">
        <v>1048</v>
      </c>
      <c r="AP1887" s="92" t="s">
        <v>178</v>
      </c>
      <c r="AQ1887" s="224" t="s">
        <v>2041</v>
      </c>
      <c r="AR1887" s="224"/>
      <c r="AS1887" s="229" t="s">
        <v>2035</v>
      </c>
      <c r="AT1887" s="253" t="s">
        <v>161</v>
      </c>
      <c r="AU1887" s="225">
        <v>4</v>
      </c>
      <c r="AV1887" s="225">
        <v>4</v>
      </c>
      <c r="AW1887" s="224" t="s">
        <v>142</v>
      </c>
      <c r="AX1887" s="224"/>
      <c r="AY1887" s="225"/>
      <c r="AZ1887" s="224"/>
      <c r="BA1887" s="224"/>
      <c r="BB1887" s="224"/>
      <c r="BI1887" s="225"/>
      <c r="BJ1887" s="224"/>
      <c r="BM1887" s="440">
        <f t="shared" si="273"/>
        <v>1.5469999999999999</v>
      </c>
      <c r="BN1887" s="440">
        <v>1.5469999999999999</v>
      </c>
      <c r="BR1887" s="441">
        <v>0.44602456367162258</v>
      </c>
      <c r="BS1887" s="441">
        <v>0.50420168067226889</v>
      </c>
      <c r="IO1887" s="225" t="s">
        <v>2093</v>
      </c>
      <c r="IP1887" s="224"/>
      <c r="IQ1887" s="230"/>
    </row>
    <row r="1888" spans="1:251" s="36" customFormat="1" x14ac:dyDescent="0.25">
      <c r="A1888" s="223">
        <v>91</v>
      </c>
      <c r="B1888" s="223" t="s">
        <v>769</v>
      </c>
      <c r="C1888" s="224" t="s">
        <v>2128</v>
      </c>
      <c r="D1888" s="223">
        <v>2006</v>
      </c>
      <c r="E1888" s="224">
        <v>1999</v>
      </c>
      <c r="F1888" s="223" t="s">
        <v>948</v>
      </c>
      <c r="G1888" s="223" t="s">
        <v>2042</v>
      </c>
      <c r="H1888" s="252" t="s">
        <v>2831</v>
      </c>
      <c r="I1888" s="224">
        <v>32.56</v>
      </c>
      <c r="J1888" s="224">
        <v>-83.91</v>
      </c>
      <c r="K1888" s="225">
        <v>16</v>
      </c>
      <c r="L1888" s="225">
        <v>18.100000000000001</v>
      </c>
      <c r="M1888" s="224"/>
      <c r="N1888" s="225">
        <v>1258</v>
      </c>
      <c r="O1888" s="224"/>
      <c r="P1888" s="224"/>
      <c r="Q1888" s="225">
        <v>6</v>
      </c>
      <c r="R1888" s="226" t="s">
        <v>1984</v>
      </c>
      <c r="T1888" s="226" t="s">
        <v>2112</v>
      </c>
      <c r="U1888" s="227" t="s">
        <v>1406</v>
      </c>
      <c r="V1888" s="227">
        <v>30</v>
      </c>
      <c r="W1888" s="227" t="s">
        <v>1392</v>
      </c>
      <c r="X1888" s="227" t="s">
        <v>1421</v>
      </c>
      <c r="Y1888" s="228">
        <f>AVERAGE(Sheet1!BM1888:BN1888)</f>
        <v>1.3979999999999999</v>
      </c>
      <c r="Z1888" s="364">
        <v>65</v>
      </c>
      <c r="AA1888" s="364">
        <v>25</v>
      </c>
      <c r="AB1888" s="224" t="s">
        <v>241</v>
      </c>
      <c r="AC1888" s="224"/>
      <c r="AD1888" s="224"/>
      <c r="AE1888" s="224"/>
      <c r="AF1888" s="223" t="s">
        <v>2039</v>
      </c>
      <c r="AG1888" s="225" t="s">
        <v>132</v>
      </c>
      <c r="AH1888" s="225" t="s">
        <v>132</v>
      </c>
      <c r="AI1888" s="225" t="s">
        <v>2037</v>
      </c>
      <c r="AJ1888" s="224" t="s">
        <v>1621</v>
      </c>
      <c r="AK1888" s="224"/>
      <c r="AL1888" s="224"/>
      <c r="AM1888" s="224"/>
      <c r="AN1888" s="225" t="s">
        <v>1048</v>
      </c>
      <c r="AO1888" s="225" t="s">
        <v>1048</v>
      </c>
      <c r="AP1888" s="92" t="s">
        <v>2125</v>
      </c>
      <c r="AQ1888" s="224" t="s">
        <v>2041</v>
      </c>
      <c r="AR1888" s="224"/>
      <c r="AS1888" s="229" t="s">
        <v>2035</v>
      </c>
      <c r="AT1888" s="253" t="s">
        <v>161</v>
      </c>
      <c r="AU1888" s="225">
        <v>4</v>
      </c>
      <c r="AV1888" s="225">
        <v>4</v>
      </c>
      <c r="AW1888" s="224" t="s">
        <v>142</v>
      </c>
      <c r="AX1888" s="224"/>
      <c r="AY1888" s="225"/>
      <c r="AZ1888" s="224"/>
      <c r="BA1888" s="224"/>
      <c r="BB1888" s="224"/>
      <c r="BI1888" s="225"/>
      <c r="BJ1888" s="224"/>
      <c r="BM1888" s="440">
        <f t="shared" si="273"/>
        <v>1.3979999999999999</v>
      </c>
      <c r="BN1888" s="440">
        <v>1.3979999999999999</v>
      </c>
      <c r="BR1888" s="441">
        <v>0.27896995708154504</v>
      </c>
      <c r="BS1888" s="441">
        <v>0.24558893657606107</v>
      </c>
      <c r="IO1888" s="225" t="s">
        <v>2093</v>
      </c>
      <c r="IP1888" s="224"/>
      <c r="IQ1888" s="230"/>
    </row>
    <row r="1889" spans="1:251" s="36" customFormat="1" x14ac:dyDescent="0.25">
      <c r="A1889" s="223">
        <v>91</v>
      </c>
      <c r="B1889" s="223" t="s">
        <v>769</v>
      </c>
      <c r="C1889" s="224" t="s">
        <v>2128</v>
      </c>
      <c r="D1889" s="223">
        <v>2006</v>
      </c>
      <c r="E1889" s="224">
        <v>1999</v>
      </c>
      <c r="F1889" s="223" t="s">
        <v>948</v>
      </c>
      <c r="G1889" s="223" t="s">
        <v>2042</v>
      </c>
      <c r="H1889" s="252" t="s">
        <v>2831</v>
      </c>
      <c r="I1889" s="224">
        <v>32.56</v>
      </c>
      <c r="J1889" s="224">
        <v>-83.91</v>
      </c>
      <c r="K1889" s="225">
        <v>16</v>
      </c>
      <c r="L1889" s="225">
        <v>18.100000000000001</v>
      </c>
      <c r="M1889" s="224"/>
      <c r="N1889" s="225">
        <v>1258</v>
      </c>
      <c r="O1889" s="224"/>
      <c r="P1889" s="224"/>
      <c r="Q1889" s="225">
        <v>6</v>
      </c>
      <c r="R1889" s="226" t="s">
        <v>1984</v>
      </c>
      <c r="T1889" s="226" t="s">
        <v>2112</v>
      </c>
      <c r="U1889" s="227" t="s">
        <v>1407</v>
      </c>
      <c r="V1889" s="227">
        <v>30</v>
      </c>
      <c r="W1889" s="227" t="s">
        <v>1392</v>
      </c>
      <c r="X1889" s="227" t="s">
        <v>1421</v>
      </c>
      <c r="Y1889" s="228">
        <f>AVERAGE(Sheet1!BM1889:BN1889)</f>
        <v>1.6160000000000001</v>
      </c>
      <c r="Z1889" s="364">
        <v>65</v>
      </c>
      <c r="AA1889" s="364">
        <v>25</v>
      </c>
      <c r="AB1889" s="224" t="s">
        <v>241</v>
      </c>
      <c r="AC1889" s="224"/>
      <c r="AD1889" s="224"/>
      <c r="AE1889" s="224"/>
      <c r="AF1889" s="223" t="s">
        <v>2039</v>
      </c>
      <c r="AG1889" s="225" t="s">
        <v>132</v>
      </c>
      <c r="AH1889" s="225" t="s">
        <v>132</v>
      </c>
      <c r="AI1889" s="225" t="s">
        <v>2037</v>
      </c>
      <c r="AJ1889" s="224" t="s">
        <v>1621</v>
      </c>
      <c r="AK1889" s="224"/>
      <c r="AL1889" s="224"/>
      <c r="AM1889" s="224"/>
      <c r="AN1889" s="225" t="s">
        <v>1048</v>
      </c>
      <c r="AO1889" s="225" t="s">
        <v>1048</v>
      </c>
      <c r="AP1889" s="92" t="s">
        <v>178</v>
      </c>
      <c r="AQ1889" s="224" t="s">
        <v>2041</v>
      </c>
      <c r="AR1889" s="224"/>
      <c r="AS1889" s="229" t="s">
        <v>2035</v>
      </c>
      <c r="AT1889" s="253" t="s">
        <v>161</v>
      </c>
      <c r="AU1889" s="225">
        <v>4</v>
      </c>
      <c r="AV1889" s="225">
        <v>4</v>
      </c>
      <c r="AW1889" s="224" t="s">
        <v>142</v>
      </c>
      <c r="AX1889" s="224"/>
      <c r="AY1889" s="225"/>
      <c r="AZ1889" s="224"/>
      <c r="BA1889" s="224"/>
      <c r="BB1889" s="224"/>
      <c r="BI1889" s="225"/>
      <c r="BJ1889" s="224"/>
      <c r="BM1889" s="440">
        <f t="shared" si="273"/>
        <v>1.6160000000000001</v>
      </c>
      <c r="BN1889" s="440">
        <v>1.6160000000000001</v>
      </c>
      <c r="BR1889" s="441">
        <v>0.19389438943894385</v>
      </c>
      <c r="BS1889" s="441">
        <v>0.16707920792079203</v>
      </c>
      <c r="IO1889" s="225" t="s">
        <v>2093</v>
      </c>
      <c r="IP1889" s="224"/>
      <c r="IQ1889" s="230"/>
    </row>
    <row r="1890" spans="1:251" s="36" customFormat="1" x14ac:dyDescent="0.25">
      <c r="A1890" s="223">
        <v>91</v>
      </c>
      <c r="B1890" s="223" t="s">
        <v>769</v>
      </c>
      <c r="C1890" s="224" t="s">
        <v>2128</v>
      </c>
      <c r="D1890" s="223">
        <v>2006</v>
      </c>
      <c r="E1890" s="224">
        <v>1999</v>
      </c>
      <c r="F1890" s="223" t="s">
        <v>948</v>
      </c>
      <c r="G1890" s="223" t="s">
        <v>2042</v>
      </c>
      <c r="H1890" s="252" t="s">
        <v>2831</v>
      </c>
      <c r="I1890" s="224">
        <v>32.56</v>
      </c>
      <c r="J1890" s="224">
        <v>-83.91</v>
      </c>
      <c r="K1890" s="225">
        <v>16</v>
      </c>
      <c r="L1890" s="225">
        <v>18.100000000000001</v>
      </c>
      <c r="M1890" s="224"/>
      <c r="N1890" s="225">
        <v>1258</v>
      </c>
      <c r="O1890" s="224"/>
      <c r="P1890" s="224"/>
      <c r="Q1890" s="225">
        <v>6</v>
      </c>
      <c r="R1890" s="226" t="s">
        <v>1984</v>
      </c>
      <c r="T1890" s="226" t="s">
        <v>2112</v>
      </c>
      <c r="U1890" s="227" t="s">
        <v>1419</v>
      </c>
      <c r="V1890" s="227">
        <v>30</v>
      </c>
      <c r="W1890" s="227" t="s">
        <v>1392</v>
      </c>
      <c r="X1890" s="227" t="s">
        <v>1421</v>
      </c>
      <c r="Y1890" s="228">
        <f>AVERAGE(Sheet1!BM1890:BN1890)</f>
        <v>1.6279999999999999</v>
      </c>
      <c r="Z1890" s="364">
        <v>65</v>
      </c>
      <c r="AA1890" s="364">
        <v>25</v>
      </c>
      <c r="AB1890" s="224" t="s">
        <v>241</v>
      </c>
      <c r="AC1890" s="224"/>
      <c r="AD1890" s="224"/>
      <c r="AE1890" s="224"/>
      <c r="AF1890" s="223" t="s">
        <v>2039</v>
      </c>
      <c r="AG1890" s="225" t="s">
        <v>132</v>
      </c>
      <c r="AH1890" s="225" t="s">
        <v>132</v>
      </c>
      <c r="AI1890" s="225" t="s">
        <v>2037</v>
      </c>
      <c r="AJ1890" s="224" t="s">
        <v>1621</v>
      </c>
      <c r="AK1890" s="224"/>
      <c r="AL1890" s="224"/>
      <c r="AM1890" s="224"/>
      <c r="AN1890" s="225" t="s">
        <v>1048</v>
      </c>
      <c r="AO1890" s="225" t="s">
        <v>1048</v>
      </c>
      <c r="AP1890" s="92" t="s">
        <v>2125</v>
      </c>
      <c r="AQ1890" s="224" t="s">
        <v>2041</v>
      </c>
      <c r="AR1890" s="224"/>
      <c r="AS1890" s="229" t="s">
        <v>2035</v>
      </c>
      <c r="AT1890" s="253" t="s">
        <v>161</v>
      </c>
      <c r="AU1890" s="225">
        <v>4</v>
      </c>
      <c r="AV1890" s="225">
        <v>4</v>
      </c>
      <c r="AW1890" s="224" t="s">
        <v>142</v>
      </c>
      <c r="AX1890" s="224"/>
      <c r="AY1890" s="225"/>
      <c r="AZ1890" s="224"/>
      <c r="BA1890" s="224"/>
      <c r="BB1890" s="224"/>
      <c r="BI1890" s="225"/>
      <c r="BJ1890" s="224"/>
      <c r="BM1890" s="440">
        <f t="shared" si="273"/>
        <v>1.6279999999999999</v>
      </c>
      <c r="BN1890" s="440">
        <v>1.6279999999999999</v>
      </c>
      <c r="BR1890" s="441">
        <v>0.13104013104013107</v>
      </c>
      <c r="BS1890" s="441">
        <v>0.11875511875511877</v>
      </c>
      <c r="IO1890" s="225" t="s">
        <v>2093</v>
      </c>
      <c r="IP1890" s="224"/>
      <c r="IQ1890" s="230"/>
    </row>
    <row r="1891" spans="1:251" s="92" customFormat="1" x14ac:dyDescent="0.25">
      <c r="A1891" s="252">
        <v>91</v>
      </c>
      <c r="B1891" s="252" t="s">
        <v>769</v>
      </c>
      <c r="C1891" s="253" t="s">
        <v>2128</v>
      </c>
      <c r="D1891" s="252">
        <v>2006</v>
      </c>
      <c r="E1891" s="253">
        <v>1999</v>
      </c>
      <c r="F1891" s="252" t="s">
        <v>948</v>
      </c>
      <c r="G1891" s="252" t="s">
        <v>2042</v>
      </c>
      <c r="H1891" s="252" t="s">
        <v>2831</v>
      </c>
      <c r="I1891" s="253">
        <v>32.56</v>
      </c>
      <c r="J1891" s="253">
        <v>-83.91</v>
      </c>
      <c r="K1891" s="254">
        <v>16</v>
      </c>
      <c r="L1891" s="254">
        <v>18.100000000000001</v>
      </c>
      <c r="M1891" s="253"/>
      <c r="N1891" s="254">
        <v>1258</v>
      </c>
      <c r="O1891" s="253"/>
      <c r="P1891" s="253"/>
      <c r="Q1891" s="254">
        <v>6</v>
      </c>
      <c r="R1891" s="255" t="s">
        <v>1984</v>
      </c>
      <c r="T1891" s="255" t="s">
        <v>2112</v>
      </c>
      <c r="U1891" s="256" t="s">
        <v>1392</v>
      </c>
      <c r="V1891" s="256">
        <v>10</v>
      </c>
      <c r="W1891" s="256" t="s">
        <v>1392</v>
      </c>
      <c r="X1891" s="256" t="s">
        <v>1421</v>
      </c>
      <c r="Y1891" s="257">
        <f>AVERAGE(Sheet1!BM1891:BN1891)</f>
        <v>1.421</v>
      </c>
      <c r="Z1891" s="363">
        <v>65</v>
      </c>
      <c r="AA1891" s="363">
        <v>25</v>
      </c>
      <c r="AB1891" s="253" t="s">
        <v>241</v>
      </c>
      <c r="AC1891" s="253"/>
      <c r="AD1891" s="253"/>
      <c r="AE1891" s="253"/>
      <c r="AF1891" s="252" t="s">
        <v>2039</v>
      </c>
      <c r="AG1891" s="254" t="s">
        <v>132</v>
      </c>
      <c r="AH1891" s="254" t="s">
        <v>132</v>
      </c>
      <c r="AI1891" s="254" t="s">
        <v>2037</v>
      </c>
      <c r="AJ1891" s="253" t="s">
        <v>1621</v>
      </c>
      <c r="AK1891" s="253"/>
      <c r="AL1891" s="253"/>
      <c r="AM1891" s="253"/>
      <c r="AN1891" s="254" t="s">
        <v>1048</v>
      </c>
      <c r="AO1891" s="254" t="s">
        <v>1048</v>
      </c>
      <c r="AP1891" s="92" t="s">
        <v>178</v>
      </c>
      <c r="AQ1891" s="253" t="s">
        <v>2036</v>
      </c>
      <c r="AR1891" s="253"/>
      <c r="AS1891" s="258" t="s">
        <v>2035</v>
      </c>
      <c r="AT1891" s="253" t="s">
        <v>161</v>
      </c>
      <c r="AU1891" s="254">
        <v>4</v>
      </c>
      <c r="AV1891" s="254">
        <v>4</v>
      </c>
      <c r="AW1891" s="253" t="s">
        <v>142</v>
      </c>
      <c r="AX1891" s="253"/>
      <c r="AY1891" s="254">
        <f>1/3*14820</f>
        <v>4940</v>
      </c>
      <c r="AZ1891" s="253"/>
      <c r="BA1891" s="253"/>
      <c r="BB1891" s="253"/>
      <c r="BI1891" s="254"/>
      <c r="BJ1891" s="253"/>
      <c r="BM1891" s="439">
        <f t="shared" si="273"/>
        <v>1.421</v>
      </c>
      <c r="BN1891" s="439">
        <v>1.421</v>
      </c>
      <c r="BR1891" s="438">
        <v>0.7670654468684025</v>
      </c>
      <c r="BS1891" s="438">
        <v>0.80928923293455313</v>
      </c>
      <c r="IO1891" s="254" t="s">
        <v>2093</v>
      </c>
      <c r="IP1891" s="253"/>
      <c r="IQ1891" s="259"/>
    </row>
    <row r="1892" spans="1:251" s="92" customFormat="1" x14ac:dyDescent="0.25">
      <c r="A1892" s="252">
        <v>91</v>
      </c>
      <c r="B1892" s="252" t="s">
        <v>769</v>
      </c>
      <c r="C1892" s="253" t="s">
        <v>2128</v>
      </c>
      <c r="D1892" s="252">
        <v>2006</v>
      </c>
      <c r="E1892" s="253">
        <v>1999</v>
      </c>
      <c r="F1892" s="252" t="s">
        <v>948</v>
      </c>
      <c r="G1892" s="252" t="s">
        <v>2042</v>
      </c>
      <c r="H1892" s="252" t="s">
        <v>2831</v>
      </c>
      <c r="I1892" s="253">
        <v>32.56</v>
      </c>
      <c r="J1892" s="253">
        <v>-83.91</v>
      </c>
      <c r="K1892" s="254">
        <v>16</v>
      </c>
      <c r="L1892" s="254">
        <v>18.100000000000001</v>
      </c>
      <c r="M1892" s="253"/>
      <c r="N1892" s="254">
        <v>1258</v>
      </c>
      <c r="O1892" s="253"/>
      <c r="P1892" s="253"/>
      <c r="Q1892" s="254">
        <v>6</v>
      </c>
      <c r="R1892" s="255" t="s">
        <v>1984</v>
      </c>
      <c r="T1892" s="255" t="s">
        <v>2112</v>
      </c>
      <c r="U1892" s="256" t="s">
        <v>1412</v>
      </c>
      <c r="V1892" s="256">
        <v>20</v>
      </c>
      <c r="W1892" s="256" t="s">
        <v>1392</v>
      </c>
      <c r="X1892" s="256" t="s">
        <v>1421</v>
      </c>
      <c r="Y1892" s="257">
        <f>AVERAGE(Sheet1!BM1892:BN1892)</f>
        <v>1.5469999999999999</v>
      </c>
      <c r="Z1892" s="363">
        <v>65</v>
      </c>
      <c r="AA1892" s="363">
        <v>25</v>
      </c>
      <c r="AB1892" s="253" t="s">
        <v>241</v>
      </c>
      <c r="AC1892" s="253"/>
      <c r="AD1892" s="253"/>
      <c r="AE1892" s="253"/>
      <c r="AF1892" s="252" t="s">
        <v>2039</v>
      </c>
      <c r="AG1892" s="254" t="s">
        <v>132</v>
      </c>
      <c r="AH1892" s="254" t="s">
        <v>132</v>
      </c>
      <c r="AI1892" s="254" t="s">
        <v>2037</v>
      </c>
      <c r="AJ1892" s="253" t="s">
        <v>1621</v>
      </c>
      <c r="AK1892" s="253"/>
      <c r="AL1892" s="253"/>
      <c r="AM1892" s="253"/>
      <c r="AN1892" s="254" t="s">
        <v>1048</v>
      </c>
      <c r="AO1892" s="254" t="s">
        <v>1048</v>
      </c>
      <c r="AP1892" s="92" t="s">
        <v>2125</v>
      </c>
      <c r="AQ1892" s="253" t="s">
        <v>2036</v>
      </c>
      <c r="AR1892" s="253"/>
      <c r="AS1892" s="258" t="s">
        <v>2035</v>
      </c>
      <c r="AT1892" s="253" t="s">
        <v>161</v>
      </c>
      <c r="AU1892" s="254">
        <v>4</v>
      </c>
      <c r="AV1892" s="254">
        <v>4</v>
      </c>
      <c r="AW1892" s="253" t="s">
        <v>142</v>
      </c>
      <c r="AX1892" s="253"/>
      <c r="AY1892" s="254"/>
      <c r="AZ1892" s="253"/>
      <c r="BA1892" s="253"/>
      <c r="BB1892" s="253"/>
      <c r="BI1892" s="254"/>
      <c r="BJ1892" s="253"/>
      <c r="BM1892" s="439">
        <f t="shared" si="273"/>
        <v>1.5469999999999999</v>
      </c>
      <c r="BN1892" s="439">
        <v>1.5469999999999999</v>
      </c>
      <c r="BR1892" s="438">
        <v>0.42986425339366519</v>
      </c>
      <c r="BS1892" s="438">
        <v>0.55268261150614095</v>
      </c>
      <c r="IO1892" s="254" t="s">
        <v>2093</v>
      </c>
      <c r="IP1892" s="253"/>
      <c r="IQ1892" s="259"/>
    </row>
    <row r="1893" spans="1:251" s="92" customFormat="1" x14ac:dyDescent="0.25">
      <c r="A1893" s="252">
        <v>91</v>
      </c>
      <c r="B1893" s="252" t="s">
        <v>769</v>
      </c>
      <c r="C1893" s="253" t="s">
        <v>2128</v>
      </c>
      <c r="D1893" s="252">
        <v>2006</v>
      </c>
      <c r="E1893" s="253">
        <v>1999</v>
      </c>
      <c r="F1893" s="252" t="s">
        <v>948</v>
      </c>
      <c r="G1893" s="252" t="s">
        <v>2042</v>
      </c>
      <c r="H1893" s="252" t="s">
        <v>2831</v>
      </c>
      <c r="I1893" s="253">
        <v>32.56</v>
      </c>
      <c r="J1893" s="253">
        <v>-83.91</v>
      </c>
      <c r="K1893" s="254">
        <v>16</v>
      </c>
      <c r="L1893" s="254">
        <v>18.100000000000001</v>
      </c>
      <c r="M1893" s="253"/>
      <c r="N1893" s="254">
        <v>1258</v>
      </c>
      <c r="O1893" s="253"/>
      <c r="P1893" s="253"/>
      <c r="Q1893" s="254">
        <v>6</v>
      </c>
      <c r="R1893" s="255" t="s">
        <v>1984</v>
      </c>
      <c r="T1893" s="255" t="s">
        <v>2112</v>
      </c>
      <c r="U1893" s="256" t="s">
        <v>1406</v>
      </c>
      <c r="V1893" s="256">
        <v>30</v>
      </c>
      <c r="W1893" s="256" t="s">
        <v>1392</v>
      </c>
      <c r="X1893" s="256" t="s">
        <v>1421</v>
      </c>
      <c r="Y1893" s="257">
        <f>AVERAGE(Sheet1!BM1893:BN1893)</f>
        <v>1.3979999999999999</v>
      </c>
      <c r="Z1893" s="363">
        <v>65</v>
      </c>
      <c r="AA1893" s="363">
        <v>25</v>
      </c>
      <c r="AB1893" s="253" t="s">
        <v>241</v>
      </c>
      <c r="AC1893" s="253"/>
      <c r="AD1893" s="253"/>
      <c r="AE1893" s="253"/>
      <c r="AF1893" s="252" t="s">
        <v>2039</v>
      </c>
      <c r="AG1893" s="254" t="s">
        <v>132</v>
      </c>
      <c r="AH1893" s="254" t="s">
        <v>132</v>
      </c>
      <c r="AI1893" s="254" t="s">
        <v>2037</v>
      </c>
      <c r="AJ1893" s="253" t="s">
        <v>1621</v>
      </c>
      <c r="AK1893" s="253"/>
      <c r="AL1893" s="253"/>
      <c r="AM1893" s="253"/>
      <c r="AN1893" s="254" t="s">
        <v>1048</v>
      </c>
      <c r="AO1893" s="254" t="s">
        <v>1048</v>
      </c>
      <c r="AP1893" s="92" t="s">
        <v>178</v>
      </c>
      <c r="AQ1893" s="253" t="s">
        <v>2036</v>
      </c>
      <c r="AR1893" s="253"/>
      <c r="AS1893" s="258" t="s">
        <v>2035</v>
      </c>
      <c r="AT1893" s="253" t="s">
        <v>161</v>
      </c>
      <c r="AU1893" s="254">
        <v>4</v>
      </c>
      <c r="AV1893" s="254">
        <v>4</v>
      </c>
      <c r="AW1893" s="253" t="s">
        <v>142</v>
      </c>
      <c r="AX1893" s="253"/>
      <c r="AY1893" s="254"/>
      <c r="AZ1893" s="253"/>
      <c r="BA1893" s="253"/>
      <c r="BB1893" s="253"/>
      <c r="BI1893" s="254"/>
      <c r="BJ1893" s="253"/>
      <c r="BM1893" s="439">
        <f t="shared" si="273"/>
        <v>1.3979999999999999</v>
      </c>
      <c r="BN1893" s="439">
        <v>1.3979999999999999</v>
      </c>
      <c r="BR1893" s="438">
        <v>0.25035765379113017</v>
      </c>
      <c r="BS1893" s="438">
        <v>0.26943252265140677</v>
      </c>
      <c r="IO1893" s="254" t="s">
        <v>2093</v>
      </c>
      <c r="IP1893" s="253"/>
      <c r="IQ1893" s="259"/>
    </row>
    <row r="1894" spans="1:251" s="92" customFormat="1" x14ac:dyDescent="0.25">
      <c r="A1894" s="252">
        <v>91</v>
      </c>
      <c r="B1894" s="252" t="s">
        <v>769</v>
      </c>
      <c r="C1894" s="253" t="s">
        <v>2128</v>
      </c>
      <c r="D1894" s="252">
        <v>2006</v>
      </c>
      <c r="E1894" s="253">
        <v>1999</v>
      </c>
      <c r="F1894" s="252" t="s">
        <v>948</v>
      </c>
      <c r="G1894" s="252" t="s">
        <v>2042</v>
      </c>
      <c r="H1894" s="252" t="s">
        <v>2831</v>
      </c>
      <c r="I1894" s="253">
        <v>32.56</v>
      </c>
      <c r="J1894" s="253">
        <v>-83.91</v>
      </c>
      <c r="K1894" s="254">
        <v>16</v>
      </c>
      <c r="L1894" s="254">
        <v>18.100000000000001</v>
      </c>
      <c r="M1894" s="253"/>
      <c r="N1894" s="254">
        <v>1258</v>
      </c>
      <c r="O1894" s="253"/>
      <c r="P1894" s="253"/>
      <c r="Q1894" s="254">
        <v>6</v>
      </c>
      <c r="R1894" s="255" t="s">
        <v>1984</v>
      </c>
      <c r="T1894" s="255" t="s">
        <v>2112</v>
      </c>
      <c r="U1894" s="256" t="s">
        <v>1407</v>
      </c>
      <c r="V1894" s="256">
        <v>30</v>
      </c>
      <c r="W1894" s="256" t="s">
        <v>1392</v>
      </c>
      <c r="X1894" s="256" t="s">
        <v>1421</v>
      </c>
      <c r="Y1894" s="257">
        <f>AVERAGE(Sheet1!BM1894:BN1894)</f>
        <v>1.6160000000000001</v>
      </c>
      <c r="Z1894" s="363">
        <v>65</v>
      </c>
      <c r="AA1894" s="363">
        <v>25</v>
      </c>
      <c r="AB1894" s="253" t="s">
        <v>241</v>
      </c>
      <c r="AC1894" s="253"/>
      <c r="AD1894" s="253"/>
      <c r="AE1894" s="253"/>
      <c r="AF1894" s="252" t="s">
        <v>2039</v>
      </c>
      <c r="AG1894" s="254" t="s">
        <v>132</v>
      </c>
      <c r="AH1894" s="254" t="s">
        <v>132</v>
      </c>
      <c r="AI1894" s="254" t="s">
        <v>2037</v>
      </c>
      <c r="AJ1894" s="253" t="s">
        <v>1621</v>
      </c>
      <c r="AK1894" s="253"/>
      <c r="AL1894" s="253"/>
      <c r="AM1894" s="253"/>
      <c r="AN1894" s="254" t="s">
        <v>1048</v>
      </c>
      <c r="AO1894" s="254" t="s">
        <v>1048</v>
      </c>
      <c r="AP1894" s="92" t="s">
        <v>2125</v>
      </c>
      <c r="AQ1894" s="253" t="s">
        <v>2036</v>
      </c>
      <c r="AR1894" s="253"/>
      <c r="AS1894" s="258" t="s">
        <v>2035</v>
      </c>
      <c r="AT1894" s="253" t="s">
        <v>161</v>
      </c>
      <c r="AU1894" s="254">
        <v>4</v>
      </c>
      <c r="AV1894" s="254">
        <v>4</v>
      </c>
      <c r="AW1894" s="253" t="s">
        <v>142</v>
      </c>
      <c r="AX1894" s="253"/>
      <c r="AY1894" s="254"/>
      <c r="AZ1894" s="253"/>
      <c r="BA1894" s="253"/>
      <c r="BB1894" s="253"/>
      <c r="BI1894" s="254"/>
      <c r="BJ1894" s="253"/>
      <c r="BM1894" s="439">
        <f t="shared" si="273"/>
        <v>1.6160000000000001</v>
      </c>
      <c r="BN1894" s="439">
        <v>1.6160000000000001</v>
      </c>
      <c r="BR1894" s="438">
        <v>0.14438943894389436</v>
      </c>
      <c r="BS1894" s="438">
        <v>0.13613861386138612</v>
      </c>
      <c r="IO1894" s="254" t="s">
        <v>2093</v>
      </c>
      <c r="IP1894" s="253"/>
      <c r="IQ1894" s="259"/>
    </row>
    <row r="1895" spans="1:251" s="92" customFormat="1" x14ac:dyDescent="0.25">
      <c r="A1895" s="252">
        <v>91</v>
      </c>
      <c r="B1895" s="252" t="s">
        <v>769</v>
      </c>
      <c r="C1895" s="253" t="s">
        <v>2128</v>
      </c>
      <c r="D1895" s="252">
        <v>2006</v>
      </c>
      <c r="E1895" s="253">
        <v>1999</v>
      </c>
      <c r="F1895" s="252" t="s">
        <v>948</v>
      </c>
      <c r="G1895" s="252" t="s">
        <v>2042</v>
      </c>
      <c r="H1895" s="252" t="s">
        <v>2831</v>
      </c>
      <c r="I1895" s="253">
        <v>32.56</v>
      </c>
      <c r="J1895" s="253">
        <v>-83.91</v>
      </c>
      <c r="K1895" s="254">
        <v>16</v>
      </c>
      <c r="L1895" s="254">
        <v>18.100000000000001</v>
      </c>
      <c r="M1895" s="253"/>
      <c r="N1895" s="254">
        <v>1258</v>
      </c>
      <c r="O1895" s="253"/>
      <c r="P1895" s="253"/>
      <c r="Q1895" s="254">
        <v>6</v>
      </c>
      <c r="R1895" s="255" t="s">
        <v>1984</v>
      </c>
      <c r="T1895" s="255" t="s">
        <v>2112</v>
      </c>
      <c r="U1895" s="256" t="s">
        <v>1419</v>
      </c>
      <c r="V1895" s="256">
        <v>30</v>
      </c>
      <c r="W1895" s="256" t="s">
        <v>1392</v>
      </c>
      <c r="X1895" s="256" t="s">
        <v>1421</v>
      </c>
      <c r="Y1895" s="257">
        <f>AVERAGE(Sheet1!BM1895:BN1895)</f>
        <v>1.6279999999999999</v>
      </c>
      <c r="Z1895" s="363">
        <v>65</v>
      </c>
      <c r="AA1895" s="363">
        <v>25</v>
      </c>
      <c r="AB1895" s="253" t="s">
        <v>241</v>
      </c>
      <c r="AC1895" s="253"/>
      <c r="AD1895" s="253"/>
      <c r="AE1895" s="253"/>
      <c r="AF1895" s="252" t="s">
        <v>2039</v>
      </c>
      <c r="AG1895" s="254" t="s">
        <v>132</v>
      </c>
      <c r="AH1895" s="254" t="s">
        <v>132</v>
      </c>
      <c r="AI1895" s="254" t="s">
        <v>2037</v>
      </c>
      <c r="AJ1895" s="253" t="s">
        <v>1621</v>
      </c>
      <c r="AK1895" s="253"/>
      <c r="AL1895" s="253"/>
      <c r="AM1895" s="253"/>
      <c r="AN1895" s="254" t="s">
        <v>1048</v>
      </c>
      <c r="AO1895" s="254" t="s">
        <v>1048</v>
      </c>
      <c r="AP1895" s="92" t="s">
        <v>178</v>
      </c>
      <c r="AQ1895" s="253" t="s">
        <v>2036</v>
      </c>
      <c r="AR1895" s="253"/>
      <c r="AS1895" s="258" t="s">
        <v>2035</v>
      </c>
      <c r="AT1895" s="253" t="s">
        <v>161</v>
      </c>
      <c r="AU1895" s="254">
        <v>4</v>
      </c>
      <c r="AV1895" s="254">
        <v>4</v>
      </c>
      <c r="AW1895" s="253" t="s">
        <v>142</v>
      </c>
      <c r="AX1895" s="253"/>
      <c r="AY1895" s="254"/>
      <c r="AZ1895" s="253"/>
      <c r="BA1895" s="253"/>
      <c r="BB1895" s="253"/>
      <c r="BI1895" s="254"/>
      <c r="BJ1895" s="253"/>
      <c r="BM1895" s="439">
        <f t="shared" si="273"/>
        <v>1.6279999999999999</v>
      </c>
      <c r="BN1895" s="439">
        <v>1.6279999999999999</v>
      </c>
      <c r="BR1895" s="438">
        <v>0.11466011466011466</v>
      </c>
      <c r="BS1895" s="438">
        <v>0.13923013923013927</v>
      </c>
      <c r="IO1895" s="254" t="s">
        <v>2093</v>
      </c>
      <c r="IP1895" s="253"/>
      <c r="IQ1895" s="259"/>
    </row>
    <row r="1896" spans="1:251" s="36" customFormat="1" x14ac:dyDescent="0.25">
      <c r="A1896" s="223">
        <v>91</v>
      </c>
      <c r="B1896" s="223" t="s">
        <v>769</v>
      </c>
      <c r="C1896" s="224" t="s">
        <v>2128</v>
      </c>
      <c r="D1896" s="223">
        <v>2006</v>
      </c>
      <c r="E1896" s="224">
        <v>1999</v>
      </c>
      <c r="F1896" s="223" t="s">
        <v>948</v>
      </c>
      <c r="G1896" s="223" t="s">
        <v>2042</v>
      </c>
      <c r="H1896" s="252" t="s">
        <v>2831</v>
      </c>
      <c r="I1896" s="224">
        <v>32.56</v>
      </c>
      <c r="J1896" s="224">
        <v>-83.91</v>
      </c>
      <c r="K1896" s="225">
        <v>16</v>
      </c>
      <c r="L1896" s="225">
        <v>18.100000000000001</v>
      </c>
      <c r="M1896" s="224"/>
      <c r="N1896" s="225">
        <v>1258</v>
      </c>
      <c r="O1896" s="224"/>
      <c r="P1896" s="224"/>
      <c r="Q1896" s="225">
        <v>6</v>
      </c>
      <c r="R1896" s="226" t="s">
        <v>1984</v>
      </c>
      <c r="T1896" s="226" t="s">
        <v>2112</v>
      </c>
      <c r="U1896" s="227" t="s">
        <v>1392</v>
      </c>
      <c r="V1896" s="227">
        <v>10</v>
      </c>
      <c r="W1896" s="227" t="s">
        <v>1392</v>
      </c>
      <c r="X1896" s="227" t="s">
        <v>1421</v>
      </c>
      <c r="Y1896" s="228">
        <f>AVERAGE(Sheet1!BM1896:BN1896)</f>
        <v>1.421</v>
      </c>
      <c r="Z1896" s="364">
        <v>65</v>
      </c>
      <c r="AA1896" s="364">
        <v>25</v>
      </c>
      <c r="AB1896" s="224" t="s">
        <v>241</v>
      </c>
      <c r="AC1896" s="224"/>
      <c r="AD1896" s="224"/>
      <c r="AE1896" s="224"/>
      <c r="AF1896" s="223" t="s">
        <v>2039</v>
      </c>
      <c r="AG1896" s="225" t="s">
        <v>244</v>
      </c>
      <c r="AH1896" s="224" t="s">
        <v>578</v>
      </c>
      <c r="AI1896" s="225" t="s">
        <v>2037</v>
      </c>
      <c r="AJ1896" s="224" t="s">
        <v>1621</v>
      </c>
      <c r="AK1896" s="224"/>
      <c r="AL1896" s="224"/>
      <c r="AM1896" s="224"/>
      <c r="AN1896" s="225" t="s">
        <v>1048</v>
      </c>
      <c r="AO1896" s="225" t="s">
        <v>1048</v>
      </c>
      <c r="AP1896" s="92" t="s">
        <v>2125</v>
      </c>
      <c r="AQ1896" s="224" t="s">
        <v>162</v>
      </c>
      <c r="AR1896" s="224"/>
      <c r="AS1896" s="229" t="s">
        <v>2035</v>
      </c>
      <c r="AT1896" s="253" t="s">
        <v>161</v>
      </c>
      <c r="AU1896" s="225">
        <v>4</v>
      </c>
      <c r="AV1896" s="225">
        <v>4</v>
      </c>
      <c r="AW1896" s="224" t="s">
        <v>142</v>
      </c>
      <c r="AX1896" s="224"/>
      <c r="AY1896" s="225">
        <f>1/3*16440</f>
        <v>5480</v>
      </c>
      <c r="AZ1896" s="224"/>
      <c r="BA1896" s="224"/>
      <c r="BB1896" s="224"/>
      <c r="BI1896" s="225"/>
      <c r="BJ1896" s="224"/>
      <c r="BM1896" s="441">
        <f t="shared" si="273"/>
        <v>1.421</v>
      </c>
      <c r="BN1896" s="440">
        <v>1.421</v>
      </c>
      <c r="BR1896" s="441">
        <v>0.74595355383532724</v>
      </c>
      <c r="BS1896" s="441">
        <v>0.83040112596762838</v>
      </c>
      <c r="IO1896" s="225" t="s">
        <v>2093</v>
      </c>
      <c r="IP1896" s="224"/>
      <c r="IQ1896" s="230"/>
    </row>
    <row r="1897" spans="1:251" s="36" customFormat="1" x14ac:dyDescent="0.25">
      <c r="A1897" s="223">
        <v>91</v>
      </c>
      <c r="B1897" s="223" t="s">
        <v>769</v>
      </c>
      <c r="C1897" s="224" t="s">
        <v>2128</v>
      </c>
      <c r="D1897" s="223">
        <v>2006</v>
      </c>
      <c r="E1897" s="224">
        <v>1999</v>
      </c>
      <c r="F1897" s="223" t="s">
        <v>948</v>
      </c>
      <c r="G1897" s="223" t="s">
        <v>2042</v>
      </c>
      <c r="H1897" s="252" t="s">
        <v>2831</v>
      </c>
      <c r="I1897" s="224">
        <v>32.56</v>
      </c>
      <c r="J1897" s="224">
        <v>-83.91</v>
      </c>
      <c r="K1897" s="225">
        <v>16</v>
      </c>
      <c r="L1897" s="225">
        <v>18.100000000000001</v>
      </c>
      <c r="M1897" s="224"/>
      <c r="N1897" s="225">
        <v>1258</v>
      </c>
      <c r="O1897" s="224"/>
      <c r="P1897" s="224"/>
      <c r="Q1897" s="225">
        <v>6</v>
      </c>
      <c r="R1897" s="226" t="s">
        <v>1984</v>
      </c>
      <c r="T1897" s="226" t="s">
        <v>2112</v>
      </c>
      <c r="U1897" s="227" t="s">
        <v>1412</v>
      </c>
      <c r="V1897" s="227">
        <v>20</v>
      </c>
      <c r="W1897" s="227" t="s">
        <v>1392</v>
      </c>
      <c r="X1897" s="227" t="s">
        <v>1421</v>
      </c>
      <c r="Y1897" s="228">
        <f>AVERAGE(Sheet1!BM1897:BN1897)</f>
        <v>1.5469999999999999</v>
      </c>
      <c r="Z1897" s="364">
        <v>65</v>
      </c>
      <c r="AA1897" s="364">
        <v>25</v>
      </c>
      <c r="AB1897" s="224" t="s">
        <v>241</v>
      </c>
      <c r="AC1897" s="224"/>
      <c r="AD1897" s="224"/>
      <c r="AE1897" s="224"/>
      <c r="AF1897" s="223" t="s">
        <v>2039</v>
      </c>
      <c r="AG1897" s="225" t="s">
        <v>244</v>
      </c>
      <c r="AH1897" s="224" t="s">
        <v>578</v>
      </c>
      <c r="AI1897" s="225" t="s">
        <v>2037</v>
      </c>
      <c r="AJ1897" s="224" t="s">
        <v>1621</v>
      </c>
      <c r="AK1897" s="224"/>
      <c r="AL1897" s="224"/>
      <c r="AM1897" s="224"/>
      <c r="AN1897" s="225" t="s">
        <v>1048</v>
      </c>
      <c r="AO1897" s="225" t="s">
        <v>1048</v>
      </c>
      <c r="AP1897" s="92" t="s">
        <v>178</v>
      </c>
      <c r="AQ1897" s="224" t="s">
        <v>162</v>
      </c>
      <c r="AR1897" s="224"/>
      <c r="AS1897" s="229" t="s">
        <v>2035</v>
      </c>
      <c r="AT1897" s="253" t="s">
        <v>161</v>
      </c>
      <c r="AU1897" s="225">
        <v>4</v>
      </c>
      <c r="AV1897" s="225">
        <v>4</v>
      </c>
      <c r="AW1897" s="224" t="s">
        <v>142</v>
      </c>
      <c r="AX1897" s="224"/>
      <c r="AY1897" s="224"/>
      <c r="AZ1897" s="224"/>
      <c r="BA1897" s="224"/>
      <c r="BB1897" s="224"/>
      <c r="BH1897" s="225"/>
      <c r="BI1897" s="225"/>
      <c r="BJ1897" s="224"/>
      <c r="BM1897" s="441">
        <f t="shared" si="273"/>
        <v>1.5469999999999999</v>
      </c>
      <c r="BN1897" s="440">
        <v>1.5469999999999999</v>
      </c>
      <c r="BR1897" s="441">
        <v>0.45248868778280549</v>
      </c>
      <c r="BS1897" s="441">
        <v>0.46541693600517131</v>
      </c>
      <c r="IO1897" s="225" t="s">
        <v>2093</v>
      </c>
      <c r="IP1897" s="224"/>
      <c r="IQ1897" s="230"/>
    </row>
    <row r="1898" spans="1:251" s="36" customFormat="1" x14ac:dyDescent="0.25">
      <c r="A1898" s="223">
        <v>91</v>
      </c>
      <c r="B1898" s="223" t="s">
        <v>769</v>
      </c>
      <c r="C1898" s="224" t="s">
        <v>2128</v>
      </c>
      <c r="D1898" s="223">
        <v>2006</v>
      </c>
      <c r="E1898" s="224">
        <v>1999</v>
      </c>
      <c r="F1898" s="223" t="s">
        <v>948</v>
      </c>
      <c r="G1898" s="223" t="s">
        <v>2042</v>
      </c>
      <c r="H1898" s="252" t="s">
        <v>2831</v>
      </c>
      <c r="I1898" s="224">
        <v>32.56</v>
      </c>
      <c r="J1898" s="224">
        <v>-83.91</v>
      </c>
      <c r="K1898" s="225">
        <v>16</v>
      </c>
      <c r="L1898" s="225">
        <v>18.100000000000001</v>
      </c>
      <c r="M1898" s="224"/>
      <c r="N1898" s="225">
        <v>1258</v>
      </c>
      <c r="O1898" s="224"/>
      <c r="P1898" s="224"/>
      <c r="Q1898" s="225">
        <v>6</v>
      </c>
      <c r="R1898" s="226" t="s">
        <v>1984</v>
      </c>
      <c r="T1898" s="226" t="s">
        <v>2112</v>
      </c>
      <c r="U1898" s="227" t="s">
        <v>1406</v>
      </c>
      <c r="V1898" s="227">
        <v>30</v>
      </c>
      <c r="W1898" s="227" t="s">
        <v>1392</v>
      </c>
      <c r="X1898" s="227" t="s">
        <v>1421</v>
      </c>
      <c r="Y1898" s="228">
        <f>AVERAGE(Sheet1!BM1898:BN1898)</f>
        <v>1.3979999999999999</v>
      </c>
      <c r="Z1898" s="364">
        <v>65</v>
      </c>
      <c r="AA1898" s="364">
        <v>25</v>
      </c>
      <c r="AB1898" s="224" t="s">
        <v>241</v>
      </c>
      <c r="AC1898" s="224"/>
      <c r="AD1898" s="224"/>
      <c r="AE1898" s="224"/>
      <c r="AF1898" s="223" t="s">
        <v>2039</v>
      </c>
      <c r="AG1898" s="225" t="s">
        <v>244</v>
      </c>
      <c r="AH1898" s="224" t="s">
        <v>578</v>
      </c>
      <c r="AI1898" s="225" t="s">
        <v>2037</v>
      </c>
      <c r="AJ1898" s="224" t="s">
        <v>1621</v>
      </c>
      <c r="AK1898" s="224"/>
      <c r="AL1898" s="224"/>
      <c r="AM1898" s="224"/>
      <c r="AN1898" s="225" t="s">
        <v>1048</v>
      </c>
      <c r="AO1898" s="225" t="s">
        <v>1048</v>
      </c>
      <c r="AP1898" s="92" t="s">
        <v>2125</v>
      </c>
      <c r="AQ1898" s="224" t="s">
        <v>162</v>
      </c>
      <c r="AR1898" s="224"/>
      <c r="AS1898" s="229" t="s">
        <v>2035</v>
      </c>
      <c r="AT1898" s="253" t="s">
        <v>161</v>
      </c>
      <c r="AU1898" s="225">
        <v>4</v>
      </c>
      <c r="AV1898" s="225">
        <v>4</v>
      </c>
      <c r="AW1898" s="224" t="s">
        <v>142</v>
      </c>
      <c r="AX1898" s="224"/>
      <c r="AY1898" s="224"/>
      <c r="AZ1898" s="224"/>
      <c r="BA1898" s="224"/>
      <c r="BB1898" s="224"/>
      <c r="BH1898" s="225"/>
      <c r="BI1898" s="225"/>
      <c r="BJ1898" s="224"/>
      <c r="BM1898" s="441">
        <f t="shared" si="273"/>
        <v>1.3979999999999999</v>
      </c>
      <c r="BN1898" s="440">
        <v>1.3979999999999999</v>
      </c>
      <c r="BR1898" s="441">
        <v>0.24082021936099188</v>
      </c>
      <c r="BS1898" s="441">
        <v>0.27896995708154504</v>
      </c>
      <c r="IO1898" s="225" t="s">
        <v>2093</v>
      </c>
      <c r="IP1898" s="224"/>
      <c r="IQ1898" s="230"/>
    </row>
    <row r="1899" spans="1:251" s="36" customFormat="1" x14ac:dyDescent="0.25">
      <c r="A1899" s="223">
        <v>91</v>
      </c>
      <c r="B1899" s="223" t="s">
        <v>769</v>
      </c>
      <c r="C1899" s="224" t="s">
        <v>2128</v>
      </c>
      <c r="D1899" s="223">
        <v>2006</v>
      </c>
      <c r="E1899" s="224">
        <v>1999</v>
      </c>
      <c r="F1899" s="223" t="s">
        <v>948</v>
      </c>
      <c r="G1899" s="223" t="s">
        <v>2042</v>
      </c>
      <c r="H1899" s="252" t="s">
        <v>2831</v>
      </c>
      <c r="I1899" s="224">
        <v>32.56</v>
      </c>
      <c r="J1899" s="224">
        <v>-83.91</v>
      </c>
      <c r="K1899" s="225">
        <v>16</v>
      </c>
      <c r="L1899" s="225">
        <v>18.100000000000001</v>
      </c>
      <c r="M1899" s="224"/>
      <c r="N1899" s="225">
        <v>1258</v>
      </c>
      <c r="O1899" s="224"/>
      <c r="P1899" s="224"/>
      <c r="Q1899" s="225">
        <v>6</v>
      </c>
      <c r="R1899" s="226" t="s">
        <v>1984</v>
      </c>
      <c r="T1899" s="226" t="s">
        <v>2112</v>
      </c>
      <c r="U1899" s="227" t="s">
        <v>1407</v>
      </c>
      <c r="V1899" s="227">
        <v>30</v>
      </c>
      <c r="W1899" s="227" t="s">
        <v>1392</v>
      </c>
      <c r="X1899" s="227" t="s">
        <v>1421</v>
      </c>
      <c r="Y1899" s="228">
        <f>AVERAGE(Sheet1!BM1899:BN1899)</f>
        <v>1.6160000000000001</v>
      </c>
      <c r="Z1899" s="364">
        <v>65</v>
      </c>
      <c r="AA1899" s="364">
        <v>25</v>
      </c>
      <c r="AB1899" s="224" t="s">
        <v>241</v>
      </c>
      <c r="AC1899" s="224"/>
      <c r="AD1899" s="224"/>
      <c r="AE1899" s="224"/>
      <c r="AF1899" s="223" t="s">
        <v>2039</v>
      </c>
      <c r="AG1899" s="225" t="s">
        <v>244</v>
      </c>
      <c r="AH1899" s="224" t="s">
        <v>578</v>
      </c>
      <c r="AI1899" s="225" t="s">
        <v>2037</v>
      </c>
      <c r="AJ1899" s="224" t="s">
        <v>1621</v>
      </c>
      <c r="AK1899" s="224"/>
      <c r="AL1899" s="224"/>
      <c r="AM1899" s="224"/>
      <c r="AN1899" s="225" t="s">
        <v>1048</v>
      </c>
      <c r="AO1899" s="225" t="s">
        <v>1048</v>
      </c>
      <c r="AP1899" s="92" t="s">
        <v>178</v>
      </c>
      <c r="AQ1899" s="224" t="s">
        <v>162</v>
      </c>
      <c r="AR1899" s="224"/>
      <c r="AS1899" s="229" t="s">
        <v>2035</v>
      </c>
      <c r="AT1899" s="253" t="s">
        <v>161</v>
      </c>
      <c r="AU1899" s="225">
        <v>4</v>
      </c>
      <c r="AV1899" s="225">
        <v>4</v>
      </c>
      <c r="AW1899" s="224" t="s">
        <v>142</v>
      </c>
      <c r="AX1899" s="224"/>
      <c r="AY1899" s="224"/>
      <c r="AZ1899" s="224"/>
      <c r="BA1899" s="224"/>
      <c r="BB1899" s="224"/>
      <c r="BH1899" s="225"/>
      <c r="BI1899" s="225"/>
      <c r="BJ1899" s="224"/>
      <c r="BM1899" s="441">
        <f t="shared" si="273"/>
        <v>1.6160000000000001</v>
      </c>
      <c r="BN1899" s="440">
        <v>1.6160000000000001</v>
      </c>
      <c r="BR1899" s="441">
        <v>0.17326732673267325</v>
      </c>
      <c r="BS1899" s="441">
        <v>0.19183168316831681</v>
      </c>
      <c r="IO1899" s="225" t="s">
        <v>2093</v>
      </c>
      <c r="IP1899" s="224"/>
      <c r="IQ1899" s="230"/>
    </row>
    <row r="1900" spans="1:251" s="36" customFormat="1" x14ac:dyDescent="0.25">
      <c r="A1900" s="223">
        <v>91</v>
      </c>
      <c r="B1900" s="223" t="s">
        <v>769</v>
      </c>
      <c r="C1900" s="224" t="s">
        <v>2128</v>
      </c>
      <c r="D1900" s="223">
        <v>2006</v>
      </c>
      <c r="E1900" s="224">
        <v>1999</v>
      </c>
      <c r="F1900" s="223" t="s">
        <v>948</v>
      </c>
      <c r="G1900" s="223" t="s">
        <v>2042</v>
      </c>
      <c r="H1900" s="252" t="s">
        <v>2831</v>
      </c>
      <c r="I1900" s="224">
        <v>32.56</v>
      </c>
      <c r="J1900" s="224">
        <v>-83.91</v>
      </c>
      <c r="K1900" s="225">
        <v>16</v>
      </c>
      <c r="L1900" s="225">
        <v>18.100000000000001</v>
      </c>
      <c r="M1900" s="224"/>
      <c r="N1900" s="225">
        <v>1258</v>
      </c>
      <c r="O1900" s="224"/>
      <c r="P1900" s="224"/>
      <c r="Q1900" s="225">
        <v>6</v>
      </c>
      <c r="R1900" s="226" t="s">
        <v>1984</v>
      </c>
      <c r="T1900" s="226" t="s">
        <v>2112</v>
      </c>
      <c r="U1900" s="227" t="s">
        <v>1419</v>
      </c>
      <c r="V1900" s="227">
        <v>30</v>
      </c>
      <c r="W1900" s="227" t="s">
        <v>1392</v>
      </c>
      <c r="X1900" s="227" t="s">
        <v>1421</v>
      </c>
      <c r="Y1900" s="228">
        <f>AVERAGE(Sheet1!BM1900:BN1900)</f>
        <v>1.6279999999999999</v>
      </c>
      <c r="Z1900" s="364">
        <v>65</v>
      </c>
      <c r="AA1900" s="364">
        <v>25</v>
      </c>
      <c r="AB1900" s="224" t="s">
        <v>241</v>
      </c>
      <c r="AC1900" s="224"/>
      <c r="AD1900" s="224"/>
      <c r="AE1900" s="224"/>
      <c r="AF1900" s="223" t="s">
        <v>2039</v>
      </c>
      <c r="AG1900" s="225" t="s">
        <v>244</v>
      </c>
      <c r="AH1900" s="224" t="s">
        <v>578</v>
      </c>
      <c r="AI1900" s="225" t="s">
        <v>2037</v>
      </c>
      <c r="AJ1900" s="224" t="s">
        <v>1621</v>
      </c>
      <c r="AK1900" s="224"/>
      <c r="AL1900" s="224"/>
      <c r="AM1900" s="224"/>
      <c r="AN1900" s="225" t="s">
        <v>1048</v>
      </c>
      <c r="AO1900" s="225" t="s">
        <v>1048</v>
      </c>
      <c r="AP1900" s="92" t="s">
        <v>2125</v>
      </c>
      <c r="AQ1900" s="224" t="s">
        <v>162</v>
      </c>
      <c r="AR1900" s="224"/>
      <c r="AS1900" s="229" t="s">
        <v>2035</v>
      </c>
      <c r="AT1900" s="253" t="s">
        <v>161</v>
      </c>
      <c r="AU1900" s="225">
        <v>4</v>
      </c>
      <c r="AV1900" s="225">
        <v>4</v>
      </c>
      <c r="AW1900" s="224" t="s">
        <v>142</v>
      </c>
      <c r="AX1900" s="224"/>
      <c r="AY1900" s="224"/>
      <c r="AZ1900" s="224"/>
      <c r="BA1900" s="224"/>
      <c r="BB1900" s="224"/>
      <c r="BH1900" s="225"/>
      <c r="BI1900" s="225"/>
      <c r="BJ1900" s="224"/>
      <c r="BM1900" s="441">
        <f t="shared" si="273"/>
        <v>1.6279999999999999</v>
      </c>
      <c r="BN1900" s="440">
        <v>1.6279999999999999</v>
      </c>
      <c r="BR1900" s="441">
        <v>0.14332514332514337</v>
      </c>
      <c r="BS1900" s="441">
        <v>0.12285012285012287</v>
      </c>
      <c r="IO1900" s="225" t="s">
        <v>2093</v>
      </c>
      <c r="IP1900" s="224"/>
      <c r="IQ1900" s="230"/>
    </row>
    <row r="1901" spans="1:251" s="92" customFormat="1" x14ac:dyDescent="0.25">
      <c r="A1901" s="252">
        <v>91</v>
      </c>
      <c r="B1901" s="252" t="s">
        <v>769</v>
      </c>
      <c r="C1901" s="253" t="s">
        <v>2128</v>
      </c>
      <c r="D1901" s="252">
        <v>2006</v>
      </c>
      <c r="E1901" s="253">
        <v>1999</v>
      </c>
      <c r="F1901" s="252" t="s">
        <v>948</v>
      </c>
      <c r="G1901" s="252" t="s">
        <v>2042</v>
      </c>
      <c r="H1901" s="252" t="s">
        <v>2831</v>
      </c>
      <c r="I1901" s="253">
        <v>32.56</v>
      </c>
      <c r="J1901" s="253">
        <v>-83.91</v>
      </c>
      <c r="K1901" s="254">
        <v>16</v>
      </c>
      <c r="L1901" s="254">
        <v>18.100000000000001</v>
      </c>
      <c r="M1901" s="253"/>
      <c r="N1901" s="254">
        <v>1258</v>
      </c>
      <c r="O1901" s="253"/>
      <c r="P1901" s="253"/>
      <c r="Q1901" s="254">
        <v>6</v>
      </c>
      <c r="R1901" s="255" t="s">
        <v>1984</v>
      </c>
      <c r="T1901" s="255" t="s">
        <v>2112</v>
      </c>
      <c r="U1901" s="256" t="s">
        <v>1392</v>
      </c>
      <c r="V1901" s="256">
        <v>10</v>
      </c>
      <c r="W1901" s="256" t="s">
        <v>1392</v>
      </c>
      <c r="X1901" s="256" t="s">
        <v>1421</v>
      </c>
      <c r="Y1901" s="257">
        <f>AVERAGE(Sheet1!BM1901:BN1901)</f>
        <v>1.421</v>
      </c>
      <c r="Z1901" s="363">
        <v>65</v>
      </c>
      <c r="AA1901" s="363">
        <v>25</v>
      </c>
      <c r="AB1901" s="253" t="s">
        <v>241</v>
      </c>
      <c r="AC1901" s="253"/>
      <c r="AD1901" s="253"/>
      <c r="AE1901" s="253"/>
      <c r="AF1901" s="252" t="s">
        <v>2039</v>
      </c>
      <c r="AG1901" s="254" t="s">
        <v>244</v>
      </c>
      <c r="AH1901" s="253" t="s">
        <v>578</v>
      </c>
      <c r="AI1901" s="254" t="s">
        <v>2037</v>
      </c>
      <c r="AJ1901" s="253" t="s">
        <v>1621</v>
      </c>
      <c r="AK1901" s="253"/>
      <c r="AL1901" s="253"/>
      <c r="AM1901" s="253"/>
      <c r="AN1901" s="254" t="s">
        <v>1048</v>
      </c>
      <c r="AO1901" s="254" t="s">
        <v>1048</v>
      </c>
      <c r="AP1901" s="92" t="s">
        <v>178</v>
      </c>
      <c r="AQ1901" s="253" t="s">
        <v>2041</v>
      </c>
      <c r="AR1901" s="253"/>
      <c r="AS1901" s="258" t="s">
        <v>2035</v>
      </c>
      <c r="AT1901" s="253" t="s">
        <v>161</v>
      </c>
      <c r="AU1901" s="254">
        <v>4</v>
      </c>
      <c r="AV1901" s="254">
        <v>4</v>
      </c>
      <c r="AW1901" s="253" t="s">
        <v>142</v>
      </c>
      <c r="AX1901" s="253"/>
      <c r="AY1901" s="253">
        <f>1/3*16170</f>
        <v>5390</v>
      </c>
      <c r="AZ1901" s="253"/>
      <c r="BA1901" s="253"/>
      <c r="BB1901" s="253"/>
      <c r="BH1901" s="254"/>
      <c r="BI1901" s="254"/>
      <c r="BJ1901" s="253"/>
      <c r="BM1901" s="439">
        <f t="shared" si="273"/>
        <v>1.421</v>
      </c>
      <c r="BN1901" s="439">
        <v>1.421</v>
      </c>
      <c r="BR1901" s="438">
        <v>0.74595355383532724</v>
      </c>
      <c r="BS1901" s="438">
        <v>0.78817733990147776</v>
      </c>
      <c r="IO1901" s="254" t="s">
        <v>2093</v>
      </c>
      <c r="IP1901" s="253"/>
      <c r="IQ1901" s="259"/>
    </row>
    <row r="1902" spans="1:251" s="92" customFormat="1" x14ac:dyDescent="0.25">
      <c r="A1902" s="252">
        <v>91</v>
      </c>
      <c r="B1902" s="252" t="s">
        <v>769</v>
      </c>
      <c r="C1902" s="253" t="s">
        <v>2128</v>
      </c>
      <c r="D1902" s="252">
        <v>2006</v>
      </c>
      <c r="E1902" s="253">
        <v>1999</v>
      </c>
      <c r="F1902" s="252" t="s">
        <v>948</v>
      </c>
      <c r="G1902" s="252" t="s">
        <v>2042</v>
      </c>
      <c r="H1902" s="252" t="s">
        <v>2831</v>
      </c>
      <c r="I1902" s="253">
        <v>32.56</v>
      </c>
      <c r="J1902" s="253">
        <v>-83.91</v>
      </c>
      <c r="K1902" s="254">
        <v>16</v>
      </c>
      <c r="L1902" s="254">
        <v>18.100000000000001</v>
      </c>
      <c r="M1902" s="253"/>
      <c r="N1902" s="254">
        <v>1258</v>
      </c>
      <c r="O1902" s="253"/>
      <c r="P1902" s="253"/>
      <c r="Q1902" s="254">
        <v>6</v>
      </c>
      <c r="R1902" s="255" t="s">
        <v>1984</v>
      </c>
      <c r="T1902" s="255" t="s">
        <v>2112</v>
      </c>
      <c r="U1902" s="256" t="s">
        <v>1412</v>
      </c>
      <c r="V1902" s="256">
        <v>20</v>
      </c>
      <c r="W1902" s="256" t="s">
        <v>1392</v>
      </c>
      <c r="X1902" s="256" t="s">
        <v>1421</v>
      </c>
      <c r="Y1902" s="257">
        <f>AVERAGE(Sheet1!BM1902:BN1902)</f>
        <v>1.5469999999999999</v>
      </c>
      <c r="Z1902" s="363">
        <v>65</v>
      </c>
      <c r="AA1902" s="363">
        <v>25</v>
      </c>
      <c r="AB1902" s="253" t="s">
        <v>241</v>
      </c>
      <c r="AC1902" s="253"/>
      <c r="AD1902" s="253"/>
      <c r="AE1902" s="253"/>
      <c r="AF1902" s="252" t="s">
        <v>2039</v>
      </c>
      <c r="AG1902" s="254" t="s">
        <v>244</v>
      </c>
      <c r="AH1902" s="253" t="s">
        <v>578</v>
      </c>
      <c r="AI1902" s="254" t="s">
        <v>2037</v>
      </c>
      <c r="AJ1902" s="253" t="s">
        <v>1621</v>
      </c>
      <c r="AK1902" s="253"/>
      <c r="AL1902" s="253"/>
      <c r="AM1902" s="253"/>
      <c r="AN1902" s="254" t="s">
        <v>1048</v>
      </c>
      <c r="AO1902" s="254" t="s">
        <v>1048</v>
      </c>
      <c r="AP1902" s="92" t="s">
        <v>2125</v>
      </c>
      <c r="AQ1902" s="253" t="s">
        <v>2041</v>
      </c>
      <c r="AR1902" s="253"/>
      <c r="AS1902" s="258" t="s">
        <v>2035</v>
      </c>
      <c r="AT1902" s="253" t="s">
        <v>161</v>
      </c>
      <c r="AU1902" s="254">
        <v>4</v>
      </c>
      <c r="AV1902" s="254">
        <v>4</v>
      </c>
      <c r="AW1902" s="253" t="s">
        <v>142</v>
      </c>
      <c r="AX1902" s="253"/>
      <c r="AY1902" s="253"/>
      <c r="AZ1902" s="253"/>
      <c r="BA1902" s="253"/>
      <c r="BB1902" s="253"/>
      <c r="BH1902" s="254"/>
      <c r="BI1902" s="254"/>
      <c r="BJ1902" s="253"/>
      <c r="BM1902" s="439">
        <f t="shared" si="273"/>
        <v>1.5469999999999999</v>
      </c>
      <c r="BN1902" s="439">
        <v>1.5469999999999999</v>
      </c>
      <c r="BR1902" s="438">
        <v>0.44602456367162258</v>
      </c>
      <c r="BS1902" s="438">
        <v>0.52036199095022628</v>
      </c>
      <c r="IO1902" s="254" t="s">
        <v>2093</v>
      </c>
      <c r="IP1902" s="253"/>
      <c r="IQ1902" s="259"/>
    </row>
    <row r="1903" spans="1:251" s="92" customFormat="1" x14ac:dyDescent="0.25">
      <c r="A1903" s="252">
        <v>91</v>
      </c>
      <c r="B1903" s="252" t="s">
        <v>769</v>
      </c>
      <c r="C1903" s="253" t="s">
        <v>2128</v>
      </c>
      <c r="D1903" s="252">
        <v>2006</v>
      </c>
      <c r="E1903" s="253">
        <v>1999</v>
      </c>
      <c r="F1903" s="252" t="s">
        <v>948</v>
      </c>
      <c r="G1903" s="252" t="s">
        <v>2042</v>
      </c>
      <c r="H1903" s="252" t="s">
        <v>2831</v>
      </c>
      <c r="I1903" s="253">
        <v>32.56</v>
      </c>
      <c r="J1903" s="253">
        <v>-83.91</v>
      </c>
      <c r="K1903" s="254">
        <v>16</v>
      </c>
      <c r="L1903" s="254">
        <v>18.100000000000001</v>
      </c>
      <c r="M1903" s="253"/>
      <c r="N1903" s="254">
        <v>1258</v>
      </c>
      <c r="O1903" s="253"/>
      <c r="P1903" s="253"/>
      <c r="Q1903" s="254">
        <v>6</v>
      </c>
      <c r="R1903" s="255" t="s">
        <v>1984</v>
      </c>
      <c r="T1903" s="255" t="s">
        <v>2112</v>
      </c>
      <c r="U1903" s="256" t="s">
        <v>1406</v>
      </c>
      <c r="V1903" s="256">
        <v>30</v>
      </c>
      <c r="W1903" s="256" t="s">
        <v>1392</v>
      </c>
      <c r="X1903" s="256" t="s">
        <v>1421</v>
      </c>
      <c r="Y1903" s="257">
        <f>AVERAGE(Sheet1!BM1903:BN1903)</f>
        <v>1.3979999999999999</v>
      </c>
      <c r="Z1903" s="363">
        <v>65</v>
      </c>
      <c r="AA1903" s="363">
        <v>25</v>
      </c>
      <c r="AB1903" s="253" t="s">
        <v>241</v>
      </c>
      <c r="AC1903" s="253"/>
      <c r="AD1903" s="253"/>
      <c r="AE1903" s="253"/>
      <c r="AF1903" s="252" t="s">
        <v>2039</v>
      </c>
      <c r="AG1903" s="254" t="s">
        <v>244</v>
      </c>
      <c r="AH1903" s="253" t="s">
        <v>578</v>
      </c>
      <c r="AI1903" s="254" t="s">
        <v>2037</v>
      </c>
      <c r="AJ1903" s="253" t="s">
        <v>1621</v>
      </c>
      <c r="AK1903" s="253"/>
      <c r="AL1903" s="253"/>
      <c r="AM1903" s="253"/>
      <c r="AN1903" s="254" t="s">
        <v>1048</v>
      </c>
      <c r="AO1903" s="254" t="s">
        <v>1048</v>
      </c>
      <c r="AP1903" s="92" t="s">
        <v>178</v>
      </c>
      <c r="AQ1903" s="253" t="s">
        <v>2041</v>
      </c>
      <c r="AR1903" s="253"/>
      <c r="AS1903" s="258" t="s">
        <v>2035</v>
      </c>
      <c r="AT1903" s="253" t="s">
        <v>161</v>
      </c>
      <c r="AU1903" s="254">
        <v>4</v>
      </c>
      <c r="AV1903" s="254">
        <v>4</v>
      </c>
      <c r="AW1903" s="253" t="s">
        <v>142</v>
      </c>
      <c r="AX1903" s="253"/>
      <c r="AY1903" s="253"/>
      <c r="AZ1903" s="253"/>
      <c r="BA1903" s="253"/>
      <c r="BB1903" s="253"/>
      <c r="BH1903" s="254"/>
      <c r="BI1903" s="254"/>
      <c r="BJ1903" s="253"/>
      <c r="BM1903" s="439">
        <f t="shared" si="273"/>
        <v>1.3979999999999999</v>
      </c>
      <c r="BN1903" s="439">
        <v>1.3979999999999999</v>
      </c>
      <c r="BR1903" s="438">
        <v>0.27896995708154504</v>
      </c>
      <c r="BS1903" s="438">
        <v>0.30758226037195996</v>
      </c>
      <c r="IO1903" s="254" t="s">
        <v>2093</v>
      </c>
      <c r="IP1903" s="253"/>
      <c r="IQ1903" s="259"/>
    </row>
    <row r="1904" spans="1:251" s="92" customFormat="1" x14ac:dyDescent="0.25">
      <c r="A1904" s="252">
        <v>91</v>
      </c>
      <c r="B1904" s="252" t="s">
        <v>769</v>
      </c>
      <c r="C1904" s="253" t="s">
        <v>2128</v>
      </c>
      <c r="D1904" s="252">
        <v>2006</v>
      </c>
      <c r="E1904" s="253">
        <v>1999</v>
      </c>
      <c r="F1904" s="252" t="s">
        <v>948</v>
      </c>
      <c r="G1904" s="252" t="s">
        <v>2042</v>
      </c>
      <c r="H1904" s="252" t="s">
        <v>2831</v>
      </c>
      <c r="I1904" s="253">
        <v>32.56</v>
      </c>
      <c r="J1904" s="253">
        <v>-83.91</v>
      </c>
      <c r="K1904" s="254">
        <v>16</v>
      </c>
      <c r="L1904" s="254">
        <v>18.100000000000001</v>
      </c>
      <c r="M1904" s="253"/>
      <c r="N1904" s="254">
        <v>1258</v>
      </c>
      <c r="O1904" s="253"/>
      <c r="P1904" s="253"/>
      <c r="Q1904" s="254">
        <v>6</v>
      </c>
      <c r="R1904" s="255" t="s">
        <v>1984</v>
      </c>
      <c r="T1904" s="255" t="s">
        <v>2112</v>
      </c>
      <c r="U1904" s="256" t="s">
        <v>1407</v>
      </c>
      <c r="V1904" s="256">
        <v>30</v>
      </c>
      <c r="W1904" s="256" t="s">
        <v>1392</v>
      </c>
      <c r="X1904" s="256" t="s">
        <v>1421</v>
      </c>
      <c r="Y1904" s="257">
        <f>AVERAGE(Sheet1!BM1904:BN1904)</f>
        <v>1.6160000000000001</v>
      </c>
      <c r="Z1904" s="363">
        <v>65</v>
      </c>
      <c r="AA1904" s="363">
        <v>25</v>
      </c>
      <c r="AB1904" s="253" t="s">
        <v>241</v>
      </c>
      <c r="AC1904" s="253"/>
      <c r="AD1904" s="253"/>
      <c r="AE1904" s="253"/>
      <c r="AF1904" s="252" t="s">
        <v>2039</v>
      </c>
      <c r="AG1904" s="254" t="s">
        <v>244</v>
      </c>
      <c r="AH1904" s="253" t="s">
        <v>578</v>
      </c>
      <c r="AI1904" s="254" t="s">
        <v>2037</v>
      </c>
      <c r="AJ1904" s="253" t="s">
        <v>1621</v>
      </c>
      <c r="AK1904" s="253"/>
      <c r="AL1904" s="253"/>
      <c r="AM1904" s="253"/>
      <c r="AN1904" s="254" t="s">
        <v>1048</v>
      </c>
      <c r="AO1904" s="254" t="s">
        <v>1048</v>
      </c>
      <c r="AP1904" s="92" t="s">
        <v>2125</v>
      </c>
      <c r="AQ1904" s="253" t="s">
        <v>2041</v>
      </c>
      <c r="AR1904" s="253"/>
      <c r="AS1904" s="258" t="s">
        <v>2035</v>
      </c>
      <c r="AT1904" s="253" t="s">
        <v>161</v>
      </c>
      <c r="AU1904" s="254">
        <v>4</v>
      </c>
      <c r="AV1904" s="254">
        <v>4</v>
      </c>
      <c r="AW1904" s="253" t="s">
        <v>142</v>
      </c>
      <c r="AX1904" s="253"/>
      <c r="AY1904" s="253"/>
      <c r="AZ1904" s="253"/>
      <c r="BA1904" s="253"/>
      <c r="BB1904" s="253"/>
      <c r="BH1904" s="254"/>
      <c r="BI1904" s="254"/>
      <c r="BJ1904" s="253"/>
      <c r="BM1904" s="439">
        <f t="shared" si="273"/>
        <v>1.6160000000000001</v>
      </c>
      <c r="BN1904" s="439">
        <v>1.6160000000000001</v>
      </c>
      <c r="BR1904" s="438">
        <v>0.19389438943894385</v>
      </c>
      <c r="BS1904" s="438">
        <v>0.16707920792079203</v>
      </c>
      <c r="IO1904" s="254" t="s">
        <v>2093</v>
      </c>
      <c r="IP1904" s="253"/>
      <c r="IQ1904" s="259"/>
    </row>
    <row r="1905" spans="1:251" s="92" customFormat="1" x14ac:dyDescent="0.25">
      <c r="A1905" s="252">
        <v>91</v>
      </c>
      <c r="B1905" s="252" t="s">
        <v>769</v>
      </c>
      <c r="C1905" s="253" t="s">
        <v>2128</v>
      </c>
      <c r="D1905" s="252">
        <v>2006</v>
      </c>
      <c r="E1905" s="253">
        <v>1999</v>
      </c>
      <c r="F1905" s="252" t="s">
        <v>948</v>
      </c>
      <c r="G1905" s="252" t="s">
        <v>2042</v>
      </c>
      <c r="H1905" s="252" t="s">
        <v>2831</v>
      </c>
      <c r="I1905" s="253">
        <v>32.56</v>
      </c>
      <c r="J1905" s="253">
        <v>-83.91</v>
      </c>
      <c r="K1905" s="254">
        <v>16</v>
      </c>
      <c r="L1905" s="254">
        <v>18.100000000000001</v>
      </c>
      <c r="M1905" s="253"/>
      <c r="N1905" s="254">
        <v>1258</v>
      </c>
      <c r="O1905" s="253"/>
      <c r="P1905" s="253"/>
      <c r="Q1905" s="254">
        <v>6</v>
      </c>
      <c r="R1905" s="255" t="s">
        <v>1984</v>
      </c>
      <c r="T1905" s="255" t="s">
        <v>2112</v>
      </c>
      <c r="U1905" s="256" t="s">
        <v>1419</v>
      </c>
      <c r="V1905" s="256">
        <v>30</v>
      </c>
      <c r="W1905" s="256" t="s">
        <v>1392</v>
      </c>
      <c r="X1905" s="256" t="s">
        <v>1421</v>
      </c>
      <c r="Y1905" s="257">
        <f>AVERAGE(Sheet1!BM1905:BN1905)</f>
        <v>1.6279999999999999</v>
      </c>
      <c r="Z1905" s="363">
        <v>65</v>
      </c>
      <c r="AA1905" s="363">
        <v>25</v>
      </c>
      <c r="AB1905" s="253" t="s">
        <v>241</v>
      </c>
      <c r="AC1905" s="253"/>
      <c r="AD1905" s="253"/>
      <c r="AE1905" s="253"/>
      <c r="AF1905" s="252" t="s">
        <v>2039</v>
      </c>
      <c r="AG1905" s="254" t="s">
        <v>244</v>
      </c>
      <c r="AH1905" s="253" t="s">
        <v>578</v>
      </c>
      <c r="AI1905" s="254" t="s">
        <v>2037</v>
      </c>
      <c r="AJ1905" s="253" t="s">
        <v>1621</v>
      </c>
      <c r="AK1905" s="253"/>
      <c r="AL1905" s="253"/>
      <c r="AM1905" s="253"/>
      <c r="AN1905" s="254" t="s">
        <v>1048</v>
      </c>
      <c r="AO1905" s="254" t="s">
        <v>1048</v>
      </c>
      <c r="AP1905" s="92" t="s">
        <v>178</v>
      </c>
      <c r="AQ1905" s="253" t="s">
        <v>2041</v>
      </c>
      <c r="AR1905" s="253"/>
      <c r="AS1905" s="258" t="s">
        <v>2035</v>
      </c>
      <c r="AT1905" s="253" t="s">
        <v>161</v>
      </c>
      <c r="AU1905" s="254">
        <v>4</v>
      </c>
      <c r="AV1905" s="254">
        <v>4</v>
      </c>
      <c r="AW1905" s="253" t="s">
        <v>142</v>
      </c>
      <c r="AX1905" s="253"/>
      <c r="AY1905" s="253"/>
      <c r="AZ1905" s="253"/>
      <c r="BA1905" s="253"/>
      <c r="BB1905" s="253"/>
      <c r="BH1905" s="254"/>
      <c r="BI1905" s="254"/>
      <c r="BJ1905" s="253"/>
      <c r="BM1905" s="439">
        <f t="shared" si="273"/>
        <v>1.6279999999999999</v>
      </c>
      <c r="BN1905" s="439">
        <v>1.6279999999999999</v>
      </c>
      <c r="BR1905" s="438">
        <v>0.13104013104013107</v>
      </c>
      <c r="BS1905" s="438">
        <v>0.128992628992629</v>
      </c>
      <c r="IO1905" s="254" t="s">
        <v>2093</v>
      </c>
      <c r="IP1905" s="253"/>
      <c r="IQ1905" s="259"/>
    </row>
    <row r="1906" spans="1:251" s="36" customFormat="1" x14ac:dyDescent="0.25">
      <c r="A1906" s="223">
        <v>91</v>
      </c>
      <c r="B1906" s="223" t="s">
        <v>769</v>
      </c>
      <c r="C1906" s="224" t="s">
        <v>2128</v>
      </c>
      <c r="D1906" s="223">
        <v>2006</v>
      </c>
      <c r="E1906" s="224">
        <v>1999</v>
      </c>
      <c r="F1906" s="223" t="s">
        <v>948</v>
      </c>
      <c r="G1906" s="223" t="s">
        <v>2042</v>
      </c>
      <c r="H1906" s="252" t="s">
        <v>2831</v>
      </c>
      <c r="I1906" s="224">
        <v>32.56</v>
      </c>
      <c r="J1906" s="224">
        <v>-83.91</v>
      </c>
      <c r="K1906" s="225">
        <v>16</v>
      </c>
      <c r="L1906" s="225">
        <v>18.100000000000001</v>
      </c>
      <c r="M1906" s="224"/>
      <c r="N1906" s="225">
        <v>1258</v>
      </c>
      <c r="O1906" s="224"/>
      <c r="P1906" s="224"/>
      <c r="Q1906" s="225">
        <v>6</v>
      </c>
      <c r="R1906" s="226" t="s">
        <v>1984</v>
      </c>
      <c r="T1906" s="226" t="s">
        <v>2112</v>
      </c>
      <c r="U1906" s="227" t="s">
        <v>1392</v>
      </c>
      <c r="V1906" s="227">
        <v>10</v>
      </c>
      <c r="W1906" s="227" t="s">
        <v>1392</v>
      </c>
      <c r="X1906" s="227" t="s">
        <v>1421</v>
      </c>
      <c r="Y1906" s="228">
        <f>AVERAGE(Sheet1!BM1906:BN1906)</f>
        <v>1.421</v>
      </c>
      <c r="Z1906" s="364">
        <v>65</v>
      </c>
      <c r="AA1906" s="364">
        <v>25</v>
      </c>
      <c r="AB1906" s="224" t="s">
        <v>241</v>
      </c>
      <c r="AC1906" s="224"/>
      <c r="AD1906" s="224"/>
      <c r="AE1906" s="224"/>
      <c r="AF1906" s="223" t="s">
        <v>2039</v>
      </c>
      <c r="AG1906" s="225" t="s">
        <v>244</v>
      </c>
      <c r="AH1906" s="224" t="s">
        <v>578</v>
      </c>
      <c r="AI1906" s="225" t="s">
        <v>2037</v>
      </c>
      <c r="AJ1906" s="224" t="s">
        <v>1621</v>
      </c>
      <c r="AK1906" s="224"/>
      <c r="AL1906" s="224"/>
      <c r="AM1906" s="224"/>
      <c r="AN1906" s="225" t="s">
        <v>1048</v>
      </c>
      <c r="AO1906" s="225" t="s">
        <v>1048</v>
      </c>
      <c r="AP1906" s="92" t="s">
        <v>2125</v>
      </c>
      <c r="AQ1906" s="224" t="s">
        <v>2036</v>
      </c>
      <c r="AR1906" s="224"/>
      <c r="AS1906" s="229" t="s">
        <v>2035</v>
      </c>
      <c r="AT1906" s="253" t="s">
        <v>161</v>
      </c>
      <c r="AU1906" s="225">
        <v>4</v>
      </c>
      <c r="AV1906" s="225">
        <v>4</v>
      </c>
      <c r="AW1906" s="224" t="s">
        <v>142</v>
      </c>
      <c r="AX1906" s="224"/>
      <c r="AY1906" s="224">
        <f>1/3*15750</f>
        <v>5250</v>
      </c>
      <c r="AZ1906" s="224"/>
      <c r="BA1906" s="224"/>
      <c r="BB1906" s="224"/>
      <c r="BH1906" s="225"/>
      <c r="BI1906" s="225"/>
      <c r="BJ1906" s="224"/>
      <c r="BM1906" s="440">
        <f t="shared" si="273"/>
        <v>1.421</v>
      </c>
      <c r="BN1906" s="440">
        <v>1.421</v>
      </c>
      <c r="BR1906" s="441">
        <v>0.7670654468684025</v>
      </c>
      <c r="BS1906" s="441">
        <v>0.80928923293455313</v>
      </c>
      <c r="IO1906" s="225" t="s">
        <v>2093</v>
      </c>
      <c r="IP1906" s="224"/>
      <c r="IQ1906" s="230"/>
    </row>
    <row r="1907" spans="1:251" s="36" customFormat="1" x14ac:dyDescent="0.25">
      <c r="A1907" s="223">
        <v>91</v>
      </c>
      <c r="B1907" s="223" t="s">
        <v>769</v>
      </c>
      <c r="C1907" s="224" t="s">
        <v>2128</v>
      </c>
      <c r="D1907" s="223">
        <v>2006</v>
      </c>
      <c r="E1907" s="224">
        <v>1999</v>
      </c>
      <c r="F1907" s="223" t="s">
        <v>948</v>
      </c>
      <c r="G1907" s="223" t="s">
        <v>2042</v>
      </c>
      <c r="H1907" s="252" t="s">
        <v>2831</v>
      </c>
      <c r="I1907" s="224">
        <v>32.56</v>
      </c>
      <c r="J1907" s="224">
        <v>-83.91</v>
      </c>
      <c r="K1907" s="225">
        <v>16</v>
      </c>
      <c r="L1907" s="225">
        <v>18.100000000000001</v>
      </c>
      <c r="M1907" s="224"/>
      <c r="N1907" s="225">
        <v>1258</v>
      </c>
      <c r="O1907" s="224"/>
      <c r="P1907" s="224"/>
      <c r="Q1907" s="225">
        <v>6</v>
      </c>
      <c r="R1907" s="226" t="s">
        <v>1984</v>
      </c>
      <c r="T1907" s="226" t="s">
        <v>2112</v>
      </c>
      <c r="U1907" s="227" t="s">
        <v>1412</v>
      </c>
      <c r="V1907" s="227">
        <v>20</v>
      </c>
      <c r="W1907" s="227" t="s">
        <v>1392</v>
      </c>
      <c r="X1907" s="227" t="s">
        <v>1421</v>
      </c>
      <c r="Y1907" s="228">
        <f>AVERAGE(Sheet1!BM1907:BN1907)</f>
        <v>1.5469999999999999</v>
      </c>
      <c r="Z1907" s="364">
        <v>65</v>
      </c>
      <c r="AA1907" s="364">
        <v>25</v>
      </c>
      <c r="AB1907" s="224" t="s">
        <v>241</v>
      </c>
      <c r="AC1907" s="224"/>
      <c r="AD1907" s="224"/>
      <c r="AE1907" s="224"/>
      <c r="AF1907" s="223" t="s">
        <v>2039</v>
      </c>
      <c r="AG1907" s="225" t="s">
        <v>244</v>
      </c>
      <c r="AH1907" s="224" t="s">
        <v>578</v>
      </c>
      <c r="AI1907" s="225" t="s">
        <v>2037</v>
      </c>
      <c r="AJ1907" s="224" t="s">
        <v>1621</v>
      </c>
      <c r="AK1907" s="224"/>
      <c r="AL1907" s="224"/>
      <c r="AM1907" s="224"/>
      <c r="AN1907" s="225" t="s">
        <v>1048</v>
      </c>
      <c r="AO1907" s="225" t="s">
        <v>1048</v>
      </c>
      <c r="AP1907" s="92" t="s">
        <v>178</v>
      </c>
      <c r="AQ1907" s="224" t="s">
        <v>2036</v>
      </c>
      <c r="AR1907" s="224"/>
      <c r="AS1907" s="229" t="s">
        <v>2035</v>
      </c>
      <c r="AT1907" s="253" t="s">
        <v>161</v>
      </c>
      <c r="AU1907" s="225">
        <v>4</v>
      </c>
      <c r="AV1907" s="225">
        <v>4</v>
      </c>
      <c r="AW1907" s="224" t="s">
        <v>142</v>
      </c>
      <c r="AX1907" s="224"/>
      <c r="AY1907" s="224"/>
      <c r="AZ1907" s="224"/>
      <c r="BA1907" s="224"/>
      <c r="BB1907" s="224"/>
      <c r="BH1907" s="225"/>
      <c r="BI1907" s="225"/>
      <c r="BJ1907" s="224"/>
      <c r="BM1907" s="440">
        <f t="shared" si="273"/>
        <v>1.5469999999999999</v>
      </c>
      <c r="BN1907" s="440">
        <v>1.5469999999999999</v>
      </c>
      <c r="BR1907" s="441">
        <v>0.42986425339366519</v>
      </c>
      <c r="BS1907" s="441">
        <v>0.45248868778280549</v>
      </c>
      <c r="IO1907" s="225" t="s">
        <v>2093</v>
      </c>
      <c r="IP1907" s="224"/>
      <c r="IQ1907" s="230"/>
    </row>
    <row r="1908" spans="1:251" s="36" customFormat="1" x14ac:dyDescent="0.25">
      <c r="A1908" s="223">
        <v>91</v>
      </c>
      <c r="B1908" s="223" t="s">
        <v>769</v>
      </c>
      <c r="C1908" s="224" t="s">
        <v>2128</v>
      </c>
      <c r="D1908" s="223">
        <v>2006</v>
      </c>
      <c r="E1908" s="224">
        <v>1999</v>
      </c>
      <c r="F1908" s="223" t="s">
        <v>948</v>
      </c>
      <c r="G1908" s="223" t="s">
        <v>2042</v>
      </c>
      <c r="H1908" s="252" t="s">
        <v>2831</v>
      </c>
      <c r="I1908" s="224">
        <v>32.56</v>
      </c>
      <c r="J1908" s="224">
        <v>-83.91</v>
      </c>
      <c r="K1908" s="225">
        <v>16</v>
      </c>
      <c r="L1908" s="225">
        <v>18.100000000000001</v>
      </c>
      <c r="M1908" s="224"/>
      <c r="N1908" s="225">
        <v>1258</v>
      </c>
      <c r="O1908" s="224"/>
      <c r="P1908" s="224"/>
      <c r="Q1908" s="225">
        <v>6</v>
      </c>
      <c r="R1908" s="226" t="s">
        <v>1984</v>
      </c>
      <c r="T1908" s="226" t="s">
        <v>2112</v>
      </c>
      <c r="U1908" s="227" t="s">
        <v>1406</v>
      </c>
      <c r="V1908" s="227">
        <v>30</v>
      </c>
      <c r="W1908" s="227" t="s">
        <v>1392</v>
      </c>
      <c r="X1908" s="227" t="s">
        <v>1421</v>
      </c>
      <c r="Y1908" s="228">
        <f>AVERAGE(Sheet1!BM1908:BN1908)</f>
        <v>1.3979999999999999</v>
      </c>
      <c r="Z1908" s="364">
        <v>65</v>
      </c>
      <c r="AA1908" s="364">
        <v>25</v>
      </c>
      <c r="AB1908" s="224" t="s">
        <v>241</v>
      </c>
      <c r="AC1908" s="224"/>
      <c r="AD1908" s="224"/>
      <c r="AE1908" s="224"/>
      <c r="AF1908" s="223" t="s">
        <v>2039</v>
      </c>
      <c r="AG1908" s="225" t="s">
        <v>244</v>
      </c>
      <c r="AH1908" s="224" t="s">
        <v>578</v>
      </c>
      <c r="AI1908" s="225" t="s">
        <v>2037</v>
      </c>
      <c r="AJ1908" s="224" t="s">
        <v>1621</v>
      </c>
      <c r="AK1908" s="224"/>
      <c r="AL1908" s="224"/>
      <c r="AM1908" s="224"/>
      <c r="AN1908" s="225" t="s">
        <v>1048</v>
      </c>
      <c r="AO1908" s="225" t="s">
        <v>1048</v>
      </c>
      <c r="AP1908" s="92" t="s">
        <v>2125</v>
      </c>
      <c r="AQ1908" s="224" t="s">
        <v>2036</v>
      </c>
      <c r="AR1908" s="224"/>
      <c r="AS1908" s="229" t="s">
        <v>2035</v>
      </c>
      <c r="AT1908" s="253" t="s">
        <v>161</v>
      </c>
      <c r="AU1908" s="225">
        <v>4</v>
      </c>
      <c r="AV1908" s="225">
        <v>4</v>
      </c>
      <c r="AW1908" s="224" t="s">
        <v>142</v>
      </c>
      <c r="AX1908" s="224"/>
      <c r="AY1908" s="224"/>
      <c r="AZ1908" s="224"/>
      <c r="BA1908" s="224"/>
      <c r="BB1908" s="224"/>
      <c r="BH1908" s="225"/>
      <c r="BI1908" s="225"/>
      <c r="BJ1908" s="224"/>
      <c r="BM1908" s="440">
        <f t="shared" si="273"/>
        <v>1.3979999999999999</v>
      </c>
      <c r="BN1908" s="440">
        <v>1.3979999999999999</v>
      </c>
      <c r="BR1908" s="441">
        <v>0.25035765379113017</v>
      </c>
      <c r="BS1908" s="441">
        <v>0.2837386742966142</v>
      </c>
      <c r="IO1908" s="225" t="s">
        <v>2093</v>
      </c>
      <c r="IP1908" s="224"/>
      <c r="IQ1908" s="230"/>
    </row>
    <row r="1909" spans="1:251" s="36" customFormat="1" x14ac:dyDescent="0.25">
      <c r="A1909" s="223">
        <v>91</v>
      </c>
      <c r="B1909" s="223" t="s">
        <v>769</v>
      </c>
      <c r="C1909" s="224" t="s">
        <v>2128</v>
      </c>
      <c r="D1909" s="223">
        <v>2006</v>
      </c>
      <c r="E1909" s="224">
        <v>1999</v>
      </c>
      <c r="F1909" s="223" t="s">
        <v>948</v>
      </c>
      <c r="G1909" s="223" t="s">
        <v>2042</v>
      </c>
      <c r="H1909" s="252" t="s">
        <v>2831</v>
      </c>
      <c r="I1909" s="224">
        <v>32.56</v>
      </c>
      <c r="J1909" s="224">
        <v>-83.91</v>
      </c>
      <c r="K1909" s="225">
        <v>16</v>
      </c>
      <c r="L1909" s="225">
        <v>18.100000000000001</v>
      </c>
      <c r="M1909" s="224"/>
      <c r="N1909" s="225">
        <v>1258</v>
      </c>
      <c r="O1909" s="224"/>
      <c r="P1909" s="224"/>
      <c r="Q1909" s="225">
        <v>6</v>
      </c>
      <c r="R1909" s="226" t="s">
        <v>1984</v>
      </c>
      <c r="T1909" s="226" t="s">
        <v>2112</v>
      </c>
      <c r="U1909" s="227" t="s">
        <v>1407</v>
      </c>
      <c r="V1909" s="227">
        <v>30</v>
      </c>
      <c r="W1909" s="227" t="s">
        <v>1392</v>
      </c>
      <c r="X1909" s="227" t="s">
        <v>1421</v>
      </c>
      <c r="Y1909" s="228">
        <f>AVERAGE(Sheet1!BM1909:BN1909)</f>
        <v>1.6160000000000001</v>
      </c>
      <c r="Z1909" s="364">
        <v>65</v>
      </c>
      <c r="AA1909" s="364">
        <v>25</v>
      </c>
      <c r="AB1909" s="224" t="s">
        <v>241</v>
      </c>
      <c r="AC1909" s="224"/>
      <c r="AD1909" s="224"/>
      <c r="AE1909" s="224"/>
      <c r="AF1909" s="223" t="s">
        <v>2039</v>
      </c>
      <c r="AG1909" s="225" t="s">
        <v>244</v>
      </c>
      <c r="AH1909" s="224" t="s">
        <v>578</v>
      </c>
      <c r="AI1909" s="225" t="s">
        <v>2037</v>
      </c>
      <c r="AJ1909" s="224" t="s">
        <v>1621</v>
      </c>
      <c r="AK1909" s="224"/>
      <c r="AL1909" s="224"/>
      <c r="AM1909" s="224"/>
      <c r="AN1909" s="225" t="s">
        <v>1048</v>
      </c>
      <c r="AO1909" s="225" t="s">
        <v>1048</v>
      </c>
      <c r="AP1909" s="92" t="s">
        <v>178</v>
      </c>
      <c r="AQ1909" s="224" t="s">
        <v>2036</v>
      </c>
      <c r="AR1909" s="224"/>
      <c r="AS1909" s="229" t="s">
        <v>2035</v>
      </c>
      <c r="AT1909" s="253" t="s">
        <v>161</v>
      </c>
      <c r="AU1909" s="225">
        <v>4</v>
      </c>
      <c r="AV1909" s="225">
        <v>4</v>
      </c>
      <c r="AW1909" s="224" t="s">
        <v>142</v>
      </c>
      <c r="AX1909" s="224"/>
      <c r="AY1909" s="224"/>
      <c r="AZ1909" s="224"/>
      <c r="BA1909" s="224"/>
      <c r="BB1909" s="224"/>
      <c r="BH1909" s="225"/>
      <c r="BI1909" s="225"/>
      <c r="BJ1909" s="224"/>
      <c r="BM1909" s="440">
        <f t="shared" si="273"/>
        <v>1.6160000000000001</v>
      </c>
      <c r="BN1909" s="440">
        <v>1.6160000000000001</v>
      </c>
      <c r="BR1909" s="441">
        <v>0.14438943894389436</v>
      </c>
      <c r="BS1909" s="441">
        <v>0.18151815181518149</v>
      </c>
      <c r="IO1909" s="225" t="s">
        <v>2093</v>
      </c>
      <c r="IP1909" s="224"/>
      <c r="IQ1909" s="230"/>
    </row>
    <row r="1910" spans="1:251" s="36" customFormat="1" x14ac:dyDescent="0.25">
      <c r="A1910" s="223">
        <v>91</v>
      </c>
      <c r="B1910" s="223" t="s">
        <v>769</v>
      </c>
      <c r="C1910" s="224" t="s">
        <v>2128</v>
      </c>
      <c r="D1910" s="223">
        <v>2006</v>
      </c>
      <c r="E1910" s="224">
        <v>1999</v>
      </c>
      <c r="F1910" s="223" t="s">
        <v>948</v>
      </c>
      <c r="G1910" s="223" t="s">
        <v>2042</v>
      </c>
      <c r="H1910" s="252" t="s">
        <v>2831</v>
      </c>
      <c r="I1910" s="224">
        <v>32.56</v>
      </c>
      <c r="J1910" s="224">
        <v>-83.91</v>
      </c>
      <c r="K1910" s="225">
        <v>16</v>
      </c>
      <c r="L1910" s="225">
        <v>18.100000000000001</v>
      </c>
      <c r="M1910" s="224"/>
      <c r="N1910" s="225">
        <v>1258</v>
      </c>
      <c r="O1910" s="224"/>
      <c r="P1910" s="224"/>
      <c r="Q1910" s="225">
        <v>6</v>
      </c>
      <c r="R1910" s="226" t="s">
        <v>1984</v>
      </c>
      <c r="T1910" s="226" t="s">
        <v>2112</v>
      </c>
      <c r="U1910" s="227" t="s">
        <v>1419</v>
      </c>
      <c r="V1910" s="227">
        <v>30</v>
      </c>
      <c r="W1910" s="227" t="s">
        <v>1392</v>
      </c>
      <c r="X1910" s="227" t="s">
        <v>1421</v>
      </c>
      <c r="Y1910" s="228">
        <f>AVERAGE(Sheet1!BM1910:BN1910)</f>
        <v>1.6279999999999999</v>
      </c>
      <c r="Z1910" s="364">
        <v>65</v>
      </c>
      <c r="AA1910" s="364">
        <v>25</v>
      </c>
      <c r="AB1910" s="224" t="s">
        <v>241</v>
      </c>
      <c r="AC1910" s="224"/>
      <c r="AD1910" s="224"/>
      <c r="AE1910" s="224"/>
      <c r="AF1910" s="223" t="s">
        <v>2039</v>
      </c>
      <c r="AG1910" s="225" t="s">
        <v>244</v>
      </c>
      <c r="AH1910" s="224" t="s">
        <v>578</v>
      </c>
      <c r="AI1910" s="225" t="s">
        <v>2037</v>
      </c>
      <c r="AJ1910" s="224" t="s">
        <v>1621</v>
      </c>
      <c r="AK1910" s="224"/>
      <c r="AL1910" s="224"/>
      <c r="AM1910" s="224"/>
      <c r="AN1910" s="225" t="s">
        <v>1048</v>
      </c>
      <c r="AO1910" s="225" t="s">
        <v>1048</v>
      </c>
      <c r="AP1910" s="92" t="s">
        <v>2125</v>
      </c>
      <c r="AQ1910" s="224" t="s">
        <v>2036</v>
      </c>
      <c r="AR1910" s="224"/>
      <c r="AS1910" s="229" t="s">
        <v>2035</v>
      </c>
      <c r="AT1910" s="253" t="s">
        <v>161</v>
      </c>
      <c r="AU1910" s="225">
        <v>4</v>
      </c>
      <c r="AV1910" s="225">
        <v>4</v>
      </c>
      <c r="AW1910" s="224" t="s">
        <v>142</v>
      </c>
      <c r="AX1910" s="224"/>
      <c r="AY1910" s="224"/>
      <c r="AZ1910" s="224"/>
      <c r="BA1910" s="224"/>
      <c r="BB1910" s="224"/>
      <c r="BH1910" s="225"/>
      <c r="BI1910" s="225"/>
      <c r="BJ1910" s="224"/>
      <c r="BM1910" s="440">
        <f t="shared" si="273"/>
        <v>1.6279999999999999</v>
      </c>
      <c r="BN1910" s="440">
        <v>1.6279999999999999</v>
      </c>
      <c r="BR1910" s="441">
        <v>0.11466011466011466</v>
      </c>
      <c r="BS1910" s="441">
        <v>0.12694512694512697</v>
      </c>
      <c r="IO1910" s="225" t="s">
        <v>2093</v>
      </c>
      <c r="IP1910" s="224"/>
      <c r="IQ1910" s="230"/>
    </row>
    <row r="1911" spans="1:251" s="92" customFormat="1" x14ac:dyDescent="0.25">
      <c r="A1911" s="252">
        <v>91</v>
      </c>
      <c r="B1911" s="252" t="s">
        <v>769</v>
      </c>
      <c r="C1911" s="253" t="s">
        <v>2128</v>
      </c>
      <c r="D1911" s="252">
        <v>2006</v>
      </c>
      <c r="E1911" s="253">
        <v>1999</v>
      </c>
      <c r="F1911" s="252" t="s">
        <v>948</v>
      </c>
      <c r="G1911" s="252" t="s">
        <v>2042</v>
      </c>
      <c r="H1911" s="252" t="s">
        <v>2831</v>
      </c>
      <c r="I1911" s="253">
        <v>32.56</v>
      </c>
      <c r="J1911" s="253">
        <v>-83.91</v>
      </c>
      <c r="K1911" s="254">
        <v>16</v>
      </c>
      <c r="L1911" s="254">
        <v>18.100000000000001</v>
      </c>
      <c r="M1911" s="253"/>
      <c r="N1911" s="254">
        <v>1258</v>
      </c>
      <c r="O1911" s="253"/>
      <c r="P1911" s="253"/>
      <c r="Q1911" s="254">
        <v>6</v>
      </c>
      <c r="R1911" s="255" t="s">
        <v>1984</v>
      </c>
      <c r="T1911" s="255" t="s">
        <v>2112</v>
      </c>
      <c r="U1911" s="256" t="s">
        <v>1392</v>
      </c>
      <c r="V1911" s="256">
        <v>10</v>
      </c>
      <c r="W1911" s="256" t="s">
        <v>1392</v>
      </c>
      <c r="X1911" s="256" t="s">
        <v>1421</v>
      </c>
      <c r="Y1911" s="257">
        <f>AVERAGE(Sheet1!BM1911:BN1911)</f>
        <v>1.421</v>
      </c>
      <c r="Z1911" s="363">
        <v>65</v>
      </c>
      <c r="AA1911" s="363">
        <v>25</v>
      </c>
      <c r="AB1911" s="253" t="s">
        <v>241</v>
      </c>
      <c r="AC1911" s="253"/>
      <c r="AD1911" s="253"/>
      <c r="AE1911" s="253"/>
      <c r="AF1911" s="252" t="s">
        <v>2039</v>
      </c>
      <c r="AG1911" s="254" t="s">
        <v>2038</v>
      </c>
      <c r="AH1911" s="253" t="s">
        <v>1586</v>
      </c>
      <c r="AI1911" s="254" t="s">
        <v>2037</v>
      </c>
      <c r="AJ1911" s="253" t="s">
        <v>1621</v>
      </c>
      <c r="AK1911" s="253"/>
      <c r="AL1911" s="253"/>
      <c r="AM1911" s="253"/>
      <c r="AN1911" s="254" t="s">
        <v>1048</v>
      </c>
      <c r="AO1911" s="254" t="s">
        <v>1048</v>
      </c>
      <c r="AP1911" s="92" t="s">
        <v>178</v>
      </c>
      <c r="AQ1911" s="253" t="s">
        <v>162</v>
      </c>
      <c r="AR1911" s="253"/>
      <c r="AS1911" s="258" t="s">
        <v>2035</v>
      </c>
      <c r="AT1911" s="253" t="s">
        <v>161</v>
      </c>
      <c r="AU1911" s="254">
        <v>4</v>
      </c>
      <c r="AV1911" s="254">
        <v>4</v>
      </c>
      <c r="AW1911" s="253" t="s">
        <v>142</v>
      </c>
      <c r="AX1911" s="253"/>
      <c r="AY1911" s="253">
        <f>1/3*17730</f>
        <v>5910</v>
      </c>
      <c r="AZ1911" s="253"/>
      <c r="BA1911" s="253"/>
      <c r="BB1911" s="253"/>
      <c r="BH1911" s="254"/>
      <c r="BI1911" s="254"/>
      <c r="BJ1911" s="253"/>
      <c r="BM1911" s="438">
        <f t="shared" si="273"/>
        <v>1.421</v>
      </c>
      <c r="BN1911" s="439">
        <v>1.421</v>
      </c>
      <c r="BR1911" s="438">
        <v>0.74595355383532724</v>
      </c>
      <c r="BS1911" s="438">
        <v>0.74595355383532724</v>
      </c>
      <c r="IO1911" s="254" t="s">
        <v>2093</v>
      </c>
      <c r="IP1911" s="253"/>
      <c r="IQ1911" s="259"/>
    </row>
    <row r="1912" spans="1:251" s="92" customFormat="1" x14ac:dyDescent="0.25">
      <c r="A1912" s="252">
        <v>91</v>
      </c>
      <c r="B1912" s="252" t="s">
        <v>769</v>
      </c>
      <c r="C1912" s="253" t="s">
        <v>2128</v>
      </c>
      <c r="D1912" s="252">
        <v>2006</v>
      </c>
      <c r="E1912" s="253">
        <v>1999</v>
      </c>
      <c r="F1912" s="252" t="s">
        <v>948</v>
      </c>
      <c r="G1912" s="252" t="s">
        <v>2042</v>
      </c>
      <c r="H1912" s="252" t="s">
        <v>2831</v>
      </c>
      <c r="I1912" s="253">
        <v>32.56</v>
      </c>
      <c r="J1912" s="253">
        <v>-83.91</v>
      </c>
      <c r="K1912" s="254">
        <v>16</v>
      </c>
      <c r="L1912" s="254">
        <v>18.100000000000001</v>
      </c>
      <c r="M1912" s="253"/>
      <c r="N1912" s="254">
        <v>1258</v>
      </c>
      <c r="O1912" s="253"/>
      <c r="P1912" s="253"/>
      <c r="Q1912" s="254">
        <v>6</v>
      </c>
      <c r="R1912" s="255" t="s">
        <v>1984</v>
      </c>
      <c r="T1912" s="255" t="s">
        <v>2112</v>
      </c>
      <c r="U1912" s="256" t="s">
        <v>1412</v>
      </c>
      <c r="V1912" s="256">
        <v>20</v>
      </c>
      <c r="W1912" s="256" t="s">
        <v>1392</v>
      </c>
      <c r="X1912" s="256" t="s">
        <v>1421</v>
      </c>
      <c r="Y1912" s="257">
        <f>AVERAGE(Sheet1!BM1912:BN1912)</f>
        <v>1.5469999999999999</v>
      </c>
      <c r="Z1912" s="363">
        <v>65</v>
      </c>
      <c r="AA1912" s="363">
        <v>25</v>
      </c>
      <c r="AB1912" s="253" t="s">
        <v>241</v>
      </c>
      <c r="AC1912" s="253"/>
      <c r="AD1912" s="253"/>
      <c r="AE1912" s="253"/>
      <c r="AF1912" s="252" t="s">
        <v>2039</v>
      </c>
      <c r="AG1912" s="254" t="s">
        <v>2038</v>
      </c>
      <c r="AH1912" s="253" t="s">
        <v>1586</v>
      </c>
      <c r="AI1912" s="254" t="s">
        <v>2037</v>
      </c>
      <c r="AJ1912" s="253" t="s">
        <v>1621</v>
      </c>
      <c r="AK1912" s="253"/>
      <c r="AL1912" s="253"/>
      <c r="AM1912" s="253"/>
      <c r="AN1912" s="254" t="s">
        <v>1048</v>
      </c>
      <c r="AO1912" s="254" t="s">
        <v>1048</v>
      </c>
      <c r="AP1912" s="92" t="s">
        <v>2125</v>
      </c>
      <c r="AQ1912" s="253" t="s">
        <v>162</v>
      </c>
      <c r="AR1912" s="253"/>
      <c r="AS1912" s="258" t="s">
        <v>2035</v>
      </c>
      <c r="AT1912" s="253" t="s">
        <v>161</v>
      </c>
      <c r="AU1912" s="254">
        <v>4</v>
      </c>
      <c r="AV1912" s="254">
        <v>4</v>
      </c>
      <c r="AW1912" s="253" t="s">
        <v>142</v>
      </c>
      <c r="AX1912" s="253"/>
      <c r="AY1912" s="253"/>
      <c r="AZ1912" s="253"/>
      <c r="BA1912" s="253"/>
      <c r="BB1912" s="253"/>
      <c r="BH1912" s="254"/>
      <c r="BI1912" s="254"/>
      <c r="BJ1912" s="253"/>
      <c r="BM1912" s="438">
        <f t="shared" si="273"/>
        <v>1.5469999999999999</v>
      </c>
      <c r="BN1912" s="439">
        <v>1.5469999999999999</v>
      </c>
      <c r="BR1912" s="438">
        <v>0.45248868778280549</v>
      </c>
      <c r="BS1912" s="438">
        <v>0.50096961861667744</v>
      </c>
      <c r="IO1912" s="254" t="s">
        <v>2093</v>
      </c>
      <c r="IP1912" s="253"/>
      <c r="IQ1912" s="259"/>
    </row>
    <row r="1913" spans="1:251" s="92" customFormat="1" x14ac:dyDescent="0.25">
      <c r="A1913" s="252">
        <v>91</v>
      </c>
      <c r="B1913" s="252" t="s">
        <v>769</v>
      </c>
      <c r="C1913" s="253" t="s">
        <v>2128</v>
      </c>
      <c r="D1913" s="252">
        <v>2006</v>
      </c>
      <c r="E1913" s="253">
        <v>1999</v>
      </c>
      <c r="F1913" s="252" t="s">
        <v>948</v>
      </c>
      <c r="G1913" s="252" t="s">
        <v>2042</v>
      </c>
      <c r="H1913" s="252" t="s">
        <v>2831</v>
      </c>
      <c r="I1913" s="253">
        <v>32.56</v>
      </c>
      <c r="J1913" s="253">
        <v>-83.91</v>
      </c>
      <c r="K1913" s="254">
        <v>16</v>
      </c>
      <c r="L1913" s="254">
        <v>18.100000000000001</v>
      </c>
      <c r="M1913" s="253"/>
      <c r="N1913" s="254">
        <v>1258</v>
      </c>
      <c r="O1913" s="253"/>
      <c r="P1913" s="253"/>
      <c r="Q1913" s="254">
        <v>6</v>
      </c>
      <c r="R1913" s="255" t="s">
        <v>1984</v>
      </c>
      <c r="T1913" s="255" t="s">
        <v>2112</v>
      </c>
      <c r="U1913" s="256" t="s">
        <v>1406</v>
      </c>
      <c r="V1913" s="256">
        <v>30</v>
      </c>
      <c r="W1913" s="256" t="s">
        <v>1392</v>
      </c>
      <c r="X1913" s="256" t="s">
        <v>1421</v>
      </c>
      <c r="Y1913" s="257">
        <f>AVERAGE(Sheet1!BM1913:BN1913)</f>
        <v>1.3979999999999999</v>
      </c>
      <c r="Z1913" s="363">
        <v>65</v>
      </c>
      <c r="AA1913" s="363">
        <v>25</v>
      </c>
      <c r="AB1913" s="253" t="s">
        <v>241</v>
      </c>
      <c r="AC1913" s="253"/>
      <c r="AD1913" s="253"/>
      <c r="AE1913" s="253"/>
      <c r="AF1913" s="252" t="s">
        <v>2039</v>
      </c>
      <c r="AG1913" s="254" t="s">
        <v>2038</v>
      </c>
      <c r="AH1913" s="253" t="s">
        <v>1586</v>
      </c>
      <c r="AI1913" s="254" t="s">
        <v>2037</v>
      </c>
      <c r="AJ1913" s="253" t="s">
        <v>1621</v>
      </c>
      <c r="AK1913" s="253"/>
      <c r="AL1913" s="253"/>
      <c r="AM1913" s="253"/>
      <c r="AN1913" s="254" t="s">
        <v>1048</v>
      </c>
      <c r="AO1913" s="254" t="s">
        <v>1048</v>
      </c>
      <c r="AP1913" s="92" t="s">
        <v>178</v>
      </c>
      <c r="AQ1913" s="253" t="s">
        <v>162</v>
      </c>
      <c r="AR1913" s="253"/>
      <c r="AS1913" s="258" t="s">
        <v>2035</v>
      </c>
      <c r="AT1913" s="253" t="s">
        <v>161</v>
      </c>
      <c r="AU1913" s="254">
        <v>4</v>
      </c>
      <c r="AV1913" s="254">
        <v>4</v>
      </c>
      <c r="AW1913" s="253" t="s">
        <v>142</v>
      </c>
      <c r="AX1913" s="253"/>
      <c r="AY1913" s="253"/>
      <c r="AZ1913" s="253"/>
      <c r="BA1913" s="253"/>
      <c r="BB1913" s="253"/>
      <c r="BH1913" s="254"/>
      <c r="BI1913" s="254"/>
      <c r="BJ1913" s="253"/>
      <c r="BM1913" s="438">
        <f t="shared" si="273"/>
        <v>1.3979999999999999</v>
      </c>
      <c r="BN1913" s="439">
        <v>1.3979999999999999</v>
      </c>
      <c r="BR1913" s="438">
        <v>0.24082021936099188</v>
      </c>
      <c r="BS1913" s="438">
        <v>0.27420123986647588</v>
      </c>
      <c r="IO1913" s="254" t="s">
        <v>2093</v>
      </c>
      <c r="IP1913" s="253"/>
      <c r="IQ1913" s="259"/>
    </row>
    <row r="1914" spans="1:251" s="92" customFormat="1" x14ac:dyDescent="0.25">
      <c r="A1914" s="252">
        <v>91</v>
      </c>
      <c r="B1914" s="252" t="s">
        <v>769</v>
      </c>
      <c r="C1914" s="253" t="s">
        <v>2128</v>
      </c>
      <c r="D1914" s="252">
        <v>2006</v>
      </c>
      <c r="E1914" s="253">
        <v>1999</v>
      </c>
      <c r="F1914" s="252" t="s">
        <v>948</v>
      </c>
      <c r="G1914" s="252" t="s">
        <v>2042</v>
      </c>
      <c r="H1914" s="252" t="s">
        <v>2831</v>
      </c>
      <c r="I1914" s="253">
        <v>32.56</v>
      </c>
      <c r="J1914" s="253">
        <v>-83.91</v>
      </c>
      <c r="K1914" s="254">
        <v>16</v>
      </c>
      <c r="L1914" s="254">
        <v>18.100000000000001</v>
      </c>
      <c r="M1914" s="253"/>
      <c r="N1914" s="254">
        <v>1258</v>
      </c>
      <c r="O1914" s="253"/>
      <c r="P1914" s="253"/>
      <c r="Q1914" s="254">
        <v>6</v>
      </c>
      <c r="R1914" s="255" t="s">
        <v>1984</v>
      </c>
      <c r="T1914" s="255" t="s">
        <v>2112</v>
      </c>
      <c r="U1914" s="256" t="s">
        <v>1407</v>
      </c>
      <c r="V1914" s="256">
        <v>30</v>
      </c>
      <c r="W1914" s="256" t="s">
        <v>1392</v>
      </c>
      <c r="X1914" s="256" t="s">
        <v>1421</v>
      </c>
      <c r="Y1914" s="257">
        <f>AVERAGE(Sheet1!BM1914:BN1914)</f>
        <v>1.6160000000000001</v>
      </c>
      <c r="Z1914" s="363">
        <v>65</v>
      </c>
      <c r="AA1914" s="363">
        <v>25</v>
      </c>
      <c r="AB1914" s="253" t="s">
        <v>241</v>
      </c>
      <c r="AC1914" s="253"/>
      <c r="AD1914" s="253"/>
      <c r="AE1914" s="253"/>
      <c r="AF1914" s="252" t="s">
        <v>2039</v>
      </c>
      <c r="AG1914" s="254" t="s">
        <v>2038</v>
      </c>
      <c r="AH1914" s="253" t="s">
        <v>1586</v>
      </c>
      <c r="AI1914" s="254" t="s">
        <v>2037</v>
      </c>
      <c r="AJ1914" s="253" t="s">
        <v>1621</v>
      </c>
      <c r="AK1914" s="253"/>
      <c r="AL1914" s="253"/>
      <c r="AM1914" s="253"/>
      <c r="AN1914" s="254" t="s">
        <v>1048</v>
      </c>
      <c r="AO1914" s="254" t="s">
        <v>1048</v>
      </c>
      <c r="AP1914" s="92" t="s">
        <v>2125</v>
      </c>
      <c r="AQ1914" s="253" t="s">
        <v>162</v>
      </c>
      <c r="AR1914" s="253"/>
      <c r="AS1914" s="258" t="s">
        <v>2035</v>
      </c>
      <c r="AT1914" s="253" t="s">
        <v>161</v>
      </c>
      <c r="AU1914" s="254">
        <v>4</v>
      </c>
      <c r="AV1914" s="254">
        <v>4</v>
      </c>
      <c r="AW1914" s="253" t="s">
        <v>142</v>
      </c>
      <c r="AX1914" s="253"/>
      <c r="AY1914" s="253"/>
      <c r="AZ1914" s="253"/>
      <c r="BA1914" s="253"/>
      <c r="BB1914" s="253"/>
      <c r="BH1914" s="254"/>
      <c r="BI1914" s="254"/>
      <c r="BJ1914" s="253"/>
      <c r="BM1914" s="438">
        <f t="shared" si="273"/>
        <v>1.6160000000000001</v>
      </c>
      <c r="BN1914" s="439">
        <v>1.6160000000000001</v>
      </c>
      <c r="BR1914" s="438">
        <v>0.17326732673267325</v>
      </c>
      <c r="BS1914" s="438">
        <v>0.18564356435643561</v>
      </c>
      <c r="IO1914" s="254" t="s">
        <v>2093</v>
      </c>
      <c r="IP1914" s="253"/>
      <c r="IQ1914" s="259"/>
    </row>
    <row r="1915" spans="1:251" s="92" customFormat="1" x14ac:dyDescent="0.25">
      <c r="A1915" s="252">
        <v>91</v>
      </c>
      <c r="B1915" s="252" t="s">
        <v>769</v>
      </c>
      <c r="C1915" s="253" t="s">
        <v>2128</v>
      </c>
      <c r="D1915" s="252">
        <v>2006</v>
      </c>
      <c r="E1915" s="253">
        <v>1999</v>
      </c>
      <c r="F1915" s="252" t="s">
        <v>948</v>
      </c>
      <c r="G1915" s="252" t="s">
        <v>2042</v>
      </c>
      <c r="H1915" s="252" t="s">
        <v>2831</v>
      </c>
      <c r="I1915" s="253">
        <v>32.56</v>
      </c>
      <c r="J1915" s="253">
        <v>-83.91</v>
      </c>
      <c r="K1915" s="254">
        <v>16</v>
      </c>
      <c r="L1915" s="254">
        <v>18.100000000000001</v>
      </c>
      <c r="M1915" s="253"/>
      <c r="N1915" s="254">
        <v>1258</v>
      </c>
      <c r="O1915" s="253"/>
      <c r="P1915" s="253"/>
      <c r="Q1915" s="254">
        <v>6</v>
      </c>
      <c r="R1915" s="255" t="s">
        <v>1984</v>
      </c>
      <c r="T1915" s="255" t="s">
        <v>2112</v>
      </c>
      <c r="U1915" s="256" t="s">
        <v>1419</v>
      </c>
      <c r="V1915" s="256">
        <v>30</v>
      </c>
      <c r="W1915" s="256" t="s">
        <v>1392</v>
      </c>
      <c r="X1915" s="256" t="s">
        <v>1421</v>
      </c>
      <c r="Y1915" s="257">
        <f>AVERAGE(Sheet1!BM1915:BN1915)</f>
        <v>1.6279999999999999</v>
      </c>
      <c r="Z1915" s="363">
        <v>65</v>
      </c>
      <c r="AA1915" s="363">
        <v>25</v>
      </c>
      <c r="AB1915" s="253" t="s">
        <v>241</v>
      </c>
      <c r="AC1915" s="253"/>
      <c r="AD1915" s="253"/>
      <c r="AE1915" s="253"/>
      <c r="AF1915" s="252" t="s">
        <v>2039</v>
      </c>
      <c r="AG1915" s="254" t="s">
        <v>2038</v>
      </c>
      <c r="AH1915" s="253" t="s">
        <v>1586</v>
      </c>
      <c r="AI1915" s="254" t="s">
        <v>2037</v>
      </c>
      <c r="AJ1915" s="253" t="s">
        <v>1621</v>
      </c>
      <c r="AK1915" s="253"/>
      <c r="AL1915" s="253"/>
      <c r="AM1915" s="253"/>
      <c r="AN1915" s="254" t="s">
        <v>1048</v>
      </c>
      <c r="AO1915" s="254" t="s">
        <v>1048</v>
      </c>
      <c r="AP1915" s="92" t="s">
        <v>178</v>
      </c>
      <c r="AQ1915" s="253" t="s">
        <v>162</v>
      </c>
      <c r="AR1915" s="253"/>
      <c r="AS1915" s="258" t="s">
        <v>2035</v>
      </c>
      <c r="AT1915" s="253" t="s">
        <v>161</v>
      </c>
      <c r="AU1915" s="254">
        <v>4</v>
      </c>
      <c r="AV1915" s="254">
        <v>4</v>
      </c>
      <c r="AW1915" s="253" t="s">
        <v>142</v>
      </c>
      <c r="AX1915" s="253"/>
      <c r="AY1915" s="253"/>
      <c r="AZ1915" s="253"/>
      <c r="BA1915" s="253"/>
      <c r="BB1915" s="253"/>
      <c r="BH1915" s="254"/>
      <c r="BI1915" s="254"/>
      <c r="BJ1915" s="253"/>
      <c r="BM1915" s="438">
        <f t="shared" si="273"/>
        <v>1.6279999999999999</v>
      </c>
      <c r="BN1915" s="439">
        <v>1.6279999999999999</v>
      </c>
      <c r="BR1915" s="438">
        <v>0.14332514332514337</v>
      </c>
      <c r="BS1915" s="438">
        <v>0.13718263718263721</v>
      </c>
      <c r="IO1915" s="254" t="s">
        <v>2093</v>
      </c>
      <c r="IP1915" s="253"/>
      <c r="IQ1915" s="259"/>
    </row>
    <row r="1916" spans="1:251" s="36" customFormat="1" x14ac:dyDescent="0.25">
      <c r="A1916" s="223">
        <v>91</v>
      </c>
      <c r="B1916" s="223" t="s">
        <v>769</v>
      </c>
      <c r="C1916" s="224" t="s">
        <v>2128</v>
      </c>
      <c r="D1916" s="223">
        <v>2006</v>
      </c>
      <c r="E1916" s="224">
        <v>1999</v>
      </c>
      <c r="F1916" s="223" t="s">
        <v>948</v>
      </c>
      <c r="G1916" s="223" t="s">
        <v>2042</v>
      </c>
      <c r="H1916" s="252" t="s">
        <v>2831</v>
      </c>
      <c r="I1916" s="224">
        <v>32.56</v>
      </c>
      <c r="J1916" s="224">
        <v>-83.91</v>
      </c>
      <c r="K1916" s="225">
        <v>16</v>
      </c>
      <c r="L1916" s="225">
        <v>18.100000000000001</v>
      </c>
      <c r="M1916" s="224"/>
      <c r="N1916" s="225">
        <v>1258</v>
      </c>
      <c r="O1916" s="224"/>
      <c r="P1916" s="224"/>
      <c r="Q1916" s="225">
        <v>6</v>
      </c>
      <c r="R1916" s="226" t="s">
        <v>1984</v>
      </c>
      <c r="T1916" s="226" t="s">
        <v>2112</v>
      </c>
      <c r="U1916" s="227" t="s">
        <v>1392</v>
      </c>
      <c r="V1916" s="227">
        <v>10</v>
      </c>
      <c r="W1916" s="227" t="s">
        <v>1392</v>
      </c>
      <c r="X1916" s="227" t="s">
        <v>1421</v>
      </c>
      <c r="Y1916" s="228">
        <f>AVERAGE(Sheet1!BM1916:BN1916)</f>
        <v>1.421</v>
      </c>
      <c r="Z1916" s="364">
        <v>65</v>
      </c>
      <c r="AA1916" s="364">
        <v>25</v>
      </c>
      <c r="AB1916" s="224" t="s">
        <v>241</v>
      </c>
      <c r="AC1916" s="224"/>
      <c r="AD1916" s="224"/>
      <c r="AE1916" s="224"/>
      <c r="AF1916" s="223" t="s">
        <v>2039</v>
      </c>
      <c r="AG1916" s="225" t="s">
        <v>2038</v>
      </c>
      <c r="AH1916" s="224" t="s">
        <v>1586</v>
      </c>
      <c r="AI1916" s="225" t="s">
        <v>2037</v>
      </c>
      <c r="AJ1916" s="224" t="s">
        <v>1621</v>
      </c>
      <c r="AK1916" s="224"/>
      <c r="AL1916" s="224"/>
      <c r="AM1916" s="224"/>
      <c r="AN1916" s="225" t="s">
        <v>1048</v>
      </c>
      <c r="AO1916" s="225" t="s">
        <v>1048</v>
      </c>
      <c r="AP1916" s="92" t="s">
        <v>2125</v>
      </c>
      <c r="AQ1916" s="224" t="s">
        <v>2041</v>
      </c>
      <c r="AR1916" s="224"/>
      <c r="AS1916" s="229" t="s">
        <v>2035</v>
      </c>
      <c r="AT1916" s="253" t="s">
        <v>161</v>
      </c>
      <c r="AU1916" s="225">
        <v>4</v>
      </c>
      <c r="AV1916" s="225">
        <v>4</v>
      </c>
      <c r="AW1916" s="224" t="s">
        <v>142</v>
      </c>
      <c r="AX1916" s="224"/>
      <c r="AY1916" s="224">
        <f>1/3*16490</f>
        <v>5496.6666666666661</v>
      </c>
      <c r="AZ1916" s="224"/>
      <c r="BA1916" s="224"/>
      <c r="BB1916" s="224"/>
      <c r="BH1916" s="225"/>
      <c r="BI1916" s="225"/>
      <c r="BJ1916" s="224"/>
      <c r="BM1916" s="440">
        <f t="shared" si="273"/>
        <v>1.421</v>
      </c>
      <c r="BN1916" s="440">
        <v>1.421</v>
      </c>
      <c r="BR1916" s="441">
        <v>0.74595355383532724</v>
      </c>
      <c r="BS1916" s="441">
        <v>0.7670654468684025</v>
      </c>
      <c r="IO1916" s="225" t="s">
        <v>2093</v>
      </c>
      <c r="IP1916" s="224"/>
      <c r="IQ1916" s="230"/>
    </row>
    <row r="1917" spans="1:251" s="36" customFormat="1" x14ac:dyDescent="0.25">
      <c r="A1917" s="223">
        <v>91</v>
      </c>
      <c r="B1917" s="223" t="s">
        <v>769</v>
      </c>
      <c r="C1917" s="224" t="s">
        <v>2128</v>
      </c>
      <c r="D1917" s="223">
        <v>2006</v>
      </c>
      <c r="E1917" s="224">
        <v>1999</v>
      </c>
      <c r="F1917" s="223" t="s">
        <v>948</v>
      </c>
      <c r="G1917" s="223" t="s">
        <v>2042</v>
      </c>
      <c r="H1917" s="252" t="s">
        <v>2831</v>
      </c>
      <c r="I1917" s="224">
        <v>32.56</v>
      </c>
      <c r="J1917" s="224">
        <v>-83.91</v>
      </c>
      <c r="K1917" s="225">
        <v>16</v>
      </c>
      <c r="L1917" s="225">
        <v>18.100000000000001</v>
      </c>
      <c r="M1917" s="224"/>
      <c r="N1917" s="225">
        <v>1258</v>
      </c>
      <c r="O1917" s="224"/>
      <c r="P1917" s="224"/>
      <c r="Q1917" s="225">
        <v>6</v>
      </c>
      <c r="R1917" s="226" t="s">
        <v>1984</v>
      </c>
      <c r="T1917" s="226" t="s">
        <v>2112</v>
      </c>
      <c r="U1917" s="227" t="s">
        <v>1412</v>
      </c>
      <c r="V1917" s="227">
        <v>20</v>
      </c>
      <c r="W1917" s="227" t="s">
        <v>1392</v>
      </c>
      <c r="X1917" s="227" t="s">
        <v>1421</v>
      </c>
      <c r="Y1917" s="228">
        <f>AVERAGE(Sheet1!BM1917:BN1917)</f>
        <v>1.5469999999999999</v>
      </c>
      <c r="Z1917" s="364">
        <v>65</v>
      </c>
      <c r="AA1917" s="364">
        <v>25</v>
      </c>
      <c r="AB1917" s="224" t="s">
        <v>241</v>
      </c>
      <c r="AC1917" s="224"/>
      <c r="AD1917" s="224"/>
      <c r="AE1917" s="224"/>
      <c r="AF1917" s="223" t="s">
        <v>2039</v>
      </c>
      <c r="AG1917" s="225" t="s">
        <v>2038</v>
      </c>
      <c r="AH1917" s="224" t="s">
        <v>1586</v>
      </c>
      <c r="AI1917" s="225" t="s">
        <v>2037</v>
      </c>
      <c r="AJ1917" s="224" t="s">
        <v>1621</v>
      </c>
      <c r="AK1917" s="224"/>
      <c r="AL1917" s="224"/>
      <c r="AM1917" s="224"/>
      <c r="AN1917" s="225" t="s">
        <v>1048</v>
      </c>
      <c r="AO1917" s="225" t="s">
        <v>1048</v>
      </c>
      <c r="AP1917" s="92" t="s">
        <v>178</v>
      </c>
      <c r="AQ1917" s="224" t="s">
        <v>2041</v>
      </c>
      <c r="AR1917" s="224"/>
      <c r="AS1917" s="229" t="s">
        <v>2035</v>
      </c>
      <c r="AT1917" s="253" t="s">
        <v>161</v>
      </c>
      <c r="AU1917" s="225">
        <v>4</v>
      </c>
      <c r="AV1917" s="225">
        <v>4</v>
      </c>
      <c r="AW1917" s="224" t="s">
        <v>142</v>
      </c>
      <c r="AX1917" s="224"/>
      <c r="AY1917" s="224"/>
      <c r="AZ1917" s="224"/>
      <c r="BA1917" s="224"/>
      <c r="BB1917" s="224"/>
      <c r="BH1917" s="225"/>
      <c r="BI1917" s="225"/>
      <c r="BJ1917" s="224"/>
      <c r="BM1917" s="440">
        <f t="shared" si="273"/>
        <v>1.5469999999999999</v>
      </c>
      <c r="BN1917" s="440">
        <v>1.5469999999999999</v>
      </c>
      <c r="BR1917" s="441">
        <v>0.44602456367162258</v>
      </c>
      <c r="BS1917" s="441">
        <v>0.51712992889463472</v>
      </c>
      <c r="IO1917" s="225" t="s">
        <v>2093</v>
      </c>
      <c r="IP1917" s="224"/>
      <c r="IQ1917" s="230"/>
    </row>
    <row r="1918" spans="1:251" s="36" customFormat="1" x14ac:dyDescent="0.25">
      <c r="A1918" s="223">
        <v>91</v>
      </c>
      <c r="B1918" s="223" t="s">
        <v>769</v>
      </c>
      <c r="C1918" s="224" t="s">
        <v>2128</v>
      </c>
      <c r="D1918" s="223">
        <v>2006</v>
      </c>
      <c r="E1918" s="224">
        <v>1999</v>
      </c>
      <c r="F1918" s="223" t="s">
        <v>948</v>
      </c>
      <c r="G1918" s="223" t="s">
        <v>2042</v>
      </c>
      <c r="H1918" s="252" t="s">
        <v>2831</v>
      </c>
      <c r="I1918" s="224">
        <v>32.56</v>
      </c>
      <c r="J1918" s="224">
        <v>-83.91</v>
      </c>
      <c r="K1918" s="225">
        <v>16</v>
      </c>
      <c r="L1918" s="225">
        <v>18.100000000000001</v>
      </c>
      <c r="M1918" s="224"/>
      <c r="N1918" s="225">
        <v>1258</v>
      </c>
      <c r="O1918" s="224"/>
      <c r="P1918" s="224"/>
      <c r="Q1918" s="225">
        <v>6</v>
      </c>
      <c r="R1918" s="226" t="s">
        <v>1984</v>
      </c>
      <c r="T1918" s="226" t="s">
        <v>2112</v>
      </c>
      <c r="U1918" s="227" t="s">
        <v>1406</v>
      </c>
      <c r="V1918" s="227">
        <v>30</v>
      </c>
      <c r="W1918" s="227" t="s">
        <v>1392</v>
      </c>
      <c r="X1918" s="227" t="s">
        <v>1421</v>
      </c>
      <c r="Y1918" s="228">
        <f>AVERAGE(Sheet1!BM1918:BN1918)</f>
        <v>1.3979999999999999</v>
      </c>
      <c r="Z1918" s="364">
        <v>65</v>
      </c>
      <c r="AA1918" s="364">
        <v>25</v>
      </c>
      <c r="AB1918" s="224" t="s">
        <v>241</v>
      </c>
      <c r="AC1918" s="224"/>
      <c r="AD1918" s="224"/>
      <c r="AE1918" s="224"/>
      <c r="AF1918" s="223" t="s">
        <v>2039</v>
      </c>
      <c r="AG1918" s="225" t="s">
        <v>2038</v>
      </c>
      <c r="AH1918" s="224" t="s">
        <v>1586</v>
      </c>
      <c r="AI1918" s="225" t="s">
        <v>2037</v>
      </c>
      <c r="AJ1918" s="224" t="s">
        <v>1621</v>
      </c>
      <c r="AK1918" s="224"/>
      <c r="AL1918" s="224"/>
      <c r="AM1918" s="224"/>
      <c r="AN1918" s="225" t="s">
        <v>1048</v>
      </c>
      <c r="AO1918" s="225" t="s">
        <v>1048</v>
      </c>
      <c r="AP1918" s="92" t="s">
        <v>2125</v>
      </c>
      <c r="AQ1918" s="224" t="s">
        <v>2041</v>
      </c>
      <c r="AR1918" s="224"/>
      <c r="AS1918" s="229" t="s">
        <v>2035</v>
      </c>
      <c r="AT1918" s="253" t="s">
        <v>161</v>
      </c>
      <c r="AU1918" s="225">
        <v>4</v>
      </c>
      <c r="AV1918" s="225">
        <v>4</v>
      </c>
      <c r="AW1918" s="224" t="s">
        <v>142</v>
      </c>
      <c r="AX1918" s="224"/>
      <c r="AY1918" s="224"/>
      <c r="AZ1918" s="224"/>
      <c r="BA1918" s="224"/>
      <c r="BB1918" s="224"/>
      <c r="BH1918" s="225"/>
      <c r="BI1918" s="225"/>
      <c r="BJ1918" s="224"/>
      <c r="BM1918" s="440">
        <f t="shared" si="273"/>
        <v>1.3979999999999999</v>
      </c>
      <c r="BN1918" s="440">
        <v>1.3979999999999999</v>
      </c>
      <c r="BR1918" s="441">
        <v>0.27896995708154504</v>
      </c>
      <c r="BS1918" s="441">
        <v>0.25512637100619928</v>
      </c>
      <c r="IO1918" s="225" t="s">
        <v>2093</v>
      </c>
      <c r="IP1918" s="224"/>
      <c r="IQ1918" s="230"/>
    </row>
    <row r="1919" spans="1:251" s="36" customFormat="1" x14ac:dyDescent="0.25">
      <c r="A1919" s="223">
        <v>91</v>
      </c>
      <c r="B1919" s="223" t="s">
        <v>769</v>
      </c>
      <c r="C1919" s="224" t="s">
        <v>2128</v>
      </c>
      <c r="D1919" s="223">
        <v>2006</v>
      </c>
      <c r="E1919" s="224">
        <v>1999</v>
      </c>
      <c r="F1919" s="223" t="s">
        <v>948</v>
      </c>
      <c r="G1919" s="223" t="s">
        <v>2042</v>
      </c>
      <c r="H1919" s="252" t="s">
        <v>2831</v>
      </c>
      <c r="I1919" s="224">
        <v>32.56</v>
      </c>
      <c r="J1919" s="224">
        <v>-83.91</v>
      </c>
      <c r="K1919" s="225">
        <v>16</v>
      </c>
      <c r="L1919" s="225">
        <v>18.100000000000001</v>
      </c>
      <c r="M1919" s="224"/>
      <c r="N1919" s="225">
        <v>1258</v>
      </c>
      <c r="O1919" s="224"/>
      <c r="P1919" s="224"/>
      <c r="Q1919" s="225">
        <v>6</v>
      </c>
      <c r="R1919" s="226" t="s">
        <v>1984</v>
      </c>
      <c r="T1919" s="226" t="s">
        <v>2112</v>
      </c>
      <c r="U1919" s="227" t="s">
        <v>1407</v>
      </c>
      <c r="V1919" s="227">
        <v>30</v>
      </c>
      <c r="W1919" s="227" t="s">
        <v>1392</v>
      </c>
      <c r="X1919" s="227" t="s">
        <v>1421</v>
      </c>
      <c r="Y1919" s="228">
        <f>AVERAGE(Sheet1!BM1919:BN1919)</f>
        <v>1.6160000000000001</v>
      </c>
      <c r="Z1919" s="364">
        <v>65</v>
      </c>
      <c r="AA1919" s="364">
        <v>25</v>
      </c>
      <c r="AB1919" s="224" t="s">
        <v>241</v>
      </c>
      <c r="AC1919" s="224"/>
      <c r="AD1919" s="224"/>
      <c r="AE1919" s="224"/>
      <c r="AF1919" s="223" t="s">
        <v>2039</v>
      </c>
      <c r="AG1919" s="225" t="s">
        <v>2038</v>
      </c>
      <c r="AH1919" s="224" t="s">
        <v>1586</v>
      </c>
      <c r="AI1919" s="225" t="s">
        <v>2037</v>
      </c>
      <c r="AJ1919" s="224" t="s">
        <v>1621</v>
      </c>
      <c r="AK1919" s="224"/>
      <c r="AL1919" s="224"/>
      <c r="AM1919" s="224"/>
      <c r="AN1919" s="225" t="s">
        <v>1048</v>
      </c>
      <c r="AO1919" s="225" t="s">
        <v>1048</v>
      </c>
      <c r="AP1919" s="92" t="s">
        <v>178</v>
      </c>
      <c r="AQ1919" s="224" t="s">
        <v>2041</v>
      </c>
      <c r="AR1919" s="224"/>
      <c r="AS1919" s="229" t="s">
        <v>2035</v>
      </c>
      <c r="AT1919" s="253" t="s">
        <v>161</v>
      </c>
      <c r="AU1919" s="225">
        <v>4</v>
      </c>
      <c r="AV1919" s="225">
        <v>4</v>
      </c>
      <c r="AW1919" s="224" t="s">
        <v>142</v>
      </c>
      <c r="AX1919" s="224"/>
      <c r="AY1919" s="224"/>
      <c r="AZ1919" s="224"/>
      <c r="BA1919" s="224"/>
      <c r="BB1919" s="224"/>
      <c r="BH1919" s="225"/>
      <c r="BI1919" s="225"/>
      <c r="BJ1919" s="224"/>
      <c r="BM1919" s="440">
        <f t="shared" si="273"/>
        <v>1.6160000000000001</v>
      </c>
      <c r="BN1919" s="440">
        <v>1.6160000000000001</v>
      </c>
      <c r="BR1919" s="441">
        <v>0.19389438943894385</v>
      </c>
      <c r="BS1919" s="441">
        <v>0.15057755775577555</v>
      </c>
      <c r="IO1919" s="225" t="s">
        <v>2093</v>
      </c>
      <c r="IP1919" s="224"/>
      <c r="IQ1919" s="230"/>
    </row>
    <row r="1920" spans="1:251" s="36" customFormat="1" x14ac:dyDescent="0.25">
      <c r="A1920" s="223">
        <v>91</v>
      </c>
      <c r="B1920" s="223" t="s">
        <v>769</v>
      </c>
      <c r="C1920" s="224" t="s">
        <v>2128</v>
      </c>
      <c r="D1920" s="223">
        <v>2006</v>
      </c>
      <c r="E1920" s="224">
        <v>1999</v>
      </c>
      <c r="F1920" s="223" t="s">
        <v>948</v>
      </c>
      <c r="G1920" s="223" t="s">
        <v>2042</v>
      </c>
      <c r="H1920" s="252" t="s">
        <v>2831</v>
      </c>
      <c r="I1920" s="224">
        <v>32.56</v>
      </c>
      <c r="J1920" s="224">
        <v>-83.91</v>
      </c>
      <c r="K1920" s="225">
        <v>16</v>
      </c>
      <c r="L1920" s="225">
        <v>18.100000000000001</v>
      </c>
      <c r="M1920" s="224"/>
      <c r="N1920" s="225">
        <v>1258</v>
      </c>
      <c r="O1920" s="224"/>
      <c r="P1920" s="224"/>
      <c r="Q1920" s="225">
        <v>6</v>
      </c>
      <c r="R1920" s="226" t="s">
        <v>1984</v>
      </c>
      <c r="T1920" s="226" t="s">
        <v>2112</v>
      </c>
      <c r="U1920" s="227" t="s">
        <v>1419</v>
      </c>
      <c r="V1920" s="227">
        <v>30</v>
      </c>
      <c r="W1920" s="227" t="s">
        <v>1392</v>
      </c>
      <c r="X1920" s="227" t="s">
        <v>1421</v>
      </c>
      <c r="Y1920" s="228">
        <f>AVERAGE(Sheet1!BM1920:BN1920)</f>
        <v>1.6279999999999999</v>
      </c>
      <c r="Z1920" s="364">
        <v>65</v>
      </c>
      <c r="AA1920" s="364">
        <v>25</v>
      </c>
      <c r="AB1920" s="224" t="s">
        <v>241</v>
      </c>
      <c r="AC1920" s="224"/>
      <c r="AD1920" s="224"/>
      <c r="AE1920" s="224"/>
      <c r="AF1920" s="223" t="s">
        <v>2039</v>
      </c>
      <c r="AG1920" s="225" t="s">
        <v>2038</v>
      </c>
      <c r="AH1920" s="224" t="s">
        <v>1586</v>
      </c>
      <c r="AI1920" s="225" t="s">
        <v>2037</v>
      </c>
      <c r="AJ1920" s="224" t="s">
        <v>1621</v>
      </c>
      <c r="AK1920" s="224"/>
      <c r="AL1920" s="224"/>
      <c r="AM1920" s="224"/>
      <c r="AN1920" s="225" t="s">
        <v>1048</v>
      </c>
      <c r="AO1920" s="225" t="s">
        <v>1048</v>
      </c>
      <c r="AP1920" s="92" t="s">
        <v>2125</v>
      </c>
      <c r="AQ1920" s="224" t="s">
        <v>2041</v>
      </c>
      <c r="AR1920" s="224"/>
      <c r="AS1920" s="229" t="s">
        <v>2035</v>
      </c>
      <c r="AT1920" s="253" t="s">
        <v>161</v>
      </c>
      <c r="AU1920" s="225">
        <v>4</v>
      </c>
      <c r="AV1920" s="225">
        <v>4</v>
      </c>
      <c r="AW1920" s="224" t="s">
        <v>142</v>
      </c>
      <c r="AX1920" s="224"/>
      <c r="AY1920" s="224"/>
      <c r="AZ1920" s="224"/>
      <c r="BA1920" s="224"/>
      <c r="BB1920" s="224"/>
      <c r="BH1920" s="225"/>
      <c r="BI1920" s="225"/>
      <c r="BJ1920" s="224"/>
      <c r="BM1920" s="440">
        <f t="shared" si="273"/>
        <v>1.6279999999999999</v>
      </c>
      <c r="BN1920" s="440">
        <v>1.6279999999999999</v>
      </c>
      <c r="BR1920" s="441">
        <v>0.13104013104013107</v>
      </c>
      <c r="BS1920" s="441">
        <v>0.11670761670761673</v>
      </c>
      <c r="IO1920" s="225" t="s">
        <v>2093</v>
      </c>
      <c r="IP1920" s="224"/>
      <c r="IQ1920" s="230"/>
    </row>
    <row r="1921" spans="1:251" s="92" customFormat="1" x14ac:dyDescent="0.25">
      <c r="A1921" s="252">
        <v>91</v>
      </c>
      <c r="B1921" s="252" t="s">
        <v>769</v>
      </c>
      <c r="C1921" s="253" t="s">
        <v>2128</v>
      </c>
      <c r="D1921" s="252">
        <v>2006</v>
      </c>
      <c r="E1921" s="253">
        <v>1999</v>
      </c>
      <c r="F1921" s="252" t="s">
        <v>948</v>
      </c>
      <c r="G1921" s="252" t="s">
        <v>2042</v>
      </c>
      <c r="H1921" s="252" t="s">
        <v>2831</v>
      </c>
      <c r="I1921" s="253">
        <v>32.56</v>
      </c>
      <c r="J1921" s="253">
        <v>-83.91</v>
      </c>
      <c r="K1921" s="254">
        <v>16</v>
      </c>
      <c r="L1921" s="254">
        <v>18.100000000000001</v>
      </c>
      <c r="M1921" s="253"/>
      <c r="N1921" s="254">
        <v>1258</v>
      </c>
      <c r="O1921" s="253"/>
      <c r="P1921" s="253"/>
      <c r="Q1921" s="254">
        <v>6</v>
      </c>
      <c r="R1921" s="255" t="s">
        <v>1984</v>
      </c>
      <c r="T1921" s="255" t="s">
        <v>2112</v>
      </c>
      <c r="U1921" s="256" t="s">
        <v>1392</v>
      </c>
      <c r="V1921" s="256">
        <v>10</v>
      </c>
      <c r="W1921" s="256" t="s">
        <v>1392</v>
      </c>
      <c r="X1921" s="256" t="s">
        <v>1421</v>
      </c>
      <c r="Y1921" s="257">
        <f>AVERAGE(Sheet1!BM1921:BN1921)</f>
        <v>1.421</v>
      </c>
      <c r="Z1921" s="363">
        <v>65</v>
      </c>
      <c r="AA1921" s="363">
        <v>25</v>
      </c>
      <c r="AB1921" s="253" t="s">
        <v>241</v>
      </c>
      <c r="AC1921" s="253"/>
      <c r="AD1921" s="253"/>
      <c r="AE1921" s="253"/>
      <c r="AF1921" s="252" t="s">
        <v>2039</v>
      </c>
      <c r="AG1921" s="254" t="s">
        <v>2038</v>
      </c>
      <c r="AH1921" s="253" t="s">
        <v>1586</v>
      </c>
      <c r="AI1921" s="254" t="s">
        <v>2037</v>
      </c>
      <c r="AJ1921" s="253" t="s">
        <v>1621</v>
      </c>
      <c r="AK1921" s="253"/>
      <c r="AL1921" s="253"/>
      <c r="AM1921" s="253"/>
      <c r="AN1921" s="254" t="s">
        <v>1048</v>
      </c>
      <c r="AO1921" s="254" t="s">
        <v>1048</v>
      </c>
      <c r="AP1921" s="92" t="s">
        <v>178</v>
      </c>
      <c r="AQ1921" s="253" t="s">
        <v>2036</v>
      </c>
      <c r="AR1921" s="253"/>
      <c r="AS1921" s="258" t="s">
        <v>2035</v>
      </c>
      <c r="AT1921" s="253" t="s">
        <v>161</v>
      </c>
      <c r="AU1921" s="254">
        <v>4</v>
      </c>
      <c r="AV1921" s="254">
        <v>4</v>
      </c>
      <c r="AW1921" s="253" t="s">
        <v>142</v>
      </c>
      <c r="AX1921" s="253"/>
      <c r="AY1921" s="253">
        <f>1/3*18940</f>
        <v>6313.333333333333</v>
      </c>
      <c r="AZ1921" s="253"/>
      <c r="BA1921" s="253"/>
      <c r="BB1921" s="253"/>
      <c r="BH1921" s="254"/>
      <c r="BI1921" s="254"/>
      <c r="BJ1921" s="253"/>
      <c r="BM1921" s="439">
        <f t="shared" si="273"/>
        <v>1.421</v>
      </c>
      <c r="BN1921" s="439">
        <v>1.421</v>
      </c>
      <c r="BR1921" s="438">
        <v>0.7670654468684025</v>
      </c>
      <c r="BS1921" s="438">
        <v>0.81632653061224481</v>
      </c>
      <c r="IO1921" s="254" t="s">
        <v>2093</v>
      </c>
      <c r="IP1921" s="253"/>
      <c r="IQ1921" s="259"/>
    </row>
    <row r="1922" spans="1:251" s="92" customFormat="1" x14ac:dyDescent="0.25">
      <c r="A1922" s="252">
        <v>91</v>
      </c>
      <c r="B1922" s="252" t="s">
        <v>769</v>
      </c>
      <c r="C1922" s="253" t="s">
        <v>2128</v>
      </c>
      <c r="D1922" s="252">
        <v>2006</v>
      </c>
      <c r="E1922" s="253">
        <v>1999</v>
      </c>
      <c r="F1922" s="252" t="s">
        <v>948</v>
      </c>
      <c r="G1922" s="252" t="s">
        <v>2042</v>
      </c>
      <c r="H1922" s="252" t="s">
        <v>2831</v>
      </c>
      <c r="I1922" s="253">
        <v>32.56</v>
      </c>
      <c r="J1922" s="253">
        <v>-83.91</v>
      </c>
      <c r="K1922" s="254">
        <v>16</v>
      </c>
      <c r="L1922" s="254">
        <v>18.100000000000001</v>
      </c>
      <c r="M1922" s="253"/>
      <c r="N1922" s="254">
        <v>1258</v>
      </c>
      <c r="O1922" s="253"/>
      <c r="P1922" s="253"/>
      <c r="Q1922" s="254">
        <v>6</v>
      </c>
      <c r="R1922" s="255" t="s">
        <v>1984</v>
      </c>
      <c r="T1922" s="255" t="s">
        <v>2112</v>
      </c>
      <c r="U1922" s="256" t="s">
        <v>1412</v>
      </c>
      <c r="V1922" s="256">
        <v>20</v>
      </c>
      <c r="W1922" s="256" t="s">
        <v>1392</v>
      </c>
      <c r="X1922" s="256" t="s">
        <v>1421</v>
      </c>
      <c r="Y1922" s="257">
        <f>AVERAGE(Sheet1!BM1922:BN1922)</f>
        <v>1.5469999999999999</v>
      </c>
      <c r="Z1922" s="363">
        <v>65</v>
      </c>
      <c r="AA1922" s="363">
        <v>25</v>
      </c>
      <c r="AB1922" s="253" t="s">
        <v>241</v>
      </c>
      <c r="AC1922" s="253"/>
      <c r="AD1922" s="253"/>
      <c r="AE1922" s="253"/>
      <c r="AF1922" s="252" t="s">
        <v>2039</v>
      </c>
      <c r="AG1922" s="254" t="s">
        <v>2038</v>
      </c>
      <c r="AH1922" s="253" t="s">
        <v>1586</v>
      </c>
      <c r="AI1922" s="254" t="s">
        <v>2037</v>
      </c>
      <c r="AJ1922" s="253" t="s">
        <v>1621</v>
      </c>
      <c r="AK1922" s="253"/>
      <c r="AL1922" s="253"/>
      <c r="AM1922" s="253"/>
      <c r="AN1922" s="254" t="s">
        <v>1048</v>
      </c>
      <c r="AO1922" s="254" t="s">
        <v>1048</v>
      </c>
      <c r="AP1922" s="92" t="s">
        <v>2125</v>
      </c>
      <c r="AQ1922" s="253" t="s">
        <v>2036</v>
      </c>
      <c r="AR1922" s="253"/>
      <c r="AS1922" s="258" t="s">
        <v>2035</v>
      </c>
      <c r="AT1922" s="253" t="s">
        <v>161</v>
      </c>
      <c r="AU1922" s="254">
        <v>4</v>
      </c>
      <c r="AV1922" s="254">
        <v>4</v>
      </c>
      <c r="AW1922" s="253" t="s">
        <v>142</v>
      </c>
      <c r="AX1922" s="253"/>
      <c r="AY1922" s="253"/>
      <c r="AZ1922" s="253"/>
      <c r="BA1922" s="253"/>
      <c r="BB1922" s="253"/>
      <c r="BH1922" s="254"/>
      <c r="BI1922" s="254"/>
      <c r="BJ1922" s="253"/>
      <c r="BM1922" s="439">
        <f t="shared" si="273"/>
        <v>1.5469999999999999</v>
      </c>
      <c r="BN1922" s="439">
        <v>1.5469999999999999</v>
      </c>
      <c r="BR1922" s="438">
        <v>0.42986425339366519</v>
      </c>
      <c r="BS1922" s="438">
        <v>0.53329023917259211</v>
      </c>
      <c r="IO1922" s="254" t="s">
        <v>2093</v>
      </c>
      <c r="IP1922" s="253"/>
      <c r="IQ1922" s="259"/>
    </row>
    <row r="1923" spans="1:251" s="92" customFormat="1" x14ac:dyDescent="0.25">
      <c r="A1923" s="252">
        <v>91</v>
      </c>
      <c r="B1923" s="252" t="s">
        <v>769</v>
      </c>
      <c r="C1923" s="253" t="s">
        <v>2128</v>
      </c>
      <c r="D1923" s="252">
        <v>2006</v>
      </c>
      <c r="E1923" s="253">
        <v>1999</v>
      </c>
      <c r="F1923" s="252" t="s">
        <v>948</v>
      </c>
      <c r="G1923" s="252" t="s">
        <v>2042</v>
      </c>
      <c r="H1923" s="252" t="s">
        <v>2831</v>
      </c>
      <c r="I1923" s="253">
        <v>32.56</v>
      </c>
      <c r="J1923" s="253">
        <v>-83.91</v>
      </c>
      <c r="K1923" s="254">
        <v>16</v>
      </c>
      <c r="L1923" s="254">
        <v>18.100000000000001</v>
      </c>
      <c r="M1923" s="253"/>
      <c r="N1923" s="254">
        <v>1258</v>
      </c>
      <c r="O1923" s="253"/>
      <c r="P1923" s="253"/>
      <c r="Q1923" s="254">
        <v>6</v>
      </c>
      <c r="R1923" s="255" t="s">
        <v>1984</v>
      </c>
      <c r="T1923" s="255" t="s">
        <v>2112</v>
      </c>
      <c r="U1923" s="256" t="s">
        <v>1406</v>
      </c>
      <c r="V1923" s="256">
        <v>30</v>
      </c>
      <c r="W1923" s="256" t="s">
        <v>1392</v>
      </c>
      <c r="X1923" s="256" t="s">
        <v>1421</v>
      </c>
      <c r="Y1923" s="257">
        <f>AVERAGE(Sheet1!BM1923:BN1923)</f>
        <v>1.3979999999999999</v>
      </c>
      <c r="Z1923" s="363">
        <v>65</v>
      </c>
      <c r="AA1923" s="363">
        <v>25</v>
      </c>
      <c r="AB1923" s="253" t="s">
        <v>241</v>
      </c>
      <c r="AC1923" s="253"/>
      <c r="AD1923" s="253"/>
      <c r="AE1923" s="253"/>
      <c r="AF1923" s="252" t="s">
        <v>2039</v>
      </c>
      <c r="AG1923" s="254" t="s">
        <v>2038</v>
      </c>
      <c r="AH1923" s="253" t="s">
        <v>1586</v>
      </c>
      <c r="AI1923" s="254" t="s">
        <v>2037</v>
      </c>
      <c r="AJ1923" s="253" t="s">
        <v>1621</v>
      </c>
      <c r="AK1923" s="253"/>
      <c r="AL1923" s="253"/>
      <c r="AM1923" s="253"/>
      <c r="AN1923" s="254" t="s">
        <v>1048</v>
      </c>
      <c r="AO1923" s="254" t="s">
        <v>1048</v>
      </c>
      <c r="AP1923" s="92" t="s">
        <v>178</v>
      </c>
      <c r="AQ1923" s="253" t="s">
        <v>2036</v>
      </c>
      <c r="AR1923" s="253"/>
      <c r="AS1923" s="258" t="s">
        <v>2035</v>
      </c>
      <c r="AT1923" s="253" t="s">
        <v>161</v>
      </c>
      <c r="AU1923" s="254">
        <v>4</v>
      </c>
      <c r="AV1923" s="254">
        <v>4</v>
      </c>
      <c r="AW1923" s="253" t="s">
        <v>142</v>
      </c>
      <c r="AX1923" s="253"/>
      <c r="AY1923" s="253"/>
      <c r="AZ1923" s="253"/>
      <c r="BA1923" s="253"/>
      <c r="BB1923" s="253"/>
      <c r="BH1923" s="254"/>
      <c r="BI1923" s="254"/>
      <c r="BJ1923" s="253"/>
      <c r="BM1923" s="439">
        <f t="shared" si="273"/>
        <v>1.3979999999999999</v>
      </c>
      <c r="BN1923" s="439">
        <v>1.3979999999999999</v>
      </c>
      <c r="BR1923" s="438">
        <v>0.25035765379113017</v>
      </c>
      <c r="BS1923" s="438">
        <v>0.26227944682880305</v>
      </c>
      <c r="IO1923" s="254" t="s">
        <v>2093</v>
      </c>
      <c r="IP1923" s="253"/>
      <c r="IQ1923" s="259"/>
    </row>
    <row r="1924" spans="1:251" s="92" customFormat="1" x14ac:dyDescent="0.25">
      <c r="A1924" s="252">
        <v>91</v>
      </c>
      <c r="B1924" s="252" t="s">
        <v>769</v>
      </c>
      <c r="C1924" s="253" t="s">
        <v>2128</v>
      </c>
      <c r="D1924" s="252">
        <v>2006</v>
      </c>
      <c r="E1924" s="253">
        <v>1999</v>
      </c>
      <c r="F1924" s="252" t="s">
        <v>948</v>
      </c>
      <c r="G1924" s="252" t="s">
        <v>2042</v>
      </c>
      <c r="H1924" s="252" t="s">
        <v>2831</v>
      </c>
      <c r="I1924" s="253">
        <v>32.56</v>
      </c>
      <c r="J1924" s="253">
        <v>-83.91</v>
      </c>
      <c r="K1924" s="254">
        <v>16</v>
      </c>
      <c r="L1924" s="254">
        <v>18.100000000000001</v>
      </c>
      <c r="M1924" s="253"/>
      <c r="N1924" s="254">
        <v>1258</v>
      </c>
      <c r="O1924" s="253"/>
      <c r="P1924" s="253"/>
      <c r="Q1924" s="254">
        <v>6</v>
      </c>
      <c r="R1924" s="255" t="s">
        <v>1984</v>
      </c>
      <c r="T1924" s="255" t="s">
        <v>2112</v>
      </c>
      <c r="U1924" s="256" t="s">
        <v>1407</v>
      </c>
      <c r="V1924" s="256">
        <v>30</v>
      </c>
      <c r="W1924" s="256" t="s">
        <v>1392</v>
      </c>
      <c r="X1924" s="256" t="s">
        <v>1421</v>
      </c>
      <c r="Y1924" s="257">
        <f>AVERAGE(Sheet1!BM1924:BN1924)</f>
        <v>1.6160000000000001</v>
      </c>
      <c r="Z1924" s="363">
        <v>65</v>
      </c>
      <c r="AA1924" s="363">
        <v>25</v>
      </c>
      <c r="AB1924" s="253" t="s">
        <v>241</v>
      </c>
      <c r="AC1924" s="253"/>
      <c r="AD1924" s="253"/>
      <c r="AE1924" s="253"/>
      <c r="AF1924" s="252" t="s">
        <v>2039</v>
      </c>
      <c r="AG1924" s="254" t="s">
        <v>2038</v>
      </c>
      <c r="AH1924" s="253" t="s">
        <v>1586</v>
      </c>
      <c r="AI1924" s="254" t="s">
        <v>2037</v>
      </c>
      <c r="AJ1924" s="253" t="s">
        <v>1621</v>
      </c>
      <c r="AK1924" s="253"/>
      <c r="AL1924" s="253"/>
      <c r="AM1924" s="253"/>
      <c r="AN1924" s="254" t="s">
        <v>1048</v>
      </c>
      <c r="AO1924" s="254" t="s">
        <v>1048</v>
      </c>
      <c r="AP1924" s="92" t="s">
        <v>2125</v>
      </c>
      <c r="AQ1924" s="253" t="s">
        <v>2036</v>
      </c>
      <c r="AR1924" s="253"/>
      <c r="AS1924" s="258" t="s">
        <v>2035</v>
      </c>
      <c r="AT1924" s="253" t="s">
        <v>161</v>
      </c>
      <c r="AU1924" s="254">
        <v>4</v>
      </c>
      <c r="AV1924" s="254">
        <v>4</v>
      </c>
      <c r="AW1924" s="253" t="s">
        <v>142</v>
      </c>
      <c r="AX1924" s="253"/>
      <c r="AY1924" s="253"/>
      <c r="AZ1924" s="253"/>
      <c r="BA1924" s="253"/>
      <c r="BB1924" s="253"/>
      <c r="BH1924" s="254"/>
      <c r="BI1924" s="254"/>
      <c r="BJ1924" s="253"/>
      <c r="BM1924" s="439">
        <f t="shared" si="273"/>
        <v>1.6160000000000001</v>
      </c>
      <c r="BN1924" s="439">
        <v>1.6160000000000001</v>
      </c>
      <c r="BR1924" s="438">
        <v>0.14438943894389436</v>
      </c>
      <c r="BS1924" s="438">
        <v>0.13820132013201319</v>
      </c>
      <c r="IO1924" s="254" t="s">
        <v>2093</v>
      </c>
      <c r="IP1924" s="253"/>
      <c r="IQ1924" s="259"/>
    </row>
    <row r="1925" spans="1:251" s="92" customFormat="1" x14ac:dyDescent="0.25">
      <c r="A1925" s="252">
        <v>91</v>
      </c>
      <c r="B1925" s="252" t="s">
        <v>769</v>
      </c>
      <c r="C1925" s="253" t="s">
        <v>2128</v>
      </c>
      <c r="D1925" s="252">
        <v>2006</v>
      </c>
      <c r="E1925" s="253">
        <v>1999</v>
      </c>
      <c r="F1925" s="252" t="s">
        <v>948</v>
      </c>
      <c r="G1925" s="252" t="s">
        <v>2042</v>
      </c>
      <c r="H1925" s="252" t="s">
        <v>2831</v>
      </c>
      <c r="I1925" s="253">
        <v>32.56</v>
      </c>
      <c r="J1925" s="253">
        <v>-83.91</v>
      </c>
      <c r="K1925" s="254">
        <v>16</v>
      </c>
      <c r="L1925" s="254">
        <v>18.100000000000001</v>
      </c>
      <c r="M1925" s="253"/>
      <c r="N1925" s="254">
        <v>1258</v>
      </c>
      <c r="O1925" s="253"/>
      <c r="P1925" s="253"/>
      <c r="Q1925" s="254">
        <v>6</v>
      </c>
      <c r="R1925" s="255" t="s">
        <v>1984</v>
      </c>
      <c r="T1925" s="255" t="s">
        <v>2112</v>
      </c>
      <c r="U1925" s="256" t="s">
        <v>1419</v>
      </c>
      <c r="V1925" s="256">
        <v>30</v>
      </c>
      <c r="W1925" s="256" t="s">
        <v>1392</v>
      </c>
      <c r="X1925" s="256" t="s">
        <v>1421</v>
      </c>
      <c r="Y1925" s="257">
        <f>AVERAGE(Sheet1!BM1925:BN1925)</f>
        <v>1.6279999999999999</v>
      </c>
      <c r="Z1925" s="363">
        <v>65</v>
      </c>
      <c r="AA1925" s="363">
        <v>25</v>
      </c>
      <c r="AB1925" s="253" t="s">
        <v>241</v>
      </c>
      <c r="AC1925" s="253"/>
      <c r="AD1925" s="253"/>
      <c r="AE1925" s="253"/>
      <c r="AF1925" s="252" t="s">
        <v>2039</v>
      </c>
      <c r="AG1925" s="254" t="s">
        <v>2038</v>
      </c>
      <c r="AH1925" s="253" t="s">
        <v>1586</v>
      </c>
      <c r="AI1925" s="254" t="s">
        <v>2037</v>
      </c>
      <c r="AJ1925" s="253" t="s">
        <v>1621</v>
      </c>
      <c r="AK1925" s="253"/>
      <c r="AL1925" s="253"/>
      <c r="AM1925" s="253"/>
      <c r="AN1925" s="254" t="s">
        <v>1048</v>
      </c>
      <c r="AO1925" s="254" t="s">
        <v>1048</v>
      </c>
      <c r="AP1925" s="92" t="s">
        <v>178</v>
      </c>
      <c r="AQ1925" s="253" t="s">
        <v>2036</v>
      </c>
      <c r="AR1925" s="253"/>
      <c r="AS1925" s="258" t="s">
        <v>2035</v>
      </c>
      <c r="AT1925" s="253" t="s">
        <v>161</v>
      </c>
      <c r="AU1925" s="254">
        <v>4</v>
      </c>
      <c r="AV1925" s="254">
        <v>4</v>
      </c>
      <c r="AW1925" s="253" t="s">
        <v>142</v>
      </c>
      <c r="AX1925" s="253"/>
      <c r="AY1925" s="253"/>
      <c r="AZ1925" s="253"/>
      <c r="BA1925" s="253"/>
      <c r="BB1925" s="253"/>
      <c r="BH1925" s="254"/>
      <c r="BI1925" s="254"/>
      <c r="BJ1925" s="253"/>
      <c r="BM1925" s="439">
        <f t="shared" si="273"/>
        <v>1.6279999999999999</v>
      </c>
      <c r="BN1925" s="439">
        <v>1.6279999999999999</v>
      </c>
      <c r="BR1925" s="438">
        <v>0.11466011466011466</v>
      </c>
      <c r="BS1925" s="438">
        <v>0.11670761670761673</v>
      </c>
      <c r="IO1925" s="254" t="s">
        <v>2093</v>
      </c>
      <c r="IP1925" s="253"/>
      <c r="IQ1925" s="259"/>
    </row>
    <row r="1926" spans="1:251" s="22" customFormat="1" x14ac:dyDescent="0.25">
      <c r="A1926" s="269">
        <v>91</v>
      </c>
      <c r="B1926" s="269" t="s">
        <v>769</v>
      </c>
      <c r="C1926" s="270" t="s">
        <v>2128</v>
      </c>
      <c r="D1926" s="269">
        <v>2006</v>
      </c>
      <c r="E1926" s="270">
        <v>1999</v>
      </c>
      <c r="F1926" s="269" t="s">
        <v>948</v>
      </c>
      <c r="G1926" s="269" t="s">
        <v>2042</v>
      </c>
      <c r="H1926" s="252" t="s">
        <v>2831</v>
      </c>
      <c r="I1926" s="270">
        <v>32.56</v>
      </c>
      <c r="J1926" s="270">
        <v>-83.91</v>
      </c>
      <c r="K1926" s="271">
        <v>16</v>
      </c>
      <c r="L1926" s="271">
        <v>18.100000000000001</v>
      </c>
      <c r="M1926" s="270"/>
      <c r="N1926" s="271">
        <v>1258</v>
      </c>
      <c r="O1926" s="270"/>
      <c r="P1926" s="270"/>
      <c r="Q1926" s="271">
        <v>6</v>
      </c>
      <c r="R1926" s="272" t="s">
        <v>1984</v>
      </c>
      <c r="T1926" s="272" t="s">
        <v>2112</v>
      </c>
      <c r="U1926" s="273" t="s">
        <v>1392</v>
      </c>
      <c r="V1926" s="273">
        <v>10</v>
      </c>
      <c r="W1926" s="273" t="s">
        <v>1392</v>
      </c>
      <c r="X1926" s="273" t="s">
        <v>1421</v>
      </c>
      <c r="Y1926" s="274">
        <f>AVERAGE(Sheet1!BM1926:BN1926)</f>
        <v>1.526</v>
      </c>
      <c r="Z1926" s="365">
        <v>65</v>
      </c>
      <c r="AA1926" s="365">
        <v>25</v>
      </c>
      <c r="AB1926" s="270" t="s">
        <v>241</v>
      </c>
      <c r="AC1926" s="270"/>
      <c r="AD1926" s="270"/>
      <c r="AE1926" s="270"/>
      <c r="AF1926" s="269" t="s">
        <v>2039</v>
      </c>
      <c r="AG1926" s="271" t="s">
        <v>132</v>
      </c>
      <c r="AH1926" s="270" t="s">
        <v>132</v>
      </c>
      <c r="AI1926" s="271" t="s">
        <v>2037</v>
      </c>
      <c r="AJ1926" s="270" t="s">
        <v>1621</v>
      </c>
      <c r="AK1926" s="270"/>
      <c r="AL1926" s="270"/>
      <c r="AM1926" s="270"/>
      <c r="AN1926" s="271" t="s">
        <v>773</v>
      </c>
      <c r="AO1926" s="271" t="s">
        <v>773</v>
      </c>
      <c r="AP1926" s="92" t="s">
        <v>2125</v>
      </c>
      <c r="AQ1926" s="270" t="s">
        <v>162</v>
      </c>
      <c r="AR1926" s="270"/>
      <c r="AS1926" s="275" t="s">
        <v>2035</v>
      </c>
      <c r="AT1926" s="253" t="s">
        <v>161</v>
      </c>
      <c r="AU1926" s="271">
        <v>4</v>
      </c>
      <c r="AV1926" s="271">
        <v>4</v>
      </c>
      <c r="AW1926" s="270" t="s">
        <v>142</v>
      </c>
      <c r="AX1926" s="270"/>
      <c r="AY1926" s="270">
        <f>1/3*13890</f>
        <v>4630</v>
      </c>
      <c r="AZ1926" s="270"/>
      <c r="BA1926" s="270"/>
      <c r="BB1926" s="270"/>
      <c r="BH1926" s="271"/>
      <c r="BI1926" s="271"/>
      <c r="BJ1926" s="270"/>
      <c r="BM1926" s="442">
        <f t="shared" ref="BM1926:BM1970" si="274">BN1926+0.02</f>
        <v>1.536</v>
      </c>
      <c r="BN1926" s="442">
        <v>1.516</v>
      </c>
      <c r="BR1926" s="463">
        <v>0.63151041666666663</v>
      </c>
      <c r="BS1926" s="463">
        <v>0.61197916666666663</v>
      </c>
      <c r="IO1926" s="271" t="s">
        <v>2093</v>
      </c>
      <c r="IP1926" s="270"/>
      <c r="IQ1926" s="276"/>
    </row>
    <row r="1927" spans="1:251" s="22" customFormat="1" x14ac:dyDescent="0.25">
      <c r="A1927" s="269">
        <v>91</v>
      </c>
      <c r="B1927" s="269" t="s">
        <v>769</v>
      </c>
      <c r="C1927" s="270" t="s">
        <v>2128</v>
      </c>
      <c r="D1927" s="269">
        <v>2006</v>
      </c>
      <c r="E1927" s="270">
        <v>1999</v>
      </c>
      <c r="F1927" s="269" t="s">
        <v>948</v>
      </c>
      <c r="G1927" s="269" t="s">
        <v>2042</v>
      </c>
      <c r="H1927" s="252" t="s">
        <v>2831</v>
      </c>
      <c r="I1927" s="270">
        <v>32.56</v>
      </c>
      <c r="J1927" s="270">
        <v>-83.91</v>
      </c>
      <c r="K1927" s="271">
        <v>16</v>
      </c>
      <c r="L1927" s="271">
        <v>18.100000000000001</v>
      </c>
      <c r="M1927" s="270"/>
      <c r="N1927" s="271">
        <v>1258</v>
      </c>
      <c r="O1927" s="270"/>
      <c r="P1927" s="270"/>
      <c r="Q1927" s="271">
        <v>6</v>
      </c>
      <c r="R1927" s="272" t="s">
        <v>1984</v>
      </c>
      <c r="T1927" s="272" t="s">
        <v>2112</v>
      </c>
      <c r="U1927" s="273" t="s">
        <v>1412</v>
      </c>
      <c r="V1927" s="273">
        <v>20</v>
      </c>
      <c r="W1927" s="273" t="s">
        <v>1392</v>
      </c>
      <c r="X1927" s="273" t="s">
        <v>1421</v>
      </c>
      <c r="Y1927" s="274">
        <f>AVERAGE(Sheet1!BM1927:BN1927)</f>
        <v>1.5189999999999999</v>
      </c>
      <c r="Z1927" s="365">
        <v>65</v>
      </c>
      <c r="AA1927" s="365">
        <v>25</v>
      </c>
      <c r="AB1927" s="270" t="s">
        <v>241</v>
      </c>
      <c r="AC1927" s="270"/>
      <c r="AD1927" s="270"/>
      <c r="AE1927" s="270"/>
      <c r="AF1927" s="269" t="s">
        <v>2039</v>
      </c>
      <c r="AG1927" s="271" t="s">
        <v>132</v>
      </c>
      <c r="AH1927" s="270" t="s">
        <v>132</v>
      </c>
      <c r="AI1927" s="271" t="s">
        <v>2037</v>
      </c>
      <c r="AJ1927" s="270" t="s">
        <v>1621</v>
      </c>
      <c r="AK1927" s="270"/>
      <c r="AL1927" s="270"/>
      <c r="AM1927" s="270"/>
      <c r="AN1927" s="271" t="s">
        <v>773</v>
      </c>
      <c r="AO1927" s="271" t="s">
        <v>773</v>
      </c>
      <c r="AP1927" s="92" t="s">
        <v>178</v>
      </c>
      <c r="AQ1927" s="270" t="s">
        <v>162</v>
      </c>
      <c r="AR1927" s="270"/>
      <c r="AS1927" s="275" t="s">
        <v>2035</v>
      </c>
      <c r="AT1927" s="253" t="s">
        <v>161</v>
      </c>
      <c r="AU1927" s="271">
        <v>4</v>
      </c>
      <c r="AV1927" s="271">
        <v>4</v>
      </c>
      <c r="AW1927" s="270" t="s">
        <v>142</v>
      </c>
      <c r="AX1927" s="270"/>
      <c r="AY1927" s="270"/>
      <c r="AZ1927" s="270"/>
      <c r="BA1927" s="270"/>
      <c r="BB1927" s="270"/>
      <c r="BH1927" s="271"/>
      <c r="BI1927" s="271"/>
      <c r="BJ1927" s="270"/>
      <c r="BM1927" s="442">
        <f t="shared" si="274"/>
        <v>1.5289999999999999</v>
      </c>
      <c r="BN1927" s="442">
        <v>1.5089999999999999</v>
      </c>
      <c r="BR1927" s="463">
        <v>0.44800523217789401</v>
      </c>
      <c r="BS1927" s="463">
        <v>0.46762589928057557</v>
      </c>
      <c r="IO1927" s="271" t="s">
        <v>2093</v>
      </c>
      <c r="IP1927" s="270"/>
      <c r="IQ1927" s="276"/>
    </row>
    <row r="1928" spans="1:251" s="22" customFormat="1" x14ac:dyDescent="0.25">
      <c r="A1928" s="269">
        <v>91</v>
      </c>
      <c r="B1928" s="269" t="s">
        <v>769</v>
      </c>
      <c r="C1928" s="270" t="s">
        <v>2128</v>
      </c>
      <c r="D1928" s="269">
        <v>2006</v>
      </c>
      <c r="E1928" s="270">
        <v>1999</v>
      </c>
      <c r="F1928" s="269" t="s">
        <v>948</v>
      </c>
      <c r="G1928" s="269" t="s">
        <v>2042</v>
      </c>
      <c r="H1928" s="252" t="s">
        <v>2831</v>
      </c>
      <c r="I1928" s="270">
        <v>32.56</v>
      </c>
      <c r="J1928" s="270">
        <v>-83.91</v>
      </c>
      <c r="K1928" s="271">
        <v>16</v>
      </c>
      <c r="L1928" s="271">
        <v>18.100000000000001</v>
      </c>
      <c r="M1928" s="270"/>
      <c r="N1928" s="271">
        <v>1258</v>
      </c>
      <c r="O1928" s="270"/>
      <c r="P1928" s="270"/>
      <c r="Q1928" s="271">
        <v>6</v>
      </c>
      <c r="R1928" s="272" t="s">
        <v>1984</v>
      </c>
      <c r="T1928" s="272" t="s">
        <v>2112</v>
      </c>
      <c r="U1928" s="273" t="s">
        <v>1406</v>
      </c>
      <c r="V1928" s="273">
        <v>30</v>
      </c>
      <c r="W1928" s="273" t="s">
        <v>1392</v>
      </c>
      <c r="X1928" s="273" t="s">
        <v>1421</v>
      </c>
      <c r="Y1928" s="274">
        <f>AVERAGE(Sheet1!BM1928:BN1928)</f>
        <v>1.43</v>
      </c>
      <c r="Z1928" s="365">
        <v>65</v>
      </c>
      <c r="AA1928" s="365">
        <v>25</v>
      </c>
      <c r="AB1928" s="270" t="s">
        <v>241</v>
      </c>
      <c r="AC1928" s="270"/>
      <c r="AD1928" s="270"/>
      <c r="AE1928" s="270"/>
      <c r="AF1928" s="269" t="s">
        <v>2039</v>
      </c>
      <c r="AG1928" s="271" t="s">
        <v>132</v>
      </c>
      <c r="AH1928" s="270" t="s">
        <v>132</v>
      </c>
      <c r="AI1928" s="271" t="s">
        <v>2037</v>
      </c>
      <c r="AJ1928" s="270" t="s">
        <v>1621</v>
      </c>
      <c r="AK1928" s="270"/>
      <c r="AL1928" s="270"/>
      <c r="AM1928" s="270"/>
      <c r="AN1928" s="271" t="s">
        <v>773</v>
      </c>
      <c r="AO1928" s="271" t="s">
        <v>773</v>
      </c>
      <c r="AP1928" s="92" t="s">
        <v>2125</v>
      </c>
      <c r="AQ1928" s="270" t="s">
        <v>162</v>
      </c>
      <c r="AR1928" s="270"/>
      <c r="AS1928" s="275" t="s">
        <v>2035</v>
      </c>
      <c r="AT1928" s="253" t="s">
        <v>161</v>
      </c>
      <c r="AU1928" s="271">
        <v>4</v>
      </c>
      <c r="AV1928" s="271">
        <v>4</v>
      </c>
      <c r="AW1928" s="270" t="s">
        <v>142</v>
      </c>
      <c r="AX1928" s="270"/>
      <c r="AY1928" s="270"/>
      <c r="AZ1928" s="270"/>
      <c r="BA1928" s="270"/>
      <c r="BB1928" s="270"/>
      <c r="BH1928" s="271"/>
      <c r="BI1928" s="271"/>
      <c r="BJ1928" s="270"/>
      <c r="BM1928" s="442">
        <f t="shared" si="274"/>
        <v>1.44</v>
      </c>
      <c r="BN1928" s="442">
        <v>1.42</v>
      </c>
      <c r="BR1928" s="463">
        <v>0.22916666666666666</v>
      </c>
      <c r="BS1928" s="463">
        <v>0.20370370370370372</v>
      </c>
      <c r="IO1928" s="271" t="s">
        <v>2093</v>
      </c>
      <c r="IP1928" s="270"/>
      <c r="IQ1928" s="276"/>
    </row>
    <row r="1929" spans="1:251" s="22" customFormat="1" x14ac:dyDescent="0.25">
      <c r="A1929" s="269">
        <v>91</v>
      </c>
      <c r="B1929" s="269" t="s">
        <v>769</v>
      </c>
      <c r="C1929" s="270" t="s">
        <v>2128</v>
      </c>
      <c r="D1929" s="269">
        <v>2006</v>
      </c>
      <c r="E1929" s="270">
        <v>1999</v>
      </c>
      <c r="F1929" s="269" t="s">
        <v>948</v>
      </c>
      <c r="G1929" s="269" t="s">
        <v>2042</v>
      </c>
      <c r="H1929" s="252" t="s">
        <v>2831</v>
      </c>
      <c r="I1929" s="270">
        <v>32.56</v>
      </c>
      <c r="J1929" s="270">
        <v>-83.91</v>
      </c>
      <c r="K1929" s="271">
        <v>16</v>
      </c>
      <c r="L1929" s="271">
        <v>18.100000000000001</v>
      </c>
      <c r="M1929" s="270"/>
      <c r="N1929" s="271">
        <v>1258</v>
      </c>
      <c r="O1929" s="270"/>
      <c r="P1929" s="270"/>
      <c r="Q1929" s="271">
        <v>6</v>
      </c>
      <c r="R1929" s="272" t="s">
        <v>1984</v>
      </c>
      <c r="T1929" s="272" t="s">
        <v>2112</v>
      </c>
      <c r="U1929" s="273" t="s">
        <v>1407</v>
      </c>
      <c r="V1929" s="273">
        <v>30</v>
      </c>
      <c r="W1929" s="273" t="s">
        <v>1392</v>
      </c>
      <c r="X1929" s="273" t="s">
        <v>1421</v>
      </c>
      <c r="Y1929" s="274">
        <f>AVERAGE(Sheet1!BM1929:BN1929)</f>
        <v>1.6160000000000001</v>
      </c>
      <c r="Z1929" s="365">
        <v>65</v>
      </c>
      <c r="AA1929" s="365">
        <v>25</v>
      </c>
      <c r="AB1929" s="270" t="s">
        <v>241</v>
      </c>
      <c r="AC1929" s="270"/>
      <c r="AD1929" s="270"/>
      <c r="AE1929" s="270"/>
      <c r="AF1929" s="269" t="s">
        <v>2039</v>
      </c>
      <c r="AG1929" s="271" t="s">
        <v>132</v>
      </c>
      <c r="AH1929" s="270" t="s">
        <v>132</v>
      </c>
      <c r="AI1929" s="271" t="s">
        <v>2037</v>
      </c>
      <c r="AJ1929" s="270" t="s">
        <v>1621</v>
      </c>
      <c r="AK1929" s="270"/>
      <c r="AL1929" s="270"/>
      <c r="AM1929" s="270"/>
      <c r="AN1929" s="271" t="s">
        <v>773</v>
      </c>
      <c r="AO1929" s="271" t="s">
        <v>773</v>
      </c>
      <c r="AP1929" s="92" t="s">
        <v>178</v>
      </c>
      <c r="AQ1929" s="270" t="s">
        <v>162</v>
      </c>
      <c r="AR1929" s="270"/>
      <c r="AS1929" s="275" t="s">
        <v>2035</v>
      </c>
      <c r="AT1929" s="253" t="s">
        <v>161</v>
      </c>
      <c r="AU1929" s="271">
        <v>4</v>
      </c>
      <c r="AV1929" s="271">
        <v>4</v>
      </c>
      <c r="AW1929" s="270" t="s">
        <v>142</v>
      </c>
      <c r="AX1929" s="270"/>
      <c r="AY1929" s="270"/>
      <c r="AZ1929" s="270"/>
      <c r="BA1929" s="270"/>
      <c r="BB1929" s="270"/>
      <c r="BH1929" s="271"/>
      <c r="BI1929" s="271"/>
      <c r="BJ1929" s="270"/>
      <c r="BM1929" s="442">
        <f t="shared" si="274"/>
        <v>1.6260000000000001</v>
      </c>
      <c r="BN1929" s="442">
        <v>1.6060000000000001</v>
      </c>
      <c r="BR1929" s="463">
        <v>0.14145141451414511</v>
      </c>
      <c r="BS1929" s="463">
        <v>0.13735137351373511</v>
      </c>
      <c r="IO1929" s="271" t="s">
        <v>2093</v>
      </c>
      <c r="IP1929" s="270"/>
      <c r="IQ1929" s="276"/>
    </row>
    <row r="1930" spans="1:251" s="22" customFormat="1" x14ac:dyDescent="0.25">
      <c r="A1930" s="269">
        <v>91</v>
      </c>
      <c r="B1930" s="269" t="s">
        <v>769</v>
      </c>
      <c r="C1930" s="270" t="s">
        <v>2128</v>
      </c>
      <c r="D1930" s="269">
        <v>2006</v>
      </c>
      <c r="E1930" s="270">
        <v>1999</v>
      </c>
      <c r="F1930" s="269" t="s">
        <v>948</v>
      </c>
      <c r="G1930" s="269" t="s">
        <v>2042</v>
      </c>
      <c r="H1930" s="252" t="s">
        <v>2831</v>
      </c>
      <c r="I1930" s="270">
        <v>32.56</v>
      </c>
      <c r="J1930" s="270">
        <v>-83.91</v>
      </c>
      <c r="K1930" s="271">
        <v>16</v>
      </c>
      <c r="L1930" s="271">
        <v>18.100000000000001</v>
      </c>
      <c r="M1930" s="270"/>
      <c r="N1930" s="271">
        <v>1258</v>
      </c>
      <c r="O1930" s="270"/>
      <c r="P1930" s="270"/>
      <c r="Q1930" s="271">
        <v>6</v>
      </c>
      <c r="R1930" s="272" t="s">
        <v>1984</v>
      </c>
      <c r="T1930" s="272" t="s">
        <v>2112</v>
      </c>
      <c r="U1930" s="273" t="s">
        <v>1419</v>
      </c>
      <c r="V1930" s="273">
        <v>30</v>
      </c>
      <c r="W1930" s="273" t="s">
        <v>1392</v>
      </c>
      <c r="X1930" s="273" t="s">
        <v>1421</v>
      </c>
      <c r="Y1930" s="274">
        <f>AVERAGE(Sheet1!BM1930:BN1930)</f>
        <v>1.605</v>
      </c>
      <c r="Z1930" s="365">
        <v>65</v>
      </c>
      <c r="AA1930" s="365">
        <v>25</v>
      </c>
      <c r="AB1930" s="270" t="s">
        <v>241</v>
      </c>
      <c r="AC1930" s="270"/>
      <c r="AD1930" s="270"/>
      <c r="AE1930" s="270"/>
      <c r="AF1930" s="269" t="s">
        <v>2039</v>
      </c>
      <c r="AG1930" s="271" t="s">
        <v>132</v>
      </c>
      <c r="AH1930" s="270" t="s">
        <v>132</v>
      </c>
      <c r="AI1930" s="271" t="s">
        <v>2037</v>
      </c>
      <c r="AJ1930" s="270" t="s">
        <v>1621</v>
      </c>
      <c r="AK1930" s="270"/>
      <c r="AL1930" s="270"/>
      <c r="AM1930" s="270"/>
      <c r="AN1930" s="271" t="s">
        <v>773</v>
      </c>
      <c r="AO1930" s="271" t="s">
        <v>773</v>
      </c>
      <c r="AP1930" s="92" t="s">
        <v>2125</v>
      </c>
      <c r="AQ1930" s="270" t="s">
        <v>162</v>
      </c>
      <c r="AR1930" s="270"/>
      <c r="AS1930" s="275" t="s">
        <v>2035</v>
      </c>
      <c r="AT1930" s="253" t="s">
        <v>161</v>
      </c>
      <c r="AU1930" s="271">
        <v>4</v>
      </c>
      <c r="AV1930" s="271">
        <v>4</v>
      </c>
      <c r="AW1930" s="270" t="s">
        <v>142</v>
      </c>
      <c r="AX1930" s="270"/>
      <c r="AY1930" s="270"/>
      <c r="AZ1930" s="270"/>
      <c r="BA1930" s="270"/>
      <c r="BB1930" s="270"/>
      <c r="BH1930" s="271"/>
      <c r="BI1930" s="271"/>
      <c r="BJ1930" s="270"/>
      <c r="BM1930" s="442">
        <f t="shared" si="274"/>
        <v>1.615</v>
      </c>
      <c r="BN1930" s="442">
        <v>1.595</v>
      </c>
      <c r="BR1930" s="463">
        <v>0.12590299277605779</v>
      </c>
      <c r="BS1930" s="463">
        <v>0.10732714138286895</v>
      </c>
      <c r="IO1930" s="271" t="s">
        <v>2093</v>
      </c>
      <c r="IP1930" s="270"/>
      <c r="IQ1930" s="276"/>
    </row>
    <row r="1931" spans="1:251" s="284" customFormat="1" x14ac:dyDescent="0.25">
      <c r="A1931" s="277">
        <v>91</v>
      </c>
      <c r="B1931" s="277" t="s">
        <v>769</v>
      </c>
      <c r="C1931" s="278" t="s">
        <v>2128</v>
      </c>
      <c r="D1931" s="277">
        <v>2006</v>
      </c>
      <c r="E1931" s="278">
        <v>1999</v>
      </c>
      <c r="F1931" s="277" t="s">
        <v>948</v>
      </c>
      <c r="G1931" s="277" t="s">
        <v>2042</v>
      </c>
      <c r="H1931" s="252" t="s">
        <v>2831</v>
      </c>
      <c r="I1931" s="278">
        <v>32.56</v>
      </c>
      <c r="J1931" s="278">
        <v>-83.91</v>
      </c>
      <c r="K1931" s="279">
        <v>16</v>
      </c>
      <c r="L1931" s="279">
        <v>18.100000000000001</v>
      </c>
      <c r="M1931" s="278"/>
      <c r="N1931" s="279">
        <v>1258</v>
      </c>
      <c r="O1931" s="278"/>
      <c r="P1931" s="278"/>
      <c r="Q1931" s="279">
        <v>6</v>
      </c>
      <c r="R1931" s="280" t="s">
        <v>1984</v>
      </c>
      <c r="T1931" s="280" t="s">
        <v>2112</v>
      </c>
      <c r="U1931" s="281" t="s">
        <v>1392</v>
      </c>
      <c r="V1931" s="281">
        <v>10</v>
      </c>
      <c r="W1931" s="281" t="s">
        <v>1392</v>
      </c>
      <c r="X1931" s="281" t="s">
        <v>1421</v>
      </c>
      <c r="Y1931" s="282">
        <f>AVERAGE(Sheet1!BM1931:BN1931)</f>
        <v>1.526</v>
      </c>
      <c r="Z1931" s="366">
        <v>65</v>
      </c>
      <c r="AA1931" s="366">
        <v>25</v>
      </c>
      <c r="AB1931" s="278" t="s">
        <v>241</v>
      </c>
      <c r="AC1931" s="278"/>
      <c r="AD1931" s="278"/>
      <c r="AE1931" s="278"/>
      <c r="AF1931" s="277" t="s">
        <v>2039</v>
      </c>
      <c r="AG1931" s="279" t="s">
        <v>132</v>
      </c>
      <c r="AH1931" s="278" t="s">
        <v>132</v>
      </c>
      <c r="AI1931" s="279" t="s">
        <v>2037</v>
      </c>
      <c r="AJ1931" s="278" t="s">
        <v>1621</v>
      </c>
      <c r="AK1931" s="278"/>
      <c r="AL1931" s="278"/>
      <c r="AM1931" s="278"/>
      <c r="AN1931" s="279" t="s">
        <v>773</v>
      </c>
      <c r="AO1931" s="279" t="s">
        <v>773</v>
      </c>
      <c r="AP1931" s="92" t="s">
        <v>178</v>
      </c>
      <c r="AQ1931" s="278" t="s">
        <v>2041</v>
      </c>
      <c r="AR1931" s="278"/>
      <c r="AS1931" s="283" t="s">
        <v>2035</v>
      </c>
      <c r="AT1931" s="253" t="s">
        <v>161</v>
      </c>
      <c r="AU1931" s="279">
        <v>4</v>
      </c>
      <c r="AV1931" s="279">
        <v>4</v>
      </c>
      <c r="AW1931" s="278" t="s">
        <v>142</v>
      </c>
      <c r="AX1931" s="278"/>
      <c r="AY1931" s="278">
        <f>1/3*16590</f>
        <v>5530</v>
      </c>
      <c r="AZ1931" s="278"/>
      <c r="BA1931" s="278"/>
      <c r="BB1931" s="278"/>
      <c r="BH1931" s="279"/>
      <c r="BI1931" s="279"/>
      <c r="BJ1931" s="278"/>
      <c r="BM1931" s="443">
        <f t="shared" si="274"/>
        <v>1.536</v>
      </c>
      <c r="BN1931" s="443">
        <v>1.516</v>
      </c>
      <c r="BR1931" s="446">
        <v>0.57291666666666674</v>
      </c>
      <c r="BS1931" s="446">
        <v>0.63151041666666663</v>
      </c>
      <c r="IO1931" s="279" t="s">
        <v>2093</v>
      </c>
      <c r="IP1931" s="278"/>
      <c r="IQ1931" s="285"/>
    </row>
    <row r="1932" spans="1:251" s="284" customFormat="1" x14ac:dyDescent="0.25">
      <c r="A1932" s="277">
        <v>91</v>
      </c>
      <c r="B1932" s="277" t="s">
        <v>769</v>
      </c>
      <c r="C1932" s="278" t="s">
        <v>2128</v>
      </c>
      <c r="D1932" s="277">
        <v>2006</v>
      </c>
      <c r="E1932" s="278">
        <v>1999</v>
      </c>
      <c r="F1932" s="277" t="s">
        <v>948</v>
      </c>
      <c r="G1932" s="277" t="s">
        <v>2042</v>
      </c>
      <c r="H1932" s="252" t="s">
        <v>2831</v>
      </c>
      <c r="I1932" s="278">
        <v>32.56</v>
      </c>
      <c r="J1932" s="278">
        <v>-83.91</v>
      </c>
      <c r="K1932" s="279">
        <v>16</v>
      </c>
      <c r="L1932" s="279">
        <v>18.100000000000001</v>
      </c>
      <c r="M1932" s="278"/>
      <c r="N1932" s="279">
        <v>1258</v>
      </c>
      <c r="O1932" s="278"/>
      <c r="P1932" s="278"/>
      <c r="Q1932" s="279">
        <v>6</v>
      </c>
      <c r="R1932" s="280" t="s">
        <v>1984</v>
      </c>
      <c r="T1932" s="280" t="s">
        <v>2112</v>
      </c>
      <c r="U1932" s="281" t="s">
        <v>1412</v>
      </c>
      <c r="V1932" s="281">
        <v>20</v>
      </c>
      <c r="W1932" s="281" t="s">
        <v>1392</v>
      </c>
      <c r="X1932" s="281" t="s">
        <v>1421</v>
      </c>
      <c r="Y1932" s="282">
        <f>AVERAGE(Sheet1!BM1932:BN1932)</f>
        <v>1.5189999999999999</v>
      </c>
      <c r="Z1932" s="366">
        <v>65</v>
      </c>
      <c r="AA1932" s="366">
        <v>25</v>
      </c>
      <c r="AB1932" s="278" t="s">
        <v>241</v>
      </c>
      <c r="AC1932" s="278"/>
      <c r="AD1932" s="278"/>
      <c r="AE1932" s="278"/>
      <c r="AF1932" s="277" t="s">
        <v>2039</v>
      </c>
      <c r="AG1932" s="279" t="s">
        <v>132</v>
      </c>
      <c r="AH1932" s="278" t="s">
        <v>132</v>
      </c>
      <c r="AI1932" s="279" t="s">
        <v>2037</v>
      </c>
      <c r="AJ1932" s="278" t="s">
        <v>1621</v>
      </c>
      <c r="AK1932" s="278"/>
      <c r="AL1932" s="278"/>
      <c r="AM1932" s="278"/>
      <c r="AN1932" s="279" t="s">
        <v>773</v>
      </c>
      <c r="AO1932" s="279" t="s">
        <v>773</v>
      </c>
      <c r="AP1932" s="92" t="s">
        <v>2125</v>
      </c>
      <c r="AQ1932" s="278" t="s">
        <v>2041</v>
      </c>
      <c r="AR1932" s="278"/>
      <c r="AS1932" s="283" t="s">
        <v>2035</v>
      </c>
      <c r="AT1932" s="253" t="s">
        <v>161</v>
      </c>
      <c r="AU1932" s="279">
        <v>4</v>
      </c>
      <c r="AV1932" s="279">
        <v>4</v>
      </c>
      <c r="AW1932" s="278" t="s">
        <v>142</v>
      </c>
      <c r="AX1932" s="278"/>
      <c r="AY1932" s="278"/>
      <c r="AZ1932" s="278"/>
      <c r="BA1932" s="278"/>
      <c r="BB1932" s="278"/>
      <c r="BH1932" s="279"/>
      <c r="BI1932" s="279"/>
      <c r="BJ1932" s="278"/>
      <c r="BM1932" s="443">
        <f t="shared" si="274"/>
        <v>1.5289999999999999</v>
      </c>
      <c r="BN1932" s="443">
        <v>1.5089999999999999</v>
      </c>
      <c r="BR1932" s="446">
        <v>0.45781556572923476</v>
      </c>
      <c r="BS1932" s="446">
        <v>0.50032701111837807</v>
      </c>
      <c r="IO1932" s="279" t="s">
        <v>2093</v>
      </c>
      <c r="IP1932" s="278"/>
      <c r="IQ1932" s="285"/>
    </row>
    <row r="1933" spans="1:251" s="284" customFormat="1" x14ac:dyDescent="0.25">
      <c r="A1933" s="277">
        <v>91</v>
      </c>
      <c r="B1933" s="277" t="s">
        <v>769</v>
      </c>
      <c r="C1933" s="278" t="s">
        <v>2128</v>
      </c>
      <c r="D1933" s="277">
        <v>2006</v>
      </c>
      <c r="E1933" s="278">
        <v>1999</v>
      </c>
      <c r="F1933" s="277" t="s">
        <v>948</v>
      </c>
      <c r="G1933" s="277" t="s">
        <v>2042</v>
      </c>
      <c r="H1933" s="252" t="s">
        <v>2831</v>
      </c>
      <c r="I1933" s="278">
        <v>32.56</v>
      </c>
      <c r="J1933" s="278">
        <v>-83.91</v>
      </c>
      <c r="K1933" s="279">
        <v>16</v>
      </c>
      <c r="L1933" s="279">
        <v>18.100000000000001</v>
      </c>
      <c r="M1933" s="278"/>
      <c r="N1933" s="279">
        <v>1258</v>
      </c>
      <c r="O1933" s="278"/>
      <c r="P1933" s="278"/>
      <c r="Q1933" s="279">
        <v>6</v>
      </c>
      <c r="R1933" s="280" t="s">
        <v>1984</v>
      </c>
      <c r="T1933" s="280" t="s">
        <v>2112</v>
      </c>
      <c r="U1933" s="281" t="s">
        <v>1406</v>
      </c>
      <c r="V1933" s="281">
        <v>30</v>
      </c>
      <c r="W1933" s="281" t="s">
        <v>1392</v>
      </c>
      <c r="X1933" s="281" t="s">
        <v>1421</v>
      </c>
      <c r="Y1933" s="282">
        <f>AVERAGE(Sheet1!BM1933:BN1933)</f>
        <v>1.43</v>
      </c>
      <c r="Z1933" s="366">
        <v>65</v>
      </c>
      <c r="AA1933" s="366">
        <v>25</v>
      </c>
      <c r="AB1933" s="278" t="s">
        <v>241</v>
      </c>
      <c r="AC1933" s="278"/>
      <c r="AD1933" s="278"/>
      <c r="AE1933" s="278"/>
      <c r="AF1933" s="277" t="s">
        <v>2039</v>
      </c>
      <c r="AG1933" s="279" t="s">
        <v>132</v>
      </c>
      <c r="AH1933" s="278" t="s">
        <v>132</v>
      </c>
      <c r="AI1933" s="279" t="s">
        <v>2037</v>
      </c>
      <c r="AJ1933" s="278" t="s">
        <v>1621</v>
      </c>
      <c r="AK1933" s="278"/>
      <c r="AL1933" s="278"/>
      <c r="AM1933" s="278"/>
      <c r="AN1933" s="279" t="s">
        <v>773</v>
      </c>
      <c r="AO1933" s="279" t="s">
        <v>773</v>
      </c>
      <c r="AP1933" s="92" t="s">
        <v>178</v>
      </c>
      <c r="AQ1933" s="278" t="s">
        <v>2041</v>
      </c>
      <c r="AR1933" s="278"/>
      <c r="AS1933" s="283" t="s">
        <v>2035</v>
      </c>
      <c r="AT1933" s="253" t="s">
        <v>161</v>
      </c>
      <c r="AU1933" s="279">
        <v>4</v>
      </c>
      <c r="AV1933" s="279">
        <v>4</v>
      </c>
      <c r="AW1933" s="278" t="s">
        <v>142</v>
      </c>
      <c r="AX1933" s="278"/>
      <c r="AY1933" s="278"/>
      <c r="AZ1933" s="278"/>
      <c r="BA1933" s="278"/>
      <c r="BB1933" s="278"/>
      <c r="BH1933" s="279"/>
      <c r="BI1933" s="279"/>
      <c r="BJ1933" s="278"/>
      <c r="BM1933" s="443">
        <f t="shared" si="274"/>
        <v>1.44</v>
      </c>
      <c r="BN1933" s="443">
        <v>1.42</v>
      </c>
      <c r="BR1933" s="446">
        <v>0.23379629629629628</v>
      </c>
      <c r="BS1933" s="446">
        <v>0.25</v>
      </c>
      <c r="IO1933" s="279" t="s">
        <v>2093</v>
      </c>
      <c r="IP1933" s="278"/>
      <c r="IQ1933" s="285"/>
    </row>
    <row r="1934" spans="1:251" s="284" customFormat="1" x14ac:dyDescent="0.25">
      <c r="A1934" s="277">
        <v>91</v>
      </c>
      <c r="B1934" s="277" t="s">
        <v>769</v>
      </c>
      <c r="C1934" s="278" t="s">
        <v>2128</v>
      </c>
      <c r="D1934" s="277">
        <v>2006</v>
      </c>
      <c r="E1934" s="278">
        <v>1999</v>
      </c>
      <c r="F1934" s="277" t="s">
        <v>948</v>
      </c>
      <c r="G1934" s="277" t="s">
        <v>2042</v>
      </c>
      <c r="H1934" s="252" t="s">
        <v>2831</v>
      </c>
      <c r="I1934" s="278">
        <v>32.56</v>
      </c>
      <c r="J1934" s="278">
        <v>-83.91</v>
      </c>
      <c r="K1934" s="279">
        <v>16</v>
      </c>
      <c r="L1934" s="279">
        <v>18.100000000000001</v>
      </c>
      <c r="M1934" s="278"/>
      <c r="N1934" s="279">
        <v>1258</v>
      </c>
      <c r="O1934" s="278"/>
      <c r="P1934" s="278"/>
      <c r="Q1934" s="279">
        <v>6</v>
      </c>
      <c r="R1934" s="280" t="s">
        <v>1984</v>
      </c>
      <c r="T1934" s="280" t="s">
        <v>2112</v>
      </c>
      <c r="U1934" s="281" t="s">
        <v>1407</v>
      </c>
      <c r="V1934" s="281">
        <v>30</v>
      </c>
      <c r="W1934" s="281" t="s">
        <v>1392</v>
      </c>
      <c r="X1934" s="281" t="s">
        <v>1421</v>
      </c>
      <c r="Y1934" s="282">
        <f>AVERAGE(Sheet1!BM1934:BN1934)</f>
        <v>1.6160000000000001</v>
      </c>
      <c r="Z1934" s="366">
        <v>65</v>
      </c>
      <c r="AA1934" s="366">
        <v>25</v>
      </c>
      <c r="AB1934" s="278" t="s">
        <v>241</v>
      </c>
      <c r="AC1934" s="278"/>
      <c r="AD1934" s="278"/>
      <c r="AE1934" s="278"/>
      <c r="AF1934" s="277" t="s">
        <v>2039</v>
      </c>
      <c r="AG1934" s="279" t="s">
        <v>132</v>
      </c>
      <c r="AH1934" s="278" t="s">
        <v>132</v>
      </c>
      <c r="AI1934" s="279" t="s">
        <v>2037</v>
      </c>
      <c r="AJ1934" s="278" t="s">
        <v>1621</v>
      </c>
      <c r="AK1934" s="278"/>
      <c r="AL1934" s="278"/>
      <c r="AM1934" s="278"/>
      <c r="AN1934" s="279" t="s">
        <v>773</v>
      </c>
      <c r="AO1934" s="279" t="s">
        <v>773</v>
      </c>
      <c r="AP1934" s="92" t="s">
        <v>2125</v>
      </c>
      <c r="AQ1934" s="278" t="s">
        <v>2041</v>
      </c>
      <c r="AR1934" s="278"/>
      <c r="AS1934" s="283" t="s">
        <v>2035</v>
      </c>
      <c r="AT1934" s="253" t="s">
        <v>161</v>
      </c>
      <c r="AU1934" s="279">
        <v>4</v>
      </c>
      <c r="AV1934" s="279">
        <v>4</v>
      </c>
      <c r="AW1934" s="278" t="s">
        <v>142</v>
      </c>
      <c r="AX1934" s="278"/>
      <c r="AY1934" s="278"/>
      <c r="AZ1934" s="278"/>
      <c r="BA1934" s="278"/>
      <c r="BB1934" s="278"/>
      <c r="BH1934" s="279"/>
      <c r="BI1934" s="279"/>
      <c r="BJ1934" s="278"/>
      <c r="BM1934" s="443">
        <f t="shared" si="274"/>
        <v>1.6260000000000001</v>
      </c>
      <c r="BN1934" s="443">
        <v>1.6060000000000001</v>
      </c>
      <c r="BR1934" s="446">
        <v>0.16400164001640014</v>
      </c>
      <c r="BS1934" s="446">
        <v>0.16195161951619513</v>
      </c>
      <c r="IO1934" s="279" t="s">
        <v>2093</v>
      </c>
      <c r="IP1934" s="278"/>
      <c r="IQ1934" s="285"/>
    </row>
    <row r="1935" spans="1:251" s="284" customFormat="1" x14ac:dyDescent="0.25">
      <c r="A1935" s="277">
        <v>91</v>
      </c>
      <c r="B1935" s="277" t="s">
        <v>769</v>
      </c>
      <c r="C1935" s="278" t="s">
        <v>2128</v>
      </c>
      <c r="D1935" s="277">
        <v>2006</v>
      </c>
      <c r="E1935" s="278">
        <v>1999</v>
      </c>
      <c r="F1935" s="277" t="s">
        <v>948</v>
      </c>
      <c r="G1935" s="277" t="s">
        <v>2042</v>
      </c>
      <c r="H1935" s="252" t="s">
        <v>2831</v>
      </c>
      <c r="I1935" s="278">
        <v>32.56</v>
      </c>
      <c r="J1935" s="278">
        <v>-83.91</v>
      </c>
      <c r="K1935" s="279">
        <v>16</v>
      </c>
      <c r="L1935" s="279">
        <v>18.100000000000001</v>
      </c>
      <c r="M1935" s="278"/>
      <c r="N1935" s="279">
        <v>1258</v>
      </c>
      <c r="O1935" s="278"/>
      <c r="P1935" s="278"/>
      <c r="Q1935" s="279">
        <v>6</v>
      </c>
      <c r="R1935" s="280" t="s">
        <v>1984</v>
      </c>
      <c r="T1935" s="280" t="s">
        <v>2112</v>
      </c>
      <c r="U1935" s="281" t="s">
        <v>1419</v>
      </c>
      <c r="V1935" s="281">
        <v>30</v>
      </c>
      <c r="W1935" s="281" t="s">
        <v>1392</v>
      </c>
      <c r="X1935" s="281" t="s">
        <v>1421</v>
      </c>
      <c r="Y1935" s="282">
        <f>AVERAGE(Sheet1!BM1935:BN1935)</f>
        <v>1.605</v>
      </c>
      <c r="Z1935" s="366">
        <v>65</v>
      </c>
      <c r="AA1935" s="366">
        <v>25</v>
      </c>
      <c r="AB1935" s="278" t="s">
        <v>241</v>
      </c>
      <c r="AC1935" s="278"/>
      <c r="AD1935" s="278"/>
      <c r="AE1935" s="278"/>
      <c r="AF1935" s="277" t="s">
        <v>2039</v>
      </c>
      <c r="AG1935" s="279" t="s">
        <v>132</v>
      </c>
      <c r="AH1935" s="278" t="s">
        <v>132</v>
      </c>
      <c r="AI1935" s="279" t="s">
        <v>2037</v>
      </c>
      <c r="AJ1935" s="278" t="s">
        <v>1621</v>
      </c>
      <c r="AK1935" s="278"/>
      <c r="AL1935" s="278"/>
      <c r="AM1935" s="278"/>
      <c r="AN1935" s="279" t="s">
        <v>773</v>
      </c>
      <c r="AO1935" s="279" t="s">
        <v>773</v>
      </c>
      <c r="AP1935" s="92" t="s">
        <v>178</v>
      </c>
      <c r="AQ1935" s="278" t="s">
        <v>2041</v>
      </c>
      <c r="AR1935" s="278"/>
      <c r="AS1935" s="283" t="s">
        <v>2035</v>
      </c>
      <c r="AT1935" s="253" t="s">
        <v>161</v>
      </c>
      <c r="AU1935" s="279">
        <v>4</v>
      </c>
      <c r="AV1935" s="279">
        <v>4</v>
      </c>
      <c r="AW1935" s="278" t="s">
        <v>142</v>
      </c>
      <c r="AX1935" s="278"/>
      <c r="AY1935" s="278"/>
      <c r="AZ1935" s="278"/>
      <c r="BA1935" s="278"/>
      <c r="BB1935" s="278"/>
      <c r="BH1935" s="279"/>
      <c r="BI1935" s="279"/>
      <c r="BJ1935" s="278"/>
      <c r="BM1935" s="443">
        <f t="shared" si="274"/>
        <v>1.615</v>
      </c>
      <c r="BN1935" s="443">
        <v>1.595</v>
      </c>
      <c r="BR1935" s="446">
        <v>0.1155830753353973</v>
      </c>
      <c r="BS1935" s="446">
        <v>0.11971104231166151</v>
      </c>
      <c r="IO1935" s="279" t="s">
        <v>2093</v>
      </c>
      <c r="IP1935" s="278"/>
      <c r="IQ1935" s="285"/>
    </row>
    <row r="1936" spans="1:251" s="22" customFormat="1" x14ac:dyDescent="0.25">
      <c r="A1936" s="269">
        <v>91</v>
      </c>
      <c r="B1936" s="269" t="s">
        <v>769</v>
      </c>
      <c r="C1936" s="270" t="s">
        <v>2128</v>
      </c>
      <c r="D1936" s="269">
        <v>2006</v>
      </c>
      <c r="E1936" s="270">
        <v>1999</v>
      </c>
      <c r="F1936" s="269" t="s">
        <v>948</v>
      </c>
      <c r="G1936" s="269" t="s">
        <v>2042</v>
      </c>
      <c r="H1936" s="252" t="s">
        <v>2831</v>
      </c>
      <c r="I1936" s="270">
        <v>32.56</v>
      </c>
      <c r="J1936" s="270">
        <v>-83.91</v>
      </c>
      <c r="K1936" s="271">
        <v>16</v>
      </c>
      <c r="L1936" s="271">
        <v>18.100000000000001</v>
      </c>
      <c r="M1936" s="270"/>
      <c r="N1936" s="271">
        <v>1258</v>
      </c>
      <c r="O1936" s="270"/>
      <c r="P1936" s="270"/>
      <c r="Q1936" s="271">
        <v>6</v>
      </c>
      <c r="R1936" s="272" t="s">
        <v>1984</v>
      </c>
      <c r="T1936" s="272" t="s">
        <v>2112</v>
      </c>
      <c r="U1936" s="273" t="s">
        <v>1392</v>
      </c>
      <c r="V1936" s="273">
        <v>10</v>
      </c>
      <c r="W1936" s="273" t="s">
        <v>1392</v>
      </c>
      <c r="X1936" s="273" t="s">
        <v>1421</v>
      </c>
      <c r="Y1936" s="274">
        <f>AVERAGE(Sheet1!BM1936:BN1936)</f>
        <v>1.526</v>
      </c>
      <c r="Z1936" s="365">
        <v>65</v>
      </c>
      <c r="AA1936" s="365">
        <v>25</v>
      </c>
      <c r="AB1936" s="270" t="s">
        <v>241</v>
      </c>
      <c r="AC1936" s="270"/>
      <c r="AD1936" s="270"/>
      <c r="AE1936" s="270"/>
      <c r="AF1936" s="269" t="s">
        <v>2039</v>
      </c>
      <c r="AG1936" s="271" t="s">
        <v>132</v>
      </c>
      <c r="AH1936" s="270" t="s">
        <v>132</v>
      </c>
      <c r="AI1936" s="271" t="s">
        <v>2037</v>
      </c>
      <c r="AJ1936" s="270" t="s">
        <v>1621</v>
      </c>
      <c r="AK1936" s="270"/>
      <c r="AL1936" s="270"/>
      <c r="AM1936" s="270"/>
      <c r="AN1936" s="271" t="s">
        <v>773</v>
      </c>
      <c r="AO1936" s="271" t="s">
        <v>773</v>
      </c>
      <c r="AP1936" s="92" t="s">
        <v>2125</v>
      </c>
      <c r="AQ1936" s="270" t="s">
        <v>2036</v>
      </c>
      <c r="AR1936" s="270"/>
      <c r="AS1936" s="275" t="s">
        <v>2035</v>
      </c>
      <c r="AT1936" s="253" t="s">
        <v>161</v>
      </c>
      <c r="AU1936" s="271">
        <v>4</v>
      </c>
      <c r="AV1936" s="271">
        <v>4</v>
      </c>
      <c r="AW1936" s="270" t="s">
        <v>142</v>
      </c>
      <c r="AX1936" s="270"/>
      <c r="AY1936" s="270">
        <f>1/3*17480</f>
        <v>5826.6666666666661</v>
      </c>
      <c r="AZ1936" s="270"/>
      <c r="BA1936" s="270"/>
      <c r="BB1936" s="270"/>
      <c r="BH1936" s="271"/>
      <c r="BI1936" s="271"/>
      <c r="BJ1936" s="270"/>
      <c r="BM1936" s="442">
        <f t="shared" si="274"/>
        <v>1.536</v>
      </c>
      <c r="BN1936" s="442">
        <v>1.516</v>
      </c>
      <c r="BR1936" s="463">
        <v>0.6640625</v>
      </c>
      <c r="BS1936" s="463">
        <v>0.71614583333333326</v>
      </c>
      <c r="IO1936" s="271" t="s">
        <v>2093</v>
      </c>
      <c r="IP1936" s="270"/>
      <c r="IQ1936" s="276"/>
    </row>
    <row r="1937" spans="1:251" s="22" customFormat="1" x14ac:dyDescent="0.25">
      <c r="A1937" s="269">
        <v>91</v>
      </c>
      <c r="B1937" s="269" t="s">
        <v>769</v>
      </c>
      <c r="C1937" s="270" t="s">
        <v>2128</v>
      </c>
      <c r="D1937" s="269">
        <v>2006</v>
      </c>
      <c r="E1937" s="270">
        <v>1999</v>
      </c>
      <c r="F1937" s="269" t="s">
        <v>948</v>
      </c>
      <c r="G1937" s="269" t="s">
        <v>2042</v>
      </c>
      <c r="H1937" s="252" t="s">
        <v>2831</v>
      </c>
      <c r="I1937" s="270">
        <v>32.56</v>
      </c>
      <c r="J1937" s="270">
        <v>-83.91</v>
      </c>
      <c r="K1937" s="271">
        <v>16</v>
      </c>
      <c r="L1937" s="271">
        <v>18.100000000000001</v>
      </c>
      <c r="M1937" s="270"/>
      <c r="N1937" s="271">
        <v>1258</v>
      </c>
      <c r="O1937" s="270"/>
      <c r="P1937" s="270"/>
      <c r="Q1937" s="271">
        <v>6</v>
      </c>
      <c r="R1937" s="272" t="s">
        <v>1984</v>
      </c>
      <c r="T1937" s="272" t="s">
        <v>2112</v>
      </c>
      <c r="U1937" s="273" t="s">
        <v>1412</v>
      </c>
      <c r="V1937" s="273">
        <v>20</v>
      </c>
      <c r="W1937" s="273" t="s">
        <v>1392</v>
      </c>
      <c r="X1937" s="273" t="s">
        <v>1421</v>
      </c>
      <c r="Y1937" s="274">
        <f>AVERAGE(Sheet1!BM1937:BN1937)</f>
        <v>1.5189999999999999</v>
      </c>
      <c r="Z1937" s="365">
        <v>65</v>
      </c>
      <c r="AA1937" s="365">
        <v>25</v>
      </c>
      <c r="AB1937" s="270" t="s">
        <v>241</v>
      </c>
      <c r="AC1937" s="270"/>
      <c r="AD1937" s="270"/>
      <c r="AE1937" s="270"/>
      <c r="AF1937" s="269" t="s">
        <v>2039</v>
      </c>
      <c r="AG1937" s="271" t="s">
        <v>132</v>
      </c>
      <c r="AH1937" s="270" t="s">
        <v>132</v>
      </c>
      <c r="AI1937" s="271" t="s">
        <v>2037</v>
      </c>
      <c r="AJ1937" s="270" t="s">
        <v>1621</v>
      </c>
      <c r="AK1937" s="270"/>
      <c r="AL1937" s="270"/>
      <c r="AM1937" s="270"/>
      <c r="AN1937" s="271" t="s">
        <v>773</v>
      </c>
      <c r="AO1937" s="271" t="s">
        <v>773</v>
      </c>
      <c r="AP1937" s="92" t="s">
        <v>178</v>
      </c>
      <c r="AQ1937" s="270" t="s">
        <v>2036</v>
      </c>
      <c r="AR1937" s="270"/>
      <c r="AS1937" s="275" t="s">
        <v>2035</v>
      </c>
      <c r="AT1937" s="253" t="s">
        <v>161</v>
      </c>
      <c r="AU1937" s="271">
        <v>4</v>
      </c>
      <c r="AV1937" s="271">
        <v>4</v>
      </c>
      <c r="AW1937" s="270" t="s">
        <v>142</v>
      </c>
      <c r="AX1937" s="270"/>
      <c r="AY1937" s="270"/>
      <c r="AZ1937" s="270"/>
      <c r="BA1937" s="270"/>
      <c r="BB1937" s="270"/>
      <c r="BH1937" s="271"/>
      <c r="BI1937" s="271"/>
      <c r="BJ1937" s="270"/>
      <c r="BM1937" s="442">
        <f t="shared" si="274"/>
        <v>1.5289999999999999</v>
      </c>
      <c r="BN1937" s="442">
        <v>1.5089999999999999</v>
      </c>
      <c r="BR1937" s="463">
        <v>0.50686723348593854</v>
      </c>
      <c r="BS1937" s="463">
        <v>0.54610856769130145</v>
      </c>
      <c r="IO1937" s="271" t="s">
        <v>2093</v>
      </c>
      <c r="IP1937" s="270"/>
      <c r="IQ1937" s="276"/>
    </row>
    <row r="1938" spans="1:251" s="22" customFormat="1" x14ac:dyDescent="0.25">
      <c r="A1938" s="269">
        <v>91</v>
      </c>
      <c r="B1938" s="269" t="s">
        <v>769</v>
      </c>
      <c r="C1938" s="270" t="s">
        <v>2128</v>
      </c>
      <c r="D1938" s="269">
        <v>2006</v>
      </c>
      <c r="E1938" s="270">
        <v>1999</v>
      </c>
      <c r="F1938" s="269" t="s">
        <v>948</v>
      </c>
      <c r="G1938" s="269" t="s">
        <v>2042</v>
      </c>
      <c r="H1938" s="252" t="s">
        <v>2831</v>
      </c>
      <c r="I1938" s="270">
        <v>32.56</v>
      </c>
      <c r="J1938" s="270">
        <v>-83.91</v>
      </c>
      <c r="K1938" s="271">
        <v>16</v>
      </c>
      <c r="L1938" s="271">
        <v>18.100000000000001</v>
      </c>
      <c r="M1938" s="270"/>
      <c r="N1938" s="271">
        <v>1258</v>
      </c>
      <c r="O1938" s="270"/>
      <c r="P1938" s="270"/>
      <c r="Q1938" s="271">
        <v>6</v>
      </c>
      <c r="R1938" s="272" t="s">
        <v>1984</v>
      </c>
      <c r="T1938" s="272" t="s">
        <v>2112</v>
      </c>
      <c r="U1938" s="273" t="s">
        <v>1406</v>
      </c>
      <c r="V1938" s="273">
        <v>30</v>
      </c>
      <c r="W1938" s="273" t="s">
        <v>1392</v>
      </c>
      <c r="X1938" s="273" t="s">
        <v>1421</v>
      </c>
      <c r="Y1938" s="274">
        <f>AVERAGE(Sheet1!BM1938:BN1938)</f>
        <v>1.43</v>
      </c>
      <c r="Z1938" s="365">
        <v>65</v>
      </c>
      <c r="AA1938" s="365">
        <v>25</v>
      </c>
      <c r="AB1938" s="270" t="s">
        <v>241</v>
      </c>
      <c r="AC1938" s="270"/>
      <c r="AD1938" s="270"/>
      <c r="AE1938" s="270"/>
      <c r="AF1938" s="269" t="s">
        <v>2039</v>
      </c>
      <c r="AG1938" s="271" t="s">
        <v>132</v>
      </c>
      <c r="AH1938" s="270" t="s">
        <v>132</v>
      </c>
      <c r="AI1938" s="271" t="s">
        <v>2037</v>
      </c>
      <c r="AJ1938" s="270" t="s">
        <v>1621</v>
      </c>
      <c r="AK1938" s="270"/>
      <c r="AL1938" s="270"/>
      <c r="AM1938" s="270"/>
      <c r="AN1938" s="271" t="s">
        <v>773</v>
      </c>
      <c r="AO1938" s="271" t="s">
        <v>773</v>
      </c>
      <c r="AP1938" s="92" t="s">
        <v>2125</v>
      </c>
      <c r="AQ1938" s="270" t="s">
        <v>2036</v>
      </c>
      <c r="AR1938" s="270"/>
      <c r="AS1938" s="275" t="s">
        <v>2035</v>
      </c>
      <c r="AT1938" s="253" t="s">
        <v>161</v>
      </c>
      <c r="AU1938" s="271">
        <v>4</v>
      </c>
      <c r="AV1938" s="271">
        <v>4</v>
      </c>
      <c r="AW1938" s="270" t="s">
        <v>142</v>
      </c>
      <c r="AX1938" s="270"/>
      <c r="AY1938" s="270"/>
      <c r="AZ1938" s="270"/>
      <c r="BA1938" s="270"/>
      <c r="BB1938" s="270"/>
      <c r="BH1938" s="271"/>
      <c r="BI1938" s="271"/>
      <c r="BJ1938" s="270"/>
      <c r="BM1938" s="442">
        <f t="shared" si="274"/>
        <v>1.44</v>
      </c>
      <c r="BN1938" s="442">
        <v>1.42</v>
      </c>
      <c r="BR1938" s="463">
        <v>0.21759259259259262</v>
      </c>
      <c r="BS1938" s="463">
        <v>0.23842592592592596</v>
      </c>
      <c r="IO1938" s="271" t="s">
        <v>2093</v>
      </c>
      <c r="IP1938" s="270"/>
      <c r="IQ1938" s="276"/>
    </row>
    <row r="1939" spans="1:251" s="22" customFormat="1" x14ac:dyDescent="0.25">
      <c r="A1939" s="269">
        <v>91</v>
      </c>
      <c r="B1939" s="269" t="s">
        <v>769</v>
      </c>
      <c r="C1939" s="270" t="s">
        <v>2128</v>
      </c>
      <c r="D1939" s="269">
        <v>2006</v>
      </c>
      <c r="E1939" s="270">
        <v>1999</v>
      </c>
      <c r="F1939" s="269" t="s">
        <v>948</v>
      </c>
      <c r="G1939" s="269" t="s">
        <v>2042</v>
      </c>
      <c r="H1939" s="252" t="s">
        <v>2831</v>
      </c>
      <c r="I1939" s="270">
        <v>32.56</v>
      </c>
      <c r="J1939" s="270">
        <v>-83.91</v>
      </c>
      <c r="K1939" s="271">
        <v>16</v>
      </c>
      <c r="L1939" s="271">
        <v>18.100000000000001</v>
      </c>
      <c r="M1939" s="270"/>
      <c r="N1939" s="271">
        <v>1258</v>
      </c>
      <c r="O1939" s="270"/>
      <c r="P1939" s="270"/>
      <c r="Q1939" s="271">
        <v>6</v>
      </c>
      <c r="R1939" s="272" t="s">
        <v>1984</v>
      </c>
      <c r="T1939" s="272" t="s">
        <v>2112</v>
      </c>
      <c r="U1939" s="273" t="s">
        <v>1407</v>
      </c>
      <c r="V1939" s="273">
        <v>30</v>
      </c>
      <c r="W1939" s="273" t="s">
        <v>1392</v>
      </c>
      <c r="X1939" s="273" t="s">
        <v>1421</v>
      </c>
      <c r="Y1939" s="274">
        <f>AVERAGE(Sheet1!BM1939:BN1939)</f>
        <v>1.6160000000000001</v>
      </c>
      <c r="Z1939" s="365">
        <v>65</v>
      </c>
      <c r="AA1939" s="365">
        <v>25</v>
      </c>
      <c r="AB1939" s="270" t="s">
        <v>241</v>
      </c>
      <c r="AC1939" s="270"/>
      <c r="AD1939" s="270"/>
      <c r="AE1939" s="270"/>
      <c r="AF1939" s="269" t="s">
        <v>2039</v>
      </c>
      <c r="AG1939" s="271" t="s">
        <v>132</v>
      </c>
      <c r="AH1939" s="270" t="s">
        <v>132</v>
      </c>
      <c r="AI1939" s="271" t="s">
        <v>2037</v>
      </c>
      <c r="AJ1939" s="270" t="s">
        <v>1621</v>
      </c>
      <c r="AK1939" s="270"/>
      <c r="AL1939" s="270"/>
      <c r="AM1939" s="270"/>
      <c r="AN1939" s="271" t="s">
        <v>773</v>
      </c>
      <c r="AO1939" s="271" t="s">
        <v>773</v>
      </c>
      <c r="AP1939" s="92" t="s">
        <v>178</v>
      </c>
      <c r="AQ1939" s="270" t="s">
        <v>2036</v>
      </c>
      <c r="AR1939" s="270"/>
      <c r="AS1939" s="275" t="s">
        <v>2035</v>
      </c>
      <c r="AT1939" s="253" t="s">
        <v>161</v>
      </c>
      <c r="AU1939" s="271">
        <v>4</v>
      </c>
      <c r="AV1939" s="271">
        <v>4</v>
      </c>
      <c r="AW1939" s="270" t="s">
        <v>142</v>
      </c>
      <c r="AX1939" s="270"/>
      <c r="AY1939" s="270"/>
      <c r="AZ1939" s="270"/>
      <c r="BA1939" s="270"/>
      <c r="BB1939" s="270"/>
      <c r="BH1939" s="271"/>
      <c r="BI1939" s="271"/>
      <c r="BJ1939" s="270"/>
      <c r="BM1939" s="442">
        <f t="shared" si="274"/>
        <v>1.6260000000000001</v>
      </c>
      <c r="BN1939" s="442">
        <v>1.6060000000000001</v>
      </c>
      <c r="BR1939" s="463">
        <v>0.17015170151701514</v>
      </c>
      <c r="BS1939" s="463">
        <v>0.1312013120131201</v>
      </c>
      <c r="IO1939" s="271" t="s">
        <v>2093</v>
      </c>
      <c r="IP1939" s="270"/>
      <c r="IQ1939" s="276"/>
    </row>
    <row r="1940" spans="1:251" s="22" customFormat="1" x14ac:dyDescent="0.25">
      <c r="A1940" s="269">
        <v>91</v>
      </c>
      <c r="B1940" s="269" t="s">
        <v>769</v>
      </c>
      <c r="C1940" s="270" t="s">
        <v>2128</v>
      </c>
      <c r="D1940" s="269">
        <v>2006</v>
      </c>
      <c r="E1940" s="270">
        <v>1999</v>
      </c>
      <c r="F1940" s="269" t="s">
        <v>948</v>
      </c>
      <c r="G1940" s="269" t="s">
        <v>2042</v>
      </c>
      <c r="H1940" s="252" t="s">
        <v>2831</v>
      </c>
      <c r="I1940" s="270">
        <v>32.56</v>
      </c>
      <c r="J1940" s="270">
        <v>-83.91</v>
      </c>
      <c r="K1940" s="271">
        <v>16</v>
      </c>
      <c r="L1940" s="271">
        <v>18.100000000000001</v>
      </c>
      <c r="M1940" s="270"/>
      <c r="N1940" s="271">
        <v>1258</v>
      </c>
      <c r="O1940" s="270"/>
      <c r="P1940" s="270"/>
      <c r="Q1940" s="271">
        <v>6</v>
      </c>
      <c r="R1940" s="272" t="s">
        <v>1984</v>
      </c>
      <c r="T1940" s="272" t="s">
        <v>2112</v>
      </c>
      <c r="U1940" s="273" t="s">
        <v>1419</v>
      </c>
      <c r="V1940" s="273">
        <v>30</v>
      </c>
      <c r="W1940" s="273" t="s">
        <v>1392</v>
      </c>
      <c r="X1940" s="273" t="s">
        <v>1421</v>
      </c>
      <c r="Y1940" s="274">
        <f>AVERAGE(Sheet1!BM1940:BN1940)</f>
        <v>1.605</v>
      </c>
      <c r="Z1940" s="365">
        <v>65</v>
      </c>
      <c r="AA1940" s="365">
        <v>25</v>
      </c>
      <c r="AB1940" s="270" t="s">
        <v>241</v>
      </c>
      <c r="AC1940" s="270"/>
      <c r="AD1940" s="270"/>
      <c r="AE1940" s="270"/>
      <c r="AF1940" s="269" t="s">
        <v>2039</v>
      </c>
      <c r="AG1940" s="271" t="s">
        <v>132</v>
      </c>
      <c r="AH1940" s="270" t="s">
        <v>132</v>
      </c>
      <c r="AI1940" s="271" t="s">
        <v>2037</v>
      </c>
      <c r="AJ1940" s="270" t="s">
        <v>1621</v>
      </c>
      <c r="AK1940" s="270"/>
      <c r="AL1940" s="270"/>
      <c r="AM1940" s="270"/>
      <c r="AN1940" s="271" t="s">
        <v>773</v>
      </c>
      <c r="AO1940" s="271" t="s">
        <v>773</v>
      </c>
      <c r="AP1940" s="92" t="s">
        <v>2125</v>
      </c>
      <c r="AQ1940" s="270" t="s">
        <v>2036</v>
      </c>
      <c r="AR1940" s="270"/>
      <c r="AS1940" s="275" t="s">
        <v>2035</v>
      </c>
      <c r="AT1940" s="253" t="s">
        <v>161</v>
      </c>
      <c r="AU1940" s="271">
        <v>4</v>
      </c>
      <c r="AV1940" s="271">
        <v>4</v>
      </c>
      <c r="AW1940" s="270" t="s">
        <v>142</v>
      </c>
      <c r="AX1940" s="270"/>
      <c r="AY1940" s="270"/>
      <c r="AZ1940" s="270"/>
      <c r="BA1940" s="270"/>
      <c r="BB1940" s="270"/>
      <c r="BH1940" s="271"/>
      <c r="BI1940" s="271"/>
      <c r="BJ1940" s="270"/>
      <c r="BM1940" s="442">
        <f t="shared" si="274"/>
        <v>1.615</v>
      </c>
      <c r="BN1940" s="442">
        <v>1.595</v>
      </c>
      <c r="BR1940" s="463">
        <v>0.1155830753353973</v>
      </c>
      <c r="BS1940" s="463">
        <v>0.11145510835913314</v>
      </c>
      <c r="IO1940" s="271" t="s">
        <v>2093</v>
      </c>
      <c r="IP1940" s="270"/>
      <c r="IQ1940" s="276"/>
    </row>
    <row r="1941" spans="1:251" s="284" customFormat="1" x14ac:dyDescent="0.25">
      <c r="A1941" s="277">
        <v>91</v>
      </c>
      <c r="B1941" s="277" t="s">
        <v>769</v>
      </c>
      <c r="C1941" s="278" t="s">
        <v>2128</v>
      </c>
      <c r="D1941" s="277">
        <v>2006</v>
      </c>
      <c r="E1941" s="278">
        <v>1999</v>
      </c>
      <c r="F1941" s="277" t="s">
        <v>948</v>
      </c>
      <c r="G1941" s="277" t="s">
        <v>2042</v>
      </c>
      <c r="H1941" s="252" t="s">
        <v>2831</v>
      </c>
      <c r="I1941" s="278">
        <v>32.56</v>
      </c>
      <c r="J1941" s="278">
        <v>-83.91</v>
      </c>
      <c r="K1941" s="279">
        <v>16</v>
      </c>
      <c r="L1941" s="279">
        <v>18.100000000000001</v>
      </c>
      <c r="M1941" s="278"/>
      <c r="N1941" s="279">
        <v>1258</v>
      </c>
      <c r="O1941" s="278"/>
      <c r="P1941" s="278"/>
      <c r="Q1941" s="279">
        <v>6</v>
      </c>
      <c r="R1941" s="280" t="s">
        <v>1984</v>
      </c>
      <c r="T1941" s="280" t="s">
        <v>2112</v>
      </c>
      <c r="U1941" s="281" t="s">
        <v>1392</v>
      </c>
      <c r="V1941" s="281">
        <v>10</v>
      </c>
      <c r="W1941" s="281" t="s">
        <v>1392</v>
      </c>
      <c r="X1941" s="281" t="s">
        <v>1421</v>
      </c>
      <c r="Y1941" s="282">
        <f>AVERAGE(Sheet1!BM1941:BN1941)</f>
        <v>1.526</v>
      </c>
      <c r="Z1941" s="366">
        <v>65</v>
      </c>
      <c r="AA1941" s="366">
        <v>25</v>
      </c>
      <c r="AB1941" s="278" t="s">
        <v>241</v>
      </c>
      <c r="AC1941" s="278"/>
      <c r="AD1941" s="278"/>
      <c r="AE1941" s="278"/>
      <c r="AF1941" s="277" t="s">
        <v>2039</v>
      </c>
      <c r="AG1941" s="279" t="s">
        <v>244</v>
      </c>
      <c r="AH1941" s="278" t="s">
        <v>578</v>
      </c>
      <c r="AI1941" s="279" t="s">
        <v>2037</v>
      </c>
      <c r="AJ1941" s="278" t="s">
        <v>1621</v>
      </c>
      <c r="AK1941" s="278"/>
      <c r="AL1941" s="278"/>
      <c r="AM1941" s="278"/>
      <c r="AN1941" s="279" t="s">
        <v>773</v>
      </c>
      <c r="AO1941" s="279" t="s">
        <v>773</v>
      </c>
      <c r="AP1941" s="92" t="s">
        <v>178</v>
      </c>
      <c r="AQ1941" s="278" t="s">
        <v>162</v>
      </c>
      <c r="AR1941" s="278"/>
      <c r="AS1941" s="283" t="s">
        <v>2035</v>
      </c>
      <c r="AT1941" s="253" t="s">
        <v>161</v>
      </c>
      <c r="AU1941" s="279">
        <v>4</v>
      </c>
      <c r="AV1941" s="279">
        <v>4</v>
      </c>
      <c r="AW1941" s="278" t="s">
        <v>142</v>
      </c>
      <c r="AX1941" s="278"/>
      <c r="AY1941" s="278">
        <f>1/3*15810</f>
        <v>5270</v>
      </c>
      <c r="AZ1941" s="278"/>
      <c r="BA1941" s="278"/>
      <c r="BB1941" s="278"/>
      <c r="BH1941" s="279"/>
      <c r="BI1941" s="279"/>
      <c r="BJ1941" s="278"/>
      <c r="BM1941" s="443">
        <f t="shared" si="274"/>
        <v>1.536</v>
      </c>
      <c r="BN1941" s="443">
        <v>1.516</v>
      </c>
      <c r="BR1941" s="446">
        <v>0.63151041666666663</v>
      </c>
      <c r="BS1941" s="446">
        <v>0.65104166666666674</v>
      </c>
      <c r="IO1941" s="279" t="s">
        <v>2093</v>
      </c>
      <c r="IP1941" s="278"/>
      <c r="IQ1941" s="285"/>
    </row>
    <row r="1942" spans="1:251" s="284" customFormat="1" x14ac:dyDescent="0.25">
      <c r="A1942" s="277">
        <v>91</v>
      </c>
      <c r="B1942" s="277" t="s">
        <v>769</v>
      </c>
      <c r="C1942" s="278" t="s">
        <v>2128</v>
      </c>
      <c r="D1942" s="277">
        <v>2006</v>
      </c>
      <c r="E1942" s="278">
        <v>1999</v>
      </c>
      <c r="F1942" s="277" t="s">
        <v>948</v>
      </c>
      <c r="G1942" s="277" t="s">
        <v>2042</v>
      </c>
      <c r="H1942" s="252" t="s">
        <v>2831</v>
      </c>
      <c r="I1942" s="278">
        <v>32.56</v>
      </c>
      <c r="J1942" s="278">
        <v>-83.91</v>
      </c>
      <c r="K1942" s="279">
        <v>16</v>
      </c>
      <c r="L1942" s="279">
        <v>18.100000000000001</v>
      </c>
      <c r="M1942" s="278"/>
      <c r="N1942" s="279">
        <v>1258</v>
      </c>
      <c r="O1942" s="278"/>
      <c r="P1942" s="278"/>
      <c r="Q1942" s="279">
        <v>6</v>
      </c>
      <c r="R1942" s="280" t="s">
        <v>1984</v>
      </c>
      <c r="T1942" s="280" t="s">
        <v>2112</v>
      </c>
      <c r="U1942" s="281" t="s">
        <v>1412</v>
      </c>
      <c r="V1942" s="281">
        <v>20</v>
      </c>
      <c r="W1942" s="281" t="s">
        <v>1392</v>
      </c>
      <c r="X1942" s="281" t="s">
        <v>1421</v>
      </c>
      <c r="Y1942" s="282">
        <f>AVERAGE(Sheet1!BM1942:BN1942)</f>
        <v>1.5189999999999999</v>
      </c>
      <c r="Z1942" s="366">
        <v>65</v>
      </c>
      <c r="AA1942" s="366">
        <v>25</v>
      </c>
      <c r="AB1942" s="278" t="s">
        <v>241</v>
      </c>
      <c r="AC1942" s="278"/>
      <c r="AD1942" s="278"/>
      <c r="AE1942" s="278"/>
      <c r="AF1942" s="277" t="s">
        <v>2039</v>
      </c>
      <c r="AG1942" s="279" t="s">
        <v>244</v>
      </c>
      <c r="AH1942" s="278" t="s">
        <v>578</v>
      </c>
      <c r="AI1942" s="279" t="s">
        <v>2037</v>
      </c>
      <c r="AJ1942" s="278" t="s">
        <v>1621</v>
      </c>
      <c r="AK1942" s="278"/>
      <c r="AL1942" s="278"/>
      <c r="AM1942" s="278"/>
      <c r="AN1942" s="279" t="s">
        <v>773</v>
      </c>
      <c r="AO1942" s="279" t="s">
        <v>773</v>
      </c>
      <c r="AP1942" s="92" t="s">
        <v>2125</v>
      </c>
      <c r="AQ1942" s="278" t="s">
        <v>162</v>
      </c>
      <c r="AR1942" s="278"/>
      <c r="AS1942" s="283" t="s">
        <v>2035</v>
      </c>
      <c r="AT1942" s="253" t="s">
        <v>161</v>
      </c>
      <c r="AU1942" s="279">
        <v>4</v>
      </c>
      <c r="AV1942" s="279">
        <v>4</v>
      </c>
      <c r="AW1942" s="278" t="s">
        <v>142</v>
      </c>
      <c r="AX1942" s="278"/>
      <c r="AY1942" s="278"/>
      <c r="AZ1942" s="278"/>
      <c r="BA1942" s="278"/>
      <c r="BB1942" s="278"/>
      <c r="BH1942" s="279"/>
      <c r="BI1942" s="279"/>
      <c r="BJ1942" s="278"/>
      <c r="BM1942" s="443">
        <f t="shared" si="274"/>
        <v>1.5289999999999999</v>
      </c>
      <c r="BN1942" s="443">
        <v>1.5089999999999999</v>
      </c>
      <c r="BR1942" s="446">
        <v>0.44800523217789401</v>
      </c>
      <c r="BS1942" s="446">
        <v>0.46762589928057557</v>
      </c>
      <c r="IO1942" s="279" t="s">
        <v>2093</v>
      </c>
      <c r="IP1942" s="278"/>
      <c r="IQ1942" s="285"/>
    </row>
    <row r="1943" spans="1:251" s="284" customFormat="1" x14ac:dyDescent="0.25">
      <c r="A1943" s="277">
        <v>91</v>
      </c>
      <c r="B1943" s="277" t="s">
        <v>769</v>
      </c>
      <c r="C1943" s="278" t="s">
        <v>2128</v>
      </c>
      <c r="D1943" s="277">
        <v>2006</v>
      </c>
      <c r="E1943" s="278">
        <v>1999</v>
      </c>
      <c r="F1943" s="277" t="s">
        <v>948</v>
      </c>
      <c r="G1943" s="277" t="s">
        <v>2042</v>
      </c>
      <c r="H1943" s="252" t="s">
        <v>2831</v>
      </c>
      <c r="I1943" s="278">
        <v>32.56</v>
      </c>
      <c r="J1943" s="278">
        <v>-83.91</v>
      </c>
      <c r="K1943" s="279">
        <v>16</v>
      </c>
      <c r="L1943" s="279">
        <v>18.100000000000001</v>
      </c>
      <c r="M1943" s="278"/>
      <c r="N1943" s="279">
        <v>1258</v>
      </c>
      <c r="O1943" s="278"/>
      <c r="P1943" s="278"/>
      <c r="Q1943" s="279">
        <v>6</v>
      </c>
      <c r="R1943" s="280" t="s">
        <v>1984</v>
      </c>
      <c r="T1943" s="280" t="s">
        <v>2112</v>
      </c>
      <c r="U1943" s="281" t="s">
        <v>1406</v>
      </c>
      <c r="V1943" s="281">
        <v>30</v>
      </c>
      <c r="W1943" s="281" t="s">
        <v>1392</v>
      </c>
      <c r="X1943" s="281" t="s">
        <v>1421</v>
      </c>
      <c r="Y1943" s="282">
        <f>AVERAGE(Sheet1!BM1943:BN1943)</f>
        <v>1.43</v>
      </c>
      <c r="Z1943" s="366">
        <v>65</v>
      </c>
      <c r="AA1943" s="366">
        <v>25</v>
      </c>
      <c r="AB1943" s="278" t="s">
        <v>241</v>
      </c>
      <c r="AC1943" s="278"/>
      <c r="AD1943" s="278"/>
      <c r="AE1943" s="278"/>
      <c r="AF1943" s="277" t="s">
        <v>2039</v>
      </c>
      <c r="AG1943" s="279" t="s">
        <v>244</v>
      </c>
      <c r="AH1943" s="278" t="s">
        <v>578</v>
      </c>
      <c r="AI1943" s="279" t="s">
        <v>2037</v>
      </c>
      <c r="AJ1943" s="278" t="s">
        <v>1621</v>
      </c>
      <c r="AK1943" s="278"/>
      <c r="AL1943" s="278"/>
      <c r="AM1943" s="278"/>
      <c r="AN1943" s="279" t="s">
        <v>773</v>
      </c>
      <c r="AO1943" s="279" t="s">
        <v>773</v>
      </c>
      <c r="AP1943" s="92" t="s">
        <v>178</v>
      </c>
      <c r="AQ1943" s="278" t="s">
        <v>162</v>
      </c>
      <c r="AR1943" s="278"/>
      <c r="AS1943" s="283" t="s">
        <v>2035</v>
      </c>
      <c r="AT1943" s="253" t="s">
        <v>161</v>
      </c>
      <c r="AU1943" s="279">
        <v>4</v>
      </c>
      <c r="AV1943" s="279">
        <v>4</v>
      </c>
      <c r="AW1943" s="278" t="s">
        <v>142</v>
      </c>
      <c r="AX1943" s="278"/>
      <c r="AY1943" s="278"/>
      <c r="AZ1943" s="278"/>
      <c r="BA1943" s="278"/>
      <c r="BB1943" s="278"/>
      <c r="BH1943" s="279"/>
      <c r="BI1943" s="279"/>
      <c r="BJ1943" s="278"/>
      <c r="BM1943" s="443">
        <f t="shared" si="274"/>
        <v>1.44</v>
      </c>
      <c r="BN1943" s="443">
        <v>1.42</v>
      </c>
      <c r="BR1943" s="446">
        <v>0.22916666666666666</v>
      </c>
      <c r="BS1943" s="446">
        <v>0.22453703703703703</v>
      </c>
      <c r="IO1943" s="279" t="s">
        <v>2093</v>
      </c>
      <c r="IP1943" s="278"/>
      <c r="IQ1943" s="285"/>
    </row>
    <row r="1944" spans="1:251" s="284" customFormat="1" x14ac:dyDescent="0.25">
      <c r="A1944" s="277">
        <v>91</v>
      </c>
      <c r="B1944" s="277" t="s">
        <v>769</v>
      </c>
      <c r="C1944" s="278" t="s">
        <v>2128</v>
      </c>
      <c r="D1944" s="277">
        <v>2006</v>
      </c>
      <c r="E1944" s="278">
        <v>1999</v>
      </c>
      <c r="F1944" s="277" t="s">
        <v>948</v>
      </c>
      <c r="G1944" s="277" t="s">
        <v>2042</v>
      </c>
      <c r="H1944" s="252" t="s">
        <v>2831</v>
      </c>
      <c r="I1944" s="278">
        <v>32.56</v>
      </c>
      <c r="J1944" s="278">
        <v>-83.91</v>
      </c>
      <c r="K1944" s="279">
        <v>16</v>
      </c>
      <c r="L1944" s="279">
        <v>18.100000000000001</v>
      </c>
      <c r="M1944" s="278"/>
      <c r="N1944" s="279">
        <v>1258</v>
      </c>
      <c r="O1944" s="278"/>
      <c r="P1944" s="278"/>
      <c r="Q1944" s="279">
        <v>6</v>
      </c>
      <c r="R1944" s="280" t="s">
        <v>1984</v>
      </c>
      <c r="T1944" s="280" t="s">
        <v>2112</v>
      </c>
      <c r="U1944" s="281" t="s">
        <v>1407</v>
      </c>
      <c r="V1944" s="281">
        <v>30</v>
      </c>
      <c r="W1944" s="281" t="s">
        <v>1392</v>
      </c>
      <c r="X1944" s="281" t="s">
        <v>1421</v>
      </c>
      <c r="Y1944" s="282">
        <f>AVERAGE(Sheet1!BM1944:BN1944)</f>
        <v>1.6160000000000001</v>
      </c>
      <c r="Z1944" s="366">
        <v>65</v>
      </c>
      <c r="AA1944" s="366">
        <v>25</v>
      </c>
      <c r="AB1944" s="278" t="s">
        <v>241</v>
      </c>
      <c r="AC1944" s="278"/>
      <c r="AD1944" s="278"/>
      <c r="AE1944" s="278"/>
      <c r="AF1944" s="277" t="s">
        <v>2039</v>
      </c>
      <c r="AG1944" s="279" t="s">
        <v>244</v>
      </c>
      <c r="AH1944" s="278" t="s">
        <v>578</v>
      </c>
      <c r="AI1944" s="279" t="s">
        <v>2037</v>
      </c>
      <c r="AJ1944" s="278" t="s">
        <v>1621</v>
      </c>
      <c r="AK1944" s="278"/>
      <c r="AL1944" s="278"/>
      <c r="AM1944" s="278"/>
      <c r="AN1944" s="279" t="s">
        <v>773</v>
      </c>
      <c r="AO1944" s="279" t="s">
        <v>773</v>
      </c>
      <c r="AP1944" s="92" t="s">
        <v>2125</v>
      </c>
      <c r="AQ1944" s="278" t="s">
        <v>162</v>
      </c>
      <c r="AR1944" s="278"/>
      <c r="AS1944" s="283" t="s">
        <v>2035</v>
      </c>
      <c r="AT1944" s="253" t="s">
        <v>161</v>
      </c>
      <c r="AU1944" s="279">
        <v>4</v>
      </c>
      <c r="AV1944" s="279">
        <v>4</v>
      </c>
      <c r="AW1944" s="278" t="s">
        <v>142</v>
      </c>
      <c r="AX1944" s="278"/>
      <c r="AY1944" s="278"/>
      <c r="AZ1944" s="278"/>
      <c r="BA1944" s="278"/>
      <c r="BB1944" s="278"/>
      <c r="BH1944" s="279"/>
      <c r="BI1944" s="279"/>
      <c r="BJ1944" s="278"/>
      <c r="BM1944" s="443">
        <f t="shared" si="274"/>
        <v>1.6260000000000001</v>
      </c>
      <c r="BN1944" s="443">
        <v>1.6060000000000001</v>
      </c>
      <c r="BR1944" s="446">
        <v>0.14145141451414511</v>
      </c>
      <c r="BS1944" s="446">
        <v>0.1332513325133251</v>
      </c>
      <c r="IO1944" s="279" t="s">
        <v>2093</v>
      </c>
      <c r="IP1944" s="278"/>
      <c r="IQ1944" s="285"/>
    </row>
    <row r="1945" spans="1:251" s="284" customFormat="1" x14ac:dyDescent="0.25">
      <c r="A1945" s="277">
        <v>91</v>
      </c>
      <c r="B1945" s="277" t="s">
        <v>769</v>
      </c>
      <c r="C1945" s="278" t="s">
        <v>2128</v>
      </c>
      <c r="D1945" s="277">
        <v>2006</v>
      </c>
      <c r="E1945" s="278">
        <v>1999</v>
      </c>
      <c r="F1945" s="277" t="s">
        <v>948</v>
      </c>
      <c r="G1945" s="277" t="s">
        <v>2042</v>
      </c>
      <c r="H1945" s="252" t="s">
        <v>2831</v>
      </c>
      <c r="I1945" s="278">
        <v>32.56</v>
      </c>
      <c r="J1945" s="278">
        <v>-83.91</v>
      </c>
      <c r="K1945" s="279">
        <v>16</v>
      </c>
      <c r="L1945" s="279">
        <v>18.100000000000001</v>
      </c>
      <c r="M1945" s="278"/>
      <c r="N1945" s="279">
        <v>1258</v>
      </c>
      <c r="O1945" s="278"/>
      <c r="P1945" s="278"/>
      <c r="Q1945" s="279">
        <v>6</v>
      </c>
      <c r="R1945" s="280" t="s">
        <v>1984</v>
      </c>
      <c r="T1945" s="280" t="s">
        <v>2112</v>
      </c>
      <c r="U1945" s="281" t="s">
        <v>1419</v>
      </c>
      <c r="V1945" s="281">
        <v>30</v>
      </c>
      <c r="W1945" s="281" t="s">
        <v>1392</v>
      </c>
      <c r="X1945" s="281" t="s">
        <v>1421</v>
      </c>
      <c r="Y1945" s="282">
        <f>AVERAGE(Sheet1!BM1945:BN1945)</f>
        <v>1.605</v>
      </c>
      <c r="Z1945" s="366">
        <v>65</v>
      </c>
      <c r="AA1945" s="366">
        <v>25</v>
      </c>
      <c r="AB1945" s="278" t="s">
        <v>241</v>
      </c>
      <c r="AC1945" s="278"/>
      <c r="AD1945" s="278"/>
      <c r="AE1945" s="278"/>
      <c r="AF1945" s="277" t="s">
        <v>2039</v>
      </c>
      <c r="AG1945" s="279" t="s">
        <v>244</v>
      </c>
      <c r="AH1945" s="278" t="s">
        <v>578</v>
      </c>
      <c r="AI1945" s="279" t="s">
        <v>2037</v>
      </c>
      <c r="AJ1945" s="278" t="s">
        <v>1621</v>
      </c>
      <c r="AK1945" s="278"/>
      <c r="AL1945" s="278"/>
      <c r="AM1945" s="278"/>
      <c r="AN1945" s="279" t="s">
        <v>773</v>
      </c>
      <c r="AO1945" s="279" t="s">
        <v>773</v>
      </c>
      <c r="AP1945" s="92" t="s">
        <v>178</v>
      </c>
      <c r="AQ1945" s="278" t="s">
        <v>162</v>
      </c>
      <c r="AR1945" s="278"/>
      <c r="AS1945" s="283" t="s">
        <v>2035</v>
      </c>
      <c r="AT1945" s="253" t="s">
        <v>161</v>
      </c>
      <c r="AU1945" s="279">
        <v>4</v>
      </c>
      <c r="AV1945" s="279">
        <v>4</v>
      </c>
      <c r="AW1945" s="278" t="s">
        <v>142</v>
      </c>
      <c r="AX1945" s="278"/>
      <c r="AY1945" s="278"/>
      <c r="AZ1945" s="278"/>
      <c r="BA1945" s="278"/>
      <c r="BB1945" s="278"/>
      <c r="BH1945" s="279"/>
      <c r="BI1945" s="279"/>
      <c r="BJ1945" s="278"/>
      <c r="BM1945" s="443">
        <f t="shared" si="274"/>
        <v>1.615</v>
      </c>
      <c r="BN1945" s="443">
        <v>1.595</v>
      </c>
      <c r="BR1945" s="446">
        <v>0.12590299277605779</v>
      </c>
      <c r="BS1945" s="446">
        <v>0.11971104231166151</v>
      </c>
      <c r="IO1945" s="279" t="s">
        <v>2093</v>
      </c>
      <c r="IP1945" s="278"/>
      <c r="IQ1945" s="285"/>
    </row>
    <row r="1946" spans="1:251" s="22" customFormat="1" x14ac:dyDescent="0.25">
      <c r="A1946" s="269">
        <v>91</v>
      </c>
      <c r="B1946" s="269" t="s">
        <v>769</v>
      </c>
      <c r="C1946" s="270" t="s">
        <v>2128</v>
      </c>
      <c r="D1946" s="269">
        <v>2006</v>
      </c>
      <c r="E1946" s="270">
        <v>1999</v>
      </c>
      <c r="F1946" s="269" t="s">
        <v>948</v>
      </c>
      <c r="G1946" s="269" t="s">
        <v>2042</v>
      </c>
      <c r="H1946" s="252" t="s">
        <v>2831</v>
      </c>
      <c r="I1946" s="270">
        <v>32.56</v>
      </c>
      <c r="J1946" s="270">
        <v>-83.91</v>
      </c>
      <c r="K1946" s="271">
        <v>16</v>
      </c>
      <c r="L1946" s="271">
        <v>18.100000000000001</v>
      </c>
      <c r="M1946" s="270"/>
      <c r="N1946" s="271">
        <v>1258</v>
      </c>
      <c r="O1946" s="270"/>
      <c r="P1946" s="270"/>
      <c r="Q1946" s="271">
        <v>6</v>
      </c>
      <c r="R1946" s="272" t="s">
        <v>1984</v>
      </c>
      <c r="T1946" s="272" t="s">
        <v>2112</v>
      </c>
      <c r="U1946" s="273" t="s">
        <v>1392</v>
      </c>
      <c r="V1946" s="273">
        <v>10</v>
      </c>
      <c r="W1946" s="273" t="s">
        <v>1392</v>
      </c>
      <c r="X1946" s="273" t="s">
        <v>1421</v>
      </c>
      <c r="Y1946" s="274">
        <f>AVERAGE(Sheet1!BM1946:BN1946)</f>
        <v>1.526</v>
      </c>
      <c r="Z1946" s="365">
        <v>65</v>
      </c>
      <c r="AA1946" s="365">
        <v>25</v>
      </c>
      <c r="AB1946" s="270" t="s">
        <v>241</v>
      </c>
      <c r="AC1946" s="270"/>
      <c r="AD1946" s="270"/>
      <c r="AE1946" s="270"/>
      <c r="AF1946" s="269" t="s">
        <v>2039</v>
      </c>
      <c r="AG1946" s="271" t="s">
        <v>244</v>
      </c>
      <c r="AH1946" s="270" t="s">
        <v>578</v>
      </c>
      <c r="AI1946" s="271" t="s">
        <v>2037</v>
      </c>
      <c r="AJ1946" s="270" t="s">
        <v>1621</v>
      </c>
      <c r="AK1946" s="270"/>
      <c r="AL1946" s="270"/>
      <c r="AM1946" s="270"/>
      <c r="AN1946" s="271" t="s">
        <v>773</v>
      </c>
      <c r="AO1946" s="271" t="s">
        <v>773</v>
      </c>
      <c r="AP1946" s="92" t="s">
        <v>2125</v>
      </c>
      <c r="AQ1946" s="270" t="s">
        <v>2041</v>
      </c>
      <c r="AR1946" s="270"/>
      <c r="AS1946" s="275" t="s">
        <v>2035</v>
      </c>
      <c r="AT1946" s="253" t="s">
        <v>161</v>
      </c>
      <c r="AU1946" s="271">
        <v>4</v>
      </c>
      <c r="AV1946" s="271">
        <v>4</v>
      </c>
      <c r="AW1946" s="270" t="s">
        <v>142</v>
      </c>
      <c r="AX1946" s="270"/>
      <c r="AY1946" s="270">
        <f>1/3*16960</f>
        <v>5653.333333333333</v>
      </c>
      <c r="AZ1946" s="270"/>
      <c r="BA1946" s="270"/>
      <c r="BB1946" s="270"/>
      <c r="BH1946" s="271"/>
      <c r="BI1946" s="271"/>
      <c r="BJ1946" s="270"/>
      <c r="BM1946" s="442">
        <f t="shared" si="274"/>
        <v>1.536</v>
      </c>
      <c r="BN1946" s="442">
        <v>1.516</v>
      </c>
      <c r="BR1946" s="463">
        <v>0.57291666666666674</v>
      </c>
      <c r="BS1946" s="463">
        <v>0.64453125</v>
      </c>
      <c r="IO1946" s="271" t="s">
        <v>2093</v>
      </c>
      <c r="IP1946" s="270"/>
      <c r="IQ1946" s="276"/>
    </row>
    <row r="1947" spans="1:251" s="22" customFormat="1" x14ac:dyDescent="0.25">
      <c r="A1947" s="269">
        <v>91</v>
      </c>
      <c r="B1947" s="269" t="s">
        <v>769</v>
      </c>
      <c r="C1947" s="270" t="s">
        <v>2128</v>
      </c>
      <c r="D1947" s="269">
        <v>2006</v>
      </c>
      <c r="E1947" s="270">
        <v>1999</v>
      </c>
      <c r="F1947" s="269" t="s">
        <v>948</v>
      </c>
      <c r="G1947" s="269" t="s">
        <v>2042</v>
      </c>
      <c r="H1947" s="252" t="s">
        <v>2831</v>
      </c>
      <c r="I1947" s="270">
        <v>32.56</v>
      </c>
      <c r="J1947" s="270">
        <v>-83.91</v>
      </c>
      <c r="K1947" s="271">
        <v>16</v>
      </c>
      <c r="L1947" s="271">
        <v>18.100000000000001</v>
      </c>
      <c r="M1947" s="270"/>
      <c r="N1947" s="271">
        <v>1258</v>
      </c>
      <c r="O1947" s="270"/>
      <c r="P1947" s="270"/>
      <c r="Q1947" s="271">
        <v>6</v>
      </c>
      <c r="R1947" s="272" t="s">
        <v>1984</v>
      </c>
      <c r="T1947" s="272" t="s">
        <v>2112</v>
      </c>
      <c r="U1947" s="273" t="s">
        <v>1412</v>
      </c>
      <c r="V1947" s="273">
        <v>20</v>
      </c>
      <c r="W1947" s="273" t="s">
        <v>1392</v>
      </c>
      <c r="X1947" s="273" t="s">
        <v>1421</v>
      </c>
      <c r="Y1947" s="274">
        <f>AVERAGE(Sheet1!BM1947:BN1947)</f>
        <v>1.5189999999999999</v>
      </c>
      <c r="Z1947" s="365">
        <v>65</v>
      </c>
      <c r="AA1947" s="365">
        <v>25</v>
      </c>
      <c r="AB1947" s="270" t="s">
        <v>241</v>
      </c>
      <c r="AC1947" s="270"/>
      <c r="AD1947" s="270"/>
      <c r="AE1947" s="270"/>
      <c r="AF1947" s="269" t="s">
        <v>2039</v>
      </c>
      <c r="AG1947" s="271" t="s">
        <v>244</v>
      </c>
      <c r="AH1947" s="270" t="s">
        <v>578</v>
      </c>
      <c r="AI1947" s="271" t="s">
        <v>2037</v>
      </c>
      <c r="AJ1947" s="270" t="s">
        <v>1621</v>
      </c>
      <c r="AK1947" s="270"/>
      <c r="AL1947" s="270"/>
      <c r="AM1947" s="270"/>
      <c r="AN1947" s="271" t="s">
        <v>773</v>
      </c>
      <c r="AO1947" s="271" t="s">
        <v>773</v>
      </c>
      <c r="AP1947" s="92" t="s">
        <v>178</v>
      </c>
      <c r="AQ1947" s="270" t="s">
        <v>2041</v>
      </c>
      <c r="AR1947" s="270"/>
      <c r="AS1947" s="275" t="s">
        <v>2035</v>
      </c>
      <c r="AT1947" s="253" t="s">
        <v>161</v>
      </c>
      <c r="AU1947" s="271">
        <v>4</v>
      </c>
      <c r="AV1947" s="271">
        <v>4</v>
      </c>
      <c r="AW1947" s="270" t="s">
        <v>142</v>
      </c>
      <c r="AX1947" s="270"/>
      <c r="AY1947" s="270"/>
      <c r="AZ1947" s="270"/>
      <c r="BA1947" s="270"/>
      <c r="BB1947" s="270"/>
      <c r="BH1947" s="271"/>
      <c r="BI1947" s="271"/>
      <c r="BJ1947" s="270"/>
      <c r="BM1947" s="442">
        <f t="shared" si="274"/>
        <v>1.5289999999999999</v>
      </c>
      <c r="BN1947" s="442">
        <v>1.5089999999999999</v>
      </c>
      <c r="BR1947" s="463">
        <v>0.45781556572923476</v>
      </c>
      <c r="BS1947" s="463">
        <v>0.47416612164813599</v>
      </c>
      <c r="IO1947" s="271" t="s">
        <v>2093</v>
      </c>
      <c r="IP1947" s="270"/>
      <c r="IQ1947" s="276"/>
    </row>
    <row r="1948" spans="1:251" s="22" customFormat="1" x14ac:dyDescent="0.25">
      <c r="A1948" s="269">
        <v>91</v>
      </c>
      <c r="B1948" s="269" t="s">
        <v>769</v>
      </c>
      <c r="C1948" s="270" t="s">
        <v>2128</v>
      </c>
      <c r="D1948" s="269">
        <v>2006</v>
      </c>
      <c r="E1948" s="270">
        <v>1999</v>
      </c>
      <c r="F1948" s="269" t="s">
        <v>948</v>
      </c>
      <c r="G1948" s="269" t="s">
        <v>2042</v>
      </c>
      <c r="H1948" s="252" t="s">
        <v>2831</v>
      </c>
      <c r="I1948" s="270">
        <v>32.56</v>
      </c>
      <c r="J1948" s="270">
        <v>-83.91</v>
      </c>
      <c r="K1948" s="271">
        <v>16</v>
      </c>
      <c r="L1948" s="271">
        <v>18.100000000000001</v>
      </c>
      <c r="M1948" s="270"/>
      <c r="N1948" s="271">
        <v>1258</v>
      </c>
      <c r="O1948" s="270"/>
      <c r="P1948" s="270"/>
      <c r="Q1948" s="271">
        <v>6</v>
      </c>
      <c r="R1948" s="272" t="s">
        <v>1984</v>
      </c>
      <c r="T1948" s="272" t="s">
        <v>2112</v>
      </c>
      <c r="U1948" s="273" t="s">
        <v>1406</v>
      </c>
      <c r="V1948" s="273">
        <v>30</v>
      </c>
      <c r="W1948" s="273" t="s">
        <v>1392</v>
      </c>
      <c r="X1948" s="273" t="s">
        <v>1421</v>
      </c>
      <c r="Y1948" s="274">
        <f>AVERAGE(Sheet1!BM1948:BN1948)</f>
        <v>1.43</v>
      </c>
      <c r="Z1948" s="365">
        <v>65</v>
      </c>
      <c r="AA1948" s="365">
        <v>25</v>
      </c>
      <c r="AB1948" s="270" t="s">
        <v>241</v>
      </c>
      <c r="AC1948" s="270"/>
      <c r="AD1948" s="270"/>
      <c r="AE1948" s="270"/>
      <c r="AF1948" s="269" t="s">
        <v>2039</v>
      </c>
      <c r="AG1948" s="271" t="s">
        <v>244</v>
      </c>
      <c r="AH1948" s="270" t="s">
        <v>578</v>
      </c>
      <c r="AI1948" s="271" t="s">
        <v>2037</v>
      </c>
      <c r="AJ1948" s="270" t="s">
        <v>1621</v>
      </c>
      <c r="AK1948" s="270"/>
      <c r="AL1948" s="270"/>
      <c r="AM1948" s="270"/>
      <c r="AN1948" s="271" t="s">
        <v>773</v>
      </c>
      <c r="AO1948" s="271" t="s">
        <v>773</v>
      </c>
      <c r="AP1948" s="92" t="s">
        <v>2125</v>
      </c>
      <c r="AQ1948" s="270" t="s">
        <v>2041</v>
      </c>
      <c r="AR1948" s="270"/>
      <c r="AS1948" s="275" t="s">
        <v>2035</v>
      </c>
      <c r="AT1948" s="253" t="s">
        <v>161</v>
      </c>
      <c r="AU1948" s="271">
        <v>4</v>
      </c>
      <c r="AV1948" s="271">
        <v>4</v>
      </c>
      <c r="AW1948" s="270" t="s">
        <v>142</v>
      </c>
      <c r="AX1948" s="270"/>
      <c r="AY1948" s="270"/>
      <c r="AZ1948" s="270"/>
      <c r="BA1948" s="270"/>
      <c r="BB1948" s="270"/>
      <c r="BH1948" s="271"/>
      <c r="BI1948" s="271"/>
      <c r="BJ1948" s="270"/>
      <c r="BM1948" s="442">
        <f t="shared" si="274"/>
        <v>1.44</v>
      </c>
      <c r="BN1948" s="442">
        <v>1.42</v>
      </c>
      <c r="BR1948" s="463">
        <v>0.23379629629629628</v>
      </c>
      <c r="BS1948" s="463">
        <v>0.21296296296296294</v>
      </c>
      <c r="IO1948" s="271" t="s">
        <v>2093</v>
      </c>
      <c r="IP1948" s="270"/>
      <c r="IQ1948" s="276"/>
    </row>
    <row r="1949" spans="1:251" s="22" customFormat="1" x14ac:dyDescent="0.25">
      <c r="A1949" s="269">
        <v>91</v>
      </c>
      <c r="B1949" s="269" t="s">
        <v>769</v>
      </c>
      <c r="C1949" s="270" t="s">
        <v>2128</v>
      </c>
      <c r="D1949" s="269">
        <v>2006</v>
      </c>
      <c r="E1949" s="270">
        <v>1999</v>
      </c>
      <c r="F1949" s="269" t="s">
        <v>948</v>
      </c>
      <c r="G1949" s="269" t="s">
        <v>2042</v>
      </c>
      <c r="H1949" s="252" t="s">
        <v>2831</v>
      </c>
      <c r="I1949" s="270">
        <v>32.56</v>
      </c>
      <c r="J1949" s="270">
        <v>-83.91</v>
      </c>
      <c r="K1949" s="271">
        <v>16</v>
      </c>
      <c r="L1949" s="271">
        <v>18.100000000000001</v>
      </c>
      <c r="M1949" s="270"/>
      <c r="N1949" s="271">
        <v>1258</v>
      </c>
      <c r="O1949" s="270"/>
      <c r="P1949" s="270"/>
      <c r="Q1949" s="271">
        <v>6</v>
      </c>
      <c r="R1949" s="272" t="s">
        <v>1984</v>
      </c>
      <c r="T1949" s="272" t="s">
        <v>2112</v>
      </c>
      <c r="U1949" s="273" t="s">
        <v>1407</v>
      </c>
      <c r="V1949" s="273">
        <v>30</v>
      </c>
      <c r="W1949" s="273" t="s">
        <v>1392</v>
      </c>
      <c r="X1949" s="273" t="s">
        <v>1421</v>
      </c>
      <c r="Y1949" s="274">
        <f>AVERAGE(Sheet1!BM1949:BN1949)</f>
        <v>1.6160000000000001</v>
      </c>
      <c r="Z1949" s="365">
        <v>65</v>
      </c>
      <c r="AA1949" s="365">
        <v>25</v>
      </c>
      <c r="AB1949" s="270" t="s">
        <v>241</v>
      </c>
      <c r="AC1949" s="270"/>
      <c r="AD1949" s="270"/>
      <c r="AE1949" s="270"/>
      <c r="AF1949" s="269" t="s">
        <v>2039</v>
      </c>
      <c r="AG1949" s="271" t="s">
        <v>244</v>
      </c>
      <c r="AH1949" s="270" t="s">
        <v>578</v>
      </c>
      <c r="AI1949" s="271" t="s">
        <v>2037</v>
      </c>
      <c r="AJ1949" s="270" t="s">
        <v>1621</v>
      </c>
      <c r="AK1949" s="270"/>
      <c r="AL1949" s="270"/>
      <c r="AM1949" s="270"/>
      <c r="AN1949" s="271" t="s">
        <v>773</v>
      </c>
      <c r="AO1949" s="271" t="s">
        <v>773</v>
      </c>
      <c r="AP1949" s="92" t="s">
        <v>178</v>
      </c>
      <c r="AQ1949" s="270" t="s">
        <v>2041</v>
      </c>
      <c r="AR1949" s="270"/>
      <c r="AS1949" s="275" t="s">
        <v>2035</v>
      </c>
      <c r="AT1949" s="253" t="s">
        <v>161</v>
      </c>
      <c r="AU1949" s="271">
        <v>4</v>
      </c>
      <c r="AV1949" s="271">
        <v>4</v>
      </c>
      <c r="AW1949" s="270" t="s">
        <v>142</v>
      </c>
      <c r="AX1949" s="270"/>
      <c r="AY1949" s="270"/>
      <c r="AZ1949" s="270"/>
      <c r="BA1949" s="270"/>
      <c r="BB1949" s="270"/>
      <c r="BH1949" s="271"/>
      <c r="BI1949" s="271"/>
      <c r="BJ1949" s="270"/>
      <c r="BM1949" s="442">
        <f t="shared" si="274"/>
        <v>1.6260000000000001</v>
      </c>
      <c r="BN1949" s="442">
        <v>1.6060000000000001</v>
      </c>
      <c r="BR1949" s="463">
        <v>0.16400164001640014</v>
      </c>
      <c r="BS1949" s="463">
        <v>0.1332513325133251</v>
      </c>
      <c r="IO1949" s="271" t="s">
        <v>2093</v>
      </c>
      <c r="IP1949" s="270"/>
      <c r="IQ1949" s="276"/>
    </row>
    <row r="1950" spans="1:251" s="22" customFormat="1" x14ac:dyDescent="0.25">
      <c r="A1950" s="269">
        <v>91</v>
      </c>
      <c r="B1950" s="269" t="s">
        <v>769</v>
      </c>
      <c r="C1950" s="270" t="s">
        <v>2128</v>
      </c>
      <c r="D1950" s="269">
        <v>2006</v>
      </c>
      <c r="E1950" s="270">
        <v>1999</v>
      </c>
      <c r="F1950" s="269" t="s">
        <v>948</v>
      </c>
      <c r="G1950" s="269" t="s">
        <v>2042</v>
      </c>
      <c r="H1950" s="252" t="s">
        <v>2831</v>
      </c>
      <c r="I1950" s="270">
        <v>32.56</v>
      </c>
      <c r="J1950" s="270">
        <v>-83.91</v>
      </c>
      <c r="K1950" s="271">
        <v>16</v>
      </c>
      <c r="L1950" s="271">
        <v>18.100000000000001</v>
      </c>
      <c r="M1950" s="270"/>
      <c r="N1950" s="271">
        <v>1258</v>
      </c>
      <c r="O1950" s="270"/>
      <c r="P1950" s="270"/>
      <c r="Q1950" s="271">
        <v>6</v>
      </c>
      <c r="R1950" s="272" t="s">
        <v>1984</v>
      </c>
      <c r="T1950" s="272" t="s">
        <v>2112</v>
      </c>
      <c r="U1950" s="273" t="s">
        <v>1419</v>
      </c>
      <c r="V1950" s="273">
        <v>30</v>
      </c>
      <c r="W1950" s="273" t="s">
        <v>1392</v>
      </c>
      <c r="X1950" s="273" t="s">
        <v>1421</v>
      </c>
      <c r="Y1950" s="274">
        <f>AVERAGE(Sheet1!BM1950:BN1950)</f>
        <v>1.605</v>
      </c>
      <c r="Z1950" s="365">
        <v>65</v>
      </c>
      <c r="AA1950" s="365">
        <v>25</v>
      </c>
      <c r="AB1950" s="270" t="s">
        <v>241</v>
      </c>
      <c r="AC1950" s="270"/>
      <c r="AD1950" s="270"/>
      <c r="AE1950" s="270"/>
      <c r="AF1950" s="269" t="s">
        <v>2039</v>
      </c>
      <c r="AG1950" s="271" t="s">
        <v>244</v>
      </c>
      <c r="AH1950" s="270" t="s">
        <v>578</v>
      </c>
      <c r="AI1950" s="271" t="s">
        <v>2037</v>
      </c>
      <c r="AJ1950" s="270" t="s">
        <v>1621</v>
      </c>
      <c r="AK1950" s="270"/>
      <c r="AL1950" s="270"/>
      <c r="AM1950" s="270"/>
      <c r="AN1950" s="271" t="s">
        <v>773</v>
      </c>
      <c r="AO1950" s="271" t="s">
        <v>773</v>
      </c>
      <c r="AP1950" s="92" t="s">
        <v>2125</v>
      </c>
      <c r="AQ1950" s="270" t="s">
        <v>2041</v>
      </c>
      <c r="AR1950" s="270"/>
      <c r="AS1950" s="275" t="s">
        <v>2035</v>
      </c>
      <c r="AT1950" s="253" t="s">
        <v>161</v>
      </c>
      <c r="AU1950" s="271">
        <v>4</v>
      </c>
      <c r="AV1950" s="271">
        <v>4</v>
      </c>
      <c r="AW1950" s="270" t="s">
        <v>142</v>
      </c>
      <c r="AX1950" s="270"/>
      <c r="AY1950" s="270"/>
      <c r="AZ1950" s="270"/>
      <c r="BA1950" s="270"/>
      <c r="BB1950" s="270"/>
      <c r="BH1950" s="271"/>
      <c r="BI1950" s="271"/>
      <c r="BJ1950" s="270"/>
      <c r="BM1950" s="442">
        <f t="shared" si="274"/>
        <v>1.615</v>
      </c>
      <c r="BN1950" s="442">
        <v>1.595</v>
      </c>
      <c r="BR1950" s="463">
        <v>0.1155830753353973</v>
      </c>
      <c r="BS1950" s="463">
        <v>0.11764705882352942</v>
      </c>
      <c r="IO1950" s="271" t="s">
        <v>2093</v>
      </c>
      <c r="IP1950" s="270"/>
      <c r="IQ1950" s="276"/>
    </row>
    <row r="1951" spans="1:251" s="284" customFormat="1" x14ac:dyDescent="0.25">
      <c r="A1951" s="277">
        <v>91</v>
      </c>
      <c r="B1951" s="277" t="s">
        <v>769</v>
      </c>
      <c r="C1951" s="278" t="s">
        <v>2128</v>
      </c>
      <c r="D1951" s="277">
        <v>2006</v>
      </c>
      <c r="E1951" s="278">
        <v>1999</v>
      </c>
      <c r="F1951" s="277" t="s">
        <v>948</v>
      </c>
      <c r="G1951" s="277" t="s">
        <v>2042</v>
      </c>
      <c r="H1951" s="252" t="s">
        <v>2831</v>
      </c>
      <c r="I1951" s="278">
        <v>32.56</v>
      </c>
      <c r="J1951" s="278">
        <v>-83.91</v>
      </c>
      <c r="K1951" s="279">
        <v>16</v>
      </c>
      <c r="L1951" s="279">
        <v>18.100000000000001</v>
      </c>
      <c r="M1951" s="278"/>
      <c r="N1951" s="279">
        <v>1258</v>
      </c>
      <c r="O1951" s="278"/>
      <c r="P1951" s="278"/>
      <c r="Q1951" s="279">
        <v>6</v>
      </c>
      <c r="R1951" s="280" t="s">
        <v>1984</v>
      </c>
      <c r="T1951" s="280" t="s">
        <v>2112</v>
      </c>
      <c r="U1951" s="281" t="s">
        <v>1392</v>
      </c>
      <c r="V1951" s="281">
        <v>10</v>
      </c>
      <c r="W1951" s="281" t="s">
        <v>1392</v>
      </c>
      <c r="X1951" s="281" t="s">
        <v>1421</v>
      </c>
      <c r="Y1951" s="282">
        <f>AVERAGE(Sheet1!BM1951:BN1951)</f>
        <v>1.526</v>
      </c>
      <c r="Z1951" s="366">
        <v>65</v>
      </c>
      <c r="AA1951" s="366">
        <v>25</v>
      </c>
      <c r="AB1951" s="278" t="s">
        <v>241</v>
      </c>
      <c r="AC1951" s="278"/>
      <c r="AD1951" s="278"/>
      <c r="AE1951" s="278"/>
      <c r="AF1951" s="277" t="s">
        <v>2039</v>
      </c>
      <c r="AG1951" s="279" t="s">
        <v>244</v>
      </c>
      <c r="AH1951" s="278" t="s">
        <v>578</v>
      </c>
      <c r="AI1951" s="279" t="s">
        <v>2037</v>
      </c>
      <c r="AJ1951" s="278" t="s">
        <v>1621</v>
      </c>
      <c r="AK1951" s="278"/>
      <c r="AL1951" s="278"/>
      <c r="AM1951" s="278"/>
      <c r="AN1951" s="279" t="s">
        <v>773</v>
      </c>
      <c r="AO1951" s="279" t="s">
        <v>773</v>
      </c>
      <c r="AP1951" s="92" t="s">
        <v>178</v>
      </c>
      <c r="AQ1951" s="278" t="s">
        <v>2036</v>
      </c>
      <c r="AR1951" s="278"/>
      <c r="AS1951" s="283" t="s">
        <v>2035</v>
      </c>
      <c r="AT1951" s="253" t="s">
        <v>161</v>
      </c>
      <c r="AU1951" s="279">
        <v>4</v>
      </c>
      <c r="AV1951" s="279">
        <v>4</v>
      </c>
      <c r="AW1951" s="278" t="s">
        <v>142</v>
      </c>
      <c r="AX1951" s="278"/>
      <c r="AY1951" s="278">
        <f>1/3*17560</f>
        <v>5853.333333333333</v>
      </c>
      <c r="AZ1951" s="278"/>
      <c r="BA1951" s="278"/>
      <c r="BB1951" s="278"/>
      <c r="BH1951" s="279"/>
      <c r="BI1951" s="279"/>
      <c r="BJ1951" s="278"/>
      <c r="BM1951" s="443">
        <f t="shared" si="274"/>
        <v>1.536</v>
      </c>
      <c r="BN1951" s="443">
        <v>1.516</v>
      </c>
      <c r="BR1951" s="446">
        <v>0.6640625</v>
      </c>
      <c r="BS1951" s="446">
        <v>0.67057291666666674</v>
      </c>
      <c r="IO1951" s="279" t="s">
        <v>2093</v>
      </c>
      <c r="IP1951" s="278"/>
      <c r="IQ1951" s="285"/>
    </row>
    <row r="1952" spans="1:251" s="284" customFormat="1" x14ac:dyDescent="0.25">
      <c r="A1952" s="277">
        <v>91</v>
      </c>
      <c r="B1952" s="277" t="s">
        <v>769</v>
      </c>
      <c r="C1952" s="278" t="s">
        <v>2128</v>
      </c>
      <c r="D1952" s="277">
        <v>2006</v>
      </c>
      <c r="E1952" s="278">
        <v>1999</v>
      </c>
      <c r="F1952" s="277" t="s">
        <v>948</v>
      </c>
      <c r="G1952" s="277" t="s">
        <v>2042</v>
      </c>
      <c r="H1952" s="252" t="s">
        <v>2831</v>
      </c>
      <c r="I1952" s="278">
        <v>32.56</v>
      </c>
      <c r="J1952" s="278">
        <v>-83.91</v>
      </c>
      <c r="K1952" s="279">
        <v>16</v>
      </c>
      <c r="L1952" s="279">
        <v>18.100000000000001</v>
      </c>
      <c r="M1952" s="278"/>
      <c r="N1952" s="279">
        <v>1258</v>
      </c>
      <c r="O1952" s="278"/>
      <c r="P1952" s="278"/>
      <c r="Q1952" s="279">
        <v>6</v>
      </c>
      <c r="R1952" s="280" t="s">
        <v>1984</v>
      </c>
      <c r="T1952" s="280" t="s">
        <v>2112</v>
      </c>
      <c r="U1952" s="281" t="s">
        <v>1412</v>
      </c>
      <c r="V1952" s="281">
        <v>20</v>
      </c>
      <c r="W1952" s="281" t="s">
        <v>1392</v>
      </c>
      <c r="X1952" s="281" t="s">
        <v>1421</v>
      </c>
      <c r="Y1952" s="282">
        <f>AVERAGE(Sheet1!BM1952:BN1952)</f>
        <v>1.5189999999999999</v>
      </c>
      <c r="Z1952" s="366">
        <v>65</v>
      </c>
      <c r="AA1952" s="366">
        <v>25</v>
      </c>
      <c r="AB1952" s="278" t="s">
        <v>241</v>
      </c>
      <c r="AC1952" s="278"/>
      <c r="AD1952" s="278"/>
      <c r="AE1952" s="278"/>
      <c r="AF1952" s="277" t="s">
        <v>2039</v>
      </c>
      <c r="AG1952" s="279" t="s">
        <v>244</v>
      </c>
      <c r="AH1952" s="278" t="s">
        <v>578</v>
      </c>
      <c r="AI1952" s="279" t="s">
        <v>2037</v>
      </c>
      <c r="AJ1952" s="278" t="s">
        <v>1621</v>
      </c>
      <c r="AK1952" s="278"/>
      <c r="AL1952" s="278"/>
      <c r="AM1952" s="278"/>
      <c r="AN1952" s="279" t="s">
        <v>773</v>
      </c>
      <c r="AO1952" s="279" t="s">
        <v>773</v>
      </c>
      <c r="AP1952" s="92" t="s">
        <v>2125</v>
      </c>
      <c r="AQ1952" s="278" t="s">
        <v>2036</v>
      </c>
      <c r="AR1952" s="278"/>
      <c r="AS1952" s="283" t="s">
        <v>2035</v>
      </c>
      <c r="AT1952" s="253" t="s">
        <v>161</v>
      </c>
      <c r="AU1952" s="279">
        <v>4</v>
      </c>
      <c r="AV1952" s="279">
        <v>4</v>
      </c>
      <c r="AW1952" s="278" t="s">
        <v>142</v>
      </c>
      <c r="AX1952" s="278"/>
      <c r="AY1952" s="278"/>
      <c r="AZ1952" s="278"/>
      <c r="BA1952" s="278"/>
      <c r="BB1952" s="278"/>
      <c r="BH1952" s="279"/>
      <c r="BI1952" s="279"/>
      <c r="BJ1952" s="278"/>
      <c r="BM1952" s="443">
        <f t="shared" si="274"/>
        <v>1.5289999999999999</v>
      </c>
      <c r="BN1952" s="443">
        <v>1.5089999999999999</v>
      </c>
      <c r="BR1952" s="446">
        <v>0.50686723348593854</v>
      </c>
      <c r="BS1952" s="446">
        <v>0.51994767822105958</v>
      </c>
      <c r="IO1952" s="279" t="s">
        <v>2093</v>
      </c>
      <c r="IP1952" s="278"/>
      <c r="IQ1952" s="285"/>
    </row>
    <row r="1953" spans="1:251" s="284" customFormat="1" x14ac:dyDescent="0.25">
      <c r="A1953" s="277">
        <v>91</v>
      </c>
      <c r="B1953" s="277" t="s">
        <v>769</v>
      </c>
      <c r="C1953" s="278" t="s">
        <v>2128</v>
      </c>
      <c r="D1953" s="277">
        <v>2006</v>
      </c>
      <c r="E1953" s="278">
        <v>1999</v>
      </c>
      <c r="F1953" s="277" t="s">
        <v>948</v>
      </c>
      <c r="G1953" s="277" t="s">
        <v>2042</v>
      </c>
      <c r="H1953" s="252" t="s">
        <v>2831</v>
      </c>
      <c r="I1953" s="278">
        <v>32.56</v>
      </c>
      <c r="J1953" s="278">
        <v>-83.91</v>
      </c>
      <c r="K1953" s="279">
        <v>16</v>
      </c>
      <c r="L1953" s="279">
        <v>18.100000000000001</v>
      </c>
      <c r="M1953" s="278"/>
      <c r="N1953" s="279">
        <v>1258</v>
      </c>
      <c r="O1953" s="278"/>
      <c r="P1953" s="278"/>
      <c r="Q1953" s="279">
        <v>6</v>
      </c>
      <c r="R1953" s="280" t="s">
        <v>1984</v>
      </c>
      <c r="T1953" s="280" t="s">
        <v>2112</v>
      </c>
      <c r="U1953" s="281" t="s">
        <v>1406</v>
      </c>
      <c r="V1953" s="281">
        <v>30</v>
      </c>
      <c r="W1953" s="281" t="s">
        <v>1392</v>
      </c>
      <c r="X1953" s="281" t="s">
        <v>1421</v>
      </c>
      <c r="Y1953" s="282">
        <f>AVERAGE(Sheet1!BM1953:BN1953)</f>
        <v>1.43</v>
      </c>
      <c r="Z1953" s="366">
        <v>65</v>
      </c>
      <c r="AA1953" s="366">
        <v>25</v>
      </c>
      <c r="AB1953" s="278" t="s">
        <v>241</v>
      </c>
      <c r="AC1953" s="278"/>
      <c r="AD1953" s="278"/>
      <c r="AE1953" s="278"/>
      <c r="AF1953" s="277" t="s">
        <v>2039</v>
      </c>
      <c r="AG1953" s="279" t="s">
        <v>244</v>
      </c>
      <c r="AH1953" s="278" t="s">
        <v>578</v>
      </c>
      <c r="AI1953" s="279" t="s">
        <v>2037</v>
      </c>
      <c r="AJ1953" s="278" t="s">
        <v>1621</v>
      </c>
      <c r="AK1953" s="278"/>
      <c r="AL1953" s="278"/>
      <c r="AM1953" s="278"/>
      <c r="AN1953" s="279" t="s">
        <v>773</v>
      </c>
      <c r="AO1953" s="279" t="s">
        <v>773</v>
      </c>
      <c r="AP1953" s="92" t="s">
        <v>178</v>
      </c>
      <c r="AQ1953" s="278" t="s">
        <v>2036</v>
      </c>
      <c r="AR1953" s="278"/>
      <c r="AS1953" s="283" t="s">
        <v>2035</v>
      </c>
      <c r="AT1953" s="253" t="s">
        <v>161</v>
      </c>
      <c r="AU1953" s="279">
        <v>4</v>
      </c>
      <c r="AV1953" s="279">
        <v>4</v>
      </c>
      <c r="AW1953" s="278" t="s">
        <v>142</v>
      </c>
      <c r="AX1953" s="278"/>
      <c r="AY1953" s="278"/>
      <c r="AZ1953" s="278"/>
      <c r="BA1953" s="278"/>
      <c r="BB1953" s="278"/>
      <c r="BH1953" s="279"/>
      <c r="BI1953" s="279"/>
      <c r="BJ1953" s="278"/>
      <c r="BM1953" s="443">
        <f t="shared" si="274"/>
        <v>1.44</v>
      </c>
      <c r="BN1953" s="443">
        <v>1.42</v>
      </c>
      <c r="BR1953" s="446">
        <v>0.21759259259259262</v>
      </c>
      <c r="BS1953" s="446">
        <v>0.20833333333333334</v>
      </c>
      <c r="IO1953" s="279" t="s">
        <v>2093</v>
      </c>
      <c r="IP1953" s="278"/>
      <c r="IQ1953" s="285"/>
    </row>
    <row r="1954" spans="1:251" s="284" customFormat="1" x14ac:dyDescent="0.25">
      <c r="A1954" s="277">
        <v>91</v>
      </c>
      <c r="B1954" s="277" t="s">
        <v>769</v>
      </c>
      <c r="C1954" s="278" t="s">
        <v>2128</v>
      </c>
      <c r="D1954" s="277">
        <v>2006</v>
      </c>
      <c r="E1954" s="278">
        <v>1999</v>
      </c>
      <c r="F1954" s="277" t="s">
        <v>948</v>
      </c>
      <c r="G1954" s="277" t="s">
        <v>2042</v>
      </c>
      <c r="H1954" s="252" t="s">
        <v>2831</v>
      </c>
      <c r="I1954" s="278">
        <v>32.56</v>
      </c>
      <c r="J1954" s="278">
        <v>-83.91</v>
      </c>
      <c r="K1954" s="279">
        <v>16</v>
      </c>
      <c r="L1954" s="279">
        <v>18.100000000000001</v>
      </c>
      <c r="M1954" s="278"/>
      <c r="N1954" s="279">
        <v>1258</v>
      </c>
      <c r="O1954" s="278"/>
      <c r="P1954" s="278"/>
      <c r="Q1954" s="279">
        <v>6</v>
      </c>
      <c r="R1954" s="280" t="s">
        <v>1984</v>
      </c>
      <c r="T1954" s="280" t="s">
        <v>2112</v>
      </c>
      <c r="U1954" s="281" t="s">
        <v>1407</v>
      </c>
      <c r="V1954" s="281">
        <v>30</v>
      </c>
      <c r="W1954" s="281" t="s">
        <v>1392</v>
      </c>
      <c r="X1954" s="281" t="s">
        <v>1421</v>
      </c>
      <c r="Y1954" s="282">
        <f>AVERAGE(Sheet1!BM1954:BN1954)</f>
        <v>1.6160000000000001</v>
      </c>
      <c r="Z1954" s="366">
        <v>65</v>
      </c>
      <c r="AA1954" s="366">
        <v>25</v>
      </c>
      <c r="AB1954" s="278" t="s">
        <v>241</v>
      </c>
      <c r="AC1954" s="278"/>
      <c r="AD1954" s="278"/>
      <c r="AE1954" s="278"/>
      <c r="AF1954" s="277" t="s">
        <v>2039</v>
      </c>
      <c r="AG1954" s="279" t="s">
        <v>244</v>
      </c>
      <c r="AH1954" s="278" t="s">
        <v>578</v>
      </c>
      <c r="AI1954" s="279" t="s">
        <v>2037</v>
      </c>
      <c r="AJ1954" s="278" t="s">
        <v>1621</v>
      </c>
      <c r="AK1954" s="278"/>
      <c r="AL1954" s="278"/>
      <c r="AM1954" s="278"/>
      <c r="AN1954" s="279" t="s">
        <v>773</v>
      </c>
      <c r="AO1954" s="279" t="s">
        <v>773</v>
      </c>
      <c r="AP1954" s="92" t="s">
        <v>2125</v>
      </c>
      <c r="AQ1954" s="278" t="s">
        <v>2036</v>
      </c>
      <c r="AR1954" s="278"/>
      <c r="AS1954" s="283" t="s">
        <v>2035</v>
      </c>
      <c r="AT1954" s="253" t="s">
        <v>161</v>
      </c>
      <c r="AU1954" s="279">
        <v>4</v>
      </c>
      <c r="AV1954" s="279">
        <v>4</v>
      </c>
      <c r="AW1954" s="278" t="s">
        <v>142</v>
      </c>
      <c r="AX1954" s="278"/>
      <c r="AY1954" s="278"/>
      <c r="AZ1954" s="278"/>
      <c r="BA1954" s="278"/>
      <c r="BB1954" s="278"/>
      <c r="BH1954" s="279"/>
      <c r="BI1954" s="279"/>
      <c r="BJ1954" s="278"/>
      <c r="BM1954" s="443">
        <f t="shared" si="274"/>
        <v>1.6260000000000001</v>
      </c>
      <c r="BN1954" s="443">
        <v>1.6060000000000001</v>
      </c>
      <c r="BR1954" s="446">
        <v>0.17015170151701514</v>
      </c>
      <c r="BS1954" s="446">
        <v>0.1312013120131201</v>
      </c>
      <c r="IO1954" s="279" t="s">
        <v>2093</v>
      </c>
      <c r="IP1954" s="278"/>
      <c r="IQ1954" s="285"/>
    </row>
    <row r="1955" spans="1:251" s="284" customFormat="1" x14ac:dyDescent="0.25">
      <c r="A1955" s="277">
        <v>91</v>
      </c>
      <c r="B1955" s="277" t="s">
        <v>769</v>
      </c>
      <c r="C1955" s="278" t="s">
        <v>2128</v>
      </c>
      <c r="D1955" s="277">
        <v>2006</v>
      </c>
      <c r="E1955" s="278">
        <v>1999</v>
      </c>
      <c r="F1955" s="277" t="s">
        <v>948</v>
      </c>
      <c r="G1955" s="277" t="s">
        <v>2042</v>
      </c>
      <c r="H1955" s="252" t="s">
        <v>2831</v>
      </c>
      <c r="I1955" s="278">
        <v>32.56</v>
      </c>
      <c r="J1955" s="278">
        <v>-83.91</v>
      </c>
      <c r="K1955" s="279">
        <v>16</v>
      </c>
      <c r="L1955" s="279">
        <v>18.100000000000001</v>
      </c>
      <c r="M1955" s="278"/>
      <c r="N1955" s="279">
        <v>1258</v>
      </c>
      <c r="O1955" s="278"/>
      <c r="P1955" s="278"/>
      <c r="Q1955" s="279">
        <v>6</v>
      </c>
      <c r="R1955" s="280" t="s">
        <v>1984</v>
      </c>
      <c r="T1955" s="280" t="s">
        <v>2112</v>
      </c>
      <c r="U1955" s="281" t="s">
        <v>1419</v>
      </c>
      <c r="V1955" s="281">
        <v>30</v>
      </c>
      <c r="W1955" s="281" t="s">
        <v>1392</v>
      </c>
      <c r="X1955" s="281" t="s">
        <v>1421</v>
      </c>
      <c r="Y1955" s="282">
        <f>AVERAGE(Sheet1!BM1955:BN1955)</f>
        <v>1.605</v>
      </c>
      <c r="Z1955" s="366">
        <v>65</v>
      </c>
      <c r="AA1955" s="366">
        <v>25</v>
      </c>
      <c r="AB1955" s="278" t="s">
        <v>241</v>
      </c>
      <c r="AC1955" s="278"/>
      <c r="AD1955" s="278"/>
      <c r="AE1955" s="278"/>
      <c r="AF1955" s="277" t="s">
        <v>2039</v>
      </c>
      <c r="AG1955" s="279" t="s">
        <v>244</v>
      </c>
      <c r="AH1955" s="278" t="s">
        <v>578</v>
      </c>
      <c r="AI1955" s="279" t="s">
        <v>2037</v>
      </c>
      <c r="AJ1955" s="278" t="s">
        <v>1621</v>
      </c>
      <c r="AK1955" s="278"/>
      <c r="AL1955" s="278"/>
      <c r="AM1955" s="278"/>
      <c r="AN1955" s="279" t="s">
        <v>773</v>
      </c>
      <c r="AO1955" s="279" t="s">
        <v>773</v>
      </c>
      <c r="AP1955" s="92" t="s">
        <v>178</v>
      </c>
      <c r="AQ1955" s="278" t="s">
        <v>2036</v>
      </c>
      <c r="AR1955" s="278"/>
      <c r="AS1955" s="283" t="s">
        <v>2035</v>
      </c>
      <c r="AT1955" s="253" t="s">
        <v>161</v>
      </c>
      <c r="AU1955" s="279">
        <v>4</v>
      </c>
      <c r="AV1955" s="279">
        <v>4</v>
      </c>
      <c r="AW1955" s="278" t="s">
        <v>142</v>
      </c>
      <c r="AX1955" s="278"/>
      <c r="AY1955" s="278"/>
      <c r="AZ1955" s="278"/>
      <c r="BA1955" s="278"/>
      <c r="BB1955" s="278"/>
      <c r="BH1955" s="279"/>
      <c r="BI1955" s="279"/>
      <c r="BJ1955" s="278"/>
      <c r="BM1955" s="443">
        <f t="shared" si="274"/>
        <v>1.615</v>
      </c>
      <c r="BN1955" s="443">
        <v>1.595</v>
      </c>
      <c r="BR1955" s="446">
        <v>0.1155830753353973</v>
      </c>
      <c r="BS1955" s="446">
        <v>0.11351909184726522</v>
      </c>
      <c r="IO1955" s="279" t="s">
        <v>2093</v>
      </c>
      <c r="IP1955" s="278"/>
      <c r="IQ1955" s="285"/>
    </row>
    <row r="1956" spans="1:251" s="22" customFormat="1" x14ac:dyDescent="0.25">
      <c r="A1956" s="269">
        <v>91</v>
      </c>
      <c r="B1956" s="269" t="s">
        <v>769</v>
      </c>
      <c r="C1956" s="270" t="s">
        <v>2128</v>
      </c>
      <c r="D1956" s="269">
        <v>2006</v>
      </c>
      <c r="E1956" s="270">
        <v>1999</v>
      </c>
      <c r="F1956" s="269" t="s">
        <v>948</v>
      </c>
      <c r="G1956" s="269" t="s">
        <v>2042</v>
      </c>
      <c r="H1956" s="252" t="s">
        <v>2831</v>
      </c>
      <c r="I1956" s="270">
        <v>32.56</v>
      </c>
      <c r="J1956" s="270">
        <v>-83.91</v>
      </c>
      <c r="K1956" s="271">
        <v>16</v>
      </c>
      <c r="L1956" s="271">
        <v>18.100000000000001</v>
      </c>
      <c r="M1956" s="270"/>
      <c r="N1956" s="271">
        <v>1258</v>
      </c>
      <c r="O1956" s="270"/>
      <c r="P1956" s="270"/>
      <c r="Q1956" s="271">
        <v>6</v>
      </c>
      <c r="R1956" s="272" t="s">
        <v>1984</v>
      </c>
      <c r="T1956" s="272" t="s">
        <v>2112</v>
      </c>
      <c r="U1956" s="273" t="s">
        <v>1392</v>
      </c>
      <c r="V1956" s="273">
        <v>10</v>
      </c>
      <c r="W1956" s="273" t="s">
        <v>1392</v>
      </c>
      <c r="X1956" s="273" t="s">
        <v>1421</v>
      </c>
      <c r="Y1956" s="274">
        <f>AVERAGE(Sheet1!BM1956:BN1956)</f>
        <v>1.526</v>
      </c>
      <c r="Z1956" s="365">
        <v>65</v>
      </c>
      <c r="AA1956" s="365">
        <v>25</v>
      </c>
      <c r="AB1956" s="270" t="s">
        <v>241</v>
      </c>
      <c r="AC1956" s="270"/>
      <c r="AD1956" s="270"/>
      <c r="AE1956" s="270"/>
      <c r="AF1956" s="269" t="s">
        <v>2039</v>
      </c>
      <c r="AG1956" s="271" t="s">
        <v>2038</v>
      </c>
      <c r="AH1956" s="270" t="s">
        <v>1586</v>
      </c>
      <c r="AI1956" s="271" t="s">
        <v>2037</v>
      </c>
      <c r="AJ1956" s="270" t="s">
        <v>1621</v>
      </c>
      <c r="AK1956" s="270"/>
      <c r="AL1956" s="270"/>
      <c r="AM1956" s="270"/>
      <c r="AN1956" s="271" t="s">
        <v>773</v>
      </c>
      <c r="AO1956" s="271" t="s">
        <v>773</v>
      </c>
      <c r="AP1956" s="92" t="s">
        <v>2125</v>
      </c>
      <c r="AQ1956" s="270" t="s">
        <v>162</v>
      </c>
      <c r="AR1956" s="270"/>
      <c r="AS1956" s="275" t="s">
        <v>2035</v>
      </c>
      <c r="AT1956" s="253" t="s">
        <v>161</v>
      </c>
      <c r="AU1956" s="271">
        <v>4</v>
      </c>
      <c r="AV1956" s="271">
        <v>4</v>
      </c>
      <c r="AW1956" s="270" t="s">
        <v>142</v>
      </c>
      <c r="AX1956" s="270"/>
      <c r="AY1956" s="270">
        <f>1/3*20220</f>
        <v>6740</v>
      </c>
      <c r="AZ1956" s="270"/>
      <c r="BA1956" s="270"/>
      <c r="BB1956" s="270"/>
      <c r="BH1956" s="271"/>
      <c r="BI1956" s="271"/>
      <c r="BJ1956" s="270"/>
      <c r="BM1956" s="442">
        <f t="shared" si="274"/>
        <v>1.536</v>
      </c>
      <c r="BN1956" s="442">
        <v>1.516</v>
      </c>
      <c r="BR1956" s="463">
        <v>0.63151041666666663</v>
      </c>
      <c r="BS1956" s="463">
        <v>0.5859375</v>
      </c>
      <c r="IO1956" s="271" t="s">
        <v>2093</v>
      </c>
      <c r="IP1956" s="270"/>
      <c r="IQ1956" s="276"/>
    </row>
    <row r="1957" spans="1:251" s="22" customFormat="1" x14ac:dyDescent="0.25">
      <c r="A1957" s="269">
        <v>91</v>
      </c>
      <c r="B1957" s="269" t="s">
        <v>769</v>
      </c>
      <c r="C1957" s="270" t="s">
        <v>2128</v>
      </c>
      <c r="D1957" s="269">
        <v>2006</v>
      </c>
      <c r="E1957" s="270">
        <v>1999</v>
      </c>
      <c r="F1957" s="269" t="s">
        <v>948</v>
      </c>
      <c r="G1957" s="269" t="s">
        <v>2042</v>
      </c>
      <c r="H1957" s="252" t="s">
        <v>2831</v>
      </c>
      <c r="I1957" s="270">
        <v>32.56</v>
      </c>
      <c r="J1957" s="270">
        <v>-83.91</v>
      </c>
      <c r="K1957" s="271">
        <v>16</v>
      </c>
      <c r="L1957" s="271">
        <v>18.100000000000001</v>
      </c>
      <c r="M1957" s="270"/>
      <c r="N1957" s="271">
        <v>1258</v>
      </c>
      <c r="O1957" s="270"/>
      <c r="P1957" s="270"/>
      <c r="Q1957" s="271">
        <v>6</v>
      </c>
      <c r="R1957" s="272" t="s">
        <v>1984</v>
      </c>
      <c r="T1957" s="272" t="s">
        <v>2112</v>
      </c>
      <c r="U1957" s="273" t="s">
        <v>1412</v>
      </c>
      <c r="V1957" s="273">
        <v>20</v>
      </c>
      <c r="W1957" s="273" t="s">
        <v>1392</v>
      </c>
      <c r="X1957" s="273" t="s">
        <v>1421</v>
      </c>
      <c r="Y1957" s="274">
        <f>AVERAGE(Sheet1!BM1957:BN1957)</f>
        <v>1.5189999999999999</v>
      </c>
      <c r="Z1957" s="365">
        <v>65</v>
      </c>
      <c r="AA1957" s="365">
        <v>25</v>
      </c>
      <c r="AB1957" s="270" t="s">
        <v>241</v>
      </c>
      <c r="AC1957" s="270"/>
      <c r="AD1957" s="270"/>
      <c r="AE1957" s="270"/>
      <c r="AF1957" s="269" t="s">
        <v>2039</v>
      </c>
      <c r="AG1957" s="271" t="s">
        <v>2038</v>
      </c>
      <c r="AH1957" s="270" t="s">
        <v>1586</v>
      </c>
      <c r="AI1957" s="271" t="s">
        <v>2037</v>
      </c>
      <c r="AJ1957" s="270" t="s">
        <v>1621</v>
      </c>
      <c r="AK1957" s="270"/>
      <c r="AL1957" s="270"/>
      <c r="AM1957" s="270"/>
      <c r="AN1957" s="271" t="s">
        <v>773</v>
      </c>
      <c r="AO1957" s="271" t="s">
        <v>773</v>
      </c>
      <c r="AP1957" s="92" t="s">
        <v>178</v>
      </c>
      <c r="AQ1957" s="270" t="s">
        <v>162</v>
      </c>
      <c r="AR1957" s="270"/>
      <c r="AS1957" s="275" t="s">
        <v>2035</v>
      </c>
      <c r="AT1957" s="253" t="s">
        <v>161</v>
      </c>
      <c r="AU1957" s="271">
        <v>4</v>
      </c>
      <c r="AV1957" s="271">
        <v>4</v>
      </c>
      <c r="AW1957" s="270" t="s">
        <v>142</v>
      </c>
      <c r="AX1957" s="270"/>
      <c r="AY1957" s="270"/>
      <c r="AZ1957" s="270"/>
      <c r="BA1957" s="270"/>
      <c r="BB1957" s="270"/>
      <c r="BH1957" s="271"/>
      <c r="BI1957" s="271"/>
      <c r="BJ1957" s="270"/>
      <c r="BM1957" s="442">
        <f t="shared" si="274"/>
        <v>1.5289999999999999</v>
      </c>
      <c r="BN1957" s="442">
        <v>1.5089999999999999</v>
      </c>
      <c r="BR1957" s="463">
        <v>0.44800523217789401</v>
      </c>
      <c r="BS1957" s="463">
        <v>0.48070634401569651</v>
      </c>
      <c r="IO1957" s="271" t="s">
        <v>2093</v>
      </c>
      <c r="IP1957" s="270"/>
      <c r="IQ1957" s="276"/>
    </row>
    <row r="1958" spans="1:251" s="22" customFormat="1" x14ac:dyDescent="0.25">
      <c r="A1958" s="269">
        <v>91</v>
      </c>
      <c r="B1958" s="269" t="s">
        <v>769</v>
      </c>
      <c r="C1958" s="270" t="s">
        <v>2128</v>
      </c>
      <c r="D1958" s="269">
        <v>2006</v>
      </c>
      <c r="E1958" s="270">
        <v>1999</v>
      </c>
      <c r="F1958" s="269" t="s">
        <v>948</v>
      </c>
      <c r="G1958" s="269" t="s">
        <v>2042</v>
      </c>
      <c r="H1958" s="252" t="s">
        <v>2831</v>
      </c>
      <c r="I1958" s="270">
        <v>32.56</v>
      </c>
      <c r="J1958" s="270">
        <v>-83.91</v>
      </c>
      <c r="K1958" s="271">
        <v>16</v>
      </c>
      <c r="L1958" s="271">
        <v>18.100000000000001</v>
      </c>
      <c r="M1958" s="270"/>
      <c r="N1958" s="271">
        <v>1258</v>
      </c>
      <c r="O1958" s="270"/>
      <c r="P1958" s="270"/>
      <c r="Q1958" s="271">
        <v>6</v>
      </c>
      <c r="R1958" s="272" t="s">
        <v>1984</v>
      </c>
      <c r="T1958" s="272" t="s">
        <v>2112</v>
      </c>
      <c r="U1958" s="273" t="s">
        <v>1406</v>
      </c>
      <c r="V1958" s="273">
        <v>30</v>
      </c>
      <c r="W1958" s="273" t="s">
        <v>1392</v>
      </c>
      <c r="X1958" s="273" t="s">
        <v>1421</v>
      </c>
      <c r="Y1958" s="274">
        <f>AVERAGE(Sheet1!BM1958:BN1958)</f>
        <v>1.43</v>
      </c>
      <c r="Z1958" s="365">
        <v>65</v>
      </c>
      <c r="AA1958" s="365">
        <v>25</v>
      </c>
      <c r="AB1958" s="270" t="s">
        <v>241</v>
      </c>
      <c r="AC1958" s="270"/>
      <c r="AD1958" s="270"/>
      <c r="AE1958" s="270"/>
      <c r="AF1958" s="269" t="s">
        <v>2039</v>
      </c>
      <c r="AG1958" s="271" t="s">
        <v>2038</v>
      </c>
      <c r="AH1958" s="270" t="s">
        <v>1586</v>
      </c>
      <c r="AI1958" s="271" t="s">
        <v>2037</v>
      </c>
      <c r="AJ1958" s="270" t="s">
        <v>1621</v>
      </c>
      <c r="AK1958" s="270"/>
      <c r="AL1958" s="270"/>
      <c r="AM1958" s="270"/>
      <c r="AN1958" s="271" t="s">
        <v>773</v>
      </c>
      <c r="AO1958" s="271" t="s">
        <v>773</v>
      </c>
      <c r="AP1958" s="92" t="s">
        <v>2125</v>
      </c>
      <c r="AQ1958" s="270" t="s">
        <v>162</v>
      </c>
      <c r="AR1958" s="270"/>
      <c r="AS1958" s="275" t="s">
        <v>2035</v>
      </c>
      <c r="AT1958" s="253" t="s">
        <v>161</v>
      </c>
      <c r="AU1958" s="271">
        <v>4</v>
      </c>
      <c r="AV1958" s="271">
        <v>4</v>
      </c>
      <c r="AW1958" s="270" t="s">
        <v>142</v>
      </c>
      <c r="AX1958" s="270"/>
      <c r="AY1958" s="270"/>
      <c r="AZ1958" s="270"/>
      <c r="BA1958" s="270"/>
      <c r="BB1958" s="270"/>
      <c r="BH1958" s="271"/>
      <c r="BI1958" s="271"/>
      <c r="BJ1958" s="270"/>
      <c r="BM1958" s="442">
        <f t="shared" si="274"/>
        <v>1.44</v>
      </c>
      <c r="BN1958" s="442">
        <v>1.42</v>
      </c>
      <c r="BR1958" s="463">
        <v>0.22916666666666666</v>
      </c>
      <c r="BS1958" s="463">
        <v>0.23379629629629628</v>
      </c>
      <c r="IO1958" s="271" t="s">
        <v>2093</v>
      </c>
      <c r="IP1958" s="270"/>
      <c r="IQ1958" s="276"/>
    </row>
    <row r="1959" spans="1:251" s="22" customFormat="1" x14ac:dyDescent="0.25">
      <c r="A1959" s="269">
        <v>91</v>
      </c>
      <c r="B1959" s="269" t="s">
        <v>769</v>
      </c>
      <c r="C1959" s="270" t="s">
        <v>2128</v>
      </c>
      <c r="D1959" s="269">
        <v>2006</v>
      </c>
      <c r="E1959" s="270">
        <v>1999</v>
      </c>
      <c r="F1959" s="269" t="s">
        <v>948</v>
      </c>
      <c r="G1959" s="269" t="s">
        <v>2042</v>
      </c>
      <c r="H1959" s="252" t="s">
        <v>2831</v>
      </c>
      <c r="I1959" s="270">
        <v>32.56</v>
      </c>
      <c r="J1959" s="270">
        <v>-83.91</v>
      </c>
      <c r="K1959" s="271">
        <v>16</v>
      </c>
      <c r="L1959" s="271">
        <v>18.100000000000001</v>
      </c>
      <c r="M1959" s="270"/>
      <c r="N1959" s="271">
        <v>1258</v>
      </c>
      <c r="O1959" s="270"/>
      <c r="P1959" s="270"/>
      <c r="Q1959" s="271">
        <v>6</v>
      </c>
      <c r="R1959" s="272" t="s">
        <v>1984</v>
      </c>
      <c r="T1959" s="272" t="s">
        <v>2112</v>
      </c>
      <c r="U1959" s="273" t="s">
        <v>1407</v>
      </c>
      <c r="V1959" s="273">
        <v>30</v>
      </c>
      <c r="W1959" s="273" t="s">
        <v>1392</v>
      </c>
      <c r="X1959" s="273" t="s">
        <v>1421</v>
      </c>
      <c r="Y1959" s="274">
        <f>AVERAGE(Sheet1!BM1959:BN1959)</f>
        <v>1.6160000000000001</v>
      </c>
      <c r="Z1959" s="365">
        <v>65</v>
      </c>
      <c r="AA1959" s="365">
        <v>25</v>
      </c>
      <c r="AB1959" s="270" t="s">
        <v>241</v>
      </c>
      <c r="AC1959" s="270"/>
      <c r="AD1959" s="270"/>
      <c r="AE1959" s="270"/>
      <c r="AF1959" s="269" t="s">
        <v>2039</v>
      </c>
      <c r="AG1959" s="271" t="s">
        <v>2038</v>
      </c>
      <c r="AH1959" s="270" t="s">
        <v>1586</v>
      </c>
      <c r="AI1959" s="271" t="s">
        <v>2037</v>
      </c>
      <c r="AJ1959" s="270" t="s">
        <v>1621</v>
      </c>
      <c r="AK1959" s="270"/>
      <c r="AL1959" s="270"/>
      <c r="AM1959" s="270"/>
      <c r="AN1959" s="271" t="s">
        <v>773</v>
      </c>
      <c r="AO1959" s="271" t="s">
        <v>773</v>
      </c>
      <c r="AP1959" s="92" t="s">
        <v>178</v>
      </c>
      <c r="AQ1959" s="270" t="s">
        <v>162</v>
      </c>
      <c r="AR1959" s="270"/>
      <c r="AS1959" s="275" t="s">
        <v>2035</v>
      </c>
      <c r="AT1959" s="253" t="s">
        <v>161</v>
      </c>
      <c r="AU1959" s="271">
        <v>4</v>
      </c>
      <c r="AV1959" s="271">
        <v>4</v>
      </c>
      <c r="AW1959" s="270" t="s">
        <v>142</v>
      </c>
      <c r="AX1959" s="270"/>
      <c r="AY1959" s="270"/>
      <c r="AZ1959" s="270"/>
      <c r="BA1959" s="270"/>
      <c r="BB1959" s="270"/>
      <c r="BH1959" s="271"/>
      <c r="BI1959" s="271"/>
      <c r="BJ1959" s="270"/>
      <c r="BM1959" s="442">
        <f t="shared" si="274"/>
        <v>1.6260000000000001</v>
      </c>
      <c r="BN1959" s="442">
        <v>1.6060000000000001</v>
      </c>
      <c r="BR1959" s="463">
        <v>0.14145141451414511</v>
      </c>
      <c r="BS1959" s="463">
        <v>0.17220172201722014</v>
      </c>
      <c r="IO1959" s="271" t="s">
        <v>2093</v>
      </c>
      <c r="IP1959" s="270"/>
      <c r="IQ1959" s="276"/>
    </row>
    <row r="1960" spans="1:251" s="22" customFormat="1" x14ac:dyDescent="0.25">
      <c r="A1960" s="269">
        <v>91</v>
      </c>
      <c r="B1960" s="269" t="s">
        <v>769</v>
      </c>
      <c r="C1960" s="270" t="s">
        <v>2128</v>
      </c>
      <c r="D1960" s="269">
        <v>2006</v>
      </c>
      <c r="E1960" s="270">
        <v>1999</v>
      </c>
      <c r="F1960" s="269" t="s">
        <v>948</v>
      </c>
      <c r="G1960" s="269" t="s">
        <v>2042</v>
      </c>
      <c r="H1960" s="252" t="s">
        <v>2831</v>
      </c>
      <c r="I1960" s="270">
        <v>32.56</v>
      </c>
      <c r="J1960" s="270">
        <v>-83.91</v>
      </c>
      <c r="K1960" s="271">
        <v>16</v>
      </c>
      <c r="L1960" s="271">
        <v>18.100000000000001</v>
      </c>
      <c r="M1960" s="270"/>
      <c r="N1960" s="271">
        <v>1258</v>
      </c>
      <c r="O1960" s="270"/>
      <c r="P1960" s="270"/>
      <c r="Q1960" s="271">
        <v>6</v>
      </c>
      <c r="R1960" s="272" t="s">
        <v>1984</v>
      </c>
      <c r="T1960" s="272" t="s">
        <v>2112</v>
      </c>
      <c r="U1960" s="273" t="s">
        <v>1419</v>
      </c>
      <c r="V1960" s="273">
        <v>30</v>
      </c>
      <c r="W1960" s="273" t="s">
        <v>1392</v>
      </c>
      <c r="X1960" s="273" t="s">
        <v>1421</v>
      </c>
      <c r="Y1960" s="274">
        <f>AVERAGE(Sheet1!BM1960:BN1960)</f>
        <v>1.605</v>
      </c>
      <c r="Z1960" s="365">
        <v>65</v>
      </c>
      <c r="AA1960" s="365">
        <v>25</v>
      </c>
      <c r="AB1960" s="270" t="s">
        <v>241</v>
      </c>
      <c r="AC1960" s="270"/>
      <c r="AD1960" s="270"/>
      <c r="AE1960" s="270"/>
      <c r="AF1960" s="269" t="s">
        <v>2039</v>
      </c>
      <c r="AG1960" s="271" t="s">
        <v>2038</v>
      </c>
      <c r="AH1960" s="270" t="s">
        <v>1586</v>
      </c>
      <c r="AI1960" s="271" t="s">
        <v>2037</v>
      </c>
      <c r="AJ1960" s="270" t="s">
        <v>1621</v>
      </c>
      <c r="AK1960" s="270"/>
      <c r="AL1960" s="270"/>
      <c r="AM1960" s="270"/>
      <c r="AN1960" s="271" t="s">
        <v>773</v>
      </c>
      <c r="AO1960" s="271" t="s">
        <v>773</v>
      </c>
      <c r="AP1960" s="92" t="s">
        <v>2125</v>
      </c>
      <c r="AQ1960" s="270" t="s">
        <v>162</v>
      </c>
      <c r="AR1960" s="270"/>
      <c r="AS1960" s="275" t="s">
        <v>2035</v>
      </c>
      <c r="AT1960" s="253" t="s">
        <v>161</v>
      </c>
      <c r="AU1960" s="271">
        <v>4</v>
      </c>
      <c r="AV1960" s="271">
        <v>4</v>
      </c>
      <c r="AW1960" s="270" t="s">
        <v>142</v>
      </c>
      <c r="AX1960" s="270"/>
      <c r="AY1960" s="270"/>
      <c r="AZ1960" s="270"/>
      <c r="BA1960" s="270"/>
      <c r="BB1960" s="270"/>
      <c r="BH1960" s="271"/>
      <c r="BI1960" s="271"/>
      <c r="BJ1960" s="270"/>
      <c r="BM1960" s="442">
        <f t="shared" si="274"/>
        <v>1.615</v>
      </c>
      <c r="BN1960" s="442">
        <v>1.595</v>
      </c>
      <c r="BR1960" s="463">
        <v>0.12590299277605779</v>
      </c>
      <c r="BS1960" s="463">
        <v>0.10113519091847266</v>
      </c>
      <c r="IO1960" s="271" t="s">
        <v>2093</v>
      </c>
      <c r="IP1960" s="270"/>
      <c r="IQ1960" s="276"/>
    </row>
    <row r="1961" spans="1:251" s="284" customFormat="1" x14ac:dyDescent="0.25">
      <c r="A1961" s="277">
        <v>91</v>
      </c>
      <c r="B1961" s="277" t="s">
        <v>769</v>
      </c>
      <c r="C1961" s="278" t="s">
        <v>2128</v>
      </c>
      <c r="D1961" s="277">
        <v>2006</v>
      </c>
      <c r="E1961" s="278">
        <v>1999</v>
      </c>
      <c r="F1961" s="277" t="s">
        <v>948</v>
      </c>
      <c r="G1961" s="277" t="s">
        <v>2042</v>
      </c>
      <c r="H1961" s="252" t="s">
        <v>2831</v>
      </c>
      <c r="I1961" s="278">
        <v>32.56</v>
      </c>
      <c r="J1961" s="278">
        <v>-83.91</v>
      </c>
      <c r="K1961" s="279">
        <v>16</v>
      </c>
      <c r="L1961" s="279">
        <v>18.100000000000001</v>
      </c>
      <c r="M1961" s="278"/>
      <c r="N1961" s="279">
        <v>1258</v>
      </c>
      <c r="O1961" s="278"/>
      <c r="P1961" s="278"/>
      <c r="Q1961" s="279">
        <v>6</v>
      </c>
      <c r="R1961" s="280" t="s">
        <v>1984</v>
      </c>
      <c r="T1961" s="280" t="s">
        <v>2112</v>
      </c>
      <c r="U1961" s="281" t="s">
        <v>1392</v>
      </c>
      <c r="V1961" s="281">
        <v>10</v>
      </c>
      <c r="W1961" s="281" t="s">
        <v>1392</v>
      </c>
      <c r="X1961" s="281" t="s">
        <v>1421</v>
      </c>
      <c r="Y1961" s="282">
        <f>AVERAGE(Sheet1!BM1961:BN1961)</f>
        <v>1.526</v>
      </c>
      <c r="Z1961" s="366">
        <v>65</v>
      </c>
      <c r="AA1961" s="366">
        <v>25</v>
      </c>
      <c r="AB1961" s="278" t="s">
        <v>241</v>
      </c>
      <c r="AC1961" s="278"/>
      <c r="AD1961" s="278"/>
      <c r="AE1961" s="278"/>
      <c r="AF1961" s="277" t="s">
        <v>2039</v>
      </c>
      <c r="AG1961" s="279" t="s">
        <v>2038</v>
      </c>
      <c r="AH1961" s="278" t="s">
        <v>1586</v>
      </c>
      <c r="AI1961" s="279" t="s">
        <v>2037</v>
      </c>
      <c r="AJ1961" s="278" t="s">
        <v>1621</v>
      </c>
      <c r="AK1961" s="278"/>
      <c r="AL1961" s="278"/>
      <c r="AM1961" s="278"/>
      <c r="AN1961" s="279" t="s">
        <v>773</v>
      </c>
      <c r="AO1961" s="279" t="s">
        <v>773</v>
      </c>
      <c r="AP1961" s="92" t="s">
        <v>178</v>
      </c>
      <c r="AQ1961" s="278" t="s">
        <v>2041</v>
      </c>
      <c r="AR1961" s="278"/>
      <c r="AS1961" s="283" t="s">
        <v>2035</v>
      </c>
      <c r="AT1961" s="253" t="s">
        <v>161</v>
      </c>
      <c r="AU1961" s="279">
        <v>4</v>
      </c>
      <c r="AV1961" s="279">
        <v>4</v>
      </c>
      <c r="AW1961" s="278" t="s">
        <v>142</v>
      </c>
      <c r="AX1961" s="278"/>
      <c r="AY1961" s="278">
        <f>1/3*23550</f>
        <v>7850</v>
      </c>
      <c r="AZ1961" s="278"/>
      <c r="BA1961" s="278"/>
      <c r="BB1961" s="278"/>
      <c r="BH1961" s="279"/>
      <c r="BI1961" s="279"/>
      <c r="BJ1961" s="278"/>
      <c r="BM1961" s="443">
        <f t="shared" si="274"/>
        <v>1.536</v>
      </c>
      <c r="BN1961" s="443">
        <v>1.516</v>
      </c>
      <c r="BR1961" s="446">
        <v>0.57291666666666674</v>
      </c>
      <c r="BS1961" s="446">
        <v>0.59244791666666663</v>
      </c>
      <c r="IO1961" s="279" t="s">
        <v>2093</v>
      </c>
      <c r="IP1961" s="278"/>
      <c r="IQ1961" s="285"/>
    </row>
    <row r="1962" spans="1:251" s="284" customFormat="1" x14ac:dyDescent="0.25">
      <c r="A1962" s="277">
        <v>91</v>
      </c>
      <c r="B1962" s="277" t="s">
        <v>769</v>
      </c>
      <c r="C1962" s="278" t="s">
        <v>2128</v>
      </c>
      <c r="D1962" s="277">
        <v>2006</v>
      </c>
      <c r="E1962" s="278">
        <v>1999</v>
      </c>
      <c r="F1962" s="277" t="s">
        <v>948</v>
      </c>
      <c r="G1962" s="277" t="s">
        <v>2042</v>
      </c>
      <c r="H1962" s="252" t="s">
        <v>2831</v>
      </c>
      <c r="I1962" s="278">
        <v>32.56</v>
      </c>
      <c r="J1962" s="278">
        <v>-83.91</v>
      </c>
      <c r="K1962" s="279">
        <v>16</v>
      </c>
      <c r="L1962" s="279">
        <v>18.100000000000001</v>
      </c>
      <c r="M1962" s="278"/>
      <c r="N1962" s="279">
        <v>1258</v>
      </c>
      <c r="O1962" s="278"/>
      <c r="P1962" s="278"/>
      <c r="Q1962" s="279">
        <v>6</v>
      </c>
      <c r="R1962" s="280" t="s">
        <v>1984</v>
      </c>
      <c r="T1962" s="280" t="s">
        <v>2112</v>
      </c>
      <c r="U1962" s="281" t="s">
        <v>1412</v>
      </c>
      <c r="V1962" s="281">
        <v>20</v>
      </c>
      <c r="W1962" s="281" t="s">
        <v>1392</v>
      </c>
      <c r="X1962" s="281" t="s">
        <v>1421</v>
      </c>
      <c r="Y1962" s="282">
        <f>AVERAGE(Sheet1!BM1962:BN1962)</f>
        <v>1.5189999999999999</v>
      </c>
      <c r="Z1962" s="366">
        <v>65</v>
      </c>
      <c r="AA1962" s="366">
        <v>25</v>
      </c>
      <c r="AB1962" s="278" t="s">
        <v>241</v>
      </c>
      <c r="AC1962" s="278"/>
      <c r="AD1962" s="278"/>
      <c r="AE1962" s="278"/>
      <c r="AF1962" s="277" t="s">
        <v>2039</v>
      </c>
      <c r="AG1962" s="279" t="s">
        <v>2038</v>
      </c>
      <c r="AH1962" s="278" t="s">
        <v>1586</v>
      </c>
      <c r="AI1962" s="279" t="s">
        <v>2037</v>
      </c>
      <c r="AJ1962" s="278" t="s">
        <v>1621</v>
      </c>
      <c r="AK1962" s="278"/>
      <c r="AL1962" s="278"/>
      <c r="AM1962" s="278"/>
      <c r="AN1962" s="279" t="s">
        <v>773</v>
      </c>
      <c r="AO1962" s="279" t="s">
        <v>773</v>
      </c>
      <c r="AP1962" s="92" t="s">
        <v>2125</v>
      </c>
      <c r="AQ1962" s="278" t="s">
        <v>2041</v>
      </c>
      <c r="AR1962" s="278"/>
      <c r="AS1962" s="283" t="s">
        <v>2035</v>
      </c>
      <c r="AT1962" s="253" t="s">
        <v>161</v>
      </c>
      <c r="AU1962" s="279">
        <v>4</v>
      </c>
      <c r="AV1962" s="279">
        <v>4</v>
      </c>
      <c r="AW1962" s="278" t="s">
        <v>142</v>
      </c>
      <c r="AX1962" s="278"/>
      <c r="AY1962" s="278"/>
      <c r="AZ1962" s="278"/>
      <c r="BA1962" s="278"/>
      <c r="BB1962" s="278"/>
      <c r="BH1962" s="279"/>
      <c r="BI1962" s="279"/>
      <c r="BJ1962" s="278"/>
      <c r="BM1962" s="443">
        <f t="shared" si="274"/>
        <v>1.5289999999999999</v>
      </c>
      <c r="BN1962" s="443">
        <v>1.5089999999999999</v>
      </c>
      <c r="BR1962" s="446">
        <v>0.45781556572923476</v>
      </c>
      <c r="BS1962" s="446">
        <v>0.48724656638325708</v>
      </c>
      <c r="IO1962" s="279" t="s">
        <v>2093</v>
      </c>
      <c r="IP1962" s="278"/>
      <c r="IQ1962" s="285"/>
    </row>
    <row r="1963" spans="1:251" s="284" customFormat="1" x14ac:dyDescent="0.25">
      <c r="A1963" s="277">
        <v>91</v>
      </c>
      <c r="B1963" s="277" t="s">
        <v>769</v>
      </c>
      <c r="C1963" s="278" t="s">
        <v>2128</v>
      </c>
      <c r="D1963" s="277">
        <v>2006</v>
      </c>
      <c r="E1963" s="278">
        <v>1999</v>
      </c>
      <c r="F1963" s="277" t="s">
        <v>948</v>
      </c>
      <c r="G1963" s="277" t="s">
        <v>2042</v>
      </c>
      <c r="H1963" s="252" t="s">
        <v>2831</v>
      </c>
      <c r="I1963" s="278">
        <v>32.56</v>
      </c>
      <c r="J1963" s="278">
        <v>-83.91</v>
      </c>
      <c r="K1963" s="279">
        <v>16</v>
      </c>
      <c r="L1963" s="279">
        <v>18.100000000000001</v>
      </c>
      <c r="M1963" s="278"/>
      <c r="N1963" s="279">
        <v>1258</v>
      </c>
      <c r="O1963" s="278"/>
      <c r="P1963" s="278"/>
      <c r="Q1963" s="279">
        <v>6</v>
      </c>
      <c r="R1963" s="280" t="s">
        <v>1984</v>
      </c>
      <c r="T1963" s="280" t="s">
        <v>2112</v>
      </c>
      <c r="U1963" s="281" t="s">
        <v>1406</v>
      </c>
      <c r="V1963" s="281">
        <v>30</v>
      </c>
      <c r="W1963" s="281" t="s">
        <v>1392</v>
      </c>
      <c r="X1963" s="281" t="s">
        <v>1421</v>
      </c>
      <c r="Y1963" s="282">
        <f>AVERAGE(Sheet1!BM1963:BN1963)</f>
        <v>1.43</v>
      </c>
      <c r="Z1963" s="366">
        <v>65</v>
      </c>
      <c r="AA1963" s="366">
        <v>25</v>
      </c>
      <c r="AB1963" s="278" t="s">
        <v>241</v>
      </c>
      <c r="AC1963" s="278"/>
      <c r="AD1963" s="278"/>
      <c r="AE1963" s="278"/>
      <c r="AF1963" s="277" t="s">
        <v>2039</v>
      </c>
      <c r="AG1963" s="279" t="s">
        <v>2038</v>
      </c>
      <c r="AH1963" s="278" t="s">
        <v>1586</v>
      </c>
      <c r="AI1963" s="279" t="s">
        <v>2037</v>
      </c>
      <c r="AJ1963" s="278" t="s">
        <v>1621</v>
      </c>
      <c r="AK1963" s="278"/>
      <c r="AL1963" s="278"/>
      <c r="AM1963" s="278"/>
      <c r="AN1963" s="279" t="s">
        <v>773</v>
      </c>
      <c r="AO1963" s="279" t="s">
        <v>773</v>
      </c>
      <c r="AP1963" s="92" t="s">
        <v>178</v>
      </c>
      <c r="AQ1963" s="278" t="s">
        <v>2041</v>
      </c>
      <c r="AR1963" s="278"/>
      <c r="AS1963" s="283" t="s">
        <v>2035</v>
      </c>
      <c r="AT1963" s="253" t="s">
        <v>161</v>
      </c>
      <c r="AU1963" s="279">
        <v>4</v>
      </c>
      <c r="AV1963" s="279">
        <v>4</v>
      </c>
      <c r="AW1963" s="278" t="s">
        <v>142</v>
      </c>
      <c r="AX1963" s="278"/>
      <c r="AY1963" s="278"/>
      <c r="AZ1963" s="278"/>
      <c r="BA1963" s="278"/>
      <c r="BB1963" s="278"/>
      <c r="BH1963" s="279"/>
      <c r="BI1963" s="279"/>
      <c r="BJ1963" s="278"/>
      <c r="BM1963" s="443">
        <f t="shared" si="274"/>
        <v>1.44</v>
      </c>
      <c r="BN1963" s="443">
        <v>1.42</v>
      </c>
      <c r="BR1963" s="446">
        <v>0.23379629629629628</v>
      </c>
      <c r="BS1963" s="446">
        <v>0.24537037037037035</v>
      </c>
      <c r="IO1963" s="279" t="s">
        <v>2093</v>
      </c>
      <c r="IP1963" s="278"/>
      <c r="IQ1963" s="285"/>
    </row>
    <row r="1964" spans="1:251" s="284" customFormat="1" x14ac:dyDescent="0.25">
      <c r="A1964" s="277">
        <v>91</v>
      </c>
      <c r="B1964" s="277" t="s">
        <v>769</v>
      </c>
      <c r="C1964" s="278" t="s">
        <v>2128</v>
      </c>
      <c r="D1964" s="277">
        <v>2006</v>
      </c>
      <c r="E1964" s="278">
        <v>1999</v>
      </c>
      <c r="F1964" s="277" t="s">
        <v>948</v>
      </c>
      <c r="G1964" s="277" t="s">
        <v>2042</v>
      </c>
      <c r="H1964" s="252" t="s">
        <v>2831</v>
      </c>
      <c r="I1964" s="278">
        <v>32.56</v>
      </c>
      <c r="J1964" s="278">
        <v>-83.91</v>
      </c>
      <c r="K1964" s="279">
        <v>16</v>
      </c>
      <c r="L1964" s="279">
        <v>18.100000000000001</v>
      </c>
      <c r="M1964" s="278"/>
      <c r="N1964" s="279">
        <v>1258</v>
      </c>
      <c r="O1964" s="278"/>
      <c r="P1964" s="278"/>
      <c r="Q1964" s="279">
        <v>6</v>
      </c>
      <c r="R1964" s="280" t="s">
        <v>1984</v>
      </c>
      <c r="T1964" s="280" t="s">
        <v>2112</v>
      </c>
      <c r="U1964" s="281" t="s">
        <v>1407</v>
      </c>
      <c r="V1964" s="281">
        <v>30</v>
      </c>
      <c r="W1964" s="281" t="s">
        <v>1392</v>
      </c>
      <c r="X1964" s="281" t="s">
        <v>1421</v>
      </c>
      <c r="Y1964" s="282">
        <f>AVERAGE(Sheet1!BM1964:BN1964)</f>
        <v>1.6160000000000001</v>
      </c>
      <c r="Z1964" s="366">
        <v>65</v>
      </c>
      <c r="AA1964" s="366">
        <v>25</v>
      </c>
      <c r="AB1964" s="278" t="s">
        <v>241</v>
      </c>
      <c r="AC1964" s="278"/>
      <c r="AD1964" s="278"/>
      <c r="AE1964" s="278"/>
      <c r="AF1964" s="277" t="s">
        <v>2039</v>
      </c>
      <c r="AG1964" s="279" t="s">
        <v>2038</v>
      </c>
      <c r="AH1964" s="278" t="s">
        <v>1586</v>
      </c>
      <c r="AI1964" s="279" t="s">
        <v>2037</v>
      </c>
      <c r="AJ1964" s="278" t="s">
        <v>1621</v>
      </c>
      <c r="AK1964" s="278"/>
      <c r="AL1964" s="278"/>
      <c r="AM1964" s="278"/>
      <c r="AN1964" s="279" t="s">
        <v>773</v>
      </c>
      <c r="AO1964" s="279" t="s">
        <v>773</v>
      </c>
      <c r="AP1964" s="92" t="s">
        <v>2125</v>
      </c>
      <c r="AQ1964" s="278" t="s">
        <v>2041</v>
      </c>
      <c r="AR1964" s="278"/>
      <c r="AS1964" s="283" t="s">
        <v>2035</v>
      </c>
      <c r="AT1964" s="253" t="s">
        <v>161</v>
      </c>
      <c r="AU1964" s="279">
        <v>4</v>
      </c>
      <c r="AV1964" s="279">
        <v>4</v>
      </c>
      <c r="AW1964" s="278" t="s">
        <v>142</v>
      </c>
      <c r="AX1964" s="278"/>
      <c r="AY1964" s="278"/>
      <c r="AZ1964" s="278"/>
      <c r="BA1964" s="278"/>
      <c r="BB1964" s="278"/>
      <c r="BH1964" s="279"/>
      <c r="BI1964" s="279"/>
      <c r="BJ1964" s="278"/>
      <c r="BM1964" s="443">
        <f t="shared" si="274"/>
        <v>1.6260000000000001</v>
      </c>
      <c r="BN1964" s="443">
        <v>1.6060000000000001</v>
      </c>
      <c r="BR1964" s="446">
        <v>0.16400164001640014</v>
      </c>
      <c r="BS1964" s="446">
        <v>0.14965149651496512</v>
      </c>
      <c r="IO1964" s="279" t="s">
        <v>2093</v>
      </c>
      <c r="IP1964" s="278"/>
      <c r="IQ1964" s="285"/>
    </row>
    <row r="1965" spans="1:251" s="284" customFormat="1" x14ac:dyDescent="0.25">
      <c r="A1965" s="277">
        <v>91</v>
      </c>
      <c r="B1965" s="277" t="s">
        <v>769</v>
      </c>
      <c r="C1965" s="278" t="s">
        <v>2128</v>
      </c>
      <c r="D1965" s="277">
        <v>2006</v>
      </c>
      <c r="E1965" s="278">
        <v>1999</v>
      </c>
      <c r="F1965" s="277" t="s">
        <v>948</v>
      </c>
      <c r="G1965" s="277" t="s">
        <v>2042</v>
      </c>
      <c r="H1965" s="252" t="s">
        <v>2831</v>
      </c>
      <c r="I1965" s="278">
        <v>32.56</v>
      </c>
      <c r="J1965" s="278">
        <v>-83.91</v>
      </c>
      <c r="K1965" s="279">
        <v>16</v>
      </c>
      <c r="L1965" s="279">
        <v>18.100000000000001</v>
      </c>
      <c r="M1965" s="278"/>
      <c r="N1965" s="279">
        <v>1258</v>
      </c>
      <c r="O1965" s="278"/>
      <c r="P1965" s="278"/>
      <c r="Q1965" s="279">
        <v>6</v>
      </c>
      <c r="R1965" s="280" t="s">
        <v>1984</v>
      </c>
      <c r="T1965" s="280" t="s">
        <v>2112</v>
      </c>
      <c r="U1965" s="281" t="s">
        <v>1419</v>
      </c>
      <c r="V1965" s="281">
        <v>30</v>
      </c>
      <c r="W1965" s="281" t="s">
        <v>1392</v>
      </c>
      <c r="X1965" s="281" t="s">
        <v>1421</v>
      </c>
      <c r="Y1965" s="282">
        <f>AVERAGE(Sheet1!BM1965:BN1965)</f>
        <v>1.605</v>
      </c>
      <c r="Z1965" s="366">
        <v>65</v>
      </c>
      <c r="AA1965" s="366">
        <v>25</v>
      </c>
      <c r="AB1965" s="278" t="s">
        <v>241</v>
      </c>
      <c r="AC1965" s="278"/>
      <c r="AD1965" s="278"/>
      <c r="AE1965" s="278"/>
      <c r="AF1965" s="277" t="s">
        <v>2039</v>
      </c>
      <c r="AG1965" s="279" t="s">
        <v>2038</v>
      </c>
      <c r="AH1965" s="278" t="s">
        <v>1586</v>
      </c>
      <c r="AI1965" s="279" t="s">
        <v>2037</v>
      </c>
      <c r="AJ1965" s="278" t="s">
        <v>1621</v>
      </c>
      <c r="AK1965" s="278"/>
      <c r="AL1965" s="278"/>
      <c r="AM1965" s="278"/>
      <c r="AN1965" s="279" t="s">
        <v>773</v>
      </c>
      <c r="AO1965" s="279" t="s">
        <v>773</v>
      </c>
      <c r="AP1965" s="92" t="s">
        <v>178</v>
      </c>
      <c r="AQ1965" s="278" t="s">
        <v>2041</v>
      </c>
      <c r="AR1965" s="278"/>
      <c r="AS1965" s="283" t="s">
        <v>2035</v>
      </c>
      <c r="AT1965" s="253" t="s">
        <v>161</v>
      </c>
      <c r="AU1965" s="279">
        <v>4</v>
      </c>
      <c r="AV1965" s="279">
        <v>4</v>
      </c>
      <c r="AW1965" s="278" t="s">
        <v>142</v>
      </c>
      <c r="AX1965" s="278"/>
      <c r="AY1965" s="278"/>
      <c r="AZ1965" s="278"/>
      <c r="BA1965" s="278"/>
      <c r="BB1965" s="278"/>
      <c r="BH1965" s="279"/>
      <c r="BI1965" s="279"/>
      <c r="BJ1965" s="278"/>
      <c r="BM1965" s="443">
        <f t="shared" si="274"/>
        <v>1.615</v>
      </c>
      <c r="BN1965" s="443">
        <v>1.595</v>
      </c>
      <c r="BR1965" s="446">
        <v>0.1155830753353973</v>
      </c>
      <c r="BS1965" s="446">
        <v>0.11145510835913314</v>
      </c>
      <c r="IO1965" s="279" t="s">
        <v>2093</v>
      </c>
      <c r="IP1965" s="278"/>
      <c r="IQ1965" s="285"/>
    </row>
    <row r="1966" spans="1:251" s="22" customFormat="1" x14ac:dyDescent="0.25">
      <c r="A1966" s="269">
        <v>91</v>
      </c>
      <c r="B1966" s="269" t="s">
        <v>769</v>
      </c>
      <c r="C1966" s="270" t="s">
        <v>2128</v>
      </c>
      <c r="D1966" s="269">
        <v>2006</v>
      </c>
      <c r="E1966" s="270">
        <v>1999</v>
      </c>
      <c r="F1966" s="269" t="s">
        <v>948</v>
      </c>
      <c r="G1966" s="269" t="s">
        <v>2042</v>
      </c>
      <c r="H1966" s="252" t="s">
        <v>2831</v>
      </c>
      <c r="I1966" s="270">
        <v>32.56</v>
      </c>
      <c r="J1966" s="270">
        <v>-83.91</v>
      </c>
      <c r="K1966" s="271">
        <v>16</v>
      </c>
      <c r="L1966" s="271">
        <v>18.100000000000001</v>
      </c>
      <c r="M1966" s="270"/>
      <c r="N1966" s="271">
        <v>1258</v>
      </c>
      <c r="O1966" s="270"/>
      <c r="P1966" s="270"/>
      <c r="Q1966" s="271">
        <v>6</v>
      </c>
      <c r="R1966" s="272" t="s">
        <v>1984</v>
      </c>
      <c r="T1966" s="272" t="s">
        <v>2112</v>
      </c>
      <c r="U1966" s="273" t="s">
        <v>1392</v>
      </c>
      <c r="V1966" s="273">
        <v>10</v>
      </c>
      <c r="W1966" s="273" t="s">
        <v>1392</v>
      </c>
      <c r="X1966" s="273" t="s">
        <v>1421</v>
      </c>
      <c r="Y1966" s="274">
        <f>AVERAGE(Sheet1!BM1966:BN1966)</f>
        <v>1.526</v>
      </c>
      <c r="Z1966" s="365">
        <v>65</v>
      </c>
      <c r="AA1966" s="365">
        <v>25</v>
      </c>
      <c r="AB1966" s="270" t="s">
        <v>241</v>
      </c>
      <c r="AC1966" s="270"/>
      <c r="AD1966" s="270"/>
      <c r="AE1966" s="270"/>
      <c r="AF1966" s="269" t="s">
        <v>2039</v>
      </c>
      <c r="AG1966" s="271" t="s">
        <v>2038</v>
      </c>
      <c r="AH1966" s="270" t="s">
        <v>1586</v>
      </c>
      <c r="AI1966" s="271" t="s">
        <v>2037</v>
      </c>
      <c r="AJ1966" s="270" t="s">
        <v>1621</v>
      </c>
      <c r="AK1966" s="270"/>
      <c r="AL1966" s="270"/>
      <c r="AM1966" s="270"/>
      <c r="AN1966" s="271" t="s">
        <v>773</v>
      </c>
      <c r="AO1966" s="271" t="s">
        <v>773</v>
      </c>
      <c r="AP1966" s="92" t="s">
        <v>2125</v>
      </c>
      <c r="AQ1966" s="270" t="s">
        <v>2036</v>
      </c>
      <c r="AR1966" s="270"/>
      <c r="AS1966" s="275" t="s">
        <v>2035</v>
      </c>
      <c r="AT1966" s="253" t="s">
        <v>161</v>
      </c>
      <c r="AU1966" s="271">
        <v>4</v>
      </c>
      <c r="AV1966" s="271">
        <v>4</v>
      </c>
      <c r="AW1966" s="270" t="s">
        <v>142</v>
      </c>
      <c r="AX1966" s="270"/>
      <c r="AY1966" s="270">
        <f>1/3*22350</f>
        <v>7450</v>
      </c>
      <c r="AZ1966" s="270"/>
      <c r="BA1966" s="270"/>
      <c r="BB1966" s="270"/>
      <c r="BH1966" s="271"/>
      <c r="BI1966" s="271"/>
      <c r="BJ1966" s="270"/>
      <c r="BM1966" s="442">
        <f t="shared" si="274"/>
        <v>1.536</v>
      </c>
      <c r="BN1966" s="442">
        <v>1.516</v>
      </c>
      <c r="BR1966" s="463">
        <v>0.6640625</v>
      </c>
      <c r="BS1966" s="463">
        <v>0.703125</v>
      </c>
      <c r="IO1966" s="271" t="s">
        <v>2093</v>
      </c>
      <c r="IP1966" s="270"/>
      <c r="IQ1966" s="276"/>
    </row>
    <row r="1967" spans="1:251" s="22" customFormat="1" x14ac:dyDescent="0.25">
      <c r="A1967" s="269">
        <v>91</v>
      </c>
      <c r="B1967" s="269" t="s">
        <v>769</v>
      </c>
      <c r="C1967" s="270" t="s">
        <v>2128</v>
      </c>
      <c r="D1967" s="269">
        <v>2006</v>
      </c>
      <c r="E1967" s="270">
        <v>1999</v>
      </c>
      <c r="F1967" s="269" t="s">
        <v>948</v>
      </c>
      <c r="G1967" s="269" t="s">
        <v>2042</v>
      </c>
      <c r="H1967" s="252" t="s">
        <v>2831</v>
      </c>
      <c r="I1967" s="270">
        <v>32.56</v>
      </c>
      <c r="J1967" s="270">
        <v>-83.91</v>
      </c>
      <c r="K1967" s="271">
        <v>16</v>
      </c>
      <c r="L1967" s="271">
        <v>18.100000000000001</v>
      </c>
      <c r="M1967" s="270"/>
      <c r="N1967" s="271">
        <v>1258</v>
      </c>
      <c r="O1967" s="270"/>
      <c r="P1967" s="270"/>
      <c r="Q1967" s="271">
        <v>6</v>
      </c>
      <c r="R1967" s="272" t="s">
        <v>1984</v>
      </c>
      <c r="T1967" s="272" t="s">
        <v>2112</v>
      </c>
      <c r="U1967" s="273" t="s">
        <v>1412</v>
      </c>
      <c r="V1967" s="273">
        <v>20</v>
      </c>
      <c r="W1967" s="273" t="s">
        <v>1392</v>
      </c>
      <c r="X1967" s="273" t="s">
        <v>1421</v>
      </c>
      <c r="Y1967" s="274">
        <f>AVERAGE(Sheet1!BM1967:BN1967)</f>
        <v>1.5189999999999999</v>
      </c>
      <c r="Z1967" s="365">
        <v>65</v>
      </c>
      <c r="AA1967" s="365">
        <v>25</v>
      </c>
      <c r="AB1967" s="270" t="s">
        <v>241</v>
      </c>
      <c r="AC1967" s="270"/>
      <c r="AD1967" s="270"/>
      <c r="AE1967" s="270"/>
      <c r="AF1967" s="269" t="s">
        <v>2039</v>
      </c>
      <c r="AG1967" s="271" t="s">
        <v>2038</v>
      </c>
      <c r="AH1967" s="270" t="s">
        <v>1586</v>
      </c>
      <c r="AI1967" s="271" t="s">
        <v>2037</v>
      </c>
      <c r="AJ1967" s="270" t="s">
        <v>1621</v>
      </c>
      <c r="AK1967" s="270"/>
      <c r="AL1967" s="270"/>
      <c r="AM1967" s="270"/>
      <c r="AN1967" s="271" t="s">
        <v>773</v>
      </c>
      <c r="AO1967" s="271" t="s">
        <v>773</v>
      </c>
      <c r="AP1967" s="92" t="s">
        <v>178</v>
      </c>
      <c r="AQ1967" s="270" t="s">
        <v>2036</v>
      </c>
      <c r="AR1967" s="270"/>
      <c r="AS1967" s="275" t="s">
        <v>2035</v>
      </c>
      <c r="AT1967" s="253" t="s">
        <v>161</v>
      </c>
      <c r="AU1967" s="271">
        <v>4</v>
      </c>
      <c r="AV1967" s="271">
        <v>4</v>
      </c>
      <c r="AW1967" s="270" t="s">
        <v>142</v>
      </c>
      <c r="AX1967" s="270"/>
      <c r="AY1967" s="270"/>
      <c r="AZ1967" s="270"/>
      <c r="BA1967" s="270"/>
      <c r="BB1967" s="270"/>
      <c r="BH1967" s="271"/>
      <c r="BI1967" s="271"/>
      <c r="BJ1967" s="270"/>
      <c r="BM1967" s="442">
        <f t="shared" si="274"/>
        <v>1.5289999999999999</v>
      </c>
      <c r="BN1967" s="442">
        <v>1.5089999999999999</v>
      </c>
      <c r="BR1967" s="463">
        <v>0.50686723348593854</v>
      </c>
      <c r="BS1967" s="463">
        <v>0.4937867887508175</v>
      </c>
      <c r="IO1967" s="271" t="s">
        <v>2093</v>
      </c>
      <c r="IP1967" s="270"/>
      <c r="IQ1967" s="276"/>
    </row>
    <row r="1968" spans="1:251" s="22" customFormat="1" x14ac:dyDescent="0.25">
      <c r="A1968" s="269">
        <v>91</v>
      </c>
      <c r="B1968" s="269" t="s">
        <v>769</v>
      </c>
      <c r="C1968" s="270" t="s">
        <v>2128</v>
      </c>
      <c r="D1968" s="269">
        <v>2006</v>
      </c>
      <c r="E1968" s="270">
        <v>1999</v>
      </c>
      <c r="F1968" s="269" t="s">
        <v>948</v>
      </c>
      <c r="G1968" s="269" t="s">
        <v>2042</v>
      </c>
      <c r="H1968" s="252" t="s">
        <v>2831</v>
      </c>
      <c r="I1968" s="270">
        <v>32.56</v>
      </c>
      <c r="J1968" s="270">
        <v>-83.91</v>
      </c>
      <c r="K1968" s="271">
        <v>16</v>
      </c>
      <c r="L1968" s="271">
        <v>18.100000000000001</v>
      </c>
      <c r="M1968" s="270"/>
      <c r="N1968" s="271">
        <v>1258</v>
      </c>
      <c r="O1968" s="270"/>
      <c r="P1968" s="270"/>
      <c r="Q1968" s="271">
        <v>6</v>
      </c>
      <c r="R1968" s="272" t="s">
        <v>1984</v>
      </c>
      <c r="T1968" s="272" t="s">
        <v>2112</v>
      </c>
      <c r="U1968" s="273" t="s">
        <v>1406</v>
      </c>
      <c r="V1968" s="273">
        <v>30</v>
      </c>
      <c r="W1968" s="273" t="s">
        <v>1392</v>
      </c>
      <c r="X1968" s="273" t="s">
        <v>1421</v>
      </c>
      <c r="Y1968" s="274">
        <f>AVERAGE(Sheet1!BM1968:BN1968)</f>
        <v>1.43</v>
      </c>
      <c r="Z1968" s="365">
        <v>65</v>
      </c>
      <c r="AA1968" s="365">
        <v>25</v>
      </c>
      <c r="AB1968" s="270" t="s">
        <v>241</v>
      </c>
      <c r="AC1968" s="270"/>
      <c r="AD1968" s="270"/>
      <c r="AE1968" s="270"/>
      <c r="AF1968" s="269" t="s">
        <v>2039</v>
      </c>
      <c r="AG1968" s="271" t="s">
        <v>2038</v>
      </c>
      <c r="AH1968" s="270" t="s">
        <v>1586</v>
      </c>
      <c r="AI1968" s="271" t="s">
        <v>2037</v>
      </c>
      <c r="AJ1968" s="270" t="s">
        <v>1621</v>
      </c>
      <c r="AK1968" s="270"/>
      <c r="AL1968" s="270"/>
      <c r="AM1968" s="270"/>
      <c r="AN1968" s="271" t="s">
        <v>773</v>
      </c>
      <c r="AO1968" s="271" t="s">
        <v>773</v>
      </c>
      <c r="AP1968" s="92" t="s">
        <v>2125</v>
      </c>
      <c r="AQ1968" s="270" t="s">
        <v>2036</v>
      </c>
      <c r="AR1968" s="270"/>
      <c r="AS1968" s="275" t="s">
        <v>2035</v>
      </c>
      <c r="AT1968" s="253" t="s">
        <v>161</v>
      </c>
      <c r="AU1968" s="271">
        <v>4</v>
      </c>
      <c r="AV1968" s="271">
        <v>4</v>
      </c>
      <c r="AW1968" s="270" t="s">
        <v>142</v>
      </c>
      <c r="AX1968" s="270"/>
      <c r="AY1968" s="270"/>
      <c r="AZ1968" s="270"/>
      <c r="BA1968" s="270"/>
      <c r="BB1968" s="270"/>
      <c r="BH1968" s="271"/>
      <c r="BI1968" s="271"/>
      <c r="BJ1968" s="270"/>
      <c r="BM1968" s="442">
        <f t="shared" si="274"/>
        <v>1.44</v>
      </c>
      <c r="BN1968" s="442">
        <v>1.42</v>
      </c>
      <c r="BR1968" s="463">
        <v>0.21759259259259262</v>
      </c>
      <c r="BS1968" s="463">
        <v>0.23842592592592596</v>
      </c>
      <c r="IO1968" s="271" t="s">
        <v>2093</v>
      </c>
      <c r="IP1968" s="270"/>
      <c r="IQ1968" s="276"/>
    </row>
    <row r="1969" spans="1:251" s="22" customFormat="1" x14ac:dyDescent="0.25">
      <c r="A1969" s="269">
        <v>91</v>
      </c>
      <c r="B1969" s="269" t="s">
        <v>769</v>
      </c>
      <c r="C1969" s="270" t="s">
        <v>2128</v>
      </c>
      <c r="D1969" s="269">
        <v>2006</v>
      </c>
      <c r="E1969" s="270">
        <v>1999</v>
      </c>
      <c r="F1969" s="269" t="s">
        <v>948</v>
      </c>
      <c r="G1969" s="269" t="s">
        <v>2042</v>
      </c>
      <c r="H1969" s="252" t="s">
        <v>2831</v>
      </c>
      <c r="I1969" s="270">
        <v>32.56</v>
      </c>
      <c r="J1969" s="270">
        <v>-83.91</v>
      </c>
      <c r="K1969" s="271">
        <v>16</v>
      </c>
      <c r="L1969" s="271">
        <v>18.100000000000001</v>
      </c>
      <c r="M1969" s="270"/>
      <c r="N1969" s="271">
        <v>1258</v>
      </c>
      <c r="O1969" s="270"/>
      <c r="P1969" s="270"/>
      <c r="Q1969" s="271">
        <v>6</v>
      </c>
      <c r="R1969" s="272" t="s">
        <v>1984</v>
      </c>
      <c r="T1969" s="272" t="s">
        <v>2112</v>
      </c>
      <c r="U1969" s="273" t="s">
        <v>1407</v>
      </c>
      <c r="V1969" s="273">
        <v>30</v>
      </c>
      <c r="W1969" s="273" t="s">
        <v>1392</v>
      </c>
      <c r="X1969" s="273" t="s">
        <v>1421</v>
      </c>
      <c r="Y1969" s="274">
        <f>AVERAGE(Sheet1!BM1969:BN1969)</f>
        <v>1.6160000000000001</v>
      </c>
      <c r="Z1969" s="365">
        <v>65</v>
      </c>
      <c r="AA1969" s="365">
        <v>25</v>
      </c>
      <c r="AB1969" s="270" t="s">
        <v>241</v>
      </c>
      <c r="AC1969" s="270"/>
      <c r="AD1969" s="270"/>
      <c r="AE1969" s="270"/>
      <c r="AF1969" s="269" t="s">
        <v>2039</v>
      </c>
      <c r="AG1969" s="271" t="s">
        <v>2038</v>
      </c>
      <c r="AH1969" s="270" t="s">
        <v>1586</v>
      </c>
      <c r="AI1969" s="271" t="s">
        <v>2037</v>
      </c>
      <c r="AJ1969" s="270" t="s">
        <v>1621</v>
      </c>
      <c r="AK1969" s="270"/>
      <c r="AL1969" s="270"/>
      <c r="AM1969" s="270"/>
      <c r="AN1969" s="271" t="s">
        <v>773</v>
      </c>
      <c r="AO1969" s="271" t="s">
        <v>773</v>
      </c>
      <c r="AP1969" s="92" t="s">
        <v>178</v>
      </c>
      <c r="AQ1969" s="270" t="s">
        <v>2036</v>
      </c>
      <c r="AR1969" s="270"/>
      <c r="AS1969" s="275" t="s">
        <v>2035</v>
      </c>
      <c r="AT1969" s="253" t="s">
        <v>161</v>
      </c>
      <c r="AU1969" s="271">
        <v>4</v>
      </c>
      <c r="AV1969" s="271">
        <v>4</v>
      </c>
      <c r="AW1969" s="270" t="s">
        <v>142</v>
      </c>
      <c r="AX1969" s="270"/>
      <c r="AY1969" s="270"/>
      <c r="AZ1969" s="270"/>
      <c r="BA1969" s="270"/>
      <c r="BB1969" s="270"/>
      <c r="BH1969" s="271"/>
      <c r="BI1969" s="271"/>
      <c r="BJ1969" s="270"/>
      <c r="BM1969" s="442">
        <f t="shared" si="274"/>
        <v>1.6260000000000001</v>
      </c>
      <c r="BN1969" s="442">
        <v>1.6060000000000001</v>
      </c>
      <c r="BR1969" s="463">
        <v>0.17015170151701514</v>
      </c>
      <c r="BS1969" s="463">
        <v>0.16195161951619513</v>
      </c>
      <c r="IO1969" s="271" t="s">
        <v>2093</v>
      </c>
      <c r="IP1969" s="270"/>
      <c r="IQ1969" s="276"/>
    </row>
    <row r="1970" spans="1:251" s="22" customFormat="1" x14ac:dyDescent="0.25">
      <c r="A1970" s="269">
        <v>91</v>
      </c>
      <c r="B1970" s="269" t="s">
        <v>769</v>
      </c>
      <c r="C1970" s="270" t="s">
        <v>2128</v>
      </c>
      <c r="D1970" s="269">
        <v>2006</v>
      </c>
      <c r="E1970" s="270">
        <v>1999</v>
      </c>
      <c r="F1970" s="269" t="s">
        <v>948</v>
      </c>
      <c r="G1970" s="269" t="s">
        <v>2042</v>
      </c>
      <c r="H1970" s="252" t="s">
        <v>2831</v>
      </c>
      <c r="I1970" s="270">
        <v>32.56</v>
      </c>
      <c r="J1970" s="270">
        <v>-83.91</v>
      </c>
      <c r="K1970" s="271">
        <v>16</v>
      </c>
      <c r="L1970" s="271">
        <v>18.100000000000001</v>
      </c>
      <c r="M1970" s="270"/>
      <c r="N1970" s="271">
        <v>1258</v>
      </c>
      <c r="O1970" s="270"/>
      <c r="P1970" s="270"/>
      <c r="Q1970" s="271">
        <v>6</v>
      </c>
      <c r="R1970" s="272" t="s">
        <v>1984</v>
      </c>
      <c r="T1970" s="272" t="s">
        <v>2112</v>
      </c>
      <c r="U1970" s="273" t="s">
        <v>1419</v>
      </c>
      <c r="V1970" s="273">
        <v>30</v>
      </c>
      <c r="W1970" s="273" t="s">
        <v>1392</v>
      </c>
      <c r="X1970" s="273" t="s">
        <v>1421</v>
      </c>
      <c r="Y1970" s="274">
        <f>AVERAGE(Sheet1!BM1970:BN1970)</f>
        <v>1.605</v>
      </c>
      <c r="Z1970" s="365">
        <v>65</v>
      </c>
      <c r="AA1970" s="365">
        <v>25</v>
      </c>
      <c r="AB1970" s="270" t="s">
        <v>241</v>
      </c>
      <c r="AC1970" s="270"/>
      <c r="AD1970" s="270"/>
      <c r="AE1970" s="270"/>
      <c r="AF1970" s="269" t="s">
        <v>2039</v>
      </c>
      <c r="AG1970" s="271" t="s">
        <v>2038</v>
      </c>
      <c r="AH1970" s="270" t="s">
        <v>1586</v>
      </c>
      <c r="AI1970" s="271" t="s">
        <v>2037</v>
      </c>
      <c r="AJ1970" s="270" t="s">
        <v>1621</v>
      </c>
      <c r="AK1970" s="270"/>
      <c r="AL1970" s="270"/>
      <c r="AM1970" s="270"/>
      <c r="AN1970" s="271" t="s">
        <v>773</v>
      </c>
      <c r="AO1970" s="271" t="s">
        <v>773</v>
      </c>
      <c r="AP1970" s="92" t="s">
        <v>2125</v>
      </c>
      <c r="AQ1970" s="270" t="s">
        <v>2036</v>
      </c>
      <c r="AR1970" s="270"/>
      <c r="AS1970" s="275" t="s">
        <v>2035</v>
      </c>
      <c r="AT1970" s="253" t="s">
        <v>161</v>
      </c>
      <c r="AU1970" s="271">
        <v>4</v>
      </c>
      <c r="AV1970" s="271">
        <v>4</v>
      </c>
      <c r="AW1970" s="270" t="s">
        <v>142</v>
      </c>
      <c r="AX1970" s="270"/>
      <c r="AY1970" s="270"/>
      <c r="AZ1970" s="270"/>
      <c r="BA1970" s="270"/>
      <c r="BB1970" s="270"/>
      <c r="BH1970" s="271"/>
      <c r="BI1970" s="271"/>
      <c r="BJ1970" s="270"/>
      <c r="BM1970" s="442">
        <f t="shared" si="274"/>
        <v>1.615</v>
      </c>
      <c r="BN1970" s="442">
        <v>1.595</v>
      </c>
      <c r="BR1970" s="463">
        <v>0.1155830753353973</v>
      </c>
      <c r="BS1970" s="463">
        <v>0.13622291021671826</v>
      </c>
      <c r="IO1970" s="271" t="s">
        <v>2093</v>
      </c>
      <c r="IP1970" s="270"/>
      <c r="IQ1970" s="276"/>
    </row>
    <row r="1971" spans="1:251" s="36" customFormat="1" x14ac:dyDescent="0.25">
      <c r="A1971" s="223">
        <v>91</v>
      </c>
      <c r="B1971" s="223" t="s">
        <v>769</v>
      </c>
      <c r="C1971" s="224" t="s">
        <v>2128</v>
      </c>
      <c r="D1971" s="223">
        <v>2006</v>
      </c>
      <c r="E1971" s="224">
        <v>1999</v>
      </c>
      <c r="F1971" s="223" t="s">
        <v>948</v>
      </c>
      <c r="G1971" s="223" t="s">
        <v>2042</v>
      </c>
      <c r="H1971" s="252" t="s">
        <v>2831</v>
      </c>
      <c r="I1971" s="224">
        <v>32.56</v>
      </c>
      <c r="J1971" s="224">
        <v>-83.91</v>
      </c>
      <c r="K1971" s="225">
        <v>16</v>
      </c>
      <c r="L1971" s="225">
        <v>18.100000000000001</v>
      </c>
      <c r="M1971" s="224"/>
      <c r="N1971" s="225">
        <v>1258</v>
      </c>
      <c r="O1971" s="224"/>
      <c r="P1971" s="224"/>
      <c r="Q1971" s="225">
        <v>6</v>
      </c>
      <c r="R1971" s="226" t="s">
        <v>1984</v>
      </c>
      <c r="T1971" s="226" t="s">
        <v>2112</v>
      </c>
      <c r="U1971" s="227" t="s">
        <v>1392</v>
      </c>
      <c r="V1971" s="227">
        <v>10</v>
      </c>
      <c r="W1971" s="227" t="s">
        <v>1392</v>
      </c>
      <c r="X1971" s="227" t="s">
        <v>1421</v>
      </c>
      <c r="Y1971" s="228">
        <f>AVERAGE(Sheet1!BM1971:BN1971)</f>
        <v>1.4249999999999998</v>
      </c>
      <c r="Z1971" s="364">
        <v>65</v>
      </c>
      <c r="AA1971" s="364">
        <v>25</v>
      </c>
      <c r="AB1971" s="224" t="s">
        <v>241</v>
      </c>
      <c r="AC1971" s="224"/>
      <c r="AD1971" s="224"/>
      <c r="AE1971" s="224"/>
      <c r="AF1971" s="223" t="s">
        <v>2039</v>
      </c>
      <c r="AG1971" s="225" t="s">
        <v>132</v>
      </c>
      <c r="AH1971" s="224" t="s">
        <v>132</v>
      </c>
      <c r="AI1971" s="225" t="s">
        <v>2037</v>
      </c>
      <c r="AJ1971" s="224" t="s">
        <v>1621</v>
      </c>
      <c r="AK1971" s="224"/>
      <c r="AL1971" s="224"/>
      <c r="AM1971" s="224"/>
      <c r="AN1971" s="225" t="s">
        <v>774</v>
      </c>
      <c r="AO1971" s="225" t="s">
        <v>774</v>
      </c>
      <c r="AP1971" s="92" t="s">
        <v>178</v>
      </c>
      <c r="AQ1971" s="224" t="s">
        <v>162</v>
      </c>
      <c r="AR1971" s="224"/>
      <c r="AS1971" s="229" t="s">
        <v>2035</v>
      </c>
      <c r="AT1971" s="253" t="s">
        <v>161</v>
      </c>
      <c r="AU1971" s="225">
        <v>4</v>
      </c>
      <c r="AV1971" s="225">
        <v>4</v>
      </c>
      <c r="AW1971" s="224" t="s">
        <v>142</v>
      </c>
      <c r="AX1971" s="224"/>
      <c r="AY1971" s="224">
        <f>1/3*11610</f>
        <v>3870</v>
      </c>
      <c r="AZ1971" s="224"/>
      <c r="BA1971" s="224"/>
      <c r="BB1971" s="224"/>
      <c r="BH1971" s="225"/>
      <c r="BI1971" s="225"/>
      <c r="BJ1971" s="224"/>
      <c r="BM1971" s="440">
        <f t="shared" ref="BM1971:BM2015" si="275">BN1971+0.01</f>
        <v>1.43</v>
      </c>
      <c r="BN1971" s="440">
        <v>1.42</v>
      </c>
      <c r="BR1971" s="441">
        <v>0.55944055944055948</v>
      </c>
      <c r="BS1971" s="441">
        <v>0.6223776223776224</v>
      </c>
      <c r="IO1971" s="225" t="s">
        <v>2093</v>
      </c>
      <c r="IP1971" s="224"/>
      <c r="IQ1971" s="230"/>
    </row>
    <row r="1972" spans="1:251" s="36" customFormat="1" x14ac:dyDescent="0.25">
      <c r="A1972" s="223">
        <v>91</v>
      </c>
      <c r="B1972" s="223" t="s">
        <v>769</v>
      </c>
      <c r="C1972" s="224" t="s">
        <v>2128</v>
      </c>
      <c r="D1972" s="223">
        <v>2006</v>
      </c>
      <c r="E1972" s="224">
        <v>1999</v>
      </c>
      <c r="F1972" s="223" t="s">
        <v>948</v>
      </c>
      <c r="G1972" s="223" t="s">
        <v>2042</v>
      </c>
      <c r="H1972" s="252" t="s">
        <v>2831</v>
      </c>
      <c r="I1972" s="224">
        <v>32.56</v>
      </c>
      <c r="J1972" s="224">
        <v>-83.91</v>
      </c>
      <c r="K1972" s="225">
        <v>16</v>
      </c>
      <c r="L1972" s="225">
        <v>18.100000000000001</v>
      </c>
      <c r="M1972" s="224"/>
      <c r="N1972" s="225">
        <v>1258</v>
      </c>
      <c r="O1972" s="224"/>
      <c r="P1972" s="224"/>
      <c r="Q1972" s="225">
        <v>6</v>
      </c>
      <c r="R1972" s="226" t="s">
        <v>1984</v>
      </c>
      <c r="T1972" s="226" t="s">
        <v>2112</v>
      </c>
      <c r="U1972" s="227" t="s">
        <v>1412</v>
      </c>
      <c r="V1972" s="227">
        <v>20</v>
      </c>
      <c r="W1972" s="227" t="s">
        <v>1392</v>
      </c>
      <c r="X1972" s="227" t="s">
        <v>1421</v>
      </c>
      <c r="Y1972" s="228">
        <f>AVERAGE(Sheet1!BM1972:BN1972)</f>
        <v>1.5550000000000002</v>
      </c>
      <c r="Z1972" s="364">
        <v>65</v>
      </c>
      <c r="AA1972" s="364">
        <v>25</v>
      </c>
      <c r="AB1972" s="224" t="s">
        <v>241</v>
      </c>
      <c r="AC1972" s="224"/>
      <c r="AD1972" s="224"/>
      <c r="AE1972" s="224"/>
      <c r="AF1972" s="223" t="s">
        <v>2039</v>
      </c>
      <c r="AG1972" s="225" t="s">
        <v>132</v>
      </c>
      <c r="AH1972" s="224" t="s">
        <v>132</v>
      </c>
      <c r="AI1972" s="225" t="s">
        <v>2037</v>
      </c>
      <c r="AJ1972" s="224" t="s">
        <v>1621</v>
      </c>
      <c r="AK1972" s="224"/>
      <c r="AL1972" s="224"/>
      <c r="AM1972" s="224"/>
      <c r="AN1972" s="225" t="s">
        <v>774</v>
      </c>
      <c r="AO1972" s="225" t="s">
        <v>774</v>
      </c>
      <c r="AP1972" s="92" t="s">
        <v>2125</v>
      </c>
      <c r="AQ1972" s="224" t="s">
        <v>162</v>
      </c>
      <c r="AR1972" s="224"/>
      <c r="AS1972" s="229" t="s">
        <v>2035</v>
      </c>
      <c r="AT1972" s="253" t="s">
        <v>161</v>
      </c>
      <c r="AU1972" s="225">
        <v>4</v>
      </c>
      <c r="AV1972" s="225">
        <v>4</v>
      </c>
      <c r="AW1972" s="224" t="s">
        <v>142</v>
      </c>
      <c r="AX1972" s="224"/>
      <c r="AY1972" s="224"/>
      <c r="AZ1972" s="224"/>
      <c r="BA1972" s="224"/>
      <c r="BB1972" s="224"/>
      <c r="BH1972" s="225"/>
      <c r="BI1972" s="225"/>
      <c r="BJ1972" s="224"/>
      <c r="BM1972" s="440">
        <f t="shared" si="275"/>
        <v>1.56</v>
      </c>
      <c r="BN1972" s="440">
        <v>1.55</v>
      </c>
      <c r="BR1972" s="441">
        <v>0.39743589743589747</v>
      </c>
      <c r="BS1972" s="441">
        <v>0.41346153846153849</v>
      </c>
      <c r="IO1972" s="225" t="s">
        <v>2093</v>
      </c>
      <c r="IP1972" s="224"/>
      <c r="IQ1972" s="230"/>
    </row>
    <row r="1973" spans="1:251" s="36" customFormat="1" x14ac:dyDescent="0.25">
      <c r="A1973" s="223">
        <v>91</v>
      </c>
      <c r="B1973" s="223" t="s">
        <v>769</v>
      </c>
      <c r="C1973" s="224" t="s">
        <v>2128</v>
      </c>
      <c r="D1973" s="223">
        <v>2006</v>
      </c>
      <c r="E1973" s="224">
        <v>1999</v>
      </c>
      <c r="F1973" s="223" t="s">
        <v>948</v>
      </c>
      <c r="G1973" s="223" t="s">
        <v>2042</v>
      </c>
      <c r="H1973" s="252" t="s">
        <v>2831</v>
      </c>
      <c r="I1973" s="224">
        <v>32.56</v>
      </c>
      <c r="J1973" s="224">
        <v>-83.91</v>
      </c>
      <c r="K1973" s="225">
        <v>16</v>
      </c>
      <c r="L1973" s="225">
        <v>18.100000000000001</v>
      </c>
      <c r="M1973" s="224"/>
      <c r="N1973" s="225">
        <v>1258</v>
      </c>
      <c r="O1973" s="224"/>
      <c r="P1973" s="224"/>
      <c r="Q1973" s="225">
        <v>6</v>
      </c>
      <c r="R1973" s="226" t="s">
        <v>1984</v>
      </c>
      <c r="T1973" s="226" t="s">
        <v>2112</v>
      </c>
      <c r="U1973" s="227" t="s">
        <v>1406</v>
      </c>
      <c r="V1973" s="227">
        <v>30</v>
      </c>
      <c r="W1973" s="227" t="s">
        <v>1392</v>
      </c>
      <c r="X1973" s="227" t="s">
        <v>1421</v>
      </c>
      <c r="Y1973" s="228">
        <f>AVERAGE(Sheet1!BM1973:BN1973)</f>
        <v>1.3919999999999999</v>
      </c>
      <c r="Z1973" s="364">
        <v>65</v>
      </c>
      <c r="AA1973" s="364">
        <v>25</v>
      </c>
      <c r="AB1973" s="224" t="s">
        <v>241</v>
      </c>
      <c r="AC1973" s="224"/>
      <c r="AD1973" s="224"/>
      <c r="AE1973" s="224"/>
      <c r="AF1973" s="223" t="s">
        <v>2039</v>
      </c>
      <c r="AG1973" s="225" t="s">
        <v>132</v>
      </c>
      <c r="AH1973" s="224" t="s">
        <v>132</v>
      </c>
      <c r="AI1973" s="225" t="s">
        <v>2037</v>
      </c>
      <c r="AJ1973" s="224" t="s">
        <v>1621</v>
      </c>
      <c r="AK1973" s="224"/>
      <c r="AL1973" s="224"/>
      <c r="AM1973" s="224"/>
      <c r="AN1973" s="225" t="s">
        <v>774</v>
      </c>
      <c r="AO1973" s="225" t="s">
        <v>774</v>
      </c>
      <c r="AP1973" s="92" t="s">
        <v>178</v>
      </c>
      <c r="AQ1973" s="224" t="s">
        <v>162</v>
      </c>
      <c r="AR1973" s="224"/>
      <c r="AS1973" s="229" t="s">
        <v>2035</v>
      </c>
      <c r="AT1973" s="253" t="s">
        <v>161</v>
      </c>
      <c r="AU1973" s="225">
        <v>4</v>
      </c>
      <c r="AV1973" s="225">
        <v>4</v>
      </c>
      <c r="AW1973" s="224" t="s">
        <v>142</v>
      </c>
      <c r="AX1973" s="224"/>
      <c r="AY1973" s="224"/>
      <c r="AZ1973" s="224"/>
      <c r="BA1973" s="224"/>
      <c r="BB1973" s="224"/>
      <c r="BH1973" s="225"/>
      <c r="BI1973" s="225"/>
      <c r="BJ1973" s="224"/>
      <c r="BM1973" s="440">
        <f t="shared" si="275"/>
        <v>1.397</v>
      </c>
      <c r="BN1973" s="440">
        <v>1.387</v>
      </c>
      <c r="BR1973" s="441">
        <v>0.21951801479360533</v>
      </c>
      <c r="BS1973" s="441">
        <v>0.20997375328083989</v>
      </c>
      <c r="IO1973" s="225" t="s">
        <v>2093</v>
      </c>
      <c r="IP1973" s="224"/>
      <c r="IQ1973" s="230"/>
    </row>
    <row r="1974" spans="1:251" s="36" customFormat="1" x14ac:dyDescent="0.25">
      <c r="A1974" s="223">
        <v>91</v>
      </c>
      <c r="B1974" s="223" t="s">
        <v>769</v>
      </c>
      <c r="C1974" s="224" t="s">
        <v>2128</v>
      </c>
      <c r="D1974" s="223">
        <v>2006</v>
      </c>
      <c r="E1974" s="224">
        <v>1999</v>
      </c>
      <c r="F1974" s="223" t="s">
        <v>948</v>
      </c>
      <c r="G1974" s="223" t="s">
        <v>2042</v>
      </c>
      <c r="H1974" s="252" t="s">
        <v>2831</v>
      </c>
      <c r="I1974" s="224">
        <v>32.56</v>
      </c>
      <c r="J1974" s="224">
        <v>-83.91</v>
      </c>
      <c r="K1974" s="225">
        <v>16</v>
      </c>
      <c r="L1974" s="225">
        <v>18.100000000000001</v>
      </c>
      <c r="M1974" s="224"/>
      <c r="N1974" s="225">
        <v>1258</v>
      </c>
      <c r="O1974" s="224"/>
      <c r="P1974" s="224"/>
      <c r="Q1974" s="225">
        <v>6</v>
      </c>
      <c r="R1974" s="226" t="s">
        <v>1984</v>
      </c>
      <c r="T1974" s="226" t="s">
        <v>2112</v>
      </c>
      <c r="U1974" s="227" t="s">
        <v>1407</v>
      </c>
      <c r="V1974" s="227">
        <v>30</v>
      </c>
      <c r="W1974" s="227" t="s">
        <v>1392</v>
      </c>
      <c r="X1974" s="227" t="s">
        <v>1421</v>
      </c>
      <c r="Y1974" s="228">
        <f>AVERAGE(Sheet1!BM1974:BN1974)</f>
        <v>1.5939999999999999</v>
      </c>
      <c r="Z1974" s="364">
        <v>65</v>
      </c>
      <c r="AA1974" s="364">
        <v>25</v>
      </c>
      <c r="AB1974" s="224" t="s">
        <v>241</v>
      </c>
      <c r="AC1974" s="224"/>
      <c r="AD1974" s="224"/>
      <c r="AE1974" s="224"/>
      <c r="AF1974" s="223" t="s">
        <v>2039</v>
      </c>
      <c r="AG1974" s="225" t="s">
        <v>132</v>
      </c>
      <c r="AH1974" s="224" t="s">
        <v>132</v>
      </c>
      <c r="AI1974" s="225" t="s">
        <v>2037</v>
      </c>
      <c r="AJ1974" s="224" t="s">
        <v>1621</v>
      </c>
      <c r="AK1974" s="224"/>
      <c r="AL1974" s="224"/>
      <c r="AM1974" s="224"/>
      <c r="AN1974" s="225" t="s">
        <v>774</v>
      </c>
      <c r="AO1974" s="225" t="s">
        <v>774</v>
      </c>
      <c r="AP1974" s="92" t="s">
        <v>2125</v>
      </c>
      <c r="AQ1974" s="224" t="s">
        <v>162</v>
      </c>
      <c r="AR1974" s="224"/>
      <c r="AS1974" s="229" t="s">
        <v>2035</v>
      </c>
      <c r="AT1974" s="253" t="s">
        <v>161</v>
      </c>
      <c r="AU1974" s="225">
        <v>4</v>
      </c>
      <c r="AV1974" s="225">
        <v>4</v>
      </c>
      <c r="AW1974" s="224" t="s">
        <v>142</v>
      </c>
      <c r="AX1974" s="224"/>
      <c r="AY1974" s="224"/>
      <c r="AZ1974" s="224"/>
      <c r="BA1974" s="224"/>
      <c r="BB1974" s="224"/>
      <c r="BH1974" s="225"/>
      <c r="BI1974" s="225"/>
      <c r="BJ1974" s="224"/>
      <c r="BM1974" s="440">
        <f t="shared" si="275"/>
        <v>1.599</v>
      </c>
      <c r="BN1974" s="440">
        <v>1.589</v>
      </c>
      <c r="BR1974" s="441">
        <v>0.1480091723994163</v>
      </c>
      <c r="BS1974" s="441">
        <v>0.15843235355430477</v>
      </c>
      <c r="IO1974" s="225" t="s">
        <v>2093</v>
      </c>
      <c r="IP1974" s="224"/>
      <c r="IQ1974" s="230"/>
    </row>
    <row r="1975" spans="1:251" s="36" customFormat="1" x14ac:dyDescent="0.25">
      <c r="A1975" s="223">
        <v>91</v>
      </c>
      <c r="B1975" s="223" t="s">
        <v>769</v>
      </c>
      <c r="C1975" s="224" t="s">
        <v>2128</v>
      </c>
      <c r="D1975" s="223">
        <v>2006</v>
      </c>
      <c r="E1975" s="224">
        <v>1999</v>
      </c>
      <c r="F1975" s="223" t="s">
        <v>948</v>
      </c>
      <c r="G1975" s="223" t="s">
        <v>2042</v>
      </c>
      <c r="H1975" s="252" t="s">
        <v>2831</v>
      </c>
      <c r="I1975" s="224">
        <v>32.56</v>
      </c>
      <c r="J1975" s="224">
        <v>-83.91</v>
      </c>
      <c r="K1975" s="225">
        <v>16</v>
      </c>
      <c r="L1975" s="225">
        <v>18.100000000000001</v>
      </c>
      <c r="M1975" s="224"/>
      <c r="N1975" s="225">
        <v>1258</v>
      </c>
      <c r="O1975" s="224"/>
      <c r="P1975" s="224"/>
      <c r="Q1975" s="225">
        <v>6</v>
      </c>
      <c r="R1975" s="226" t="s">
        <v>1984</v>
      </c>
      <c r="T1975" s="226" t="s">
        <v>2112</v>
      </c>
      <c r="U1975" s="227" t="s">
        <v>1419</v>
      </c>
      <c r="V1975" s="227">
        <v>30</v>
      </c>
      <c r="W1975" s="227" t="s">
        <v>1392</v>
      </c>
      <c r="X1975" s="227" t="s">
        <v>1421</v>
      </c>
      <c r="Y1975" s="228">
        <f>AVERAGE(Sheet1!BM1975:BN1975)</f>
        <v>1.617</v>
      </c>
      <c r="Z1975" s="364">
        <v>65</v>
      </c>
      <c r="AA1975" s="364">
        <v>25</v>
      </c>
      <c r="AB1975" s="224" t="s">
        <v>241</v>
      </c>
      <c r="AC1975" s="224"/>
      <c r="AD1975" s="224"/>
      <c r="AE1975" s="224"/>
      <c r="AF1975" s="223" t="s">
        <v>2039</v>
      </c>
      <c r="AG1975" s="225" t="s">
        <v>132</v>
      </c>
      <c r="AH1975" s="224" t="s">
        <v>132</v>
      </c>
      <c r="AI1975" s="225" t="s">
        <v>2037</v>
      </c>
      <c r="AJ1975" s="224" t="s">
        <v>1621</v>
      </c>
      <c r="AK1975" s="224"/>
      <c r="AL1975" s="224"/>
      <c r="AM1975" s="224"/>
      <c r="AN1975" s="225" t="s">
        <v>774</v>
      </c>
      <c r="AO1975" s="225" t="s">
        <v>774</v>
      </c>
      <c r="AP1975" s="92" t="s">
        <v>178</v>
      </c>
      <c r="AQ1975" s="224" t="s">
        <v>162</v>
      </c>
      <c r="AR1975" s="224"/>
      <c r="AS1975" s="229" t="s">
        <v>2035</v>
      </c>
      <c r="AT1975" s="253" t="s">
        <v>161</v>
      </c>
      <c r="AU1975" s="225">
        <v>4</v>
      </c>
      <c r="AV1975" s="225">
        <v>4</v>
      </c>
      <c r="AW1975" s="224" t="s">
        <v>142</v>
      </c>
      <c r="AX1975" s="224"/>
      <c r="AY1975" s="224"/>
      <c r="AZ1975" s="224"/>
      <c r="BA1975" s="224"/>
      <c r="BB1975" s="224"/>
      <c r="BH1975" s="225"/>
      <c r="BI1975" s="225"/>
      <c r="BJ1975" s="224"/>
      <c r="BM1975" s="440">
        <f t="shared" si="275"/>
        <v>1.6220000000000001</v>
      </c>
      <c r="BN1975" s="440">
        <v>1.6120000000000001</v>
      </c>
      <c r="BR1975" s="441">
        <v>0.11302918207973693</v>
      </c>
      <c r="BS1975" s="441">
        <v>0.12330456226880393</v>
      </c>
      <c r="IO1975" s="225" t="s">
        <v>2093</v>
      </c>
      <c r="IP1975" s="224"/>
      <c r="IQ1975" s="230"/>
    </row>
    <row r="1976" spans="1:251" s="92" customFormat="1" x14ac:dyDescent="0.25">
      <c r="A1976" s="252">
        <v>91</v>
      </c>
      <c r="B1976" s="252" t="s">
        <v>769</v>
      </c>
      <c r="C1976" s="253" t="s">
        <v>2128</v>
      </c>
      <c r="D1976" s="252">
        <v>2006</v>
      </c>
      <c r="E1976" s="253">
        <v>1999</v>
      </c>
      <c r="F1976" s="252" t="s">
        <v>948</v>
      </c>
      <c r="G1976" s="252" t="s">
        <v>2042</v>
      </c>
      <c r="H1976" s="252" t="s">
        <v>2831</v>
      </c>
      <c r="I1976" s="253">
        <v>32.56</v>
      </c>
      <c r="J1976" s="253">
        <v>-83.91</v>
      </c>
      <c r="K1976" s="254">
        <v>16</v>
      </c>
      <c r="L1976" s="254">
        <v>18.100000000000001</v>
      </c>
      <c r="M1976" s="253"/>
      <c r="N1976" s="254">
        <v>1258</v>
      </c>
      <c r="O1976" s="253"/>
      <c r="P1976" s="253"/>
      <c r="Q1976" s="254">
        <v>6</v>
      </c>
      <c r="R1976" s="255" t="s">
        <v>1984</v>
      </c>
      <c r="T1976" s="255" t="s">
        <v>2112</v>
      </c>
      <c r="U1976" s="256" t="s">
        <v>1392</v>
      </c>
      <c r="V1976" s="256">
        <v>10</v>
      </c>
      <c r="W1976" s="256" t="s">
        <v>1392</v>
      </c>
      <c r="X1976" s="256" t="s">
        <v>1421</v>
      </c>
      <c r="Y1976" s="257">
        <f>AVERAGE(Sheet1!BM1976:BN1976)</f>
        <v>1.4249999999999998</v>
      </c>
      <c r="Z1976" s="363">
        <v>65</v>
      </c>
      <c r="AA1976" s="363">
        <v>25</v>
      </c>
      <c r="AB1976" s="253" t="s">
        <v>241</v>
      </c>
      <c r="AC1976" s="253"/>
      <c r="AD1976" s="253"/>
      <c r="AE1976" s="253"/>
      <c r="AF1976" s="252" t="s">
        <v>2039</v>
      </c>
      <c r="AG1976" s="254" t="s">
        <v>132</v>
      </c>
      <c r="AH1976" s="253" t="s">
        <v>132</v>
      </c>
      <c r="AI1976" s="254" t="s">
        <v>2037</v>
      </c>
      <c r="AJ1976" s="253" t="s">
        <v>1621</v>
      </c>
      <c r="AK1976" s="253"/>
      <c r="AL1976" s="253"/>
      <c r="AM1976" s="253"/>
      <c r="AN1976" s="254" t="s">
        <v>774</v>
      </c>
      <c r="AO1976" s="254" t="s">
        <v>774</v>
      </c>
      <c r="AP1976" s="92" t="s">
        <v>2125</v>
      </c>
      <c r="AQ1976" s="253" t="s">
        <v>2041</v>
      </c>
      <c r="AR1976" s="253"/>
      <c r="AS1976" s="258" t="s">
        <v>2035</v>
      </c>
      <c r="AT1976" s="253" t="s">
        <v>161</v>
      </c>
      <c r="AU1976" s="254">
        <v>4</v>
      </c>
      <c r="AV1976" s="254">
        <v>4</v>
      </c>
      <c r="AW1976" s="253" t="s">
        <v>142</v>
      </c>
      <c r="AX1976" s="253"/>
      <c r="AY1976" s="253">
        <f>1/3*14760</f>
        <v>4920</v>
      </c>
      <c r="AZ1976" s="253"/>
      <c r="BA1976" s="253"/>
      <c r="BB1976" s="253"/>
      <c r="BH1976" s="254"/>
      <c r="BI1976" s="254"/>
      <c r="BJ1976" s="253"/>
      <c r="BM1976" s="439">
        <f t="shared" si="275"/>
        <v>1.43</v>
      </c>
      <c r="BN1976" s="439">
        <v>1.42</v>
      </c>
      <c r="BR1976" s="438">
        <v>0.64335664335664322</v>
      </c>
      <c r="BS1976" s="438">
        <v>0.62937062937062938</v>
      </c>
      <c r="IO1976" s="254" t="s">
        <v>2093</v>
      </c>
      <c r="IP1976" s="253"/>
      <c r="IQ1976" s="259"/>
    </row>
    <row r="1977" spans="1:251" s="92" customFormat="1" x14ac:dyDescent="0.25">
      <c r="A1977" s="252">
        <v>91</v>
      </c>
      <c r="B1977" s="252" t="s">
        <v>769</v>
      </c>
      <c r="C1977" s="253" t="s">
        <v>2128</v>
      </c>
      <c r="D1977" s="252">
        <v>2006</v>
      </c>
      <c r="E1977" s="253">
        <v>1999</v>
      </c>
      <c r="F1977" s="252" t="s">
        <v>948</v>
      </c>
      <c r="G1977" s="252" t="s">
        <v>2042</v>
      </c>
      <c r="H1977" s="252" t="s">
        <v>2831</v>
      </c>
      <c r="I1977" s="253">
        <v>32.56</v>
      </c>
      <c r="J1977" s="253">
        <v>-83.91</v>
      </c>
      <c r="K1977" s="254">
        <v>16</v>
      </c>
      <c r="L1977" s="254">
        <v>18.100000000000001</v>
      </c>
      <c r="M1977" s="253"/>
      <c r="N1977" s="254">
        <v>1258</v>
      </c>
      <c r="O1977" s="253"/>
      <c r="P1977" s="253"/>
      <c r="Q1977" s="254">
        <v>6</v>
      </c>
      <c r="R1977" s="255" t="s">
        <v>1984</v>
      </c>
      <c r="T1977" s="255" t="s">
        <v>2112</v>
      </c>
      <c r="U1977" s="256" t="s">
        <v>1412</v>
      </c>
      <c r="V1977" s="256">
        <v>20</v>
      </c>
      <c r="W1977" s="256" t="s">
        <v>1392</v>
      </c>
      <c r="X1977" s="256" t="s">
        <v>1421</v>
      </c>
      <c r="Y1977" s="257">
        <f>AVERAGE(Sheet1!BM1977:BN1977)</f>
        <v>1.5550000000000002</v>
      </c>
      <c r="Z1977" s="363">
        <v>65</v>
      </c>
      <c r="AA1977" s="363">
        <v>25</v>
      </c>
      <c r="AB1977" s="253" t="s">
        <v>241</v>
      </c>
      <c r="AC1977" s="253"/>
      <c r="AD1977" s="253"/>
      <c r="AE1977" s="253"/>
      <c r="AF1977" s="252" t="s">
        <v>2039</v>
      </c>
      <c r="AG1977" s="254" t="s">
        <v>132</v>
      </c>
      <c r="AH1977" s="253" t="s">
        <v>132</v>
      </c>
      <c r="AI1977" s="254" t="s">
        <v>2037</v>
      </c>
      <c r="AJ1977" s="253" t="s">
        <v>1621</v>
      </c>
      <c r="AK1977" s="253"/>
      <c r="AL1977" s="253"/>
      <c r="AM1977" s="253"/>
      <c r="AN1977" s="254" t="s">
        <v>774</v>
      </c>
      <c r="AO1977" s="254" t="s">
        <v>774</v>
      </c>
      <c r="AP1977" s="92" t="s">
        <v>178</v>
      </c>
      <c r="AQ1977" s="253" t="s">
        <v>2041</v>
      </c>
      <c r="AR1977" s="253"/>
      <c r="AS1977" s="258" t="s">
        <v>2035</v>
      </c>
      <c r="AT1977" s="253" t="s">
        <v>161</v>
      </c>
      <c r="AU1977" s="254">
        <v>4</v>
      </c>
      <c r="AV1977" s="254">
        <v>4</v>
      </c>
      <c r="AW1977" s="253" t="s">
        <v>142</v>
      </c>
      <c r="AX1977" s="253"/>
      <c r="AY1977" s="253"/>
      <c r="AZ1977" s="253"/>
      <c r="BA1977" s="253"/>
      <c r="BB1977" s="253"/>
      <c r="BH1977" s="254"/>
      <c r="BI1977" s="254"/>
      <c r="BJ1977" s="253"/>
      <c r="BM1977" s="439">
        <f t="shared" si="275"/>
        <v>1.56</v>
      </c>
      <c r="BN1977" s="439">
        <v>1.55</v>
      </c>
      <c r="BR1977" s="438">
        <v>0.41987179487179482</v>
      </c>
      <c r="BS1977" s="438">
        <v>0.4391025641025641</v>
      </c>
      <c r="IO1977" s="254" t="s">
        <v>2093</v>
      </c>
      <c r="IP1977" s="253"/>
      <c r="IQ1977" s="259"/>
    </row>
    <row r="1978" spans="1:251" s="92" customFormat="1" x14ac:dyDescent="0.25">
      <c r="A1978" s="252">
        <v>91</v>
      </c>
      <c r="B1978" s="252" t="s">
        <v>769</v>
      </c>
      <c r="C1978" s="253" t="s">
        <v>2128</v>
      </c>
      <c r="D1978" s="252">
        <v>2006</v>
      </c>
      <c r="E1978" s="253">
        <v>1999</v>
      </c>
      <c r="F1978" s="252" t="s">
        <v>948</v>
      </c>
      <c r="G1978" s="252" t="s">
        <v>2042</v>
      </c>
      <c r="H1978" s="252" t="s">
        <v>2831</v>
      </c>
      <c r="I1978" s="253">
        <v>32.56</v>
      </c>
      <c r="J1978" s="253">
        <v>-83.91</v>
      </c>
      <c r="K1978" s="254">
        <v>16</v>
      </c>
      <c r="L1978" s="254">
        <v>18.100000000000001</v>
      </c>
      <c r="M1978" s="253"/>
      <c r="N1978" s="254">
        <v>1258</v>
      </c>
      <c r="O1978" s="253"/>
      <c r="P1978" s="253"/>
      <c r="Q1978" s="254">
        <v>6</v>
      </c>
      <c r="R1978" s="255" t="s">
        <v>1984</v>
      </c>
      <c r="T1978" s="255" t="s">
        <v>2112</v>
      </c>
      <c r="U1978" s="256" t="s">
        <v>1406</v>
      </c>
      <c r="V1978" s="256">
        <v>30</v>
      </c>
      <c r="W1978" s="256" t="s">
        <v>1392</v>
      </c>
      <c r="X1978" s="256" t="s">
        <v>1421</v>
      </c>
      <c r="Y1978" s="257">
        <f>AVERAGE(Sheet1!BM1978:BN1978)</f>
        <v>1.3919999999999999</v>
      </c>
      <c r="Z1978" s="363">
        <v>65</v>
      </c>
      <c r="AA1978" s="363">
        <v>25</v>
      </c>
      <c r="AB1978" s="253" t="s">
        <v>241</v>
      </c>
      <c r="AC1978" s="253"/>
      <c r="AD1978" s="253"/>
      <c r="AE1978" s="253"/>
      <c r="AF1978" s="252" t="s">
        <v>2039</v>
      </c>
      <c r="AG1978" s="254" t="s">
        <v>132</v>
      </c>
      <c r="AH1978" s="253" t="s">
        <v>132</v>
      </c>
      <c r="AI1978" s="254" t="s">
        <v>2037</v>
      </c>
      <c r="AJ1978" s="253" t="s">
        <v>1621</v>
      </c>
      <c r="AK1978" s="253"/>
      <c r="AL1978" s="253"/>
      <c r="AM1978" s="253"/>
      <c r="AN1978" s="254" t="s">
        <v>774</v>
      </c>
      <c r="AO1978" s="254" t="s">
        <v>774</v>
      </c>
      <c r="AP1978" s="92" t="s">
        <v>2125</v>
      </c>
      <c r="AQ1978" s="253" t="s">
        <v>2041</v>
      </c>
      <c r="AR1978" s="253"/>
      <c r="AS1978" s="258" t="s">
        <v>2035</v>
      </c>
      <c r="AT1978" s="253" t="s">
        <v>161</v>
      </c>
      <c r="AU1978" s="254">
        <v>4</v>
      </c>
      <c r="AV1978" s="254">
        <v>4</v>
      </c>
      <c r="AW1978" s="253" t="s">
        <v>142</v>
      </c>
      <c r="AX1978" s="253"/>
      <c r="AY1978" s="253"/>
      <c r="AZ1978" s="253"/>
      <c r="BA1978" s="253"/>
      <c r="BB1978" s="253"/>
      <c r="BH1978" s="254"/>
      <c r="BI1978" s="254"/>
      <c r="BJ1978" s="253"/>
      <c r="BM1978" s="439">
        <f t="shared" si="275"/>
        <v>1.397</v>
      </c>
      <c r="BN1978" s="439">
        <v>1.387</v>
      </c>
      <c r="BR1978" s="438">
        <v>0.23383440706275355</v>
      </c>
      <c r="BS1978" s="438">
        <v>0.21713194941541397</v>
      </c>
      <c r="IO1978" s="254" t="s">
        <v>2093</v>
      </c>
      <c r="IP1978" s="253"/>
      <c r="IQ1978" s="259"/>
    </row>
    <row r="1979" spans="1:251" s="92" customFormat="1" x14ac:dyDescent="0.25">
      <c r="A1979" s="252">
        <v>91</v>
      </c>
      <c r="B1979" s="252" t="s">
        <v>769</v>
      </c>
      <c r="C1979" s="253" t="s">
        <v>2128</v>
      </c>
      <c r="D1979" s="252">
        <v>2006</v>
      </c>
      <c r="E1979" s="253">
        <v>1999</v>
      </c>
      <c r="F1979" s="252" t="s">
        <v>948</v>
      </c>
      <c r="G1979" s="252" t="s">
        <v>2042</v>
      </c>
      <c r="H1979" s="252" t="s">
        <v>2831</v>
      </c>
      <c r="I1979" s="253">
        <v>32.56</v>
      </c>
      <c r="J1979" s="253">
        <v>-83.91</v>
      </c>
      <c r="K1979" s="254">
        <v>16</v>
      </c>
      <c r="L1979" s="254">
        <v>18.100000000000001</v>
      </c>
      <c r="M1979" s="253"/>
      <c r="N1979" s="254">
        <v>1258</v>
      </c>
      <c r="O1979" s="253"/>
      <c r="P1979" s="253"/>
      <c r="Q1979" s="254">
        <v>6</v>
      </c>
      <c r="R1979" s="255" t="s">
        <v>1984</v>
      </c>
      <c r="T1979" s="255" t="s">
        <v>2112</v>
      </c>
      <c r="U1979" s="256" t="s">
        <v>1407</v>
      </c>
      <c r="V1979" s="256">
        <v>30</v>
      </c>
      <c r="W1979" s="256" t="s">
        <v>1392</v>
      </c>
      <c r="X1979" s="256" t="s">
        <v>1421</v>
      </c>
      <c r="Y1979" s="257">
        <f>AVERAGE(Sheet1!BM1979:BN1979)</f>
        <v>1.5939999999999999</v>
      </c>
      <c r="Z1979" s="363">
        <v>65</v>
      </c>
      <c r="AA1979" s="363">
        <v>25</v>
      </c>
      <c r="AB1979" s="253" t="s">
        <v>241</v>
      </c>
      <c r="AC1979" s="253"/>
      <c r="AD1979" s="253"/>
      <c r="AE1979" s="253"/>
      <c r="AF1979" s="252" t="s">
        <v>2039</v>
      </c>
      <c r="AG1979" s="254" t="s">
        <v>132</v>
      </c>
      <c r="AH1979" s="253" t="s">
        <v>132</v>
      </c>
      <c r="AI1979" s="254" t="s">
        <v>2037</v>
      </c>
      <c r="AJ1979" s="253" t="s">
        <v>1621</v>
      </c>
      <c r="AK1979" s="253"/>
      <c r="AL1979" s="253"/>
      <c r="AM1979" s="253"/>
      <c r="AN1979" s="254" t="s">
        <v>774</v>
      </c>
      <c r="AO1979" s="254" t="s">
        <v>774</v>
      </c>
      <c r="AP1979" s="92" t="s">
        <v>178</v>
      </c>
      <c r="AQ1979" s="253" t="s">
        <v>2041</v>
      </c>
      <c r="AR1979" s="253"/>
      <c r="AS1979" s="258" t="s">
        <v>2035</v>
      </c>
      <c r="AT1979" s="253" t="s">
        <v>161</v>
      </c>
      <c r="AU1979" s="254">
        <v>4</v>
      </c>
      <c r="AV1979" s="254">
        <v>4</v>
      </c>
      <c r="AW1979" s="253" t="s">
        <v>142</v>
      </c>
      <c r="AX1979" s="253"/>
      <c r="AY1979" s="253"/>
      <c r="AZ1979" s="253"/>
      <c r="BA1979" s="253"/>
      <c r="BB1979" s="253"/>
      <c r="BH1979" s="254"/>
      <c r="BI1979" s="254"/>
      <c r="BJ1979" s="253"/>
      <c r="BM1979" s="439">
        <f t="shared" si="275"/>
        <v>1.599</v>
      </c>
      <c r="BN1979" s="439">
        <v>1.589</v>
      </c>
      <c r="BR1979" s="438">
        <v>0.13967062747550552</v>
      </c>
      <c r="BS1979" s="438">
        <v>0.1480091723994163</v>
      </c>
      <c r="IO1979" s="254" t="s">
        <v>2093</v>
      </c>
      <c r="IP1979" s="253"/>
      <c r="IQ1979" s="259"/>
    </row>
    <row r="1980" spans="1:251" s="92" customFormat="1" x14ac:dyDescent="0.25">
      <c r="A1980" s="252">
        <v>91</v>
      </c>
      <c r="B1980" s="252" t="s">
        <v>769</v>
      </c>
      <c r="C1980" s="253" t="s">
        <v>2128</v>
      </c>
      <c r="D1980" s="252">
        <v>2006</v>
      </c>
      <c r="E1980" s="253">
        <v>1999</v>
      </c>
      <c r="F1980" s="252" t="s">
        <v>948</v>
      </c>
      <c r="G1980" s="252" t="s">
        <v>2042</v>
      </c>
      <c r="H1980" s="252" t="s">
        <v>2831</v>
      </c>
      <c r="I1980" s="253">
        <v>32.56</v>
      </c>
      <c r="J1980" s="253">
        <v>-83.91</v>
      </c>
      <c r="K1980" s="254">
        <v>16</v>
      </c>
      <c r="L1980" s="254">
        <v>18.100000000000001</v>
      </c>
      <c r="M1980" s="253"/>
      <c r="N1980" s="254">
        <v>1258</v>
      </c>
      <c r="O1980" s="253"/>
      <c r="P1980" s="253"/>
      <c r="Q1980" s="254">
        <v>6</v>
      </c>
      <c r="R1980" s="255" t="s">
        <v>1984</v>
      </c>
      <c r="T1980" s="255" t="s">
        <v>2112</v>
      </c>
      <c r="U1980" s="256" t="s">
        <v>1419</v>
      </c>
      <c r="V1980" s="256">
        <v>30</v>
      </c>
      <c r="W1980" s="256" t="s">
        <v>1392</v>
      </c>
      <c r="X1980" s="256" t="s">
        <v>1421</v>
      </c>
      <c r="Y1980" s="257">
        <f>AVERAGE(Sheet1!BM1980:BN1980)</f>
        <v>1.617</v>
      </c>
      <c r="Z1980" s="363">
        <v>65</v>
      </c>
      <c r="AA1980" s="363">
        <v>25</v>
      </c>
      <c r="AB1980" s="253" t="s">
        <v>241</v>
      </c>
      <c r="AC1980" s="253"/>
      <c r="AD1980" s="253"/>
      <c r="AE1980" s="253"/>
      <c r="AF1980" s="252" t="s">
        <v>2039</v>
      </c>
      <c r="AG1980" s="254" t="s">
        <v>132</v>
      </c>
      <c r="AH1980" s="253" t="s">
        <v>132</v>
      </c>
      <c r="AI1980" s="254" t="s">
        <v>2037</v>
      </c>
      <c r="AJ1980" s="253" t="s">
        <v>1621</v>
      </c>
      <c r="AK1980" s="253"/>
      <c r="AL1980" s="253"/>
      <c r="AM1980" s="253"/>
      <c r="AN1980" s="254" t="s">
        <v>774</v>
      </c>
      <c r="AO1980" s="254" t="s">
        <v>774</v>
      </c>
      <c r="AP1980" s="92" t="s">
        <v>2125</v>
      </c>
      <c r="AQ1980" s="253" t="s">
        <v>2041</v>
      </c>
      <c r="AR1980" s="253"/>
      <c r="AS1980" s="258" t="s">
        <v>2035</v>
      </c>
      <c r="AT1980" s="253" t="s">
        <v>161</v>
      </c>
      <c r="AU1980" s="254">
        <v>4</v>
      </c>
      <c r="AV1980" s="254">
        <v>4</v>
      </c>
      <c r="AW1980" s="253" t="s">
        <v>142</v>
      </c>
      <c r="AX1980" s="253"/>
      <c r="AY1980" s="253"/>
      <c r="AZ1980" s="253"/>
      <c r="BA1980" s="253"/>
      <c r="BB1980" s="253"/>
      <c r="BH1980" s="254"/>
      <c r="BI1980" s="254"/>
      <c r="BJ1980" s="253"/>
      <c r="BM1980" s="439">
        <f t="shared" si="275"/>
        <v>1.6220000000000001</v>
      </c>
      <c r="BN1980" s="439">
        <v>1.6120000000000001</v>
      </c>
      <c r="BR1980" s="438">
        <v>9.2478421701602934E-2</v>
      </c>
      <c r="BS1980" s="438">
        <v>0.11919441019317713</v>
      </c>
      <c r="IO1980" s="254" t="s">
        <v>2093</v>
      </c>
      <c r="IP1980" s="253"/>
      <c r="IQ1980" s="259"/>
    </row>
    <row r="1981" spans="1:251" s="36" customFormat="1" x14ac:dyDescent="0.25">
      <c r="A1981" s="223">
        <v>91</v>
      </c>
      <c r="B1981" s="223" t="s">
        <v>769</v>
      </c>
      <c r="C1981" s="224" t="s">
        <v>2128</v>
      </c>
      <c r="D1981" s="223">
        <v>2006</v>
      </c>
      <c r="E1981" s="224">
        <v>1999</v>
      </c>
      <c r="F1981" s="223" t="s">
        <v>948</v>
      </c>
      <c r="G1981" s="223" t="s">
        <v>2042</v>
      </c>
      <c r="H1981" s="252" t="s">
        <v>2831</v>
      </c>
      <c r="I1981" s="224">
        <v>32.56</v>
      </c>
      <c r="J1981" s="224">
        <v>-83.91</v>
      </c>
      <c r="K1981" s="225">
        <v>16</v>
      </c>
      <c r="L1981" s="225">
        <v>18.100000000000001</v>
      </c>
      <c r="M1981" s="224"/>
      <c r="N1981" s="225">
        <v>1258</v>
      </c>
      <c r="O1981" s="224"/>
      <c r="P1981" s="224"/>
      <c r="Q1981" s="225">
        <v>6</v>
      </c>
      <c r="R1981" s="226" t="s">
        <v>1984</v>
      </c>
      <c r="T1981" s="226" t="s">
        <v>2112</v>
      </c>
      <c r="U1981" s="227" t="s">
        <v>1392</v>
      </c>
      <c r="V1981" s="227">
        <v>10</v>
      </c>
      <c r="W1981" s="227" t="s">
        <v>1392</v>
      </c>
      <c r="X1981" s="227" t="s">
        <v>1421</v>
      </c>
      <c r="Y1981" s="228">
        <f>AVERAGE(Sheet1!BM1981:BN1981)</f>
        <v>1.4249999999999998</v>
      </c>
      <c r="Z1981" s="364">
        <v>65</v>
      </c>
      <c r="AA1981" s="364">
        <v>25</v>
      </c>
      <c r="AB1981" s="224" t="s">
        <v>241</v>
      </c>
      <c r="AC1981" s="224"/>
      <c r="AD1981" s="224"/>
      <c r="AE1981" s="224"/>
      <c r="AF1981" s="223" t="s">
        <v>2039</v>
      </c>
      <c r="AG1981" s="225" t="s">
        <v>132</v>
      </c>
      <c r="AH1981" s="224" t="s">
        <v>132</v>
      </c>
      <c r="AI1981" s="225" t="s">
        <v>2037</v>
      </c>
      <c r="AJ1981" s="224" t="s">
        <v>1621</v>
      </c>
      <c r="AK1981" s="224"/>
      <c r="AL1981" s="224"/>
      <c r="AM1981" s="224"/>
      <c r="AN1981" s="225" t="s">
        <v>774</v>
      </c>
      <c r="AO1981" s="225" t="s">
        <v>774</v>
      </c>
      <c r="AP1981" s="92" t="s">
        <v>178</v>
      </c>
      <c r="AQ1981" s="224" t="s">
        <v>2036</v>
      </c>
      <c r="AR1981" s="224"/>
      <c r="AS1981" s="229" t="s">
        <v>2035</v>
      </c>
      <c r="AT1981" s="253" t="s">
        <v>161</v>
      </c>
      <c r="AU1981" s="225">
        <v>4</v>
      </c>
      <c r="AV1981" s="225">
        <v>4</v>
      </c>
      <c r="AW1981" s="224" t="s">
        <v>142</v>
      </c>
      <c r="AX1981" s="224"/>
      <c r="AY1981" s="224">
        <f>1/3*16090</f>
        <v>5363.333333333333</v>
      </c>
      <c r="AZ1981" s="224"/>
      <c r="BA1981" s="224"/>
      <c r="BB1981" s="224"/>
      <c r="BH1981" s="225"/>
      <c r="BI1981" s="225"/>
      <c r="BJ1981" s="224"/>
      <c r="BM1981" s="440">
        <f t="shared" si="275"/>
        <v>1.43</v>
      </c>
      <c r="BN1981" s="440">
        <v>1.42</v>
      </c>
      <c r="BR1981" s="441">
        <v>0.6573426573426574</v>
      </c>
      <c r="BS1981" s="441">
        <v>0.63636363636363624</v>
      </c>
      <c r="IO1981" s="225" t="s">
        <v>2093</v>
      </c>
      <c r="IP1981" s="224"/>
      <c r="IQ1981" s="230"/>
    </row>
    <row r="1982" spans="1:251" s="36" customFormat="1" x14ac:dyDescent="0.25">
      <c r="A1982" s="223">
        <v>91</v>
      </c>
      <c r="B1982" s="223" t="s">
        <v>769</v>
      </c>
      <c r="C1982" s="224" t="s">
        <v>2128</v>
      </c>
      <c r="D1982" s="223">
        <v>2006</v>
      </c>
      <c r="E1982" s="224">
        <v>1999</v>
      </c>
      <c r="F1982" s="223" t="s">
        <v>948</v>
      </c>
      <c r="G1982" s="223" t="s">
        <v>2042</v>
      </c>
      <c r="H1982" s="252" t="s">
        <v>2831</v>
      </c>
      <c r="I1982" s="224">
        <v>32.56</v>
      </c>
      <c r="J1982" s="224">
        <v>-83.91</v>
      </c>
      <c r="K1982" s="225">
        <v>16</v>
      </c>
      <c r="L1982" s="225">
        <v>18.100000000000001</v>
      </c>
      <c r="M1982" s="224"/>
      <c r="N1982" s="225">
        <v>1258</v>
      </c>
      <c r="O1982" s="224"/>
      <c r="P1982" s="224"/>
      <c r="Q1982" s="225">
        <v>6</v>
      </c>
      <c r="R1982" s="226" t="s">
        <v>1984</v>
      </c>
      <c r="T1982" s="226" t="s">
        <v>2112</v>
      </c>
      <c r="U1982" s="227" t="s">
        <v>1412</v>
      </c>
      <c r="V1982" s="227">
        <v>20</v>
      </c>
      <c r="W1982" s="227" t="s">
        <v>1392</v>
      </c>
      <c r="X1982" s="227" t="s">
        <v>1421</v>
      </c>
      <c r="Y1982" s="228">
        <f>AVERAGE(Sheet1!BM1982:BN1982)</f>
        <v>1.5550000000000002</v>
      </c>
      <c r="Z1982" s="364">
        <v>65</v>
      </c>
      <c r="AA1982" s="364">
        <v>25</v>
      </c>
      <c r="AB1982" s="224" t="s">
        <v>241</v>
      </c>
      <c r="AC1982" s="224"/>
      <c r="AD1982" s="224"/>
      <c r="AE1982" s="224"/>
      <c r="AF1982" s="223" t="s">
        <v>2039</v>
      </c>
      <c r="AG1982" s="225" t="s">
        <v>132</v>
      </c>
      <c r="AH1982" s="224" t="s">
        <v>132</v>
      </c>
      <c r="AI1982" s="225" t="s">
        <v>2037</v>
      </c>
      <c r="AJ1982" s="224" t="s">
        <v>1621</v>
      </c>
      <c r="AK1982" s="224"/>
      <c r="AL1982" s="224"/>
      <c r="AM1982" s="224"/>
      <c r="AN1982" s="225" t="s">
        <v>774</v>
      </c>
      <c r="AO1982" s="225" t="s">
        <v>774</v>
      </c>
      <c r="AP1982" s="92" t="s">
        <v>2125</v>
      </c>
      <c r="AQ1982" s="224" t="s">
        <v>2036</v>
      </c>
      <c r="AR1982" s="224"/>
      <c r="AS1982" s="229" t="s">
        <v>2035</v>
      </c>
      <c r="AT1982" s="253" t="s">
        <v>161</v>
      </c>
      <c r="AU1982" s="225">
        <v>4</v>
      </c>
      <c r="AV1982" s="225">
        <v>4</v>
      </c>
      <c r="AW1982" s="224" t="s">
        <v>142</v>
      </c>
      <c r="AX1982" s="224"/>
      <c r="AY1982" s="224"/>
      <c r="AZ1982" s="224"/>
      <c r="BA1982" s="224"/>
      <c r="BB1982" s="224"/>
      <c r="BH1982" s="225"/>
      <c r="BI1982" s="225"/>
      <c r="BJ1982" s="224"/>
      <c r="BM1982" s="440">
        <f t="shared" si="275"/>
        <v>1.56</v>
      </c>
      <c r="BN1982" s="440">
        <v>1.55</v>
      </c>
      <c r="BR1982" s="441">
        <v>0.41987179487179482</v>
      </c>
      <c r="BS1982" s="441">
        <v>0.44871794871794868</v>
      </c>
      <c r="IO1982" s="225" t="s">
        <v>2093</v>
      </c>
      <c r="IP1982" s="224"/>
      <c r="IQ1982" s="230"/>
    </row>
    <row r="1983" spans="1:251" s="36" customFormat="1" x14ac:dyDescent="0.25">
      <c r="A1983" s="223">
        <v>91</v>
      </c>
      <c r="B1983" s="223" t="s">
        <v>769</v>
      </c>
      <c r="C1983" s="224" t="s">
        <v>2128</v>
      </c>
      <c r="D1983" s="223">
        <v>2006</v>
      </c>
      <c r="E1983" s="224">
        <v>1999</v>
      </c>
      <c r="F1983" s="223" t="s">
        <v>948</v>
      </c>
      <c r="G1983" s="223" t="s">
        <v>2042</v>
      </c>
      <c r="H1983" s="252" t="s">
        <v>2831</v>
      </c>
      <c r="I1983" s="224">
        <v>32.56</v>
      </c>
      <c r="J1983" s="224">
        <v>-83.91</v>
      </c>
      <c r="K1983" s="225">
        <v>16</v>
      </c>
      <c r="L1983" s="225">
        <v>18.100000000000001</v>
      </c>
      <c r="M1983" s="224"/>
      <c r="N1983" s="225">
        <v>1258</v>
      </c>
      <c r="O1983" s="224"/>
      <c r="P1983" s="224"/>
      <c r="Q1983" s="225">
        <v>6</v>
      </c>
      <c r="R1983" s="226" t="s">
        <v>1984</v>
      </c>
      <c r="T1983" s="226" t="s">
        <v>2112</v>
      </c>
      <c r="U1983" s="227" t="s">
        <v>1406</v>
      </c>
      <c r="V1983" s="227">
        <v>30</v>
      </c>
      <c r="W1983" s="227" t="s">
        <v>1392</v>
      </c>
      <c r="X1983" s="227" t="s">
        <v>1421</v>
      </c>
      <c r="Y1983" s="228">
        <f>AVERAGE(Sheet1!BM1983:BN1983)</f>
        <v>1.3919999999999999</v>
      </c>
      <c r="Z1983" s="364">
        <v>65</v>
      </c>
      <c r="AA1983" s="364">
        <v>25</v>
      </c>
      <c r="AB1983" s="224" t="s">
        <v>241</v>
      </c>
      <c r="AC1983" s="224"/>
      <c r="AD1983" s="224"/>
      <c r="AE1983" s="224"/>
      <c r="AF1983" s="223" t="s">
        <v>2039</v>
      </c>
      <c r="AG1983" s="225" t="s">
        <v>132</v>
      </c>
      <c r="AH1983" s="224" t="s">
        <v>132</v>
      </c>
      <c r="AI1983" s="225" t="s">
        <v>2037</v>
      </c>
      <c r="AJ1983" s="224" t="s">
        <v>1621</v>
      </c>
      <c r="AK1983" s="224"/>
      <c r="AL1983" s="224"/>
      <c r="AM1983" s="224"/>
      <c r="AN1983" s="225" t="s">
        <v>774</v>
      </c>
      <c r="AO1983" s="225" t="s">
        <v>774</v>
      </c>
      <c r="AP1983" s="92" t="s">
        <v>178</v>
      </c>
      <c r="AQ1983" s="224" t="s">
        <v>2036</v>
      </c>
      <c r="AR1983" s="224"/>
      <c r="AS1983" s="229" t="s">
        <v>2035</v>
      </c>
      <c r="AT1983" s="253" t="s">
        <v>161</v>
      </c>
      <c r="AU1983" s="225">
        <v>4</v>
      </c>
      <c r="AV1983" s="225">
        <v>4</v>
      </c>
      <c r="AW1983" s="224" t="s">
        <v>142</v>
      </c>
      <c r="AX1983" s="224"/>
      <c r="AY1983" s="224"/>
      <c r="AZ1983" s="224"/>
      <c r="BA1983" s="224"/>
      <c r="BB1983" s="224"/>
      <c r="BH1983" s="225"/>
      <c r="BI1983" s="225"/>
      <c r="BJ1983" s="224"/>
      <c r="BM1983" s="440">
        <f t="shared" si="275"/>
        <v>1.397</v>
      </c>
      <c r="BN1983" s="440">
        <v>1.387</v>
      </c>
      <c r="BR1983" s="441">
        <v>0.22429014554998808</v>
      </c>
      <c r="BS1983" s="441">
        <v>0.28871391076115482</v>
      </c>
      <c r="IO1983" s="225" t="s">
        <v>2093</v>
      </c>
      <c r="IP1983" s="224"/>
      <c r="IQ1983" s="230"/>
    </row>
    <row r="1984" spans="1:251" s="36" customFormat="1" x14ac:dyDescent="0.25">
      <c r="A1984" s="223">
        <v>91</v>
      </c>
      <c r="B1984" s="223" t="s">
        <v>769</v>
      </c>
      <c r="C1984" s="224" t="s">
        <v>2128</v>
      </c>
      <c r="D1984" s="223">
        <v>2006</v>
      </c>
      <c r="E1984" s="224">
        <v>1999</v>
      </c>
      <c r="F1984" s="223" t="s">
        <v>948</v>
      </c>
      <c r="G1984" s="223" t="s">
        <v>2042</v>
      </c>
      <c r="H1984" s="252" t="s">
        <v>2831</v>
      </c>
      <c r="I1984" s="224">
        <v>32.56</v>
      </c>
      <c r="J1984" s="224">
        <v>-83.91</v>
      </c>
      <c r="K1984" s="225">
        <v>16</v>
      </c>
      <c r="L1984" s="225">
        <v>18.100000000000001</v>
      </c>
      <c r="M1984" s="224"/>
      <c r="N1984" s="225">
        <v>1258</v>
      </c>
      <c r="O1984" s="224"/>
      <c r="P1984" s="224"/>
      <c r="Q1984" s="225">
        <v>6</v>
      </c>
      <c r="R1984" s="226" t="s">
        <v>1984</v>
      </c>
      <c r="T1984" s="226" t="s">
        <v>2112</v>
      </c>
      <c r="U1984" s="227" t="s">
        <v>1407</v>
      </c>
      <c r="V1984" s="227">
        <v>30</v>
      </c>
      <c r="W1984" s="227" t="s">
        <v>1392</v>
      </c>
      <c r="X1984" s="227" t="s">
        <v>1421</v>
      </c>
      <c r="Y1984" s="228">
        <f>AVERAGE(Sheet1!BM1984:BN1984)</f>
        <v>1.5939999999999999</v>
      </c>
      <c r="Z1984" s="364">
        <v>65</v>
      </c>
      <c r="AA1984" s="364">
        <v>25</v>
      </c>
      <c r="AB1984" s="224" t="s">
        <v>241</v>
      </c>
      <c r="AC1984" s="224"/>
      <c r="AD1984" s="224"/>
      <c r="AE1984" s="224"/>
      <c r="AF1984" s="223" t="s">
        <v>2039</v>
      </c>
      <c r="AG1984" s="225" t="s">
        <v>132</v>
      </c>
      <c r="AH1984" s="224" t="s">
        <v>132</v>
      </c>
      <c r="AI1984" s="225" t="s">
        <v>2037</v>
      </c>
      <c r="AJ1984" s="224" t="s">
        <v>1621</v>
      </c>
      <c r="AK1984" s="224"/>
      <c r="AL1984" s="224"/>
      <c r="AM1984" s="224"/>
      <c r="AN1984" s="225" t="s">
        <v>774</v>
      </c>
      <c r="AO1984" s="225" t="s">
        <v>774</v>
      </c>
      <c r="AP1984" s="92" t="s">
        <v>2125</v>
      </c>
      <c r="AQ1984" s="224" t="s">
        <v>2036</v>
      </c>
      <c r="AR1984" s="224"/>
      <c r="AS1984" s="229" t="s">
        <v>2035</v>
      </c>
      <c r="AT1984" s="253" t="s">
        <v>161</v>
      </c>
      <c r="AU1984" s="225">
        <v>4</v>
      </c>
      <c r="AV1984" s="225">
        <v>4</v>
      </c>
      <c r="AW1984" s="224" t="s">
        <v>142</v>
      </c>
      <c r="AX1984" s="224"/>
      <c r="AY1984" s="224"/>
      <c r="AZ1984" s="224"/>
      <c r="BA1984" s="224"/>
      <c r="BB1984" s="224"/>
      <c r="BH1984" s="225"/>
      <c r="BI1984" s="225"/>
      <c r="BJ1984" s="224"/>
      <c r="BM1984" s="440">
        <f t="shared" si="275"/>
        <v>1.599</v>
      </c>
      <c r="BN1984" s="440">
        <v>1.589</v>
      </c>
      <c r="BR1984" s="441">
        <v>0.16468626224723787</v>
      </c>
      <c r="BS1984" s="441">
        <v>0.16885553470919323</v>
      </c>
      <c r="IO1984" s="225" t="s">
        <v>2093</v>
      </c>
      <c r="IP1984" s="224"/>
      <c r="IQ1984" s="230"/>
    </row>
    <row r="1985" spans="1:251" s="36" customFormat="1" x14ac:dyDescent="0.25">
      <c r="A1985" s="223">
        <v>91</v>
      </c>
      <c r="B1985" s="223" t="s">
        <v>769</v>
      </c>
      <c r="C1985" s="224" t="s">
        <v>2128</v>
      </c>
      <c r="D1985" s="223">
        <v>2006</v>
      </c>
      <c r="E1985" s="224">
        <v>1999</v>
      </c>
      <c r="F1985" s="223" t="s">
        <v>948</v>
      </c>
      <c r="G1985" s="223" t="s">
        <v>2042</v>
      </c>
      <c r="H1985" s="252" t="s">
        <v>2831</v>
      </c>
      <c r="I1985" s="224">
        <v>32.56</v>
      </c>
      <c r="J1985" s="224">
        <v>-83.91</v>
      </c>
      <c r="K1985" s="225">
        <v>16</v>
      </c>
      <c r="L1985" s="225">
        <v>18.100000000000001</v>
      </c>
      <c r="M1985" s="224"/>
      <c r="N1985" s="225">
        <v>1258</v>
      </c>
      <c r="O1985" s="224"/>
      <c r="P1985" s="224"/>
      <c r="Q1985" s="225">
        <v>6</v>
      </c>
      <c r="R1985" s="226" t="s">
        <v>1984</v>
      </c>
      <c r="T1985" s="226" t="s">
        <v>2112</v>
      </c>
      <c r="U1985" s="227" t="s">
        <v>1419</v>
      </c>
      <c r="V1985" s="227">
        <v>30</v>
      </c>
      <c r="W1985" s="227" t="s">
        <v>1392</v>
      </c>
      <c r="X1985" s="227" t="s">
        <v>1421</v>
      </c>
      <c r="Y1985" s="228">
        <f>AVERAGE(Sheet1!BM1985:BN1985)</f>
        <v>1.617</v>
      </c>
      <c r="Z1985" s="364">
        <v>65</v>
      </c>
      <c r="AA1985" s="364">
        <v>25</v>
      </c>
      <c r="AB1985" s="224" t="s">
        <v>241</v>
      </c>
      <c r="AC1985" s="224"/>
      <c r="AD1985" s="224"/>
      <c r="AE1985" s="224"/>
      <c r="AF1985" s="223" t="s">
        <v>2039</v>
      </c>
      <c r="AG1985" s="225" t="s">
        <v>132</v>
      </c>
      <c r="AH1985" s="224" t="s">
        <v>132</v>
      </c>
      <c r="AI1985" s="225" t="s">
        <v>2037</v>
      </c>
      <c r="AJ1985" s="224" t="s">
        <v>1621</v>
      </c>
      <c r="AK1985" s="224"/>
      <c r="AL1985" s="224"/>
      <c r="AM1985" s="224"/>
      <c r="AN1985" s="225" t="s">
        <v>774</v>
      </c>
      <c r="AO1985" s="225" t="s">
        <v>774</v>
      </c>
      <c r="AP1985" s="92" t="s">
        <v>178</v>
      </c>
      <c r="AQ1985" s="224" t="s">
        <v>2036</v>
      </c>
      <c r="AR1985" s="224"/>
      <c r="AS1985" s="229" t="s">
        <v>2035</v>
      </c>
      <c r="AT1985" s="253" t="s">
        <v>161</v>
      </c>
      <c r="AU1985" s="225">
        <v>4</v>
      </c>
      <c r="AV1985" s="225">
        <v>4</v>
      </c>
      <c r="AW1985" s="224" t="s">
        <v>142</v>
      </c>
      <c r="AX1985" s="224"/>
      <c r="AY1985" s="224"/>
      <c r="AZ1985" s="224"/>
      <c r="BA1985" s="224"/>
      <c r="BB1985" s="224"/>
      <c r="BH1985" s="225"/>
      <c r="BI1985" s="225"/>
      <c r="BJ1985" s="224"/>
      <c r="BM1985" s="440">
        <f t="shared" si="275"/>
        <v>1.6220000000000001</v>
      </c>
      <c r="BN1985" s="440">
        <v>1.6120000000000001</v>
      </c>
      <c r="BR1985" s="441">
        <v>0.12741471434443072</v>
      </c>
      <c r="BS1985" s="441">
        <v>0.12124948623099052</v>
      </c>
      <c r="IO1985" s="225" t="s">
        <v>2093</v>
      </c>
      <c r="IP1985" s="224"/>
      <c r="IQ1985" s="230"/>
    </row>
    <row r="1986" spans="1:251" s="92" customFormat="1" x14ac:dyDescent="0.25">
      <c r="A1986" s="252">
        <v>91</v>
      </c>
      <c r="B1986" s="252" t="s">
        <v>769</v>
      </c>
      <c r="C1986" s="253" t="s">
        <v>2128</v>
      </c>
      <c r="D1986" s="252">
        <v>2006</v>
      </c>
      <c r="E1986" s="253">
        <v>1999</v>
      </c>
      <c r="F1986" s="252" t="s">
        <v>948</v>
      </c>
      <c r="G1986" s="252" t="s">
        <v>2042</v>
      </c>
      <c r="H1986" s="252" t="s">
        <v>2831</v>
      </c>
      <c r="I1986" s="253">
        <v>32.56</v>
      </c>
      <c r="J1986" s="253">
        <v>-83.91</v>
      </c>
      <c r="K1986" s="254">
        <v>16</v>
      </c>
      <c r="L1986" s="254">
        <v>18.100000000000001</v>
      </c>
      <c r="M1986" s="253"/>
      <c r="N1986" s="254">
        <v>1258</v>
      </c>
      <c r="O1986" s="253"/>
      <c r="P1986" s="253"/>
      <c r="Q1986" s="254">
        <v>6</v>
      </c>
      <c r="R1986" s="255" t="s">
        <v>1984</v>
      </c>
      <c r="T1986" s="255" t="s">
        <v>2112</v>
      </c>
      <c r="U1986" s="256" t="s">
        <v>1392</v>
      </c>
      <c r="V1986" s="256">
        <v>10</v>
      </c>
      <c r="W1986" s="256" t="s">
        <v>1392</v>
      </c>
      <c r="X1986" s="256" t="s">
        <v>1421</v>
      </c>
      <c r="Y1986" s="257">
        <f>AVERAGE(Sheet1!BM1986:BN1986)</f>
        <v>1.4249999999999998</v>
      </c>
      <c r="Z1986" s="363">
        <v>65</v>
      </c>
      <c r="AA1986" s="363">
        <v>25</v>
      </c>
      <c r="AB1986" s="253" t="s">
        <v>241</v>
      </c>
      <c r="AC1986" s="253"/>
      <c r="AD1986" s="253"/>
      <c r="AE1986" s="253"/>
      <c r="AF1986" s="252" t="s">
        <v>2039</v>
      </c>
      <c r="AG1986" s="254" t="s">
        <v>244</v>
      </c>
      <c r="AH1986" s="253" t="s">
        <v>578</v>
      </c>
      <c r="AI1986" s="254" t="s">
        <v>2037</v>
      </c>
      <c r="AJ1986" s="253" t="s">
        <v>1621</v>
      </c>
      <c r="AK1986" s="253"/>
      <c r="AL1986" s="253"/>
      <c r="AM1986" s="253"/>
      <c r="AN1986" s="254" t="s">
        <v>774</v>
      </c>
      <c r="AO1986" s="254" t="s">
        <v>774</v>
      </c>
      <c r="AP1986" s="92" t="s">
        <v>2125</v>
      </c>
      <c r="AQ1986" s="253" t="s">
        <v>162</v>
      </c>
      <c r="AR1986" s="253"/>
      <c r="AS1986" s="258" t="s">
        <v>2035</v>
      </c>
      <c r="AT1986" s="253" t="s">
        <v>161</v>
      </c>
      <c r="AU1986" s="254">
        <v>4</v>
      </c>
      <c r="AV1986" s="254">
        <v>4</v>
      </c>
      <c r="AW1986" s="253" t="s">
        <v>142</v>
      </c>
      <c r="AX1986" s="253"/>
      <c r="AY1986" s="253">
        <f>1/3*18400</f>
        <v>6133.333333333333</v>
      </c>
      <c r="AZ1986" s="253"/>
      <c r="BA1986" s="253"/>
      <c r="BB1986" s="253"/>
      <c r="BH1986" s="254"/>
      <c r="BI1986" s="254"/>
      <c r="BJ1986" s="253"/>
      <c r="BM1986" s="439">
        <f t="shared" si="275"/>
        <v>1.43</v>
      </c>
      <c r="BN1986" s="439">
        <v>1.42</v>
      </c>
      <c r="BR1986" s="438">
        <v>0.55944055944055948</v>
      </c>
      <c r="BS1986" s="438">
        <v>0.63636363636363624</v>
      </c>
      <c r="IO1986" s="254" t="s">
        <v>2093</v>
      </c>
      <c r="IP1986" s="253"/>
      <c r="IQ1986" s="259"/>
    </row>
    <row r="1987" spans="1:251" s="92" customFormat="1" x14ac:dyDescent="0.25">
      <c r="A1987" s="252">
        <v>91</v>
      </c>
      <c r="B1987" s="252" t="s">
        <v>769</v>
      </c>
      <c r="C1987" s="253" t="s">
        <v>2128</v>
      </c>
      <c r="D1987" s="252">
        <v>2006</v>
      </c>
      <c r="E1987" s="253">
        <v>1999</v>
      </c>
      <c r="F1987" s="252" t="s">
        <v>948</v>
      </c>
      <c r="G1987" s="252" t="s">
        <v>2042</v>
      </c>
      <c r="H1987" s="252" t="s">
        <v>2831</v>
      </c>
      <c r="I1987" s="253">
        <v>32.56</v>
      </c>
      <c r="J1987" s="253">
        <v>-83.91</v>
      </c>
      <c r="K1987" s="254">
        <v>16</v>
      </c>
      <c r="L1987" s="254">
        <v>18.100000000000001</v>
      </c>
      <c r="M1987" s="253"/>
      <c r="N1987" s="254">
        <v>1258</v>
      </c>
      <c r="O1987" s="253"/>
      <c r="P1987" s="253"/>
      <c r="Q1987" s="254">
        <v>6</v>
      </c>
      <c r="R1987" s="255" t="s">
        <v>1984</v>
      </c>
      <c r="T1987" s="255" t="s">
        <v>2112</v>
      </c>
      <c r="U1987" s="256" t="s">
        <v>1412</v>
      </c>
      <c r="V1987" s="256">
        <v>20</v>
      </c>
      <c r="W1987" s="256" t="s">
        <v>1392</v>
      </c>
      <c r="X1987" s="256" t="s">
        <v>1421</v>
      </c>
      <c r="Y1987" s="257">
        <f>AVERAGE(Sheet1!BM1987:BN1987)</f>
        <v>1.5550000000000002</v>
      </c>
      <c r="Z1987" s="363">
        <v>65</v>
      </c>
      <c r="AA1987" s="363">
        <v>25</v>
      </c>
      <c r="AB1987" s="253" t="s">
        <v>241</v>
      </c>
      <c r="AC1987" s="253"/>
      <c r="AD1987" s="253"/>
      <c r="AE1987" s="253"/>
      <c r="AF1987" s="252" t="s">
        <v>2039</v>
      </c>
      <c r="AG1987" s="254" t="s">
        <v>244</v>
      </c>
      <c r="AH1987" s="253" t="s">
        <v>578</v>
      </c>
      <c r="AI1987" s="254" t="s">
        <v>2037</v>
      </c>
      <c r="AJ1987" s="253" t="s">
        <v>1621</v>
      </c>
      <c r="AK1987" s="253"/>
      <c r="AL1987" s="253"/>
      <c r="AM1987" s="253"/>
      <c r="AN1987" s="254" t="s">
        <v>774</v>
      </c>
      <c r="AO1987" s="254" t="s">
        <v>774</v>
      </c>
      <c r="AP1987" s="92" t="s">
        <v>178</v>
      </c>
      <c r="AQ1987" s="253" t="s">
        <v>162</v>
      </c>
      <c r="AR1987" s="253"/>
      <c r="AS1987" s="258" t="s">
        <v>2035</v>
      </c>
      <c r="AT1987" s="253" t="s">
        <v>161</v>
      </c>
      <c r="AU1987" s="254">
        <v>4</v>
      </c>
      <c r="AV1987" s="254">
        <v>4</v>
      </c>
      <c r="AW1987" s="253" t="s">
        <v>142</v>
      </c>
      <c r="AX1987" s="253"/>
      <c r="AY1987" s="253"/>
      <c r="AZ1987" s="253"/>
      <c r="BA1987" s="253"/>
      <c r="BB1987" s="253"/>
      <c r="BH1987" s="254"/>
      <c r="BI1987" s="254"/>
      <c r="BJ1987" s="253"/>
      <c r="BM1987" s="439">
        <f t="shared" si="275"/>
        <v>1.56</v>
      </c>
      <c r="BN1987" s="439">
        <v>1.55</v>
      </c>
      <c r="BR1987" s="438">
        <v>0.39743589743589747</v>
      </c>
      <c r="BS1987" s="438">
        <v>0.44551282051282054</v>
      </c>
      <c r="IO1987" s="254" t="s">
        <v>2093</v>
      </c>
      <c r="IP1987" s="253"/>
      <c r="IQ1987" s="259"/>
    </row>
    <row r="1988" spans="1:251" s="92" customFormat="1" x14ac:dyDescent="0.25">
      <c r="A1988" s="252">
        <v>91</v>
      </c>
      <c r="B1988" s="252" t="s">
        <v>769</v>
      </c>
      <c r="C1988" s="253" t="s">
        <v>2128</v>
      </c>
      <c r="D1988" s="252">
        <v>2006</v>
      </c>
      <c r="E1988" s="253">
        <v>1999</v>
      </c>
      <c r="F1988" s="252" t="s">
        <v>948</v>
      </c>
      <c r="G1988" s="252" t="s">
        <v>2042</v>
      </c>
      <c r="H1988" s="252" t="s">
        <v>2831</v>
      </c>
      <c r="I1988" s="253">
        <v>32.56</v>
      </c>
      <c r="J1988" s="253">
        <v>-83.91</v>
      </c>
      <c r="K1988" s="254">
        <v>16</v>
      </c>
      <c r="L1988" s="254">
        <v>18.100000000000001</v>
      </c>
      <c r="M1988" s="253"/>
      <c r="N1988" s="254">
        <v>1258</v>
      </c>
      <c r="O1988" s="253"/>
      <c r="P1988" s="253"/>
      <c r="Q1988" s="254">
        <v>6</v>
      </c>
      <c r="R1988" s="255" t="s">
        <v>1984</v>
      </c>
      <c r="T1988" s="255" t="s">
        <v>2112</v>
      </c>
      <c r="U1988" s="256" t="s">
        <v>1406</v>
      </c>
      <c r="V1988" s="256">
        <v>30</v>
      </c>
      <c r="W1988" s="256" t="s">
        <v>1392</v>
      </c>
      <c r="X1988" s="256" t="s">
        <v>1421</v>
      </c>
      <c r="Y1988" s="257">
        <f>AVERAGE(Sheet1!BM1988:BN1988)</f>
        <v>1.3919999999999999</v>
      </c>
      <c r="Z1988" s="363">
        <v>65</v>
      </c>
      <c r="AA1988" s="363">
        <v>25</v>
      </c>
      <c r="AB1988" s="253" t="s">
        <v>241</v>
      </c>
      <c r="AC1988" s="253"/>
      <c r="AD1988" s="253"/>
      <c r="AE1988" s="253"/>
      <c r="AF1988" s="252" t="s">
        <v>2039</v>
      </c>
      <c r="AG1988" s="254" t="s">
        <v>244</v>
      </c>
      <c r="AH1988" s="253" t="s">
        <v>578</v>
      </c>
      <c r="AI1988" s="254" t="s">
        <v>2037</v>
      </c>
      <c r="AJ1988" s="253" t="s">
        <v>1621</v>
      </c>
      <c r="AK1988" s="253"/>
      <c r="AL1988" s="253"/>
      <c r="AM1988" s="253"/>
      <c r="AN1988" s="254" t="s">
        <v>774</v>
      </c>
      <c r="AO1988" s="254" t="s">
        <v>774</v>
      </c>
      <c r="AP1988" s="92" t="s">
        <v>2125</v>
      </c>
      <c r="AQ1988" s="253" t="s">
        <v>162</v>
      </c>
      <c r="AR1988" s="253"/>
      <c r="AS1988" s="258" t="s">
        <v>2035</v>
      </c>
      <c r="AT1988" s="253" t="s">
        <v>161</v>
      </c>
      <c r="AU1988" s="254">
        <v>4</v>
      </c>
      <c r="AV1988" s="254">
        <v>4</v>
      </c>
      <c r="AW1988" s="253" t="s">
        <v>142</v>
      </c>
      <c r="AX1988" s="253"/>
      <c r="AY1988" s="253"/>
      <c r="AZ1988" s="253"/>
      <c r="BA1988" s="253"/>
      <c r="BB1988" s="253"/>
      <c r="BH1988" s="254"/>
      <c r="BI1988" s="254"/>
      <c r="BJ1988" s="253"/>
      <c r="BM1988" s="439">
        <f t="shared" si="275"/>
        <v>1.397</v>
      </c>
      <c r="BN1988" s="439">
        <v>1.387</v>
      </c>
      <c r="BR1988" s="438">
        <v>0.21951801479360533</v>
      </c>
      <c r="BS1988" s="438">
        <v>0.26008112622285851</v>
      </c>
      <c r="IO1988" s="254" t="s">
        <v>2093</v>
      </c>
      <c r="IP1988" s="253"/>
      <c r="IQ1988" s="259"/>
    </row>
    <row r="1989" spans="1:251" s="92" customFormat="1" x14ac:dyDescent="0.25">
      <c r="A1989" s="252">
        <v>91</v>
      </c>
      <c r="B1989" s="252" t="s">
        <v>769</v>
      </c>
      <c r="C1989" s="253" t="s">
        <v>2128</v>
      </c>
      <c r="D1989" s="252">
        <v>2006</v>
      </c>
      <c r="E1989" s="253">
        <v>1999</v>
      </c>
      <c r="F1989" s="252" t="s">
        <v>948</v>
      </c>
      <c r="G1989" s="252" t="s">
        <v>2042</v>
      </c>
      <c r="H1989" s="252" t="s">
        <v>2831</v>
      </c>
      <c r="I1989" s="253">
        <v>32.56</v>
      </c>
      <c r="J1989" s="253">
        <v>-83.91</v>
      </c>
      <c r="K1989" s="254">
        <v>16</v>
      </c>
      <c r="L1989" s="254">
        <v>18.100000000000001</v>
      </c>
      <c r="M1989" s="253"/>
      <c r="N1989" s="254">
        <v>1258</v>
      </c>
      <c r="O1989" s="253"/>
      <c r="P1989" s="253"/>
      <c r="Q1989" s="254">
        <v>6</v>
      </c>
      <c r="R1989" s="255" t="s">
        <v>1984</v>
      </c>
      <c r="T1989" s="255" t="s">
        <v>2112</v>
      </c>
      <c r="U1989" s="256" t="s">
        <v>1407</v>
      </c>
      <c r="V1989" s="256">
        <v>30</v>
      </c>
      <c r="W1989" s="256" t="s">
        <v>1392</v>
      </c>
      <c r="X1989" s="256" t="s">
        <v>1421</v>
      </c>
      <c r="Y1989" s="257">
        <f>AVERAGE(Sheet1!BM1989:BN1989)</f>
        <v>1.5939999999999999</v>
      </c>
      <c r="Z1989" s="363">
        <v>65</v>
      </c>
      <c r="AA1989" s="363">
        <v>25</v>
      </c>
      <c r="AB1989" s="253" t="s">
        <v>241</v>
      </c>
      <c r="AC1989" s="253"/>
      <c r="AD1989" s="253"/>
      <c r="AE1989" s="253"/>
      <c r="AF1989" s="252" t="s">
        <v>2039</v>
      </c>
      <c r="AG1989" s="254" t="s">
        <v>244</v>
      </c>
      <c r="AH1989" s="253" t="s">
        <v>578</v>
      </c>
      <c r="AI1989" s="254" t="s">
        <v>2037</v>
      </c>
      <c r="AJ1989" s="253" t="s">
        <v>1621</v>
      </c>
      <c r="AK1989" s="253"/>
      <c r="AL1989" s="253"/>
      <c r="AM1989" s="253"/>
      <c r="AN1989" s="254" t="s">
        <v>774</v>
      </c>
      <c r="AO1989" s="254" t="s">
        <v>774</v>
      </c>
      <c r="AP1989" s="92" t="s">
        <v>178</v>
      </c>
      <c r="AQ1989" s="253" t="s">
        <v>162</v>
      </c>
      <c r="AR1989" s="253"/>
      <c r="AS1989" s="258" t="s">
        <v>2035</v>
      </c>
      <c r="AT1989" s="253" t="s">
        <v>161</v>
      </c>
      <c r="AU1989" s="254">
        <v>4</v>
      </c>
      <c r="AV1989" s="254">
        <v>4</v>
      </c>
      <c r="AW1989" s="253" t="s">
        <v>142</v>
      </c>
      <c r="AX1989" s="253"/>
      <c r="AY1989" s="253"/>
      <c r="AZ1989" s="253"/>
      <c r="BA1989" s="253"/>
      <c r="BB1989" s="253"/>
      <c r="BH1989" s="254"/>
      <c r="BI1989" s="254"/>
      <c r="BJ1989" s="253"/>
      <c r="BM1989" s="439">
        <f t="shared" si="275"/>
        <v>1.599</v>
      </c>
      <c r="BN1989" s="439">
        <v>1.589</v>
      </c>
      <c r="BR1989" s="438">
        <v>0.1480091723994163</v>
      </c>
      <c r="BS1989" s="438">
        <v>0.13341671878257244</v>
      </c>
      <c r="IO1989" s="254" t="s">
        <v>2093</v>
      </c>
      <c r="IP1989" s="253"/>
      <c r="IQ1989" s="259"/>
    </row>
    <row r="1990" spans="1:251" s="92" customFormat="1" x14ac:dyDescent="0.25">
      <c r="A1990" s="252">
        <v>91</v>
      </c>
      <c r="B1990" s="252" t="s">
        <v>769</v>
      </c>
      <c r="C1990" s="253" t="s">
        <v>2128</v>
      </c>
      <c r="D1990" s="252">
        <v>2006</v>
      </c>
      <c r="E1990" s="253">
        <v>1999</v>
      </c>
      <c r="F1990" s="252" t="s">
        <v>948</v>
      </c>
      <c r="G1990" s="252" t="s">
        <v>2042</v>
      </c>
      <c r="H1990" s="252" t="s">
        <v>2831</v>
      </c>
      <c r="I1990" s="253">
        <v>32.56</v>
      </c>
      <c r="J1990" s="253">
        <v>-83.91</v>
      </c>
      <c r="K1990" s="254">
        <v>16</v>
      </c>
      <c r="L1990" s="254">
        <v>18.100000000000001</v>
      </c>
      <c r="M1990" s="253"/>
      <c r="N1990" s="254">
        <v>1258</v>
      </c>
      <c r="O1990" s="253"/>
      <c r="P1990" s="253"/>
      <c r="Q1990" s="254">
        <v>6</v>
      </c>
      <c r="R1990" s="255" t="s">
        <v>1984</v>
      </c>
      <c r="T1990" s="255" t="s">
        <v>2112</v>
      </c>
      <c r="U1990" s="256" t="s">
        <v>1419</v>
      </c>
      <c r="V1990" s="256">
        <v>30</v>
      </c>
      <c r="W1990" s="256" t="s">
        <v>1392</v>
      </c>
      <c r="X1990" s="256" t="s">
        <v>1421</v>
      </c>
      <c r="Y1990" s="257">
        <f>AVERAGE(Sheet1!BM1990:BN1990)</f>
        <v>1.617</v>
      </c>
      <c r="Z1990" s="363">
        <v>65</v>
      </c>
      <c r="AA1990" s="363">
        <v>25</v>
      </c>
      <c r="AB1990" s="253" t="s">
        <v>241</v>
      </c>
      <c r="AC1990" s="253"/>
      <c r="AD1990" s="253"/>
      <c r="AE1990" s="253"/>
      <c r="AF1990" s="252" t="s">
        <v>2039</v>
      </c>
      <c r="AG1990" s="254" t="s">
        <v>244</v>
      </c>
      <c r="AH1990" s="253" t="s">
        <v>578</v>
      </c>
      <c r="AI1990" s="254" t="s">
        <v>2037</v>
      </c>
      <c r="AJ1990" s="253" t="s">
        <v>1621</v>
      </c>
      <c r="AK1990" s="253"/>
      <c r="AL1990" s="253"/>
      <c r="AM1990" s="253"/>
      <c r="AN1990" s="254" t="s">
        <v>774</v>
      </c>
      <c r="AO1990" s="254" t="s">
        <v>774</v>
      </c>
      <c r="AP1990" s="92" t="s">
        <v>2125</v>
      </c>
      <c r="AQ1990" s="253" t="s">
        <v>162</v>
      </c>
      <c r="AR1990" s="253"/>
      <c r="AS1990" s="258" t="s">
        <v>2035</v>
      </c>
      <c r="AT1990" s="253" t="s">
        <v>161</v>
      </c>
      <c r="AU1990" s="254">
        <v>4</v>
      </c>
      <c r="AV1990" s="254">
        <v>4</v>
      </c>
      <c r="AW1990" s="253" t="s">
        <v>142</v>
      </c>
      <c r="AX1990" s="253"/>
      <c r="AY1990" s="253"/>
      <c r="AZ1990" s="253"/>
      <c r="BA1990" s="253"/>
      <c r="BB1990" s="253"/>
      <c r="BH1990" s="254"/>
      <c r="BI1990" s="254"/>
      <c r="BJ1990" s="253"/>
      <c r="BM1990" s="439">
        <f t="shared" si="275"/>
        <v>1.6220000000000001</v>
      </c>
      <c r="BN1990" s="439">
        <v>1.6120000000000001</v>
      </c>
      <c r="BR1990" s="438">
        <v>0.11302918207973693</v>
      </c>
      <c r="BS1990" s="438">
        <v>0.12330456226880393</v>
      </c>
      <c r="IO1990" s="254" t="s">
        <v>2093</v>
      </c>
      <c r="IP1990" s="253"/>
      <c r="IQ1990" s="259"/>
    </row>
    <row r="1991" spans="1:251" s="36" customFormat="1" x14ac:dyDescent="0.25">
      <c r="A1991" s="223">
        <v>91</v>
      </c>
      <c r="B1991" s="223" t="s">
        <v>769</v>
      </c>
      <c r="C1991" s="224" t="s">
        <v>2128</v>
      </c>
      <c r="D1991" s="223">
        <v>2006</v>
      </c>
      <c r="E1991" s="224">
        <v>1999</v>
      </c>
      <c r="F1991" s="223" t="s">
        <v>948</v>
      </c>
      <c r="G1991" s="223" t="s">
        <v>2042</v>
      </c>
      <c r="H1991" s="252" t="s">
        <v>2831</v>
      </c>
      <c r="I1991" s="224">
        <v>32.56</v>
      </c>
      <c r="J1991" s="224">
        <v>-83.91</v>
      </c>
      <c r="K1991" s="225">
        <v>16</v>
      </c>
      <c r="L1991" s="225">
        <v>18.100000000000001</v>
      </c>
      <c r="M1991" s="224"/>
      <c r="N1991" s="225">
        <v>1258</v>
      </c>
      <c r="O1991" s="224"/>
      <c r="P1991" s="224"/>
      <c r="Q1991" s="225">
        <v>6</v>
      </c>
      <c r="R1991" s="226" t="s">
        <v>1984</v>
      </c>
      <c r="T1991" s="226" t="s">
        <v>2112</v>
      </c>
      <c r="U1991" s="227" t="s">
        <v>1392</v>
      </c>
      <c r="V1991" s="227">
        <v>10</v>
      </c>
      <c r="W1991" s="227" t="s">
        <v>1392</v>
      </c>
      <c r="X1991" s="227" t="s">
        <v>1421</v>
      </c>
      <c r="Y1991" s="228">
        <f>AVERAGE(Sheet1!BM1991:BN1991)</f>
        <v>1.4249999999999998</v>
      </c>
      <c r="Z1991" s="364">
        <v>65</v>
      </c>
      <c r="AA1991" s="364">
        <v>25</v>
      </c>
      <c r="AB1991" s="224" t="s">
        <v>241</v>
      </c>
      <c r="AC1991" s="224"/>
      <c r="AD1991" s="224"/>
      <c r="AE1991" s="224"/>
      <c r="AF1991" s="223" t="s">
        <v>2039</v>
      </c>
      <c r="AG1991" s="225" t="s">
        <v>244</v>
      </c>
      <c r="AH1991" s="224" t="s">
        <v>578</v>
      </c>
      <c r="AI1991" s="225" t="s">
        <v>2037</v>
      </c>
      <c r="AJ1991" s="224" t="s">
        <v>1621</v>
      </c>
      <c r="AK1991" s="224"/>
      <c r="AL1991" s="224"/>
      <c r="AM1991" s="224"/>
      <c r="AN1991" s="225" t="s">
        <v>774</v>
      </c>
      <c r="AO1991" s="225" t="s">
        <v>774</v>
      </c>
      <c r="AP1991" s="92" t="s">
        <v>178</v>
      </c>
      <c r="AQ1991" s="224" t="s">
        <v>2041</v>
      </c>
      <c r="AR1991" s="224"/>
      <c r="AS1991" s="229" t="s">
        <v>2035</v>
      </c>
      <c r="AT1991" s="253" t="s">
        <v>161</v>
      </c>
      <c r="AU1991" s="225">
        <v>4</v>
      </c>
      <c r="AV1991" s="225">
        <v>4</v>
      </c>
      <c r="AW1991" s="224" t="s">
        <v>142</v>
      </c>
      <c r="AX1991" s="224"/>
      <c r="AY1991" s="224">
        <f>1/3*11260</f>
        <v>3753.333333333333</v>
      </c>
      <c r="AZ1991" s="224"/>
      <c r="BA1991" s="224"/>
      <c r="BB1991" s="224"/>
      <c r="BH1991" s="225"/>
      <c r="BI1991" s="225"/>
      <c r="BJ1991" s="224"/>
      <c r="BM1991" s="440">
        <f t="shared" si="275"/>
        <v>1.43</v>
      </c>
      <c r="BN1991" s="440">
        <v>1.42</v>
      </c>
      <c r="BR1991" s="441">
        <v>0.64335664335664322</v>
      </c>
      <c r="BS1991" s="441">
        <v>0.63636363636363624</v>
      </c>
      <c r="IO1991" s="225" t="s">
        <v>2093</v>
      </c>
      <c r="IP1991" s="224"/>
      <c r="IQ1991" s="230"/>
    </row>
    <row r="1992" spans="1:251" s="36" customFormat="1" x14ac:dyDescent="0.25">
      <c r="A1992" s="223">
        <v>91</v>
      </c>
      <c r="B1992" s="223" t="s">
        <v>769</v>
      </c>
      <c r="C1992" s="224" t="s">
        <v>2128</v>
      </c>
      <c r="D1992" s="223">
        <v>2006</v>
      </c>
      <c r="E1992" s="224">
        <v>1999</v>
      </c>
      <c r="F1992" s="223" t="s">
        <v>948</v>
      </c>
      <c r="G1992" s="223" t="s">
        <v>2042</v>
      </c>
      <c r="H1992" s="252" t="s">
        <v>2831</v>
      </c>
      <c r="I1992" s="224">
        <v>32.56</v>
      </c>
      <c r="J1992" s="224">
        <v>-83.91</v>
      </c>
      <c r="K1992" s="225">
        <v>16</v>
      </c>
      <c r="L1992" s="225">
        <v>18.100000000000001</v>
      </c>
      <c r="M1992" s="224"/>
      <c r="N1992" s="225">
        <v>1258</v>
      </c>
      <c r="O1992" s="224"/>
      <c r="P1992" s="224"/>
      <c r="Q1992" s="225">
        <v>6</v>
      </c>
      <c r="R1992" s="226" t="s">
        <v>1984</v>
      </c>
      <c r="T1992" s="226" t="s">
        <v>2112</v>
      </c>
      <c r="U1992" s="227" t="s">
        <v>1412</v>
      </c>
      <c r="V1992" s="227">
        <v>20</v>
      </c>
      <c r="W1992" s="227" t="s">
        <v>1392</v>
      </c>
      <c r="X1992" s="227" t="s">
        <v>1421</v>
      </c>
      <c r="Y1992" s="228">
        <f>AVERAGE(Sheet1!BM1992:BN1992)</f>
        <v>1.5550000000000002</v>
      </c>
      <c r="Z1992" s="364">
        <v>65</v>
      </c>
      <c r="AA1992" s="364">
        <v>25</v>
      </c>
      <c r="AB1992" s="224" t="s">
        <v>241</v>
      </c>
      <c r="AC1992" s="224"/>
      <c r="AD1992" s="224"/>
      <c r="AE1992" s="224"/>
      <c r="AF1992" s="223" t="s">
        <v>2039</v>
      </c>
      <c r="AG1992" s="225" t="s">
        <v>244</v>
      </c>
      <c r="AH1992" s="224" t="s">
        <v>578</v>
      </c>
      <c r="AI1992" s="225" t="s">
        <v>2037</v>
      </c>
      <c r="AJ1992" s="224" t="s">
        <v>1621</v>
      </c>
      <c r="AK1992" s="224"/>
      <c r="AL1992" s="224"/>
      <c r="AM1992" s="224"/>
      <c r="AN1992" s="225" t="s">
        <v>774</v>
      </c>
      <c r="AO1992" s="225" t="s">
        <v>774</v>
      </c>
      <c r="AP1992" s="92" t="s">
        <v>2125</v>
      </c>
      <c r="AQ1992" s="224" t="s">
        <v>2041</v>
      </c>
      <c r="AR1992" s="224"/>
      <c r="AS1992" s="229" t="s">
        <v>2035</v>
      </c>
      <c r="AT1992" s="253" t="s">
        <v>161</v>
      </c>
      <c r="AU1992" s="225">
        <v>4</v>
      </c>
      <c r="AV1992" s="225">
        <v>4</v>
      </c>
      <c r="AW1992" s="224" t="s">
        <v>142</v>
      </c>
      <c r="AX1992" s="224"/>
      <c r="AY1992" s="224"/>
      <c r="AZ1992" s="224"/>
      <c r="BA1992" s="224"/>
      <c r="BB1992" s="224"/>
      <c r="BH1992" s="225"/>
      <c r="BI1992" s="225"/>
      <c r="BJ1992" s="224"/>
      <c r="BM1992" s="440">
        <f t="shared" si="275"/>
        <v>1.56</v>
      </c>
      <c r="BN1992" s="440">
        <v>1.55</v>
      </c>
      <c r="BR1992" s="441">
        <v>0.41987179487179482</v>
      </c>
      <c r="BS1992" s="441">
        <v>0.4358974358974359</v>
      </c>
      <c r="IO1992" s="225" t="s">
        <v>2093</v>
      </c>
      <c r="IP1992" s="224"/>
      <c r="IQ1992" s="230"/>
    </row>
    <row r="1993" spans="1:251" s="36" customFormat="1" x14ac:dyDescent="0.25">
      <c r="A1993" s="223">
        <v>91</v>
      </c>
      <c r="B1993" s="223" t="s">
        <v>769</v>
      </c>
      <c r="C1993" s="224" t="s">
        <v>2128</v>
      </c>
      <c r="D1993" s="223">
        <v>2006</v>
      </c>
      <c r="E1993" s="224">
        <v>1999</v>
      </c>
      <c r="F1993" s="223" t="s">
        <v>948</v>
      </c>
      <c r="G1993" s="223" t="s">
        <v>2042</v>
      </c>
      <c r="H1993" s="252" t="s">
        <v>2831</v>
      </c>
      <c r="I1993" s="224">
        <v>32.56</v>
      </c>
      <c r="J1993" s="224">
        <v>-83.91</v>
      </c>
      <c r="K1993" s="225">
        <v>16</v>
      </c>
      <c r="L1993" s="225">
        <v>18.100000000000001</v>
      </c>
      <c r="M1993" s="224"/>
      <c r="N1993" s="225">
        <v>1258</v>
      </c>
      <c r="O1993" s="224"/>
      <c r="P1993" s="224"/>
      <c r="Q1993" s="225">
        <v>6</v>
      </c>
      <c r="R1993" s="226" t="s">
        <v>1984</v>
      </c>
      <c r="T1993" s="226" t="s">
        <v>2112</v>
      </c>
      <c r="U1993" s="227" t="s">
        <v>1406</v>
      </c>
      <c r="V1993" s="227">
        <v>30</v>
      </c>
      <c r="W1993" s="227" t="s">
        <v>1392</v>
      </c>
      <c r="X1993" s="227" t="s">
        <v>1421</v>
      </c>
      <c r="Y1993" s="228">
        <f>AVERAGE(Sheet1!BM1993:BN1993)</f>
        <v>1.3919999999999999</v>
      </c>
      <c r="Z1993" s="364">
        <v>65</v>
      </c>
      <c r="AA1993" s="364">
        <v>25</v>
      </c>
      <c r="AB1993" s="224" t="s">
        <v>241</v>
      </c>
      <c r="AC1993" s="224"/>
      <c r="AD1993" s="224"/>
      <c r="AE1993" s="224"/>
      <c r="AF1993" s="223" t="s">
        <v>2039</v>
      </c>
      <c r="AG1993" s="225" t="s">
        <v>244</v>
      </c>
      <c r="AH1993" s="224" t="s">
        <v>578</v>
      </c>
      <c r="AI1993" s="225" t="s">
        <v>2037</v>
      </c>
      <c r="AJ1993" s="224" t="s">
        <v>1621</v>
      </c>
      <c r="AK1993" s="224"/>
      <c r="AL1993" s="224"/>
      <c r="AM1993" s="224"/>
      <c r="AN1993" s="225" t="s">
        <v>774</v>
      </c>
      <c r="AO1993" s="225" t="s">
        <v>774</v>
      </c>
      <c r="AP1993" s="92" t="s">
        <v>178</v>
      </c>
      <c r="AQ1993" s="224" t="s">
        <v>2041</v>
      </c>
      <c r="AR1993" s="224"/>
      <c r="AS1993" s="229" t="s">
        <v>2035</v>
      </c>
      <c r="AT1993" s="253" t="s">
        <v>161</v>
      </c>
      <c r="AU1993" s="225">
        <v>4</v>
      </c>
      <c r="AV1993" s="225">
        <v>4</v>
      </c>
      <c r="AW1993" s="224" t="s">
        <v>142</v>
      </c>
      <c r="AX1993" s="224"/>
      <c r="AY1993" s="224"/>
      <c r="AZ1993" s="224"/>
      <c r="BA1993" s="224"/>
      <c r="BB1993" s="224"/>
      <c r="BH1993" s="225"/>
      <c r="BI1993" s="225"/>
      <c r="BJ1993" s="224"/>
      <c r="BM1993" s="440">
        <f t="shared" si="275"/>
        <v>1.397</v>
      </c>
      <c r="BN1993" s="440">
        <v>1.387</v>
      </c>
      <c r="BR1993" s="441">
        <v>0.23383440706275355</v>
      </c>
      <c r="BS1993" s="441">
        <v>0.24576473395371035</v>
      </c>
      <c r="IO1993" s="225" t="s">
        <v>2093</v>
      </c>
      <c r="IP1993" s="224"/>
      <c r="IQ1993" s="230"/>
    </row>
    <row r="1994" spans="1:251" s="36" customFormat="1" x14ac:dyDescent="0.25">
      <c r="A1994" s="223">
        <v>91</v>
      </c>
      <c r="B1994" s="223" t="s">
        <v>769</v>
      </c>
      <c r="C1994" s="224" t="s">
        <v>2128</v>
      </c>
      <c r="D1994" s="223">
        <v>2006</v>
      </c>
      <c r="E1994" s="224">
        <v>1999</v>
      </c>
      <c r="F1994" s="223" t="s">
        <v>948</v>
      </c>
      <c r="G1994" s="223" t="s">
        <v>2042</v>
      </c>
      <c r="H1994" s="252" t="s">
        <v>2831</v>
      </c>
      <c r="I1994" s="224">
        <v>32.56</v>
      </c>
      <c r="J1994" s="224">
        <v>-83.91</v>
      </c>
      <c r="K1994" s="225">
        <v>16</v>
      </c>
      <c r="L1994" s="225">
        <v>18.100000000000001</v>
      </c>
      <c r="M1994" s="224"/>
      <c r="N1994" s="225">
        <v>1258</v>
      </c>
      <c r="O1994" s="224"/>
      <c r="P1994" s="224"/>
      <c r="Q1994" s="225">
        <v>6</v>
      </c>
      <c r="R1994" s="226" t="s">
        <v>1984</v>
      </c>
      <c r="T1994" s="226" t="s">
        <v>2112</v>
      </c>
      <c r="U1994" s="227" t="s">
        <v>1407</v>
      </c>
      <c r="V1994" s="227">
        <v>30</v>
      </c>
      <c r="W1994" s="227" t="s">
        <v>1392</v>
      </c>
      <c r="X1994" s="227" t="s">
        <v>1421</v>
      </c>
      <c r="Y1994" s="228">
        <f>AVERAGE(Sheet1!BM1994:BN1994)</f>
        <v>1.5939999999999999</v>
      </c>
      <c r="Z1994" s="364">
        <v>65</v>
      </c>
      <c r="AA1994" s="364">
        <v>25</v>
      </c>
      <c r="AB1994" s="224" t="s">
        <v>241</v>
      </c>
      <c r="AC1994" s="224"/>
      <c r="AD1994" s="224"/>
      <c r="AE1994" s="224"/>
      <c r="AF1994" s="223" t="s">
        <v>2039</v>
      </c>
      <c r="AG1994" s="225" t="s">
        <v>244</v>
      </c>
      <c r="AH1994" s="224" t="s">
        <v>578</v>
      </c>
      <c r="AI1994" s="225" t="s">
        <v>2037</v>
      </c>
      <c r="AJ1994" s="224" t="s">
        <v>1621</v>
      </c>
      <c r="AK1994" s="224"/>
      <c r="AL1994" s="224"/>
      <c r="AM1994" s="224"/>
      <c r="AN1994" s="225" t="s">
        <v>774</v>
      </c>
      <c r="AO1994" s="225" t="s">
        <v>774</v>
      </c>
      <c r="AP1994" s="92" t="s">
        <v>2125</v>
      </c>
      <c r="AQ1994" s="224" t="s">
        <v>2041</v>
      </c>
      <c r="AR1994" s="224"/>
      <c r="AS1994" s="229" t="s">
        <v>2035</v>
      </c>
      <c r="AT1994" s="253" t="s">
        <v>161</v>
      </c>
      <c r="AU1994" s="225">
        <v>4</v>
      </c>
      <c r="AV1994" s="225">
        <v>4</v>
      </c>
      <c r="AW1994" s="224" t="s">
        <v>142</v>
      </c>
      <c r="AX1994" s="224"/>
      <c r="AY1994" s="224"/>
      <c r="AZ1994" s="224"/>
      <c r="BA1994" s="224"/>
      <c r="BB1994" s="224"/>
      <c r="BH1994" s="225"/>
      <c r="BI1994" s="225"/>
      <c r="BJ1994" s="224"/>
      <c r="BM1994" s="440">
        <f t="shared" si="275"/>
        <v>1.599</v>
      </c>
      <c r="BN1994" s="440">
        <v>1.589</v>
      </c>
      <c r="BR1994" s="441">
        <v>0.13967062747550552</v>
      </c>
      <c r="BS1994" s="441">
        <v>0.14592453616843862</v>
      </c>
      <c r="IO1994" s="225" t="s">
        <v>2093</v>
      </c>
      <c r="IP1994" s="224"/>
      <c r="IQ1994" s="230"/>
    </row>
    <row r="1995" spans="1:251" s="36" customFormat="1" x14ac:dyDescent="0.25">
      <c r="A1995" s="223">
        <v>91</v>
      </c>
      <c r="B1995" s="223" t="s">
        <v>769</v>
      </c>
      <c r="C1995" s="224" t="s">
        <v>2128</v>
      </c>
      <c r="D1995" s="223">
        <v>2006</v>
      </c>
      <c r="E1995" s="224">
        <v>1999</v>
      </c>
      <c r="F1995" s="223" t="s">
        <v>948</v>
      </c>
      <c r="G1995" s="223" t="s">
        <v>2042</v>
      </c>
      <c r="H1995" s="252" t="s">
        <v>2831</v>
      </c>
      <c r="I1995" s="224">
        <v>32.56</v>
      </c>
      <c r="J1995" s="224">
        <v>-83.91</v>
      </c>
      <c r="K1995" s="225">
        <v>16</v>
      </c>
      <c r="L1995" s="225">
        <v>18.100000000000001</v>
      </c>
      <c r="M1995" s="224"/>
      <c r="N1995" s="225">
        <v>1258</v>
      </c>
      <c r="O1995" s="224"/>
      <c r="P1995" s="224"/>
      <c r="Q1995" s="225">
        <v>6</v>
      </c>
      <c r="R1995" s="226" t="s">
        <v>1984</v>
      </c>
      <c r="T1995" s="226" t="s">
        <v>2112</v>
      </c>
      <c r="U1995" s="227" t="s">
        <v>1419</v>
      </c>
      <c r="V1995" s="227">
        <v>30</v>
      </c>
      <c r="W1995" s="227" t="s">
        <v>1392</v>
      </c>
      <c r="X1995" s="227" t="s">
        <v>1421</v>
      </c>
      <c r="Y1995" s="228">
        <f>AVERAGE(Sheet1!BM1995:BN1995)</f>
        <v>1.617</v>
      </c>
      <c r="Z1995" s="364">
        <v>65</v>
      </c>
      <c r="AA1995" s="364">
        <v>25</v>
      </c>
      <c r="AB1995" s="224" t="s">
        <v>241</v>
      </c>
      <c r="AC1995" s="224"/>
      <c r="AD1995" s="224"/>
      <c r="AE1995" s="224"/>
      <c r="AF1995" s="223" t="s">
        <v>2039</v>
      </c>
      <c r="AG1995" s="225" t="s">
        <v>244</v>
      </c>
      <c r="AH1995" s="224" t="s">
        <v>578</v>
      </c>
      <c r="AI1995" s="225" t="s">
        <v>2037</v>
      </c>
      <c r="AJ1995" s="224" t="s">
        <v>1621</v>
      </c>
      <c r="AK1995" s="224"/>
      <c r="AL1995" s="224"/>
      <c r="AM1995" s="224"/>
      <c r="AN1995" s="225" t="s">
        <v>774</v>
      </c>
      <c r="AO1995" s="225" t="s">
        <v>774</v>
      </c>
      <c r="AP1995" s="92" t="s">
        <v>178</v>
      </c>
      <c r="AQ1995" s="224" t="s">
        <v>2041</v>
      </c>
      <c r="AR1995" s="224"/>
      <c r="AS1995" s="229" t="s">
        <v>2035</v>
      </c>
      <c r="AT1995" s="253" t="s">
        <v>161</v>
      </c>
      <c r="AU1995" s="225">
        <v>4</v>
      </c>
      <c r="AV1995" s="225">
        <v>4</v>
      </c>
      <c r="AW1995" s="224" t="s">
        <v>142</v>
      </c>
      <c r="AX1995" s="224"/>
      <c r="AY1995" s="224"/>
      <c r="AZ1995" s="224"/>
      <c r="BA1995" s="224"/>
      <c r="BB1995" s="224"/>
      <c r="BH1995" s="225"/>
      <c r="BI1995" s="225"/>
      <c r="BJ1995" s="224"/>
      <c r="BM1995" s="440">
        <f t="shared" si="275"/>
        <v>1.6220000000000001</v>
      </c>
      <c r="BN1995" s="440">
        <v>1.6120000000000001</v>
      </c>
      <c r="BR1995" s="441">
        <v>9.2478421701602934E-2</v>
      </c>
      <c r="BS1995" s="441">
        <v>0.12330456226880393</v>
      </c>
      <c r="IO1995" s="225" t="s">
        <v>2093</v>
      </c>
      <c r="IP1995" s="224"/>
      <c r="IQ1995" s="230"/>
    </row>
    <row r="1996" spans="1:251" s="92" customFormat="1" x14ac:dyDescent="0.25">
      <c r="A1996" s="252">
        <v>91</v>
      </c>
      <c r="B1996" s="252" t="s">
        <v>769</v>
      </c>
      <c r="C1996" s="253" t="s">
        <v>2128</v>
      </c>
      <c r="D1996" s="252">
        <v>2006</v>
      </c>
      <c r="E1996" s="253">
        <v>1999</v>
      </c>
      <c r="F1996" s="252" t="s">
        <v>948</v>
      </c>
      <c r="G1996" s="252" t="s">
        <v>2042</v>
      </c>
      <c r="H1996" s="252" t="s">
        <v>2831</v>
      </c>
      <c r="I1996" s="253">
        <v>32.56</v>
      </c>
      <c r="J1996" s="253">
        <v>-83.91</v>
      </c>
      <c r="K1996" s="254">
        <v>16</v>
      </c>
      <c r="L1996" s="254">
        <v>18.100000000000001</v>
      </c>
      <c r="M1996" s="253"/>
      <c r="N1996" s="254">
        <v>1258</v>
      </c>
      <c r="O1996" s="253"/>
      <c r="P1996" s="253"/>
      <c r="Q1996" s="254">
        <v>6</v>
      </c>
      <c r="R1996" s="255" t="s">
        <v>1984</v>
      </c>
      <c r="T1996" s="255" t="s">
        <v>2112</v>
      </c>
      <c r="U1996" s="256" t="s">
        <v>1392</v>
      </c>
      <c r="V1996" s="256">
        <v>10</v>
      </c>
      <c r="W1996" s="256" t="s">
        <v>1392</v>
      </c>
      <c r="X1996" s="256" t="s">
        <v>1421</v>
      </c>
      <c r="Y1996" s="257">
        <f>AVERAGE(Sheet1!BM1996:BN1996)</f>
        <v>1.4249999999999998</v>
      </c>
      <c r="Z1996" s="363">
        <v>65</v>
      </c>
      <c r="AA1996" s="363">
        <v>25</v>
      </c>
      <c r="AB1996" s="253" t="s">
        <v>241</v>
      </c>
      <c r="AC1996" s="253"/>
      <c r="AD1996" s="253"/>
      <c r="AE1996" s="253"/>
      <c r="AF1996" s="252" t="s">
        <v>2039</v>
      </c>
      <c r="AG1996" s="254" t="s">
        <v>244</v>
      </c>
      <c r="AH1996" s="253" t="s">
        <v>578</v>
      </c>
      <c r="AI1996" s="254" t="s">
        <v>2037</v>
      </c>
      <c r="AJ1996" s="253" t="s">
        <v>1621</v>
      </c>
      <c r="AK1996" s="253"/>
      <c r="AL1996" s="253"/>
      <c r="AM1996" s="253"/>
      <c r="AN1996" s="254" t="s">
        <v>774</v>
      </c>
      <c r="AO1996" s="254" t="s">
        <v>774</v>
      </c>
      <c r="AP1996" s="92" t="s">
        <v>2125</v>
      </c>
      <c r="AQ1996" s="253" t="s">
        <v>2036</v>
      </c>
      <c r="AR1996" s="253"/>
      <c r="AS1996" s="258" t="s">
        <v>2035</v>
      </c>
      <c r="AT1996" s="253" t="s">
        <v>161</v>
      </c>
      <c r="AU1996" s="254">
        <v>4</v>
      </c>
      <c r="AV1996" s="254">
        <v>4</v>
      </c>
      <c r="AW1996" s="253" t="s">
        <v>142</v>
      </c>
      <c r="AX1996" s="253"/>
      <c r="AY1996" s="253">
        <f>1/3*17540</f>
        <v>5846.6666666666661</v>
      </c>
      <c r="AZ1996" s="253"/>
      <c r="BA1996" s="253"/>
      <c r="BB1996" s="253"/>
      <c r="BH1996" s="254"/>
      <c r="BI1996" s="254"/>
      <c r="BJ1996" s="253"/>
      <c r="BM1996" s="439">
        <f t="shared" si="275"/>
        <v>1.43</v>
      </c>
      <c r="BN1996" s="439">
        <v>1.42</v>
      </c>
      <c r="BR1996" s="438">
        <v>0.6573426573426574</v>
      </c>
      <c r="BS1996" s="438">
        <v>0.66433566433566438</v>
      </c>
      <c r="IO1996" s="254" t="s">
        <v>2093</v>
      </c>
      <c r="IP1996" s="253"/>
      <c r="IQ1996" s="259"/>
    </row>
    <row r="1997" spans="1:251" s="92" customFormat="1" x14ac:dyDescent="0.25">
      <c r="A1997" s="252">
        <v>91</v>
      </c>
      <c r="B1997" s="252" t="s">
        <v>769</v>
      </c>
      <c r="C1997" s="253" t="s">
        <v>2128</v>
      </c>
      <c r="D1997" s="252">
        <v>2006</v>
      </c>
      <c r="E1997" s="253">
        <v>1999</v>
      </c>
      <c r="F1997" s="252" t="s">
        <v>948</v>
      </c>
      <c r="G1997" s="252" t="s">
        <v>2042</v>
      </c>
      <c r="H1997" s="252" t="s">
        <v>2831</v>
      </c>
      <c r="I1997" s="253">
        <v>32.56</v>
      </c>
      <c r="J1997" s="253">
        <v>-83.91</v>
      </c>
      <c r="K1997" s="254">
        <v>16</v>
      </c>
      <c r="L1997" s="254">
        <v>18.100000000000001</v>
      </c>
      <c r="M1997" s="253"/>
      <c r="N1997" s="254">
        <v>1258</v>
      </c>
      <c r="O1997" s="253"/>
      <c r="P1997" s="253"/>
      <c r="Q1997" s="254">
        <v>6</v>
      </c>
      <c r="R1997" s="255" t="s">
        <v>1984</v>
      </c>
      <c r="T1997" s="255" t="s">
        <v>2112</v>
      </c>
      <c r="U1997" s="256" t="s">
        <v>1412</v>
      </c>
      <c r="V1997" s="256">
        <v>20</v>
      </c>
      <c r="W1997" s="256" t="s">
        <v>1392</v>
      </c>
      <c r="X1997" s="256" t="s">
        <v>1421</v>
      </c>
      <c r="Y1997" s="257">
        <f>AVERAGE(Sheet1!BM1997:BN1997)</f>
        <v>1.5550000000000002</v>
      </c>
      <c r="Z1997" s="363">
        <v>65</v>
      </c>
      <c r="AA1997" s="363">
        <v>25</v>
      </c>
      <c r="AB1997" s="253" t="s">
        <v>241</v>
      </c>
      <c r="AC1997" s="253"/>
      <c r="AD1997" s="253"/>
      <c r="AE1997" s="253"/>
      <c r="AF1997" s="252" t="s">
        <v>2039</v>
      </c>
      <c r="AG1997" s="254" t="s">
        <v>244</v>
      </c>
      <c r="AH1997" s="253" t="s">
        <v>578</v>
      </c>
      <c r="AI1997" s="254" t="s">
        <v>2037</v>
      </c>
      <c r="AJ1997" s="253" t="s">
        <v>1621</v>
      </c>
      <c r="AK1997" s="253"/>
      <c r="AL1997" s="253"/>
      <c r="AM1997" s="253"/>
      <c r="AN1997" s="254" t="s">
        <v>774</v>
      </c>
      <c r="AO1997" s="254" t="s">
        <v>774</v>
      </c>
      <c r="AP1997" s="92" t="s">
        <v>178</v>
      </c>
      <c r="AQ1997" s="253" t="s">
        <v>2036</v>
      </c>
      <c r="AR1997" s="253"/>
      <c r="AS1997" s="258" t="s">
        <v>2035</v>
      </c>
      <c r="AT1997" s="253" t="s">
        <v>161</v>
      </c>
      <c r="AU1997" s="254">
        <v>4</v>
      </c>
      <c r="AV1997" s="254">
        <v>4</v>
      </c>
      <c r="AW1997" s="253" t="s">
        <v>142</v>
      </c>
      <c r="AX1997" s="253"/>
      <c r="AY1997" s="253"/>
      <c r="AZ1997" s="253"/>
      <c r="BA1997" s="253"/>
      <c r="BB1997" s="253"/>
      <c r="BH1997" s="254"/>
      <c r="BI1997" s="254"/>
      <c r="BJ1997" s="253"/>
      <c r="BM1997" s="439">
        <f t="shared" si="275"/>
        <v>1.56</v>
      </c>
      <c r="BN1997" s="439">
        <v>1.55</v>
      </c>
      <c r="BR1997" s="438">
        <v>0.41987179487179482</v>
      </c>
      <c r="BS1997" s="438">
        <v>0.4679487179487179</v>
      </c>
      <c r="IO1997" s="254" t="s">
        <v>2093</v>
      </c>
      <c r="IP1997" s="253"/>
      <c r="IQ1997" s="259"/>
    </row>
    <row r="1998" spans="1:251" s="92" customFormat="1" x14ac:dyDescent="0.25">
      <c r="A1998" s="252">
        <v>91</v>
      </c>
      <c r="B1998" s="252" t="s">
        <v>769</v>
      </c>
      <c r="C1998" s="253" t="s">
        <v>2128</v>
      </c>
      <c r="D1998" s="252">
        <v>2006</v>
      </c>
      <c r="E1998" s="253">
        <v>1999</v>
      </c>
      <c r="F1998" s="252" t="s">
        <v>948</v>
      </c>
      <c r="G1998" s="252" t="s">
        <v>2042</v>
      </c>
      <c r="H1998" s="252" t="s">
        <v>2831</v>
      </c>
      <c r="I1998" s="253">
        <v>32.56</v>
      </c>
      <c r="J1998" s="253">
        <v>-83.91</v>
      </c>
      <c r="K1998" s="254">
        <v>16</v>
      </c>
      <c r="L1998" s="254">
        <v>18.100000000000001</v>
      </c>
      <c r="M1998" s="253"/>
      <c r="N1998" s="254">
        <v>1258</v>
      </c>
      <c r="O1998" s="253"/>
      <c r="P1998" s="253"/>
      <c r="Q1998" s="254">
        <v>6</v>
      </c>
      <c r="R1998" s="255" t="s">
        <v>1984</v>
      </c>
      <c r="T1998" s="255" t="s">
        <v>2112</v>
      </c>
      <c r="U1998" s="256" t="s">
        <v>1406</v>
      </c>
      <c r="V1998" s="256">
        <v>30</v>
      </c>
      <c r="W1998" s="256" t="s">
        <v>1392</v>
      </c>
      <c r="X1998" s="256" t="s">
        <v>1421</v>
      </c>
      <c r="Y1998" s="257">
        <f>AVERAGE(Sheet1!BM1998:BN1998)</f>
        <v>1.3919999999999999</v>
      </c>
      <c r="Z1998" s="363">
        <v>65</v>
      </c>
      <c r="AA1998" s="363">
        <v>25</v>
      </c>
      <c r="AB1998" s="253" t="s">
        <v>241</v>
      </c>
      <c r="AC1998" s="253"/>
      <c r="AD1998" s="253"/>
      <c r="AE1998" s="253"/>
      <c r="AF1998" s="252" t="s">
        <v>2039</v>
      </c>
      <c r="AG1998" s="254" t="s">
        <v>244</v>
      </c>
      <c r="AH1998" s="253" t="s">
        <v>578</v>
      </c>
      <c r="AI1998" s="254" t="s">
        <v>2037</v>
      </c>
      <c r="AJ1998" s="253" t="s">
        <v>1621</v>
      </c>
      <c r="AK1998" s="253"/>
      <c r="AL1998" s="253"/>
      <c r="AM1998" s="253"/>
      <c r="AN1998" s="254" t="s">
        <v>774</v>
      </c>
      <c r="AO1998" s="254" t="s">
        <v>774</v>
      </c>
      <c r="AP1998" s="92" t="s">
        <v>2125</v>
      </c>
      <c r="AQ1998" s="253" t="s">
        <v>2036</v>
      </c>
      <c r="AR1998" s="253"/>
      <c r="AS1998" s="258" t="s">
        <v>2035</v>
      </c>
      <c r="AT1998" s="253" t="s">
        <v>161</v>
      </c>
      <c r="AU1998" s="254">
        <v>4</v>
      </c>
      <c r="AV1998" s="254">
        <v>4</v>
      </c>
      <c r="AW1998" s="253" t="s">
        <v>142</v>
      </c>
      <c r="AX1998" s="253"/>
      <c r="AY1998" s="253"/>
      <c r="AZ1998" s="253"/>
      <c r="BA1998" s="253"/>
      <c r="BB1998" s="253"/>
      <c r="BH1998" s="254"/>
      <c r="BI1998" s="254"/>
      <c r="BJ1998" s="253"/>
      <c r="BM1998" s="439">
        <f t="shared" si="275"/>
        <v>1.397</v>
      </c>
      <c r="BN1998" s="439">
        <v>1.387</v>
      </c>
      <c r="BR1998" s="438">
        <v>0.22429014554998808</v>
      </c>
      <c r="BS1998" s="438">
        <v>0.28871391076115482</v>
      </c>
      <c r="IO1998" s="254" t="s">
        <v>2093</v>
      </c>
      <c r="IP1998" s="253"/>
      <c r="IQ1998" s="259"/>
    </row>
    <row r="1999" spans="1:251" s="92" customFormat="1" x14ac:dyDescent="0.25">
      <c r="A1999" s="252">
        <v>91</v>
      </c>
      <c r="B1999" s="252" t="s">
        <v>769</v>
      </c>
      <c r="C1999" s="253" t="s">
        <v>2128</v>
      </c>
      <c r="D1999" s="252">
        <v>2006</v>
      </c>
      <c r="E1999" s="253">
        <v>1999</v>
      </c>
      <c r="F1999" s="252" t="s">
        <v>948</v>
      </c>
      <c r="G1999" s="252" t="s">
        <v>2042</v>
      </c>
      <c r="H1999" s="252" t="s">
        <v>2831</v>
      </c>
      <c r="I1999" s="253">
        <v>32.56</v>
      </c>
      <c r="J1999" s="253">
        <v>-83.91</v>
      </c>
      <c r="K1999" s="254">
        <v>16</v>
      </c>
      <c r="L1999" s="254">
        <v>18.100000000000001</v>
      </c>
      <c r="M1999" s="253"/>
      <c r="N1999" s="254">
        <v>1258</v>
      </c>
      <c r="O1999" s="253"/>
      <c r="P1999" s="253"/>
      <c r="Q1999" s="254">
        <v>6</v>
      </c>
      <c r="R1999" s="255" t="s">
        <v>1984</v>
      </c>
      <c r="T1999" s="255" t="s">
        <v>2112</v>
      </c>
      <c r="U1999" s="256" t="s">
        <v>1407</v>
      </c>
      <c r="V1999" s="256">
        <v>30</v>
      </c>
      <c r="W1999" s="256" t="s">
        <v>1392</v>
      </c>
      <c r="X1999" s="256" t="s">
        <v>1421</v>
      </c>
      <c r="Y1999" s="257">
        <f>AVERAGE(Sheet1!BM1999:BN1999)</f>
        <v>1.5939999999999999</v>
      </c>
      <c r="Z1999" s="363">
        <v>65</v>
      </c>
      <c r="AA1999" s="363">
        <v>25</v>
      </c>
      <c r="AB1999" s="253" t="s">
        <v>241</v>
      </c>
      <c r="AC1999" s="253"/>
      <c r="AD1999" s="253"/>
      <c r="AE1999" s="253"/>
      <c r="AF1999" s="252" t="s">
        <v>2039</v>
      </c>
      <c r="AG1999" s="254" t="s">
        <v>244</v>
      </c>
      <c r="AH1999" s="253" t="s">
        <v>578</v>
      </c>
      <c r="AI1999" s="254" t="s">
        <v>2037</v>
      </c>
      <c r="AJ1999" s="253" t="s">
        <v>1621</v>
      </c>
      <c r="AK1999" s="253"/>
      <c r="AL1999" s="253"/>
      <c r="AM1999" s="253"/>
      <c r="AN1999" s="254" t="s">
        <v>774</v>
      </c>
      <c r="AO1999" s="254" t="s">
        <v>774</v>
      </c>
      <c r="AP1999" s="92" t="s">
        <v>178</v>
      </c>
      <c r="AQ1999" s="253" t="s">
        <v>2036</v>
      </c>
      <c r="AR1999" s="253"/>
      <c r="AS1999" s="258" t="s">
        <v>2035</v>
      </c>
      <c r="AT1999" s="253" t="s">
        <v>161</v>
      </c>
      <c r="AU1999" s="254">
        <v>4</v>
      </c>
      <c r="AV1999" s="254">
        <v>4</v>
      </c>
      <c r="AW1999" s="253" t="s">
        <v>142</v>
      </c>
      <c r="AX1999" s="253"/>
      <c r="AY1999" s="253"/>
      <c r="AZ1999" s="253"/>
      <c r="BA1999" s="253"/>
      <c r="BB1999" s="253"/>
      <c r="BH1999" s="254"/>
      <c r="BI1999" s="254"/>
      <c r="BJ1999" s="253"/>
      <c r="BM1999" s="439">
        <f t="shared" si="275"/>
        <v>1.599</v>
      </c>
      <c r="BN1999" s="439">
        <v>1.589</v>
      </c>
      <c r="BR1999" s="438">
        <v>0.16468626224723787</v>
      </c>
      <c r="BS1999" s="438">
        <v>0.16677089847821555</v>
      </c>
      <c r="IO1999" s="254" t="s">
        <v>2093</v>
      </c>
      <c r="IP1999" s="253"/>
      <c r="IQ1999" s="259"/>
    </row>
    <row r="2000" spans="1:251" s="92" customFormat="1" x14ac:dyDescent="0.25">
      <c r="A2000" s="252">
        <v>91</v>
      </c>
      <c r="B2000" s="252" t="s">
        <v>769</v>
      </c>
      <c r="C2000" s="253" t="s">
        <v>2128</v>
      </c>
      <c r="D2000" s="252">
        <v>2006</v>
      </c>
      <c r="E2000" s="253">
        <v>1999</v>
      </c>
      <c r="F2000" s="252" t="s">
        <v>948</v>
      </c>
      <c r="G2000" s="252" t="s">
        <v>2042</v>
      </c>
      <c r="H2000" s="252" t="s">
        <v>2831</v>
      </c>
      <c r="I2000" s="253">
        <v>32.56</v>
      </c>
      <c r="J2000" s="253">
        <v>-83.91</v>
      </c>
      <c r="K2000" s="254">
        <v>16</v>
      </c>
      <c r="L2000" s="254">
        <v>18.100000000000001</v>
      </c>
      <c r="M2000" s="253"/>
      <c r="N2000" s="254">
        <v>1258</v>
      </c>
      <c r="O2000" s="253"/>
      <c r="P2000" s="253"/>
      <c r="Q2000" s="254">
        <v>6</v>
      </c>
      <c r="R2000" s="255" t="s">
        <v>1984</v>
      </c>
      <c r="T2000" s="255" t="s">
        <v>2112</v>
      </c>
      <c r="U2000" s="256" t="s">
        <v>1419</v>
      </c>
      <c r="V2000" s="256">
        <v>30</v>
      </c>
      <c r="W2000" s="256" t="s">
        <v>1392</v>
      </c>
      <c r="X2000" s="256" t="s">
        <v>1421</v>
      </c>
      <c r="Y2000" s="257">
        <f>AVERAGE(Sheet1!BM2000:BN2000)</f>
        <v>1.617</v>
      </c>
      <c r="Z2000" s="363">
        <v>65</v>
      </c>
      <c r="AA2000" s="363">
        <v>25</v>
      </c>
      <c r="AB2000" s="253" t="s">
        <v>241</v>
      </c>
      <c r="AC2000" s="253"/>
      <c r="AD2000" s="253"/>
      <c r="AE2000" s="253"/>
      <c r="AF2000" s="252" t="s">
        <v>2039</v>
      </c>
      <c r="AG2000" s="254" t="s">
        <v>244</v>
      </c>
      <c r="AH2000" s="253" t="s">
        <v>578</v>
      </c>
      <c r="AI2000" s="254" t="s">
        <v>2037</v>
      </c>
      <c r="AJ2000" s="253" t="s">
        <v>1621</v>
      </c>
      <c r="AK2000" s="253"/>
      <c r="AL2000" s="253"/>
      <c r="AM2000" s="253"/>
      <c r="AN2000" s="254" t="s">
        <v>774</v>
      </c>
      <c r="AO2000" s="254" t="s">
        <v>774</v>
      </c>
      <c r="AP2000" s="92" t="s">
        <v>2125</v>
      </c>
      <c r="AQ2000" s="253" t="s">
        <v>2036</v>
      </c>
      <c r="AR2000" s="253"/>
      <c r="AS2000" s="258" t="s">
        <v>2035</v>
      </c>
      <c r="AT2000" s="253" t="s">
        <v>161</v>
      </c>
      <c r="AU2000" s="254">
        <v>4</v>
      </c>
      <c r="AV2000" s="254">
        <v>4</v>
      </c>
      <c r="AW2000" s="253" t="s">
        <v>142</v>
      </c>
      <c r="AX2000" s="253"/>
      <c r="AY2000" s="253"/>
      <c r="AZ2000" s="253"/>
      <c r="BA2000" s="253"/>
      <c r="BB2000" s="253"/>
      <c r="BH2000" s="254"/>
      <c r="BI2000" s="254"/>
      <c r="BJ2000" s="253"/>
      <c r="BM2000" s="439">
        <f t="shared" si="275"/>
        <v>1.6220000000000001</v>
      </c>
      <c r="BN2000" s="439">
        <v>1.6120000000000001</v>
      </c>
      <c r="BR2000" s="438">
        <v>0.12741471434443072</v>
      </c>
      <c r="BS2000" s="438">
        <v>0.13563501849568432</v>
      </c>
      <c r="IO2000" s="254" t="s">
        <v>2093</v>
      </c>
      <c r="IP2000" s="253"/>
      <c r="IQ2000" s="259"/>
    </row>
    <row r="2001" spans="1:251" s="36" customFormat="1" x14ac:dyDescent="0.25">
      <c r="A2001" s="223">
        <v>91</v>
      </c>
      <c r="B2001" s="223" t="s">
        <v>769</v>
      </c>
      <c r="C2001" s="224" t="s">
        <v>2128</v>
      </c>
      <c r="D2001" s="223">
        <v>2006</v>
      </c>
      <c r="E2001" s="224">
        <v>1999</v>
      </c>
      <c r="F2001" s="223" t="s">
        <v>948</v>
      </c>
      <c r="G2001" s="223" t="s">
        <v>2042</v>
      </c>
      <c r="H2001" s="252" t="s">
        <v>2831</v>
      </c>
      <c r="I2001" s="224">
        <v>32.56</v>
      </c>
      <c r="J2001" s="224">
        <v>-83.91</v>
      </c>
      <c r="K2001" s="225">
        <v>16</v>
      </c>
      <c r="L2001" s="225">
        <v>18.100000000000001</v>
      </c>
      <c r="M2001" s="224"/>
      <c r="N2001" s="225">
        <v>1258</v>
      </c>
      <c r="O2001" s="224"/>
      <c r="P2001" s="224"/>
      <c r="Q2001" s="225">
        <v>6</v>
      </c>
      <c r="R2001" s="226" t="s">
        <v>1984</v>
      </c>
      <c r="T2001" s="226" t="s">
        <v>2112</v>
      </c>
      <c r="U2001" s="227" t="s">
        <v>1392</v>
      </c>
      <c r="V2001" s="227">
        <v>10</v>
      </c>
      <c r="W2001" s="227" t="s">
        <v>1392</v>
      </c>
      <c r="X2001" s="227" t="s">
        <v>1421</v>
      </c>
      <c r="Y2001" s="228">
        <f>AVERAGE(Sheet1!BM2001:BN2001)</f>
        <v>1.4249999999999998</v>
      </c>
      <c r="Z2001" s="364">
        <v>65</v>
      </c>
      <c r="AA2001" s="364">
        <v>25</v>
      </c>
      <c r="AB2001" s="224" t="s">
        <v>241</v>
      </c>
      <c r="AC2001" s="224"/>
      <c r="AD2001" s="224"/>
      <c r="AE2001" s="224"/>
      <c r="AF2001" s="223" t="s">
        <v>2039</v>
      </c>
      <c r="AG2001" s="225" t="s">
        <v>2038</v>
      </c>
      <c r="AH2001" s="224" t="s">
        <v>1586</v>
      </c>
      <c r="AI2001" s="225" t="s">
        <v>2037</v>
      </c>
      <c r="AJ2001" s="224" t="s">
        <v>1621</v>
      </c>
      <c r="AK2001" s="224"/>
      <c r="AL2001" s="224"/>
      <c r="AM2001" s="224"/>
      <c r="AN2001" s="225" t="s">
        <v>774</v>
      </c>
      <c r="AO2001" s="225" t="s">
        <v>774</v>
      </c>
      <c r="AP2001" s="92" t="s">
        <v>178</v>
      </c>
      <c r="AQ2001" s="224" t="s">
        <v>162</v>
      </c>
      <c r="AR2001" s="224"/>
      <c r="AS2001" s="229" t="s">
        <v>2035</v>
      </c>
      <c r="AT2001" s="253" t="s">
        <v>161</v>
      </c>
      <c r="AU2001" s="225">
        <v>4</v>
      </c>
      <c r="AV2001" s="225">
        <v>4</v>
      </c>
      <c r="AW2001" s="224" t="s">
        <v>142</v>
      </c>
      <c r="AX2001" s="224"/>
      <c r="AY2001" s="224">
        <f>1/3*18940</f>
        <v>6313.333333333333</v>
      </c>
      <c r="AZ2001" s="224"/>
      <c r="BA2001" s="224"/>
      <c r="BB2001" s="224"/>
      <c r="BH2001" s="225"/>
      <c r="BI2001" s="225"/>
      <c r="BJ2001" s="224"/>
      <c r="BM2001" s="440">
        <f t="shared" si="275"/>
        <v>1.43</v>
      </c>
      <c r="BN2001" s="440">
        <v>1.42</v>
      </c>
      <c r="BR2001" s="441">
        <v>0.55944055944055948</v>
      </c>
      <c r="BS2001" s="441">
        <v>0.66433566433566438</v>
      </c>
      <c r="IO2001" s="225" t="s">
        <v>2093</v>
      </c>
      <c r="IP2001" s="224"/>
      <c r="IQ2001" s="230"/>
    </row>
    <row r="2002" spans="1:251" s="36" customFormat="1" x14ac:dyDescent="0.25">
      <c r="A2002" s="223">
        <v>91</v>
      </c>
      <c r="B2002" s="223" t="s">
        <v>769</v>
      </c>
      <c r="C2002" s="224" t="s">
        <v>2128</v>
      </c>
      <c r="D2002" s="223">
        <v>2006</v>
      </c>
      <c r="E2002" s="224">
        <v>1999</v>
      </c>
      <c r="F2002" s="223" t="s">
        <v>948</v>
      </c>
      <c r="G2002" s="223" t="s">
        <v>2042</v>
      </c>
      <c r="H2002" s="252" t="s">
        <v>2831</v>
      </c>
      <c r="I2002" s="224">
        <v>32.56</v>
      </c>
      <c r="J2002" s="224">
        <v>-83.91</v>
      </c>
      <c r="K2002" s="225">
        <v>16</v>
      </c>
      <c r="L2002" s="225">
        <v>18.100000000000001</v>
      </c>
      <c r="M2002" s="224"/>
      <c r="N2002" s="225">
        <v>1258</v>
      </c>
      <c r="O2002" s="224"/>
      <c r="P2002" s="224"/>
      <c r="Q2002" s="225">
        <v>6</v>
      </c>
      <c r="R2002" s="226" t="s">
        <v>1984</v>
      </c>
      <c r="T2002" s="226" t="s">
        <v>2112</v>
      </c>
      <c r="U2002" s="227" t="s">
        <v>1412</v>
      </c>
      <c r="V2002" s="227">
        <v>20</v>
      </c>
      <c r="W2002" s="227" t="s">
        <v>1392</v>
      </c>
      <c r="X2002" s="227" t="s">
        <v>1421</v>
      </c>
      <c r="Y2002" s="228">
        <f>AVERAGE(Sheet1!BM2002:BN2002)</f>
        <v>1.5550000000000002</v>
      </c>
      <c r="Z2002" s="364">
        <v>65</v>
      </c>
      <c r="AA2002" s="364">
        <v>25</v>
      </c>
      <c r="AB2002" s="224" t="s">
        <v>241</v>
      </c>
      <c r="AC2002" s="224"/>
      <c r="AD2002" s="224"/>
      <c r="AE2002" s="224"/>
      <c r="AF2002" s="223" t="s">
        <v>2039</v>
      </c>
      <c r="AG2002" s="225" t="s">
        <v>2038</v>
      </c>
      <c r="AH2002" s="224" t="s">
        <v>1586</v>
      </c>
      <c r="AI2002" s="225" t="s">
        <v>2037</v>
      </c>
      <c r="AJ2002" s="224" t="s">
        <v>1621</v>
      </c>
      <c r="AK2002" s="224"/>
      <c r="AL2002" s="224"/>
      <c r="AM2002" s="224"/>
      <c r="AN2002" s="225" t="s">
        <v>774</v>
      </c>
      <c r="AO2002" s="225" t="s">
        <v>774</v>
      </c>
      <c r="AP2002" s="92" t="s">
        <v>2125</v>
      </c>
      <c r="AQ2002" s="224" t="s">
        <v>162</v>
      </c>
      <c r="AR2002" s="224"/>
      <c r="AS2002" s="229" t="s">
        <v>2035</v>
      </c>
      <c r="AT2002" s="253" t="s">
        <v>161</v>
      </c>
      <c r="AU2002" s="225">
        <v>4</v>
      </c>
      <c r="AV2002" s="225">
        <v>4</v>
      </c>
      <c r="AW2002" s="224" t="s">
        <v>142</v>
      </c>
      <c r="AX2002" s="224"/>
      <c r="AY2002" s="224"/>
      <c r="AZ2002" s="224"/>
      <c r="BA2002" s="224"/>
      <c r="BB2002" s="224"/>
      <c r="BH2002" s="225"/>
      <c r="BI2002" s="225"/>
      <c r="BJ2002" s="224"/>
      <c r="BM2002" s="440">
        <f t="shared" si="275"/>
        <v>1.56</v>
      </c>
      <c r="BN2002" s="440">
        <v>1.55</v>
      </c>
      <c r="BR2002" s="441">
        <v>0.39743589743589747</v>
      </c>
      <c r="BS2002" s="441">
        <v>0.45833333333333331</v>
      </c>
      <c r="IO2002" s="225" t="s">
        <v>2093</v>
      </c>
      <c r="IP2002" s="224"/>
      <c r="IQ2002" s="230"/>
    </row>
    <row r="2003" spans="1:251" s="36" customFormat="1" x14ac:dyDescent="0.25">
      <c r="A2003" s="223">
        <v>91</v>
      </c>
      <c r="B2003" s="223" t="s">
        <v>769</v>
      </c>
      <c r="C2003" s="224" t="s">
        <v>2128</v>
      </c>
      <c r="D2003" s="223">
        <v>2006</v>
      </c>
      <c r="E2003" s="224">
        <v>1999</v>
      </c>
      <c r="F2003" s="223" t="s">
        <v>948</v>
      </c>
      <c r="G2003" s="223" t="s">
        <v>2042</v>
      </c>
      <c r="H2003" s="252" t="s">
        <v>2831</v>
      </c>
      <c r="I2003" s="224">
        <v>32.56</v>
      </c>
      <c r="J2003" s="224">
        <v>-83.91</v>
      </c>
      <c r="K2003" s="225">
        <v>16</v>
      </c>
      <c r="L2003" s="225">
        <v>18.100000000000001</v>
      </c>
      <c r="M2003" s="224"/>
      <c r="N2003" s="225">
        <v>1258</v>
      </c>
      <c r="O2003" s="224"/>
      <c r="P2003" s="224"/>
      <c r="Q2003" s="225">
        <v>6</v>
      </c>
      <c r="R2003" s="226" t="s">
        <v>1984</v>
      </c>
      <c r="T2003" s="226" t="s">
        <v>2112</v>
      </c>
      <c r="U2003" s="227" t="s">
        <v>1406</v>
      </c>
      <c r="V2003" s="227">
        <v>30</v>
      </c>
      <c r="W2003" s="227" t="s">
        <v>1392</v>
      </c>
      <c r="X2003" s="227" t="s">
        <v>1421</v>
      </c>
      <c r="Y2003" s="228">
        <f>AVERAGE(Sheet1!BM2003:BN2003)</f>
        <v>1.3919999999999999</v>
      </c>
      <c r="Z2003" s="364">
        <v>65</v>
      </c>
      <c r="AA2003" s="364">
        <v>25</v>
      </c>
      <c r="AB2003" s="224" t="s">
        <v>241</v>
      </c>
      <c r="AC2003" s="224"/>
      <c r="AD2003" s="224"/>
      <c r="AE2003" s="224"/>
      <c r="AF2003" s="223" t="s">
        <v>2039</v>
      </c>
      <c r="AG2003" s="225" t="s">
        <v>2038</v>
      </c>
      <c r="AH2003" s="224" t="s">
        <v>1586</v>
      </c>
      <c r="AI2003" s="225" t="s">
        <v>2037</v>
      </c>
      <c r="AJ2003" s="224" t="s">
        <v>1621</v>
      </c>
      <c r="AK2003" s="224"/>
      <c r="AL2003" s="224"/>
      <c r="AM2003" s="224"/>
      <c r="AN2003" s="225" t="s">
        <v>774</v>
      </c>
      <c r="AO2003" s="225" t="s">
        <v>774</v>
      </c>
      <c r="AP2003" s="92" t="s">
        <v>178</v>
      </c>
      <c r="AQ2003" s="224" t="s">
        <v>162</v>
      </c>
      <c r="AR2003" s="224"/>
      <c r="AS2003" s="229" t="s">
        <v>2035</v>
      </c>
      <c r="AT2003" s="253" t="s">
        <v>161</v>
      </c>
      <c r="AU2003" s="225">
        <v>4</v>
      </c>
      <c r="AV2003" s="225">
        <v>4</v>
      </c>
      <c r="AW2003" s="224" t="s">
        <v>142</v>
      </c>
      <c r="AX2003" s="224"/>
      <c r="AY2003" s="224"/>
      <c r="AZ2003" s="224"/>
      <c r="BA2003" s="224"/>
      <c r="BB2003" s="224"/>
      <c r="BH2003" s="225"/>
      <c r="BI2003" s="225"/>
      <c r="BJ2003" s="224"/>
      <c r="BM2003" s="440">
        <f t="shared" si="275"/>
        <v>1.397</v>
      </c>
      <c r="BN2003" s="440">
        <v>1.387</v>
      </c>
      <c r="BR2003" s="441">
        <v>0.21951801479360533</v>
      </c>
      <c r="BS2003" s="441">
        <v>0.24815079933190168</v>
      </c>
      <c r="IO2003" s="225" t="s">
        <v>2093</v>
      </c>
      <c r="IP2003" s="224"/>
      <c r="IQ2003" s="230"/>
    </row>
    <row r="2004" spans="1:251" s="36" customFormat="1" x14ac:dyDescent="0.25">
      <c r="A2004" s="223">
        <v>91</v>
      </c>
      <c r="B2004" s="223" t="s">
        <v>769</v>
      </c>
      <c r="C2004" s="224" t="s">
        <v>2128</v>
      </c>
      <c r="D2004" s="223">
        <v>2006</v>
      </c>
      <c r="E2004" s="224">
        <v>1999</v>
      </c>
      <c r="F2004" s="223" t="s">
        <v>948</v>
      </c>
      <c r="G2004" s="223" t="s">
        <v>2042</v>
      </c>
      <c r="H2004" s="252" t="s">
        <v>2831</v>
      </c>
      <c r="I2004" s="224">
        <v>32.56</v>
      </c>
      <c r="J2004" s="224">
        <v>-83.91</v>
      </c>
      <c r="K2004" s="225">
        <v>16</v>
      </c>
      <c r="L2004" s="225">
        <v>18.100000000000001</v>
      </c>
      <c r="M2004" s="224"/>
      <c r="N2004" s="225">
        <v>1258</v>
      </c>
      <c r="O2004" s="224"/>
      <c r="P2004" s="224"/>
      <c r="Q2004" s="225">
        <v>6</v>
      </c>
      <c r="R2004" s="226" t="s">
        <v>1984</v>
      </c>
      <c r="T2004" s="226" t="s">
        <v>2112</v>
      </c>
      <c r="U2004" s="227" t="s">
        <v>1407</v>
      </c>
      <c r="V2004" s="227">
        <v>30</v>
      </c>
      <c r="W2004" s="227" t="s">
        <v>1392</v>
      </c>
      <c r="X2004" s="227" t="s">
        <v>1421</v>
      </c>
      <c r="Y2004" s="228">
        <f>AVERAGE(Sheet1!BM2004:BN2004)</f>
        <v>1.5939999999999999</v>
      </c>
      <c r="Z2004" s="364">
        <v>65</v>
      </c>
      <c r="AA2004" s="364">
        <v>25</v>
      </c>
      <c r="AB2004" s="224" t="s">
        <v>241</v>
      </c>
      <c r="AC2004" s="224"/>
      <c r="AD2004" s="224"/>
      <c r="AE2004" s="224"/>
      <c r="AF2004" s="223" t="s">
        <v>2039</v>
      </c>
      <c r="AG2004" s="225" t="s">
        <v>2038</v>
      </c>
      <c r="AH2004" s="224" t="s">
        <v>1586</v>
      </c>
      <c r="AI2004" s="225" t="s">
        <v>2037</v>
      </c>
      <c r="AJ2004" s="224" t="s">
        <v>1621</v>
      </c>
      <c r="AK2004" s="224"/>
      <c r="AL2004" s="224"/>
      <c r="AM2004" s="224"/>
      <c r="AN2004" s="225" t="s">
        <v>774</v>
      </c>
      <c r="AO2004" s="225" t="s">
        <v>774</v>
      </c>
      <c r="AP2004" s="92" t="s">
        <v>2125</v>
      </c>
      <c r="AQ2004" s="224" t="s">
        <v>162</v>
      </c>
      <c r="AR2004" s="224"/>
      <c r="AS2004" s="229" t="s">
        <v>2035</v>
      </c>
      <c r="AT2004" s="253" t="s">
        <v>161</v>
      </c>
      <c r="AU2004" s="225">
        <v>4</v>
      </c>
      <c r="AV2004" s="225">
        <v>4</v>
      </c>
      <c r="AW2004" s="224" t="s">
        <v>142</v>
      </c>
      <c r="AX2004" s="224"/>
      <c r="AY2004" s="224"/>
      <c r="AZ2004" s="224"/>
      <c r="BA2004" s="224"/>
      <c r="BB2004" s="224"/>
      <c r="BH2004" s="225"/>
      <c r="BI2004" s="225"/>
      <c r="BJ2004" s="224"/>
      <c r="BM2004" s="440">
        <f t="shared" si="275"/>
        <v>1.599</v>
      </c>
      <c r="BN2004" s="440">
        <v>1.589</v>
      </c>
      <c r="BR2004" s="441">
        <v>0.1480091723994163</v>
      </c>
      <c r="BS2004" s="441">
        <v>0.16885553470919323</v>
      </c>
      <c r="IO2004" s="225" t="s">
        <v>2093</v>
      </c>
      <c r="IP2004" s="224"/>
      <c r="IQ2004" s="230"/>
    </row>
    <row r="2005" spans="1:251" s="36" customFormat="1" x14ac:dyDescent="0.25">
      <c r="A2005" s="223">
        <v>91</v>
      </c>
      <c r="B2005" s="223" t="s">
        <v>769</v>
      </c>
      <c r="C2005" s="224" t="s">
        <v>2128</v>
      </c>
      <c r="D2005" s="223">
        <v>2006</v>
      </c>
      <c r="E2005" s="224">
        <v>1999</v>
      </c>
      <c r="F2005" s="223" t="s">
        <v>948</v>
      </c>
      <c r="G2005" s="223" t="s">
        <v>2042</v>
      </c>
      <c r="H2005" s="252" t="s">
        <v>2831</v>
      </c>
      <c r="I2005" s="224">
        <v>32.56</v>
      </c>
      <c r="J2005" s="224">
        <v>-83.91</v>
      </c>
      <c r="K2005" s="225">
        <v>16</v>
      </c>
      <c r="L2005" s="225">
        <v>18.100000000000001</v>
      </c>
      <c r="M2005" s="224"/>
      <c r="N2005" s="225">
        <v>1258</v>
      </c>
      <c r="O2005" s="224"/>
      <c r="P2005" s="224"/>
      <c r="Q2005" s="225">
        <v>6</v>
      </c>
      <c r="R2005" s="226" t="s">
        <v>1984</v>
      </c>
      <c r="T2005" s="226" t="s">
        <v>2112</v>
      </c>
      <c r="U2005" s="227" t="s">
        <v>1419</v>
      </c>
      <c r="V2005" s="227">
        <v>30</v>
      </c>
      <c r="W2005" s="227" t="s">
        <v>1392</v>
      </c>
      <c r="X2005" s="227" t="s">
        <v>1421</v>
      </c>
      <c r="Y2005" s="228">
        <f>AVERAGE(Sheet1!BM2005:BN2005)</f>
        <v>1.617</v>
      </c>
      <c r="Z2005" s="364">
        <v>65</v>
      </c>
      <c r="AA2005" s="364">
        <v>25</v>
      </c>
      <c r="AB2005" s="224" t="s">
        <v>241</v>
      </c>
      <c r="AC2005" s="224"/>
      <c r="AD2005" s="224"/>
      <c r="AE2005" s="224"/>
      <c r="AF2005" s="223" t="s">
        <v>2039</v>
      </c>
      <c r="AG2005" s="225" t="s">
        <v>2038</v>
      </c>
      <c r="AH2005" s="224" t="s">
        <v>1586</v>
      </c>
      <c r="AI2005" s="225" t="s">
        <v>2037</v>
      </c>
      <c r="AJ2005" s="224" t="s">
        <v>1621</v>
      </c>
      <c r="AK2005" s="224"/>
      <c r="AL2005" s="224"/>
      <c r="AM2005" s="224"/>
      <c r="AN2005" s="225" t="s">
        <v>774</v>
      </c>
      <c r="AO2005" s="225" t="s">
        <v>774</v>
      </c>
      <c r="AP2005" s="92" t="s">
        <v>178</v>
      </c>
      <c r="AQ2005" s="224" t="s">
        <v>162</v>
      </c>
      <c r="AR2005" s="224"/>
      <c r="AS2005" s="229" t="s">
        <v>2035</v>
      </c>
      <c r="AT2005" s="253" t="s">
        <v>161</v>
      </c>
      <c r="AU2005" s="225">
        <v>4</v>
      </c>
      <c r="AV2005" s="225">
        <v>4</v>
      </c>
      <c r="AW2005" s="224" t="s">
        <v>142</v>
      </c>
      <c r="AX2005" s="224"/>
      <c r="AY2005" s="224"/>
      <c r="AZ2005" s="224"/>
      <c r="BA2005" s="224"/>
      <c r="BB2005" s="224"/>
      <c r="BH2005" s="225"/>
      <c r="BI2005" s="225"/>
      <c r="BJ2005" s="224"/>
      <c r="BM2005" s="440">
        <f t="shared" si="275"/>
        <v>1.6220000000000001</v>
      </c>
      <c r="BN2005" s="440">
        <v>1.6120000000000001</v>
      </c>
      <c r="BR2005" s="441">
        <v>0.11302918207973693</v>
      </c>
      <c r="BS2005" s="441">
        <v>0.13152486642005751</v>
      </c>
      <c r="IO2005" s="225" t="s">
        <v>2093</v>
      </c>
      <c r="IP2005" s="224"/>
      <c r="IQ2005" s="230"/>
    </row>
    <row r="2006" spans="1:251" s="92" customFormat="1" x14ac:dyDescent="0.25">
      <c r="A2006" s="252">
        <v>91</v>
      </c>
      <c r="B2006" s="252" t="s">
        <v>769</v>
      </c>
      <c r="C2006" s="253" t="s">
        <v>2128</v>
      </c>
      <c r="D2006" s="252">
        <v>2006</v>
      </c>
      <c r="E2006" s="253">
        <v>1999</v>
      </c>
      <c r="F2006" s="252" t="s">
        <v>948</v>
      </c>
      <c r="G2006" s="252" t="s">
        <v>2042</v>
      </c>
      <c r="H2006" s="252" t="s">
        <v>2831</v>
      </c>
      <c r="I2006" s="253">
        <v>32.56</v>
      </c>
      <c r="J2006" s="253">
        <v>-83.91</v>
      </c>
      <c r="K2006" s="254">
        <v>16</v>
      </c>
      <c r="L2006" s="254">
        <v>18.100000000000001</v>
      </c>
      <c r="M2006" s="253"/>
      <c r="N2006" s="254">
        <v>1258</v>
      </c>
      <c r="O2006" s="253"/>
      <c r="P2006" s="253"/>
      <c r="Q2006" s="254">
        <v>6</v>
      </c>
      <c r="R2006" s="255" t="s">
        <v>1984</v>
      </c>
      <c r="T2006" s="255" t="s">
        <v>2112</v>
      </c>
      <c r="U2006" s="256" t="s">
        <v>1392</v>
      </c>
      <c r="V2006" s="256">
        <v>10</v>
      </c>
      <c r="W2006" s="256" t="s">
        <v>1392</v>
      </c>
      <c r="X2006" s="256" t="s">
        <v>1421</v>
      </c>
      <c r="Y2006" s="257">
        <f>AVERAGE(Sheet1!BM2006:BN2006)</f>
        <v>1.4249999999999998</v>
      </c>
      <c r="Z2006" s="363">
        <v>65</v>
      </c>
      <c r="AA2006" s="363">
        <v>25</v>
      </c>
      <c r="AB2006" s="253" t="s">
        <v>241</v>
      </c>
      <c r="AC2006" s="253"/>
      <c r="AD2006" s="253"/>
      <c r="AE2006" s="253"/>
      <c r="AF2006" s="252" t="s">
        <v>2039</v>
      </c>
      <c r="AG2006" s="254" t="s">
        <v>2038</v>
      </c>
      <c r="AH2006" s="253" t="s">
        <v>1586</v>
      </c>
      <c r="AI2006" s="254" t="s">
        <v>2037</v>
      </c>
      <c r="AJ2006" s="253" t="s">
        <v>1621</v>
      </c>
      <c r="AK2006" s="253"/>
      <c r="AL2006" s="253"/>
      <c r="AM2006" s="253"/>
      <c r="AN2006" s="254" t="s">
        <v>774</v>
      </c>
      <c r="AO2006" s="254" t="s">
        <v>774</v>
      </c>
      <c r="AP2006" s="92" t="s">
        <v>2125</v>
      </c>
      <c r="AQ2006" s="253" t="s">
        <v>2041</v>
      </c>
      <c r="AR2006" s="253"/>
      <c r="AS2006" s="258" t="s">
        <v>2035</v>
      </c>
      <c r="AT2006" s="253" t="s">
        <v>161</v>
      </c>
      <c r="AU2006" s="254">
        <v>4</v>
      </c>
      <c r="AV2006" s="254">
        <v>4</v>
      </c>
      <c r="AW2006" s="253" t="s">
        <v>142</v>
      </c>
      <c r="AX2006" s="253"/>
      <c r="AY2006" s="253">
        <f>1/3*22010</f>
        <v>7336.6666666666661</v>
      </c>
      <c r="AZ2006" s="253"/>
      <c r="BA2006" s="253"/>
      <c r="BB2006" s="253"/>
      <c r="BH2006" s="254"/>
      <c r="BI2006" s="254"/>
      <c r="BJ2006" s="253"/>
      <c r="BM2006" s="439">
        <f t="shared" si="275"/>
        <v>1.43</v>
      </c>
      <c r="BN2006" s="439">
        <v>1.42</v>
      </c>
      <c r="BR2006" s="438">
        <v>0.64335664335664322</v>
      </c>
      <c r="BS2006" s="438">
        <v>0.70629370629370625</v>
      </c>
      <c r="IO2006" s="254" t="s">
        <v>2093</v>
      </c>
      <c r="IP2006" s="253"/>
      <c r="IQ2006" s="259"/>
    </row>
    <row r="2007" spans="1:251" s="92" customFormat="1" x14ac:dyDescent="0.25">
      <c r="A2007" s="252">
        <v>91</v>
      </c>
      <c r="B2007" s="252" t="s">
        <v>769</v>
      </c>
      <c r="C2007" s="253" t="s">
        <v>2128</v>
      </c>
      <c r="D2007" s="252">
        <v>2006</v>
      </c>
      <c r="E2007" s="253">
        <v>1999</v>
      </c>
      <c r="F2007" s="252" t="s">
        <v>948</v>
      </c>
      <c r="G2007" s="252" t="s">
        <v>2042</v>
      </c>
      <c r="H2007" s="252" t="s">
        <v>2831</v>
      </c>
      <c r="I2007" s="253">
        <v>32.56</v>
      </c>
      <c r="J2007" s="253">
        <v>-83.91</v>
      </c>
      <c r="K2007" s="254">
        <v>16</v>
      </c>
      <c r="L2007" s="254">
        <v>18.100000000000001</v>
      </c>
      <c r="M2007" s="253"/>
      <c r="N2007" s="254">
        <v>1258</v>
      </c>
      <c r="O2007" s="253"/>
      <c r="P2007" s="253"/>
      <c r="Q2007" s="254">
        <v>6</v>
      </c>
      <c r="R2007" s="255" t="s">
        <v>1984</v>
      </c>
      <c r="T2007" s="255" t="s">
        <v>2112</v>
      </c>
      <c r="U2007" s="256" t="s">
        <v>1412</v>
      </c>
      <c r="V2007" s="256">
        <v>20</v>
      </c>
      <c r="W2007" s="256" t="s">
        <v>1392</v>
      </c>
      <c r="X2007" s="256" t="s">
        <v>1421</v>
      </c>
      <c r="Y2007" s="257">
        <f>AVERAGE(Sheet1!BM2007:BN2007)</f>
        <v>1.5550000000000002</v>
      </c>
      <c r="Z2007" s="363">
        <v>65</v>
      </c>
      <c r="AA2007" s="363">
        <v>25</v>
      </c>
      <c r="AB2007" s="253" t="s">
        <v>241</v>
      </c>
      <c r="AC2007" s="253"/>
      <c r="AD2007" s="253"/>
      <c r="AE2007" s="253"/>
      <c r="AF2007" s="252" t="s">
        <v>2039</v>
      </c>
      <c r="AG2007" s="254" t="s">
        <v>2038</v>
      </c>
      <c r="AH2007" s="253" t="s">
        <v>1586</v>
      </c>
      <c r="AI2007" s="254" t="s">
        <v>2037</v>
      </c>
      <c r="AJ2007" s="253" t="s">
        <v>1621</v>
      </c>
      <c r="AK2007" s="253"/>
      <c r="AL2007" s="253"/>
      <c r="AM2007" s="253"/>
      <c r="AN2007" s="254" t="s">
        <v>774</v>
      </c>
      <c r="AO2007" s="254" t="s">
        <v>774</v>
      </c>
      <c r="AP2007" s="92" t="s">
        <v>178</v>
      </c>
      <c r="AQ2007" s="253" t="s">
        <v>2041</v>
      </c>
      <c r="AR2007" s="253"/>
      <c r="AS2007" s="258" t="s">
        <v>2035</v>
      </c>
      <c r="AT2007" s="253" t="s">
        <v>161</v>
      </c>
      <c r="AU2007" s="254">
        <v>4</v>
      </c>
      <c r="AV2007" s="254">
        <v>4</v>
      </c>
      <c r="AW2007" s="253" t="s">
        <v>142</v>
      </c>
      <c r="AX2007" s="253"/>
      <c r="AY2007" s="253"/>
      <c r="AZ2007" s="253"/>
      <c r="BA2007" s="253"/>
      <c r="BB2007" s="253"/>
      <c r="BH2007" s="254"/>
      <c r="BI2007" s="254"/>
      <c r="BJ2007" s="253"/>
      <c r="BM2007" s="439">
        <f t="shared" si="275"/>
        <v>1.56</v>
      </c>
      <c r="BN2007" s="439">
        <v>1.55</v>
      </c>
      <c r="BR2007" s="438">
        <v>0.41987179487179482</v>
      </c>
      <c r="BS2007" s="438">
        <v>0.45512820512820507</v>
      </c>
      <c r="IO2007" s="254" t="s">
        <v>2093</v>
      </c>
      <c r="IP2007" s="253"/>
      <c r="IQ2007" s="259"/>
    </row>
    <row r="2008" spans="1:251" s="92" customFormat="1" x14ac:dyDescent="0.25">
      <c r="A2008" s="252">
        <v>91</v>
      </c>
      <c r="B2008" s="252" t="s">
        <v>769</v>
      </c>
      <c r="C2008" s="253" t="s">
        <v>2128</v>
      </c>
      <c r="D2008" s="252">
        <v>2006</v>
      </c>
      <c r="E2008" s="253">
        <v>1999</v>
      </c>
      <c r="F2008" s="252" t="s">
        <v>948</v>
      </c>
      <c r="G2008" s="252" t="s">
        <v>2042</v>
      </c>
      <c r="H2008" s="252" t="s">
        <v>2831</v>
      </c>
      <c r="I2008" s="253">
        <v>32.56</v>
      </c>
      <c r="J2008" s="253">
        <v>-83.91</v>
      </c>
      <c r="K2008" s="254">
        <v>16</v>
      </c>
      <c r="L2008" s="254">
        <v>18.100000000000001</v>
      </c>
      <c r="M2008" s="253"/>
      <c r="N2008" s="254">
        <v>1258</v>
      </c>
      <c r="O2008" s="253"/>
      <c r="P2008" s="253"/>
      <c r="Q2008" s="254">
        <v>6</v>
      </c>
      <c r="R2008" s="255" t="s">
        <v>1984</v>
      </c>
      <c r="T2008" s="255" t="s">
        <v>2112</v>
      </c>
      <c r="U2008" s="256" t="s">
        <v>1406</v>
      </c>
      <c r="V2008" s="256">
        <v>30</v>
      </c>
      <c r="W2008" s="256" t="s">
        <v>1392</v>
      </c>
      <c r="X2008" s="256" t="s">
        <v>1421</v>
      </c>
      <c r="Y2008" s="257">
        <f>AVERAGE(Sheet1!BM2008:BN2008)</f>
        <v>1.3919999999999999</v>
      </c>
      <c r="Z2008" s="363">
        <v>65</v>
      </c>
      <c r="AA2008" s="363">
        <v>25</v>
      </c>
      <c r="AB2008" s="253" t="s">
        <v>241</v>
      </c>
      <c r="AC2008" s="253"/>
      <c r="AD2008" s="253"/>
      <c r="AE2008" s="253"/>
      <c r="AF2008" s="252" t="s">
        <v>2039</v>
      </c>
      <c r="AG2008" s="254" t="s">
        <v>2038</v>
      </c>
      <c r="AH2008" s="253" t="s">
        <v>1586</v>
      </c>
      <c r="AI2008" s="254" t="s">
        <v>2037</v>
      </c>
      <c r="AJ2008" s="253" t="s">
        <v>1621</v>
      </c>
      <c r="AK2008" s="253"/>
      <c r="AL2008" s="253"/>
      <c r="AM2008" s="253"/>
      <c r="AN2008" s="254" t="s">
        <v>774</v>
      </c>
      <c r="AO2008" s="254" t="s">
        <v>774</v>
      </c>
      <c r="AP2008" s="92" t="s">
        <v>2125</v>
      </c>
      <c r="AQ2008" s="253" t="s">
        <v>2041</v>
      </c>
      <c r="AR2008" s="253"/>
      <c r="AS2008" s="258" t="s">
        <v>2035</v>
      </c>
      <c r="AT2008" s="253" t="s">
        <v>161</v>
      </c>
      <c r="AU2008" s="254">
        <v>4</v>
      </c>
      <c r="AV2008" s="254">
        <v>4</v>
      </c>
      <c r="AW2008" s="253" t="s">
        <v>142</v>
      </c>
      <c r="AX2008" s="253"/>
      <c r="AY2008" s="253"/>
      <c r="AZ2008" s="253"/>
      <c r="BA2008" s="253"/>
      <c r="BB2008" s="253"/>
      <c r="BH2008" s="254"/>
      <c r="BI2008" s="254"/>
      <c r="BJ2008" s="253"/>
      <c r="BM2008" s="439">
        <f t="shared" si="275"/>
        <v>1.397</v>
      </c>
      <c r="BN2008" s="439">
        <v>1.387</v>
      </c>
      <c r="BR2008" s="438">
        <v>0.23383440706275355</v>
      </c>
      <c r="BS2008" s="438">
        <v>0.26246719160104987</v>
      </c>
      <c r="IO2008" s="254" t="s">
        <v>2093</v>
      </c>
      <c r="IP2008" s="253"/>
      <c r="IQ2008" s="259"/>
    </row>
    <row r="2009" spans="1:251" s="92" customFormat="1" x14ac:dyDescent="0.25">
      <c r="A2009" s="252">
        <v>91</v>
      </c>
      <c r="B2009" s="252" t="s">
        <v>769</v>
      </c>
      <c r="C2009" s="253" t="s">
        <v>2128</v>
      </c>
      <c r="D2009" s="252">
        <v>2006</v>
      </c>
      <c r="E2009" s="253">
        <v>1999</v>
      </c>
      <c r="F2009" s="252" t="s">
        <v>948</v>
      </c>
      <c r="G2009" s="252" t="s">
        <v>2042</v>
      </c>
      <c r="H2009" s="252" t="s">
        <v>2831</v>
      </c>
      <c r="I2009" s="253">
        <v>32.56</v>
      </c>
      <c r="J2009" s="253">
        <v>-83.91</v>
      </c>
      <c r="K2009" s="254">
        <v>16</v>
      </c>
      <c r="L2009" s="254">
        <v>18.100000000000001</v>
      </c>
      <c r="M2009" s="253"/>
      <c r="N2009" s="254">
        <v>1258</v>
      </c>
      <c r="O2009" s="253"/>
      <c r="P2009" s="253"/>
      <c r="Q2009" s="254">
        <v>6</v>
      </c>
      <c r="R2009" s="255" t="s">
        <v>1984</v>
      </c>
      <c r="T2009" s="255" t="s">
        <v>2112</v>
      </c>
      <c r="U2009" s="256" t="s">
        <v>1407</v>
      </c>
      <c r="V2009" s="256">
        <v>30</v>
      </c>
      <c r="W2009" s="256" t="s">
        <v>1392</v>
      </c>
      <c r="X2009" s="256" t="s">
        <v>1421</v>
      </c>
      <c r="Y2009" s="257">
        <f>AVERAGE(Sheet1!BM2009:BN2009)</f>
        <v>1.5939999999999999</v>
      </c>
      <c r="Z2009" s="363">
        <v>65</v>
      </c>
      <c r="AA2009" s="363">
        <v>25</v>
      </c>
      <c r="AB2009" s="253" t="s">
        <v>241</v>
      </c>
      <c r="AC2009" s="253"/>
      <c r="AD2009" s="253"/>
      <c r="AE2009" s="253"/>
      <c r="AF2009" s="252" t="s">
        <v>2039</v>
      </c>
      <c r="AG2009" s="254" t="s">
        <v>2038</v>
      </c>
      <c r="AH2009" s="253" t="s">
        <v>1586</v>
      </c>
      <c r="AI2009" s="254" t="s">
        <v>2037</v>
      </c>
      <c r="AJ2009" s="253" t="s">
        <v>1621</v>
      </c>
      <c r="AK2009" s="253"/>
      <c r="AL2009" s="253"/>
      <c r="AM2009" s="253"/>
      <c r="AN2009" s="254" t="s">
        <v>774</v>
      </c>
      <c r="AO2009" s="254" t="s">
        <v>774</v>
      </c>
      <c r="AP2009" s="92" t="s">
        <v>178</v>
      </c>
      <c r="AQ2009" s="253" t="s">
        <v>2041</v>
      </c>
      <c r="AR2009" s="253"/>
      <c r="AS2009" s="258" t="s">
        <v>2035</v>
      </c>
      <c r="AT2009" s="253" t="s">
        <v>161</v>
      </c>
      <c r="AU2009" s="254">
        <v>4</v>
      </c>
      <c r="AV2009" s="254">
        <v>4</v>
      </c>
      <c r="AW2009" s="253" t="s">
        <v>142</v>
      </c>
      <c r="AX2009" s="253"/>
      <c r="AY2009" s="253"/>
      <c r="AZ2009" s="253"/>
      <c r="BA2009" s="253"/>
      <c r="BB2009" s="253"/>
      <c r="BH2009" s="254"/>
      <c r="BI2009" s="254"/>
      <c r="BJ2009" s="253"/>
      <c r="BM2009" s="439">
        <f t="shared" si="275"/>
        <v>1.599</v>
      </c>
      <c r="BN2009" s="439">
        <v>1.589</v>
      </c>
      <c r="BR2009" s="438">
        <v>0.13967062747550552</v>
      </c>
      <c r="BS2009" s="438">
        <v>0.17302480717114865</v>
      </c>
      <c r="IO2009" s="254" t="s">
        <v>2093</v>
      </c>
      <c r="IP2009" s="253"/>
      <c r="IQ2009" s="259"/>
    </row>
    <row r="2010" spans="1:251" s="92" customFormat="1" x14ac:dyDescent="0.25">
      <c r="A2010" s="252">
        <v>91</v>
      </c>
      <c r="B2010" s="252" t="s">
        <v>769</v>
      </c>
      <c r="C2010" s="253" t="s">
        <v>2128</v>
      </c>
      <c r="D2010" s="252">
        <v>2006</v>
      </c>
      <c r="E2010" s="253">
        <v>1999</v>
      </c>
      <c r="F2010" s="252" t="s">
        <v>948</v>
      </c>
      <c r="G2010" s="252" t="s">
        <v>2042</v>
      </c>
      <c r="H2010" s="252" t="s">
        <v>2831</v>
      </c>
      <c r="I2010" s="253">
        <v>32.56</v>
      </c>
      <c r="J2010" s="253">
        <v>-83.91</v>
      </c>
      <c r="K2010" s="254">
        <v>16</v>
      </c>
      <c r="L2010" s="254">
        <v>18.100000000000001</v>
      </c>
      <c r="M2010" s="253"/>
      <c r="N2010" s="254">
        <v>1258</v>
      </c>
      <c r="O2010" s="253"/>
      <c r="P2010" s="253"/>
      <c r="Q2010" s="254">
        <v>6</v>
      </c>
      <c r="R2010" s="255" t="s">
        <v>1984</v>
      </c>
      <c r="T2010" s="255" t="s">
        <v>2112</v>
      </c>
      <c r="U2010" s="256" t="s">
        <v>1419</v>
      </c>
      <c r="V2010" s="256">
        <v>30</v>
      </c>
      <c r="W2010" s="256" t="s">
        <v>1392</v>
      </c>
      <c r="X2010" s="256" t="s">
        <v>1421</v>
      </c>
      <c r="Y2010" s="257">
        <f>AVERAGE(Sheet1!BM2010:BN2010)</f>
        <v>1.617</v>
      </c>
      <c r="Z2010" s="363">
        <v>65</v>
      </c>
      <c r="AA2010" s="363">
        <v>25</v>
      </c>
      <c r="AB2010" s="253" t="s">
        <v>241</v>
      </c>
      <c r="AC2010" s="253"/>
      <c r="AD2010" s="253"/>
      <c r="AE2010" s="253"/>
      <c r="AF2010" s="252" t="s">
        <v>2039</v>
      </c>
      <c r="AG2010" s="254" t="s">
        <v>2038</v>
      </c>
      <c r="AH2010" s="253" t="s">
        <v>1586</v>
      </c>
      <c r="AI2010" s="254" t="s">
        <v>2037</v>
      </c>
      <c r="AJ2010" s="253" t="s">
        <v>1621</v>
      </c>
      <c r="AK2010" s="253"/>
      <c r="AL2010" s="253"/>
      <c r="AM2010" s="253"/>
      <c r="AN2010" s="254" t="s">
        <v>774</v>
      </c>
      <c r="AO2010" s="254" t="s">
        <v>774</v>
      </c>
      <c r="AP2010" s="92" t="s">
        <v>2125</v>
      </c>
      <c r="AQ2010" s="253" t="s">
        <v>2041</v>
      </c>
      <c r="AR2010" s="253"/>
      <c r="AS2010" s="258" t="s">
        <v>2035</v>
      </c>
      <c r="AT2010" s="253" t="s">
        <v>161</v>
      </c>
      <c r="AU2010" s="254">
        <v>4</v>
      </c>
      <c r="AV2010" s="254">
        <v>4</v>
      </c>
      <c r="AW2010" s="253" t="s">
        <v>142</v>
      </c>
      <c r="AX2010" s="253"/>
      <c r="AY2010" s="253"/>
      <c r="AZ2010" s="253"/>
      <c r="BA2010" s="253"/>
      <c r="BB2010" s="253"/>
      <c r="BH2010" s="254"/>
      <c r="BI2010" s="254"/>
      <c r="BJ2010" s="253"/>
      <c r="BM2010" s="439">
        <f t="shared" si="275"/>
        <v>1.6220000000000001</v>
      </c>
      <c r="BN2010" s="439">
        <v>1.6120000000000001</v>
      </c>
      <c r="BR2010" s="438">
        <v>9.2478421701602934E-2</v>
      </c>
      <c r="BS2010" s="438">
        <v>0.10275380189066993</v>
      </c>
      <c r="IO2010" s="254" t="s">
        <v>2093</v>
      </c>
      <c r="IP2010" s="253"/>
      <c r="IQ2010" s="259"/>
    </row>
    <row r="2011" spans="1:251" s="36" customFormat="1" x14ac:dyDescent="0.25">
      <c r="A2011" s="223">
        <v>91</v>
      </c>
      <c r="B2011" s="223" t="s">
        <v>769</v>
      </c>
      <c r="C2011" s="224" t="s">
        <v>2128</v>
      </c>
      <c r="D2011" s="223">
        <v>2006</v>
      </c>
      <c r="E2011" s="224">
        <v>1999</v>
      </c>
      <c r="F2011" s="223" t="s">
        <v>948</v>
      </c>
      <c r="G2011" s="223" t="s">
        <v>2042</v>
      </c>
      <c r="H2011" s="252" t="s">
        <v>2831</v>
      </c>
      <c r="I2011" s="224">
        <v>32.56</v>
      </c>
      <c r="J2011" s="224">
        <v>-83.91</v>
      </c>
      <c r="K2011" s="225">
        <v>16</v>
      </c>
      <c r="L2011" s="225">
        <v>18.100000000000001</v>
      </c>
      <c r="M2011" s="224"/>
      <c r="N2011" s="225">
        <v>1258</v>
      </c>
      <c r="O2011" s="224"/>
      <c r="P2011" s="224"/>
      <c r="Q2011" s="225">
        <v>6</v>
      </c>
      <c r="R2011" s="226" t="s">
        <v>1984</v>
      </c>
      <c r="T2011" s="226" t="s">
        <v>2112</v>
      </c>
      <c r="U2011" s="227" t="s">
        <v>1392</v>
      </c>
      <c r="V2011" s="227">
        <v>10</v>
      </c>
      <c r="W2011" s="227" t="s">
        <v>1392</v>
      </c>
      <c r="X2011" s="227" t="s">
        <v>1421</v>
      </c>
      <c r="Y2011" s="228">
        <f>AVERAGE(Sheet1!BM2011:BN2011)</f>
        <v>1.4249999999999998</v>
      </c>
      <c r="Z2011" s="364">
        <v>65</v>
      </c>
      <c r="AA2011" s="364">
        <v>25</v>
      </c>
      <c r="AB2011" s="224" t="s">
        <v>241</v>
      </c>
      <c r="AC2011" s="224"/>
      <c r="AD2011" s="224"/>
      <c r="AE2011" s="224"/>
      <c r="AF2011" s="223" t="s">
        <v>2039</v>
      </c>
      <c r="AG2011" s="225" t="s">
        <v>2038</v>
      </c>
      <c r="AH2011" s="224" t="s">
        <v>1586</v>
      </c>
      <c r="AI2011" s="225" t="s">
        <v>2037</v>
      </c>
      <c r="AJ2011" s="224" t="s">
        <v>1621</v>
      </c>
      <c r="AK2011" s="224"/>
      <c r="AL2011" s="224"/>
      <c r="AM2011" s="224"/>
      <c r="AN2011" s="225" t="s">
        <v>774</v>
      </c>
      <c r="AO2011" s="225" t="s">
        <v>774</v>
      </c>
      <c r="AP2011" s="92" t="s">
        <v>178</v>
      </c>
      <c r="AQ2011" s="224" t="s">
        <v>2036</v>
      </c>
      <c r="AR2011" s="224"/>
      <c r="AS2011" s="229" t="s">
        <v>2035</v>
      </c>
      <c r="AT2011" s="253" t="s">
        <v>161</v>
      </c>
      <c r="AU2011" s="225">
        <v>4</v>
      </c>
      <c r="AV2011" s="225">
        <v>4</v>
      </c>
      <c r="AW2011" s="224" t="s">
        <v>142</v>
      </c>
      <c r="AX2011" s="224"/>
      <c r="AY2011" s="224">
        <f>1/3*20560</f>
        <v>6853.333333333333</v>
      </c>
      <c r="AZ2011" s="224"/>
      <c r="BA2011" s="224"/>
      <c r="BB2011" s="224"/>
      <c r="BH2011" s="225"/>
      <c r="BI2011" s="225"/>
      <c r="BJ2011" s="224"/>
      <c r="BM2011" s="440">
        <f t="shared" si="275"/>
        <v>1.43</v>
      </c>
      <c r="BN2011" s="440">
        <v>1.42</v>
      </c>
      <c r="BR2011" s="441">
        <v>0.6573426573426574</v>
      </c>
      <c r="BS2011" s="441">
        <v>0.66433566433566438</v>
      </c>
      <c r="IO2011" s="225" t="s">
        <v>2093</v>
      </c>
      <c r="IP2011" s="224"/>
      <c r="IQ2011" s="230"/>
    </row>
    <row r="2012" spans="1:251" s="36" customFormat="1" x14ac:dyDescent="0.25">
      <c r="A2012" s="223">
        <v>91</v>
      </c>
      <c r="B2012" s="223" t="s">
        <v>769</v>
      </c>
      <c r="C2012" s="224" t="s">
        <v>2128</v>
      </c>
      <c r="D2012" s="223">
        <v>2006</v>
      </c>
      <c r="E2012" s="224">
        <v>1999</v>
      </c>
      <c r="F2012" s="223" t="s">
        <v>948</v>
      </c>
      <c r="G2012" s="223" t="s">
        <v>2042</v>
      </c>
      <c r="H2012" s="252" t="s">
        <v>2831</v>
      </c>
      <c r="I2012" s="224">
        <v>32.56</v>
      </c>
      <c r="J2012" s="224">
        <v>-83.91</v>
      </c>
      <c r="K2012" s="225">
        <v>16</v>
      </c>
      <c r="L2012" s="225">
        <v>18.100000000000001</v>
      </c>
      <c r="M2012" s="224"/>
      <c r="N2012" s="225">
        <v>1258</v>
      </c>
      <c r="O2012" s="224"/>
      <c r="P2012" s="224"/>
      <c r="Q2012" s="225">
        <v>6</v>
      </c>
      <c r="R2012" s="226" t="s">
        <v>1984</v>
      </c>
      <c r="T2012" s="226" t="s">
        <v>2112</v>
      </c>
      <c r="U2012" s="227" t="s">
        <v>1412</v>
      </c>
      <c r="V2012" s="227">
        <v>20</v>
      </c>
      <c r="W2012" s="227" t="s">
        <v>1392</v>
      </c>
      <c r="X2012" s="227" t="s">
        <v>1421</v>
      </c>
      <c r="Y2012" s="228">
        <f>AVERAGE(Sheet1!BM2012:BN2012)</f>
        <v>1.5550000000000002</v>
      </c>
      <c r="Z2012" s="364">
        <v>65</v>
      </c>
      <c r="AA2012" s="364">
        <v>25</v>
      </c>
      <c r="AB2012" s="224" t="s">
        <v>241</v>
      </c>
      <c r="AC2012" s="224"/>
      <c r="AD2012" s="224"/>
      <c r="AE2012" s="224"/>
      <c r="AF2012" s="223" t="s">
        <v>2039</v>
      </c>
      <c r="AG2012" s="225" t="s">
        <v>2038</v>
      </c>
      <c r="AH2012" s="224" t="s">
        <v>1586</v>
      </c>
      <c r="AI2012" s="225" t="s">
        <v>2037</v>
      </c>
      <c r="AJ2012" s="224" t="s">
        <v>1621</v>
      </c>
      <c r="AK2012" s="224"/>
      <c r="AL2012" s="224"/>
      <c r="AM2012" s="224"/>
      <c r="AN2012" s="225" t="s">
        <v>774</v>
      </c>
      <c r="AO2012" s="225" t="s">
        <v>774</v>
      </c>
      <c r="AP2012" s="92" t="s">
        <v>2125</v>
      </c>
      <c r="AQ2012" s="224" t="s">
        <v>2036</v>
      </c>
      <c r="AR2012" s="224"/>
      <c r="AS2012" s="229" t="s">
        <v>2035</v>
      </c>
      <c r="AT2012" s="253" t="s">
        <v>161</v>
      </c>
      <c r="AU2012" s="225">
        <v>4</v>
      </c>
      <c r="AV2012" s="225">
        <v>4</v>
      </c>
      <c r="AW2012" s="224" t="s">
        <v>142</v>
      </c>
      <c r="AX2012" s="224"/>
      <c r="AY2012" s="224"/>
      <c r="AZ2012" s="224"/>
      <c r="BA2012" s="224"/>
      <c r="BB2012" s="224"/>
      <c r="BH2012" s="225"/>
      <c r="BI2012" s="225"/>
      <c r="BJ2012" s="224"/>
      <c r="BM2012" s="440">
        <f t="shared" si="275"/>
        <v>1.56</v>
      </c>
      <c r="BN2012" s="440">
        <v>1.55</v>
      </c>
      <c r="BR2012" s="441">
        <v>0.41987179487179482</v>
      </c>
      <c r="BS2012" s="441">
        <v>0.4679487179487179</v>
      </c>
      <c r="IO2012" s="225" t="s">
        <v>2093</v>
      </c>
      <c r="IP2012" s="224"/>
      <c r="IQ2012" s="230"/>
    </row>
    <row r="2013" spans="1:251" s="36" customFormat="1" x14ac:dyDescent="0.25">
      <c r="A2013" s="223">
        <v>91</v>
      </c>
      <c r="B2013" s="223" t="s">
        <v>769</v>
      </c>
      <c r="C2013" s="224" t="s">
        <v>2128</v>
      </c>
      <c r="D2013" s="223">
        <v>2006</v>
      </c>
      <c r="E2013" s="224">
        <v>1999</v>
      </c>
      <c r="F2013" s="223" t="s">
        <v>948</v>
      </c>
      <c r="G2013" s="223" t="s">
        <v>2042</v>
      </c>
      <c r="H2013" s="252" t="s">
        <v>2831</v>
      </c>
      <c r="I2013" s="224">
        <v>32.56</v>
      </c>
      <c r="J2013" s="224">
        <v>-83.91</v>
      </c>
      <c r="K2013" s="225">
        <v>16</v>
      </c>
      <c r="L2013" s="225">
        <v>18.100000000000001</v>
      </c>
      <c r="M2013" s="224"/>
      <c r="N2013" s="225">
        <v>1258</v>
      </c>
      <c r="O2013" s="224"/>
      <c r="P2013" s="224"/>
      <c r="Q2013" s="225">
        <v>6</v>
      </c>
      <c r="R2013" s="226" t="s">
        <v>1984</v>
      </c>
      <c r="T2013" s="226" t="s">
        <v>2112</v>
      </c>
      <c r="U2013" s="227" t="s">
        <v>1406</v>
      </c>
      <c r="V2013" s="227">
        <v>30</v>
      </c>
      <c r="W2013" s="227" t="s">
        <v>1392</v>
      </c>
      <c r="X2013" s="227" t="s">
        <v>1421</v>
      </c>
      <c r="Y2013" s="228">
        <f>AVERAGE(Sheet1!BM2013:BN2013)</f>
        <v>1.3919999999999999</v>
      </c>
      <c r="Z2013" s="364">
        <v>65</v>
      </c>
      <c r="AA2013" s="364">
        <v>25</v>
      </c>
      <c r="AB2013" s="224" t="s">
        <v>241</v>
      </c>
      <c r="AC2013" s="224"/>
      <c r="AD2013" s="224"/>
      <c r="AE2013" s="224"/>
      <c r="AF2013" s="223" t="s">
        <v>2039</v>
      </c>
      <c r="AG2013" s="225" t="s">
        <v>2038</v>
      </c>
      <c r="AH2013" s="224" t="s">
        <v>1586</v>
      </c>
      <c r="AI2013" s="225" t="s">
        <v>2037</v>
      </c>
      <c r="AJ2013" s="224" t="s">
        <v>1621</v>
      </c>
      <c r="AK2013" s="224"/>
      <c r="AL2013" s="224"/>
      <c r="AM2013" s="224"/>
      <c r="AN2013" s="225" t="s">
        <v>774</v>
      </c>
      <c r="AO2013" s="225" t="s">
        <v>774</v>
      </c>
      <c r="AP2013" s="92" t="s">
        <v>178</v>
      </c>
      <c r="AQ2013" s="224" t="s">
        <v>2036</v>
      </c>
      <c r="AR2013" s="224"/>
      <c r="AS2013" s="229" t="s">
        <v>2035</v>
      </c>
      <c r="AT2013" s="253" t="s">
        <v>161</v>
      </c>
      <c r="AU2013" s="225">
        <v>4</v>
      </c>
      <c r="AV2013" s="225">
        <v>4</v>
      </c>
      <c r="AW2013" s="224" t="s">
        <v>142</v>
      </c>
      <c r="AX2013" s="224"/>
      <c r="AY2013" s="224"/>
      <c r="AZ2013" s="224"/>
      <c r="BA2013" s="224"/>
      <c r="BB2013" s="224"/>
      <c r="BH2013" s="225"/>
      <c r="BI2013" s="225"/>
      <c r="BJ2013" s="224"/>
      <c r="BM2013" s="440">
        <f t="shared" si="275"/>
        <v>1.397</v>
      </c>
      <c r="BN2013" s="440">
        <v>1.387</v>
      </c>
      <c r="BR2013" s="441">
        <v>0.22429014554998808</v>
      </c>
      <c r="BS2013" s="441">
        <v>0.26246719160104987</v>
      </c>
      <c r="IO2013" s="225" t="s">
        <v>2093</v>
      </c>
      <c r="IP2013" s="224"/>
      <c r="IQ2013" s="230"/>
    </row>
    <row r="2014" spans="1:251" s="36" customFormat="1" x14ac:dyDescent="0.25">
      <c r="A2014" s="223">
        <v>91</v>
      </c>
      <c r="B2014" s="223" t="s">
        <v>769</v>
      </c>
      <c r="C2014" s="224" t="s">
        <v>2128</v>
      </c>
      <c r="D2014" s="223">
        <v>2006</v>
      </c>
      <c r="E2014" s="224">
        <v>1999</v>
      </c>
      <c r="F2014" s="223" t="s">
        <v>948</v>
      </c>
      <c r="G2014" s="223" t="s">
        <v>2042</v>
      </c>
      <c r="H2014" s="252" t="s">
        <v>2831</v>
      </c>
      <c r="I2014" s="224">
        <v>32.56</v>
      </c>
      <c r="J2014" s="224">
        <v>-83.91</v>
      </c>
      <c r="K2014" s="225">
        <v>16</v>
      </c>
      <c r="L2014" s="225">
        <v>18.100000000000001</v>
      </c>
      <c r="M2014" s="224"/>
      <c r="N2014" s="225">
        <v>1258</v>
      </c>
      <c r="O2014" s="224"/>
      <c r="P2014" s="224"/>
      <c r="Q2014" s="225">
        <v>6</v>
      </c>
      <c r="R2014" s="226" t="s">
        <v>1984</v>
      </c>
      <c r="T2014" s="226" t="s">
        <v>2112</v>
      </c>
      <c r="U2014" s="227" t="s">
        <v>1407</v>
      </c>
      <c r="V2014" s="227">
        <v>30</v>
      </c>
      <c r="W2014" s="227" t="s">
        <v>1392</v>
      </c>
      <c r="X2014" s="227" t="s">
        <v>1421</v>
      </c>
      <c r="Y2014" s="228">
        <f>AVERAGE(Sheet1!BM2014:BN2014)</f>
        <v>1.5939999999999999</v>
      </c>
      <c r="Z2014" s="364">
        <v>65</v>
      </c>
      <c r="AA2014" s="364">
        <v>25</v>
      </c>
      <c r="AB2014" s="224" t="s">
        <v>241</v>
      </c>
      <c r="AC2014" s="224"/>
      <c r="AD2014" s="224"/>
      <c r="AE2014" s="224"/>
      <c r="AF2014" s="223" t="s">
        <v>2039</v>
      </c>
      <c r="AG2014" s="225" t="s">
        <v>2038</v>
      </c>
      <c r="AH2014" s="224" t="s">
        <v>1586</v>
      </c>
      <c r="AI2014" s="225" t="s">
        <v>2037</v>
      </c>
      <c r="AJ2014" s="224" t="s">
        <v>1621</v>
      </c>
      <c r="AK2014" s="224"/>
      <c r="AL2014" s="224"/>
      <c r="AM2014" s="224"/>
      <c r="AN2014" s="225" t="s">
        <v>774</v>
      </c>
      <c r="AO2014" s="225" t="s">
        <v>774</v>
      </c>
      <c r="AP2014" s="92" t="s">
        <v>2125</v>
      </c>
      <c r="AQ2014" s="224" t="s">
        <v>2036</v>
      </c>
      <c r="AR2014" s="224"/>
      <c r="AS2014" s="229" t="s">
        <v>2035</v>
      </c>
      <c r="AT2014" s="253" t="s">
        <v>161</v>
      </c>
      <c r="AU2014" s="225">
        <v>4</v>
      </c>
      <c r="AV2014" s="225">
        <v>4</v>
      </c>
      <c r="AW2014" s="224" t="s">
        <v>142</v>
      </c>
      <c r="AX2014" s="224"/>
      <c r="AY2014" s="224"/>
      <c r="AZ2014" s="224"/>
      <c r="BA2014" s="224"/>
      <c r="BB2014" s="224"/>
      <c r="BH2014" s="225"/>
      <c r="BI2014" s="225"/>
      <c r="BJ2014" s="224"/>
      <c r="BM2014" s="440">
        <f t="shared" si="275"/>
        <v>1.599</v>
      </c>
      <c r="BN2014" s="440">
        <v>1.589</v>
      </c>
      <c r="BR2014" s="441">
        <v>0.16468626224723787</v>
      </c>
      <c r="BS2014" s="441">
        <v>0.16260162601626016</v>
      </c>
      <c r="IO2014" s="225" t="s">
        <v>2093</v>
      </c>
      <c r="IP2014" s="224"/>
      <c r="IQ2014" s="230"/>
    </row>
    <row r="2015" spans="1:251" s="36" customFormat="1" x14ac:dyDescent="0.25">
      <c r="A2015" s="223">
        <v>91</v>
      </c>
      <c r="B2015" s="223" t="s">
        <v>769</v>
      </c>
      <c r="C2015" s="224" t="s">
        <v>2128</v>
      </c>
      <c r="D2015" s="223">
        <v>2006</v>
      </c>
      <c r="E2015" s="224">
        <v>1999</v>
      </c>
      <c r="F2015" s="223" t="s">
        <v>948</v>
      </c>
      <c r="G2015" s="223" t="s">
        <v>2042</v>
      </c>
      <c r="H2015" s="252" t="s">
        <v>2831</v>
      </c>
      <c r="I2015" s="224">
        <v>32.56</v>
      </c>
      <c r="J2015" s="224">
        <v>-83.91</v>
      </c>
      <c r="K2015" s="225">
        <v>16</v>
      </c>
      <c r="L2015" s="225">
        <v>18.100000000000001</v>
      </c>
      <c r="M2015" s="224"/>
      <c r="N2015" s="225">
        <v>1258</v>
      </c>
      <c r="O2015" s="224"/>
      <c r="P2015" s="224"/>
      <c r="Q2015" s="225">
        <v>6</v>
      </c>
      <c r="R2015" s="226" t="s">
        <v>1984</v>
      </c>
      <c r="T2015" s="226" t="s">
        <v>2112</v>
      </c>
      <c r="U2015" s="227" t="s">
        <v>1419</v>
      </c>
      <c r="V2015" s="227">
        <v>30</v>
      </c>
      <c r="W2015" s="227" t="s">
        <v>1392</v>
      </c>
      <c r="X2015" s="227" t="s">
        <v>1421</v>
      </c>
      <c r="Y2015" s="228">
        <f>AVERAGE(Sheet1!BM2015:BN2015)</f>
        <v>1.617</v>
      </c>
      <c r="Z2015" s="364">
        <v>65</v>
      </c>
      <c r="AA2015" s="364">
        <v>25</v>
      </c>
      <c r="AB2015" s="224" t="s">
        <v>241</v>
      </c>
      <c r="AC2015" s="224"/>
      <c r="AD2015" s="224"/>
      <c r="AE2015" s="224"/>
      <c r="AF2015" s="223" t="s">
        <v>2039</v>
      </c>
      <c r="AG2015" s="225" t="s">
        <v>2038</v>
      </c>
      <c r="AH2015" s="224" t="s">
        <v>1586</v>
      </c>
      <c r="AI2015" s="225" t="s">
        <v>2037</v>
      </c>
      <c r="AJ2015" s="224" t="s">
        <v>1621</v>
      </c>
      <c r="AK2015" s="224"/>
      <c r="AL2015" s="224"/>
      <c r="AM2015" s="224"/>
      <c r="AN2015" s="225" t="s">
        <v>774</v>
      </c>
      <c r="AO2015" s="225" t="s">
        <v>774</v>
      </c>
      <c r="AP2015" s="92" t="s">
        <v>178</v>
      </c>
      <c r="AQ2015" s="224" t="s">
        <v>2036</v>
      </c>
      <c r="AR2015" s="224"/>
      <c r="AS2015" s="229" t="s">
        <v>2035</v>
      </c>
      <c r="AT2015" s="253" t="s">
        <v>161</v>
      </c>
      <c r="AU2015" s="225">
        <v>4</v>
      </c>
      <c r="AV2015" s="225">
        <v>4</v>
      </c>
      <c r="AW2015" s="224" t="s">
        <v>142</v>
      </c>
      <c r="AX2015" s="224"/>
      <c r="AY2015" s="224"/>
      <c r="AZ2015" s="224"/>
      <c r="BA2015" s="224"/>
      <c r="BB2015" s="224"/>
      <c r="BH2015" s="225"/>
      <c r="BI2015" s="225"/>
      <c r="BJ2015" s="224"/>
      <c r="BM2015" s="440">
        <f t="shared" si="275"/>
        <v>1.6220000000000001</v>
      </c>
      <c r="BN2015" s="440">
        <v>1.6120000000000001</v>
      </c>
      <c r="BR2015" s="441">
        <v>0.12741471434443072</v>
      </c>
      <c r="BS2015" s="441">
        <v>0.12330456226880393</v>
      </c>
      <c r="IO2015" s="225" t="s">
        <v>2093</v>
      </c>
      <c r="IP2015" s="224"/>
      <c r="IQ2015" s="230"/>
    </row>
    <row r="2016" spans="1:251" s="24" customFormat="1" x14ac:dyDescent="0.25">
      <c r="A2016" s="244">
        <v>92</v>
      </c>
      <c r="B2016" s="245" t="s">
        <v>769</v>
      </c>
      <c r="C2016" s="245" t="s">
        <v>2128</v>
      </c>
      <c r="D2016" s="245">
        <v>2003</v>
      </c>
      <c r="E2016" s="245">
        <v>1994</v>
      </c>
      <c r="F2016" s="245" t="s">
        <v>2055</v>
      </c>
      <c r="G2016" s="245" t="s">
        <v>2054</v>
      </c>
      <c r="H2016" s="245" t="s">
        <v>2831</v>
      </c>
      <c r="I2016" s="245">
        <v>32.56</v>
      </c>
      <c r="J2016" s="245">
        <v>-83.9</v>
      </c>
      <c r="K2016" s="245">
        <v>16</v>
      </c>
      <c r="L2016" s="245">
        <v>18.100000000000001</v>
      </c>
      <c r="M2016" s="245"/>
      <c r="N2016" s="245">
        <v>1258</v>
      </c>
      <c r="O2016" s="245"/>
      <c r="P2016" s="245"/>
      <c r="Q2016" s="245">
        <v>1</v>
      </c>
      <c r="R2016" s="246" t="s">
        <v>1741</v>
      </c>
      <c r="T2016" s="246" t="s">
        <v>2123</v>
      </c>
      <c r="U2016" s="245" t="s">
        <v>1393</v>
      </c>
      <c r="V2016" s="247">
        <v>30</v>
      </c>
      <c r="W2016" s="245" t="s">
        <v>1393</v>
      </c>
      <c r="X2016" s="245" t="s">
        <v>1393</v>
      </c>
      <c r="Y2016" s="248" t="e">
        <f>AVERAGE(Sheet1!BM2016:BN2016)</f>
        <v>#DIV/0!</v>
      </c>
      <c r="Z2016" s="367">
        <v>65</v>
      </c>
      <c r="AA2016" s="367">
        <v>20</v>
      </c>
      <c r="AB2016" s="245" t="s">
        <v>241</v>
      </c>
      <c r="AC2016" s="245"/>
      <c r="AD2016" s="245"/>
      <c r="AE2016" s="245"/>
      <c r="AF2016" s="245" t="s">
        <v>2053</v>
      </c>
      <c r="AG2016" s="245" t="s">
        <v>1761</v>
      </c>
      <c r="AH2016" s="245" t="s">
        <v>132</v>
      </c>
      <c r="AI2016" s="245" t="s">
        <v>2051</v>
      </c>
      <c r="AJ2016" s="245" t="s">
        <v>1621</v>
      </c>
      <c r="AK2016" s="245"/>
      <c r="AL2016" s="245"/>
      <c r="AM2016" s="245"/>
      <c r="AN2016" s="245" t="s">
        <v>2028</v>
      </c>
      <c r="AO2016" s="245" t="s">
        <v>2028</v>
      </c>
      <c r="AP2016" s="24" t="s">
        <v>178</v>
      </c>
      <c r="AQ2016" s="245" t="s">
        <v>2050</v>
      </c>
      <c r="AR2016" s="245"/>
      <c r="AT2016" s="245" t="s">
        <v>120</v>
      </c>
      <c r="AU2016" s="245">
        <v>4</v>
      </c>
      <c r="AV2016" s="245">
        <v>4</v>
      </c>
      <c r="AW2016" s="245" t="s">
        <v>142</v>
      </c>
      <c r="AX2016" s="245"/>
      <c r="AY2016" s="245"/>
      <c r="AZ2016" s="245"/>
      <c r="BA2016" s="245"/>
      <c r="BB2016" s="245" t="s">
        <v>2120</v>
      </c>
      <c r="BH2016" s="245"/>
      <c r="BI2016" s="245"/>
      <c r="BJ2016" s="245"/>
      <c r="BM2016" s="437"/>
      <c r="BN2016" s="437"/>
      <c r="BR2016" s="437">
        <v>18.100000000000001</v>
      </c>
      <c r="BS2016" s="437">
        <v>18.100000000000001</v>
      </c>
      <c r="BV2016" s="24" t="s">
        <v>2124</v>
      </c>
      <c r="BW2016" s="24">
        <v>1.39</v>
      </c>
      <c r="BX2016" s="24">
        <v>1.39</v>
      </c>
      <c r="CA2016" s="24" t="s">
        <v>2106</v>
      </c>
      <c r="IO2016" s="245" t="s">
        <v>2094</v>
      </c>
      <c r="IP2016" s="245" t="s">
        <v>2108</v>
      </c>
      <c r="IQ2016" s="249"/>
    </row>
    <row r="2017" spans="1:251" s="24" customFormat="1" x14ac:dyDescent="0.25">
      <c r="A2017" s="244">
        <v>92</v>
      </c>
      <c r="B2017" s="245" t="s">
        <v>769</v>
      </c>
      <c r="C2017" s="245" t="s">
        <v>2128</v>
      </c>
      <c r="D2017" s="245">
        <v>2003</v>
      </c>
      <c r="E2017" s="245">
        <v>1994</v>
      </c>
      <c r="F2017" s="245" t="s">
        <v>2055</v>
      </c>
      <c r="G2017" s="245" t="s">
        <v>2054</v>
      </c>
      <c r="H2017" s="245" t="s">
        <v>2831</v>
      </c>
      <c r="I2017" s="245">
        <v>32.56</v>
      </c>
      <c r="J2017" s="245">
        <v>-83.9</v>
      </c>
      <c r="K2017" s="245">
        <v>16</v>
      </c>
      <c r="L2017" s="245">
        <v>18.100000000000001</v>
      </c>
      <c r="M2017" s="245"/>
      <c r="N2017" s="245">
        <v>1258</v>
      </c>
      <c r="O2017" s="245"/>
      <c r="P2017" s="245"/>
      <c r="Q2017" s="245">
        <v>1</v>
      </c>
      <c r="R2017" s="246" t="s">
        <v>1741</v>
      </c>
      <c r="T2017" s="246" t="s">
        <v>2123</v>
      </c>
      <c r="U2017" s="245" t="s">
        <v>1393</v>
      </c>
      <c r="V2017" s="247">
        <v>30</v>
      </c>
      <c r="W2017" s="245" t="s">
        <v>1393</v>
      </c>
      <c r="X2017" s="245" t="s">
        <v>1393</v>
      </c>
      <c r="Y2017" s="248" t="e">
        <f>AVERAGE(Sheet1!BM2017:BN2017)</f>
        <v>#DIV/0!</v>
      </c>
      <c r="Z2017" s="367">
        <v>65</v>
      </c>
      <c r="AA2017" s="367">
        <v>20</v>
      </c>
      <c r="AB2017" s="245" t="s">
        <v>241</v>
      </c>
      <c r="AC2017" s="245"/>
      <c r="AD2017" s="245"/>
      <c r="AE2017" s="245"/>
      <c r="AF2017" s="245" t="s">
        <v>2053</v>
      </c>
      <c r="AG2017" s="245" t="s">
        <v>2043</v>
      </c>
      <c r="AH2017" s="245" t="s">
        <v>578</v>
      </c>
      <c r="AI2017" s="245" t="s">
        <v>2051</v>
      </c>
      <c r="AJ2017" s="245" t="s">
        <v>1621</v>
      </c>
      <c r="AK2017" s="245"/>
      <c r="AL2017" s="245"/>
      <c r="AM2017" s="245"/>
      <c r="AN2017" s="245" t="s">
        <v>2028</v>
      </c>
      <c r="AO2017" s="245" t="s">
        <v>2028</v>
      </c>
      <c r="AP2017" s="24" t="s">
        <v>178</v>
      </c>
      <c r="AQ2017" s="245" t="s">
        <v>2050</v>
      </c>
      <c r="AR2017" s="245"/>
      <c r="AT2017" s="245" t="s">
        <v>120</v>
      </c>
      <c r="AU2017" s="245">
        <v>4</v>
      </c>
      <c r="AV2017" s="245">
        <v>4</v>
      </c>
      <c r="AW2017" s="245" t="s">
        <v>142</v>
      </c>
      <c r="AX2017" s="245"/>
      <c r="AY2017" s="245"/>
      <c r="AZ2017" s="245"/>
      <c r="BA2017" s="245"/>
      <c r="BB2017" s="245" t="s">
        <v>2120</v>
      </c>
      <c r="BH2017" s="245"/>
      <c r="BI2017" s="245"/>
      <c r="BJ2017" s="245"/>
      <c r="BM2017" s="437"/>
      <c r="BN2017" s="437"/>
      <c r="BR2017" s="437">
        <v>18.100000000000001</v>
      </c>
      <c r="BS2017" s="437">
        <v>18.100000000000001</v>
      </c>
      <c r="BV2017" s="24" t="s">
        <v>2124</v>
      </c>
      <c r="BW2017" s="24">
        <v>1.39</v>
      </c>
      <c r="BX2017" s="24">
        <v>1.39</v>
      </c>
      <c r="CA2017" s="24" t="s">
        <v>2106</v>
      </c>
      <c r="IO2017" s="245" t="s">
        <v>2094</v>
      </c>
      <c r="IP2017" s="245" t="s">
        <v>2108</v>
      </c>
      <c r="IQ2017" s="249"/>
    </row>
    <row r="2018" spans="1:251" s="24" customFormat="1" x14ac:dyDescent="0.25">
      <c r="A2018" s="244">
        <v>92</v>
      </c>
      <c r="B2018" s="245" t="s">
        <v>769</v>
      </c>
      <c r="C2018" s="245" t="s">
        <v>2128</v>
      </c>
      <c r="D2018" s="245">
        <v>2003</v>
      </c>
      <c r="E2018" s="245">
        <v>1994</v>
      </c>
      <c r="F2018" s="245" t="s">
        <v>2055</v>
      </c>
      <c r="G2018" s="245" t="s">
        <v>2054</v>
      </c>
      <c r="H2018" s="245" t="s">
        <v>2831</v>
      </c>
      <c r="I2018" s="245">
        <v>32.56</v>
      </c>
      <c r="J2018" s="245">
        <v>-83.9</v>
      </c>
      <c r="K2018" s="245">
        <v>16</v>
      </c>
      <c r="L2018" s="245">
        <v>18.100000000000001</v>
      </c>
      <c r="M2018" s="245"/>
      <c r="N2018" s="245">
        <v>1258</v>
      </c>
      <c r="O2018" s="245"/>
      <c r="P2018" s="245"/>
      <c r="Q2018" s="245">
        <v>1</v>
      </c>
      <c r="R2018" s="246" t="s">
        <v>1741</v>
      </c>
      <c r="T2018" s="246" t="s">
        <v>2123</v>
      </c>
      <c r="U2018" s="245" t="s">
        <v>1393</v>
      </c>
      <c r="V2018" s="247">
        <v>30</v>
      </c>
      <c r="W2018" s="245" t="s">
        <v>1393</v>
      </c>
      <c r="X2018" s="245" t="s">
        <v>1393</v>
      </c>
      <c r="Y2018" s="248" t="e">
        <f>AVERAGE(Sheet1!BM2018:BN2018)</f>
        <v>#DIV/0!</v>
      </c>
      <c r="Z2018" s="367">
        <v>65</v>
      </c>
      <c r="AA2018" s="367">
        <v>20</v>
      </c>
      <c r="AB2018" s="245" t="s">
        <v>241</v>
      </c>
      <c r="AC2018" s="245"/>
      <c r="AD2018" s="245"/>
      <c r="AE2018" s="245"/>
      <c r="AF2018" s="245" t="s">
        <v>2053</v>
      </c>
      <c r="AG2018" s="245" t="s">
        <v>2052</v>
      </c>
      <c r="AH2018" s="245" t="s">
        <v>578</v>
      </c>
      <c r="AI2018" s="245" t="s">
        <v>2051</v>
      </c>
      <c r="AJ2018" s="245" t="s">
        <v>1621</v>
      </c>
      <c r="AK2018" s="245"/>
      <c r="AL2018" s="245"/>
      <c r="AM2018" s="245"/>
      <c r="AN2018" s="245" t="s">
        <v>2028</v>
      </c>
      <c r="AO2018" s="245" t="s">
        <v>2028</v>
      </c>
      <c r="AP2018" s="24" t="s">
        <v>178</v>
      </c>
      <c r="AQ2018" s="245" t="s">
        <v>2050</v>
      </c>
      <c r="AR2018" s="245"/>
      <c r="AT2018" s="245" t="s">
        <v>120</v>
      </c>
      <c r="AU2018" s="245">
        <v>4</v>
      </c>
      <c r="AV2018" s="245">
        <v>4</v>
      </c>
      <c r="AW2018" s="245" t="s">
        <v>142</v>
      </c>
      <c r="AX2018" s="245"/>
      <c r="AY2018" s="245"/>
      <c r="AZ2018" s="245"/>
      <c r="BA2018" s="245"/>
      <c r="BB2018" s="245" t="s">
        <v>2120</v>
      </c>
      <c r="BH2018" s="245"/>
      <c r="BI2018" s="245"/>
      <c r="BJ2018" s="245"/>
      <c r="BM2018" s="437"/>
      <c r="BN2018" s="437"/>
      <c r="BR2018" s="437">
        <v>18.100000000000001</v>
      </c>
      <c r="BS2018" s="437">
        <v>18.100000000000001</v>
      </c>
      <c r="BV2018" s="24" t="s">
        <v>2124</v>
      </c>
      <c r="BW2018" s="24">
        <v>1.39</v>
      </c>
      <c r="BX2018" s="24">
        <v>1.39</v>
      </c>
      <c r="CA2018" s="24" t="s">
        <v>2106</v>
      </c>
      <c r="IO2018" s="245" t="s">
        <v>2094</v>
      </c>
      <c r="IP2018" s="245" t="s">
        <v>2108</v>
      </c>
      <c r="IQ2018" s="249"/>
    </row>
    <row r="2019" spans="1:251" s="101" customFormat="1" x14ac:dyDescent="0.25">
      <c r="A2019" s="233">
        <v>92</v>
      </c>
      <c r="B2019" s="234" t="s">
        <v>769</v>
      </c>
      <c r="C2019" s="234" t="s">
        <v>2128</v>
      </c>
      <c r="D2019" s="234">
        <v>2003</v>
      </c>
      <c r="E2019" s="234">
        <v>1995</v>
      </c>
      <c r="F2019" s="234" t="s">
        <v>2055</v>
      </c>
      <c r="G2019" s="234" t="s">
        <v>2054</v>
      </c>
      <c r="H2019" s="245" t="s">
        <v>2831</v>
      </c>
      <c r="I2019" s="234">
        <v>32.56</v>
      </c>
      <c r="J2019" s="234">
        <v>-83.9</v>
      </c>
      <c r="K2019" s="234">
        <v>16</v>
      </c>
      <c r="L2019" s="234">
        <v>18.100000000000001</v>
      </c>
      <c r="M2019" s="234"/>
      <c r="N2019" s="234">
        <v>1258</v>
      </c>
      <c r="O2019" s="234"/>
      <c r="P2019" s="234"/>
      <c r="Q2019" s="234">
        <v>2</v>
      </c>
      <c r="R2019" s="235" t="s">
        <v>1741</v>
      </c>
      <c r="T2019" s="235" t="s">
        <v>2123</v>
      </c>
      <c r="U2019" s="234" t="s">
        <v>1393</v>
      </c>
      <c r="V2019" s="236">
        <v>30</v>
      </c>
      <c r="W2019" s="234" t="s">
        <v>1393</v>
      </c>
      <c r="X2019" s="234" t="s">
        <v>1393</v>
      </c>
      <c r="Y2019" s="237">
        <v>1.5152619999999999</v>
      </c>
      <c r="Z2019" s="368">
        <v>65</v>
      </c>
      <c r="AA2019" s="368">
        <v>20</v>
      </c>
      <c r="AB2019" s="234" t="s">
        <v>241</v>
      </c>
      <c r="AC2019" s="234"/>
      <c r="AD2019" s="234"/>
      <c r="AE2019" s="234"/>
      <c r="AF2019" s="234" t="s">
        <v>2053</v>
      </c>
      <c r="AG2019" s="234" t="s">
        <v>1761</v>
      </c>
      <c r="AH2019" s="234" t="s">
        <v>132</v>
      </c>
      <c r="AI2019" s="234" t="s">
        <v>2051</v>
      </c>
      <c r="AJ2019" s="234" t="s">
        <v>1621</v>
      </c>
      <c r="AK2019" s="234"/>
      <c r="AL2019" s="234"/>
      <c r="AM2019" s="234"/>
      <c r="AN2019" s="234" t="s">
        <v>2028</v>
      </c>
      <c r="AO2019" s="234" t="s">
        <v>2028</v>
      </c>
      <c r="AP2019" s="24" t="s">
        <v>178</v>
      </c>
      <c r="AQ2019" s="234" t="s">
        <v>2050</v>
      </c>
      <c r="AR2019" s="234"/>
      <c r="AT2019" s="245" t="s">
        <v>120</v>
      </c>
      <c r="AU2019" s="234">
        <v>4</v>
      </c>
      <c r="AV2019" s="234">
        <v>4</v>
      </c>
      <c r="AW2019" s="234" t="s">
        <v>142</v>
      </c>
      <c r="AX2019" s="234"/>
      <c r="AY2019" s="234"/>
      <c r="AZ2019" s="234"/>
      <c r="BA2019" s="234"/>
      <c r="BB2019" s="245" t="s">
        <v>2120</v>
      </c>
      <c r="BH2019" s="234"/>
      <c r="BI2019" s="234"/>
      <c r="BJ2019" s="234"/>
      <c r="BM2019" s="444"/>
      <c r="BN2019" s="444"/>
      <c r="BR2019" s="445">
        <v>17.8</v>
      </c>
      <c r="BS2019" s="444">
        <v>18.899999999999999</v>
      </c>
      <c r="BV2019" s="24" t="s">
        <v>2124</v>
      </c>
      <c r="BW2019" s="101">
        <v>1.31</v>
      </c>
      <c r="BX2019" s="101">
        <v>1.43</v>
      </c>
      <c r="CA2019" s="175" t="s">
        <v>2106</v>
      </c>
      <c r="DJ2019" s="175"/>
      <c r="IO2019" s="234" t="s">
        <v>2094</v>
      </c>
      <c r="IP2019" s="231" t="s">
        <v>2108</v>
      </c>
      <c r="IQ2019" s="177"/>
    </row>
    <row r="2020" spans="1:251" s="101" customFormat="1" x14ac:dyDescent="0.25">
      <c r="A2020" s="233">
        <v>92</v>
      </c>
      <c r="B2020" s="234" t="s">
        <v>769</v>
      </c>
      <c r="C2020" s="234" t="s">
        <v>2128</v>
      </c>
      <c r="D2020" s="234">
        <v>2003</v>
      </c>
      <c r="E2020" s="234">
        <v>1995</v>
      </c>
      <c r="F2020" s="234" t="s">
        <v>2055</v>
      </c>
      <c r="G2020" s="234" t="s">
        <v>2054</v>
      </c>
      <c r="H2020" s="245" t="s">
        <v>2831</v>
      </c>
      <c r="I2020" s="234">
        <v>32.56</v>
      </c>
      <c r="J2020" s="234">
        <v>-83.9</v>
      </c>
      <c r="K2020" s="234">
        <v>16</v>
      </c>
      <c r="L2020" s="234">
        <v>18.100000000000001</v>
      </c>
      <c r="M2020" s="234"/>
      <c r="N2020" s="234">
        <v>1258</v>
      </c>
      <c r="O2020" s="234"/>
      <c r="P2020" s="234"/>
      <c r="Q2020" s="234">
        <v>2</v>
      </c>
      <c r="R2020" s="235" t="s">
        <v>1741</v>
      </c>
      <c r="T2020" s="235" t="s">
        <v>2123</v>
      </c>
      <c r="U2020" s="234" t="s">
        <v>1393</v>
      </c>
      <c r="V2020" s="236">
        <v>30</v>
      </c>
      <c r="W2020" s="234" t="s">
        <v>1393</v>
      </c>
      <c r="X2020" s="234" t="s">
        <v>1393</v>
      </c>
      <c r="Y2020" s="237">
        <v>1.517611</v>
      </c>
      <c r="Z2020" s="368">
        <v>65</v>
      </c>
      <c r="AA2020" s="368">
        <v>20</v>
      </c>
      <c r="AB2020" s="234" t="s">
        <v>241</v>
      </c>
      <c r="AC2020" s="234"/>
      <c r="AD2020" s="234"/>
      <c r="AE2020" s="234"/>
      <c r="AF2020" s="234" t="s">
        <v>2053</v>
      </c>
      <c r="AG2020" s="234" t="s">
        <v>2043</v>
      </c>
      <c r="AH2020" s="234" t="s">
        <v>578</v>
      </c>
      <c r="AI2020" s="234" t="s">
        <v>2051</v>
      </c>
      <c r="AJ2020" s="234" t="s">
        <v>1621</v>
      </c>
      <c r="AK2020" s="234"/>
      <c r="AL2020" s="234"/>
      <c r="AM2020" s="234"/>
      <c r="AN2020" s="234" t="s">
        <v>2028</v>
      </c>
      <c r="AO2020" s="234" t="s">
        <v>2028</v>
      </c>
      <c r="AP2020" s="24" t="s">
        <v>178</v>
      </c>
      <c r="AQ2020" s="234" t="s">
        <v>2050</v>
      </c>
      <c r="AR2020" s="234"/>
      <c r="AT2020" s="245" t="s">
        <v>120</v>
      </c>
      <c r="AU2020" s="234">
        <v>4</v>
      </c>
      <c r="AV2020" s="234">
        <v>4</v>
      </c>
      <c r="AW2020" s="234" t="s">
        <v>142</v>
      </c>
      <c r="AX2020" s="234"/>
      <c r="AY2020" s="234"/>
      <c r="AZ2020" s="234"/>
      <c r="BA2020" s="234"/>
      <c r="BB2020" s="245" t="s">
        <v>2120</v>
      </c>
      <c r="BH2020" s="234"/>
      <c r="BI2020" s="234"/>
      <c r="BJ2020" s="234"/>
      <c r="BM2020" s="444"/>
      <c r="BN2020" s="444"/>
      <c r="BR2020" s="445">
        <v>17.8</v>
      </c>
      <c r="BS2020" s="444">
        <v>18.7</v>
      </c>
      <c r="BV2020" s="24" t="s">
        <v>2124</v>
      </c>
      <c r="BW2020" s="101">
        <v>1.31</v>
      </c>
      <c r="BX2020" s="101">
        <v>1.41</v>
      </c>
      <c r="CA2020" s="175" t="s">
        <v>2106</v>
      </c>
      <c r="IO2020" s="234" t="s">
        <v>2094</v>
      </c>
      <c r="IP2020" s="231" t="s">
        <v>2108</v>
      </c>
      <c r="IQ2020" s="177"/>
    </row>
    <row r="2021" spans="1:251" s="101" customFormat="1" x14ac:dyDescent="0.25">
      <c r="A2021" s="233">
        <v>92</v>
      </c>
      <c r="B2021" s="234" t="s">
        <v>769</v>
      </c>
      <c r="C2021" s="234" t="s">
        <v>2128</v>
      </c>
      <c r="D2021" s="234">
        <v>2003</v>
      </c>
      <c r="E2021" s="234">
        <v>1995</v>
      </c>
      <c r="F2021" s="234" t="s">
        <v>2055</v>
      </c>
      <c r="G2021" s="234" t="s">
        <v>2054</v>
      </c>
      <c r="H2021" s="245" t="s">
        <v>2831</v>
      </c>
      <c r="I2021" s="234">
        <v>32.56</v>
      </c>
      <c r="J2021" s="234">
        <v>-83.9</v>
      </c>
      <c r="K2021" s="234">
        <v>16</v>
      </c>
      <c r="L2021" s="234">
        <v>18.100000000000001</v>
      </c>
      <c r="M2021" s="234"/>
      <c r="N2021" s="234">
        <v>1258</v>
      </c>
      <c r="O2021" s="234"/>
      <c r="P2021" s="234"/>
      <c r="Q2021" s="234">
        <v>2</v>
      </c>
      <c r="R2021" s="235" t="s">
        <v>1741</v>
      </c>
      <c r="T2021" s="235" t="s">
        <v>2123</v>
      </c>
      <c r="U2021" s="234" t="s">
        <v>1393</v>
      </c>
      <c r="V2021" s="236">
        <v>30</v>
      </c>
      <c r="W2021" s="234" t="s">
        <v>1393</v>
      </c>
      <c r="X2021" s="234" t="s">
        <v>1393</v>
      </c>
      <c r="Y2021" s="237">
        <v>1.5189159999999999</v>
      </c>
      <c r="Z2021" s="368">
        <v>65</v>
      </c>
      <c r="AA2021" s="368">
        <v>20</v>
      </c>
      <c r="AB2021" s="234" t="s">
        <v>241</v>
      </c>
      <c r="AC2021" s="234"/>
      <c r="AD2021" s="234"/>
      <c r="AE2021" s="234"/>
      <c r="AF2021" s="234" t="s">
        <v>2053</v>
      </c>
      <c r="AG2021" s="234" t="s">
        <v>2052</v>
      </c>
      <c r="AH2021" s="234" t="s">
        <v>578</v>
      </c>
      <c r="AI2021" s="234" t="s">
        <v>2051</v>
      </c>
      <c r="AJ2021" s="234" t="s">
        <v>1621</v>
      </c>
      <c r="AK2021" s="234"/>
      <c r="AL2021" s="234"/>
      <c r="AM2021" s="234"/>
      <c r="AN2021" s="234" t="s">
        <v>2028</v>
      </c>
      <c r="AO2021" s="234" t="s">
        <v>2028</v>
      </c>
      <c r="AP2021" s="24" t="s">
        <v>178</v>
      </c>
      <c r="AQ2021" s="234" t="s">
        <v>2050</v>
      </c>
      <c r="AR2021" s="234"/>
      <c r="AT2021" s="245" t="s">
        <v>120</v>
      </c>
      <c r="AU2021" s="234">
        <v>4</v>
      </c>
      <c r="AV2021" s="234">
        <v>4</v>
      </c>
      <c r="AW2021" s="234" t="s">
        <v>142</v>
      </c>
      <c r="AX2021" s="234"/>
      <c r="AY2021" s="234"/>
      <c r="AZ2021" s="234"/>
      <c r="BA2021" s="234"/>
      <c r="BB2021" s="245" t="s">
        <v>2120</v>
      </c>
      <c r="BH2021" s="234"/>
      <c r="BI2021" s="234"/>
      <c r="BJ2021" s="234"/>
      <c r="BM2021" s="444"/>
      <c r="BN2021" s="444"/>
      <c r="BR2021" s="445">
        <v>17.8</v>
      </c>
      <c r="BS2021" s="444">
        <v>17.8</v>
      </c>
      <c r="BV2021" s="24" t="s">
        <v>2124</v>
      </c>
      <c r="BW2021" s="101">
        <v>1.31</v>
      </c>
      <c r="BX2021" s="101">
        <v>1.36</v>
      </c>
      <c r="CA2021" s="175" t="s">
        <v>2106</v>
      </c>
      <c r="IO2021" s="234" t="s">
        <v>2094</v>
      </c>
      <c r="IP2021" s="231" t="s">
        <v>2108</v>
      </c>
      <c r="IQ2021" s="177"/>
    </row>
    <row r="2022" spans="1:251" s="24" customFormat="1" x14ac:dyDescent="0.25">
      <c r="A2022" s="244">
        <v>92</v>
      </c>
      <c r="B2022" s="245" t="s">
        <v>769</v>
      </c>
      <c r="C2022" s="245" t="s">
        <v>2128</v>
      </c>
      <c r="D2022" s="245">
        <v>2003</v>
      </c>
      <c r="E2022" s="245">
        <v>1996</v>
      </c>
      <c r="F2022" s="245" t="s">
        <v>2055</v>
      </c>
      <c r="G2022" s="245" t="s">
        <v>2054</v>
      </c>
      <c r="H2022" s="245" t="s">
        <v>2831</v>
      </c>
      <c r="I2022" s="245">
        <v>32.56</v>
      </c>
      <c r="J2022" s="245">
        <v>-83.9</v>
      </c>
      <c r="K2022" s="245">
        <v>16</v>
      </c>
      <c r="L2022" s="245">
        <v>18.100000000000001</v>
      </c>
      <c r="M2022" s="245"/>
      <c r="N2022" s="245">
        <v>1258</v>
      </c>
      <c r="O2022" s="245"/>
      <c r="P2022" s="245"/>
      <c r="Q2022" s="245">
        <v>3</v>
      </c>
      <c r="R2022" s="246" t="s">
        <v>1741</v>
      </c>
      <c r="T2022" s="246" t="s">
        <v>2123</v>
      </c>
      <c r="U2022" s="245" t="s">
        <v>1393</v>
      </c>
      <c r="V2022" s="247">
        <v>30</v>
      </c>
      <c r="W2022" s="245" t="s">
        <v>1393</v>
      </c>
      <c r="X2022" s="245" t="s">
        <v>1393</v>
      </c>
      <c r="Y2022" s="248">
        <f>AVERAGE(Sheet1!BM2022:BN2022)</f>
        <v>1.5152619999999999</v>
      </c>
      <c r="Z2022" s="367">
        <v>65</v>
      </c>
      <c r="AA2022" s="367">
        <v>20</v>
      </c>
      <c r="AB2022" s="245" t="s">
        <v>241</v>
      </c>
      <c r="AC2022" s="245"/>
      <c r="AD2022" s="245"/>
      <c r="AE2022" s="245"/>
      <c r="AF2022" s="245" t="s">
        <v>2053</v>
      </c>
      <c r="AG2022" s="245" t="s">
        <v>1761</v>
      </c>
      <c r="AH2022" s="245" t="s">
        <v>132</v>
      </c>
      <c r="AI2022" s="245" t="s">
        <v>2051</v>
      </c>
      <c r="AJ2022" s="245" t="s">
        <v>1621</v>
      </c>
      <c r="AK2022" s="245"/>
      <c r="AL2022" s="245"/>
      <c r="AM2022" s="245"/>
      <c r="AN2022" s="245" t="s">
        <v>2028</v>
      </c>
      <c r="AO2022" s="245" t="s">
        <v>2028</v>
      </c>
      <c r="AP2022" s="24" t="s">
        <v>178</v>
      </c>
      <c r="AQ2022" s="245" t="s">
        <v>2050</v>
      </c>
      <c r="AR2022" s="245"/>
      <c r="AT2022" s="245" t="s">
        <v>120</v>
      </c>
      <c r="AU2022" s="245">
        <v>4</v>
      </c>
      <c r="AV2022" s="245">
        <v>4</v>
      </c>
      <c r="AW2022" s="245" t="s">
        <v>142</v>
      </c>
      <c r="AX2022" s="245"/>
      <c r="AY2022" s="245">
        <v>2888</v>
      </c>
      <c r="AZ2022" s="245">
        <v>38.299999999999997</v>
      </c>
      <c r="BA2022" s="245"/>
      <c r="BB2022" s="245" t="s">
        <v>2120</v>
      </c>
      <c r="BH2022" s="245">
        <v>20000</v>
      </c>
      <c r="BI2022" s="245">
        <v>19000</v>
      </c>
      <c r="BJ2022" s="245"/>
      <c r="BM2022" s="437">
        <v>1.5295300000000001</v>
      </c>
      <c r="BN2022" s="437">
        <v>1.5009939999999999</v>
      </c>
      <c r="BR2022" s="437">
        <v>16.600000000000001</v>
      </c>
      <c r="BS2022" s="437">
        <v>18.3</v>
      </c>
      <c r="BV2022" s="24" t="s">
        <v>2124</v>
      </c>
      <c r="BW2022" s="24">
        <v>1.29</v>
      </c>
      <c r="BX2022" s="24">
        <v>1.45</v>
      </c>
      <c r="CA2022" s="24" t="s">
        <v>2106</v>
      </c>
      <c r="DF2022" s="24">
        <v>1.7</v>
      </c>
      <c r="DG2022" s="24">
        <v>1.75</v>
      </c>
      <c r="DJ2022" s="24" t="s">
        <v>2107</v>
      </c>
      <c r="GR2022" s="24">
        <v>283</v>
      </c>
      <c r="GS2022" s="24">
        <v>575</v>
      </c>
      <c r="GV2022" s="24" t="s">
        <v>2109</v>
      </c>
      <c r="GW2022" s="24">
        <v>51</v>
      </c>
      <c r="GX2022" s="24">
        <v>43</v>
      </c>
      <c r="HA2022" s="24" t="s">
        <v>2110</v>
      </c>
      <c r="IA2022" s="24">
        <v>1298</v>
      </c>
      <c r="IB2022" s="24">
        <v>1550</v>
      </c>
      <c r="IF2022" s="24">
        <v>72</v>
      </c>
      <c r="IG2022" s="24">
        <v>106</v>
      </c>
      <c r="IO2022" s="245" t="s">
        <v>2094</v>
      </c>
      <c r="IP2022" s="245" t="s">
        <v>2108</v>
      </c>
      <c r="IQ2022" s="249"/>
    </row>
    <row r="2023" spans="1:251" s="24" customFormat="1" x14ac:dyDescent="0.25">
      <c r="A2023" s="244">
        <v>92</v>
      </c>
      <c r="B2023" s="245" t="s">
        <v>769</v>
      </c>
      <c r="C2023" s="245" t="s">
        <v>2128</v>
      </c>
      <c r="D2023" s="245">
        <v>2003</v>
      </c>
      <c r="E2023" s="245">
        <v>1996</v>
      </c>
      <c r="F2023" s="245" t="s">
        <v>2055</v>
      </c>
      <c r="G2023" s="245" t="s">
        <v>2054</v>
      </c>
      <c r="H2023" s="245" t="s">
        <v>2831</v>
      </c>
      <c r="I2023" s="245">
        <v>32.56</v>
      </c>
      <c r="J2023" s="245">
        <v>-83.9</v>
      </c>
      <c r="K2023" s="245">
        <v>16</v>
      </c>
      <c r="L2023" s="245">
        <v>18.100000000000001</v>
      </c>
      <c r="M2023" s="245"/>
      <c r="N2023" s="245">
        <v>1258</v>
      </c>
      <c r="O2023" s="245"/>
      <c r="P2023" s="245"/>
      <c r="Q2023" s="245">
        <v>3</v>
      </c>
      <c r="R2023" s="246" t="s">
        <v>1741</v>
      </c>
      <c r="T2023" s="246" t="s">
        <v>2123</v>
      </c>
      <c r="U2023" s="245" t="s">
        <v>1393</v>
      </c>
      <c r="V2023" s="247">
        <v>30</v>
      </c>
      <c r="W2023" s="245" t="s">
        <v>1393</v>
      </c>
      <c r="X2023" s="245" t="s">
        <v>1393</v>
      </c>
      <c r="Y2023" s="248">
        <f>AVERAGE(Sheet1!BM2023:BN2023)</f>
        <v>1.517611</v>
      </c>
      <c r="Z2023" s="367">
        <v>65</v>
      </c>
      <c r="AA2023" s="367">
        <v>20</v>
      </c>
      <c r="AB2023" s="245" t="s">
        <v>241</v>
      </c>
      <c r="AC2023" s="245"/>
      <c r="AD2023" s="245"/>
      <c r="AE2023" s="245"/>
      <c r="AF2023" s="245" t="s">
        <v>2053</v>
      </c>
      <c r="AG2023" s="245" t="s">
        <v>2043</v>
      </c>
      <c r="AH2023" s="245" t="s">
        <v>578</v>
      </c>
      <c r="AI2023" s="245" t="s">
        <v>2051</v>
      </c>
      <c r="AJ2023" s="245" t="s">
        <v>1621</v>
      </c>
      <c r="AK2023" s="245"/>
      <c r="AL2023" s="245"/>
      <c r="AM2023" s="245"/>
      <c r="AN2023" s="245" t="s">
        <v>2028</v>
      </c>
      <c r="AO2023" s="245" t="s">
        <v>2028</v>
      </c>
      <c r="AP2023" s="24" t="s">
        <v>178</v>
      </c>
      <c r="AQ2023" s="245" t="s">
        <v>2050</v>
      </c>
      <c r="AR2023" s="245"/>
      <c r="AT2023" s="245" t="s">
        <v>120</v>
      </c>
      <c r="AU2023" s="245">
        <v>4</v>
      </c>
      <c r="AV2023" s="245">
        <v>4</v>
      </c>
      <c r="AW2023" s="245" t="s">
        <v>142</v>
      </c>
      <c r="AX2023" s="245"/>
      <c r="AY2023" s="245">
        <v>2313</v>
      </c>
      <c r="AZ2023" s="245">
        <v>13.8</v>
      </c>
      <c r="BA2023" s="245"/>
      <c r="BB2023" s="245" t="s">
        <v>2120</v>
      </c>
      <c r="BH2023" s="245">
        <v>20000</v>
      </c>
      <c r="BI2023" s="245">
        <v>40200</v>
      </c>
      <c r="BJ2023" s="245"/>
      <c r="BM2023" s="437">
        <v>1.5295300000000001</v>
      </c>
      <c r="BN2023" s="437">
        <v>1.505692</v>
      </c>
      <c r="BR2023" s="437">
        <v>16.600000000000001</v>
      </c>
      <c r="BS2023" s="437">
        <v>18.2</v>
      </c>
      <c r="BV2023" s="24" t="s">
        <v>2124</v>
      </c>
      <c r="BW2023" s="24">
        <v>1.29</v>
      </c>
      <c r="BX2023" s="24">
        <v>1.46</v>
      </c>
      <c r="CA2023" s="24" t="s">
        <v>2106</v>
      </c>
      <c r="DF2023" s="24">
        <v>1.7</v>
      </c>
      <c r="DG2023" s="24">
        <v>1.71</v>
      </c>
      <c r="DJ2023" s="24" t="s">
        <v>2107</v>
      </c>
      <c r="GR2023" s="24">
        <v>283</v>
      </c>
      <c r="GS2023" s="24">
        <v>420</v>
      </c>
      <c r="GV2023" s="24" t="s">
        <v>2109</v>
      </c>
      <c r="GW2023" s="24">
        <v>51</v>
      </c>
      <c r="GX2023" s="24">
        <v>60</v>
      </c>
      <c r="HA2023" s="24" t="s">
        <v>2110</v>
      </c>
      <c r="IA2023" s="24">
        <v>1298</v>
      </c>
      <c r="IB2023" s="24">
        <v>1469</v>
      </c>
      <c r="IF2023" s="24">
        <v>72</v>
      </c>
      <c r="IG2023" s="24">
        <v>109</v>
      </c>
      <c r="IO2023" s="245" t="s">
        <v>2094</v>
      </c>
      <c r="IP2023" s="245" t="s">
        <v>2108</v>
      </c>
      <c r="IQ2023" s="249"/>
    </row>
    <row r="2024" spans="1:251" s="24" customFormat="1" x14ac:dyDescent="0.25">
      <c r="A2024" s="244">
        <v>92</v>
      </c>
      <c r="B2024" s="245" t="s">
        <v>769</v>
      </c>
      <c r="C2024" s="245" t="s">
        <v>2128</v>
      </c>
      <c r="D2024" s="245">
        <v>2003</v>
      </c>
      <c r="E2024" s="245">
        <v>1996</v>
      </c>
      <c r="F2024" s="245" t="s">
        <v>2055</v>
      </c>
      <c r="G2024" s="245" t="s">
        <v>2054</v>
      </c>
      <c r="H2024" s="245" t="s">
        <v>2831</v>
      </c>
      <c r="I2024" s="245">
        <v>32.56</v>
      </c>
      <c r="J2024" s="245">
        <v>-83.9</v>
      </c>
      <c r="K2024" s="245">
        <v>16</v>
      </c>
      <c r="L2024" s="245">
        <v>18.100000000000001</v>
      </c>
      <c r="M2024" s="245"/>
      <c r="N2024" s="245">
        <v>1258</v>
      </c>
      <c r="O2024" s="245"/>
      <c r="P2024" s="245"/>
      <c r="Q2024" s="245">
        <v>3</v>
      </c>
      <c r="R2024" s="246" t="s">
        <v>1741</v>
      </c>
      <c r="T2024" s="246" t="s">
        <v>2123</v>
      </c>
      <c r="U2024" s="245" t="s">
        <v>1393</v>
      </c>
      <c r="V2024" s="247">
        <v>30</v>
      </c>
      <c r="W2024" s="245" t="s">
        <v>1393</v>
      </c>
      <c r="X2024" s="245" t="s">
        <v>1393</v>
      </c>
      <c r="Y2024" s="248">
        <f>AVERAGE(Sheet1!BM2024:BN2024)</f>
        <v>1.5189159999999999</v>
      </c>
      <c r="Z2024" s="367">
        <v>65</v>
      </c>
      <c r="AA2024" s="367">
        <v>20</v>
      </c>
      <c r="AB2024" s="245" t="s">
        <v>241</v>
      </c>
      <c r="AC2024" s="245"/>
      <c r="AD2024" s="245"/>
      <c r="AE2024" s="245"/>
      <c r="AF2024" s="245" t="s">
        <v>2053</v>
      </c>
      <c r="AG2024" s="245" t="s">
        <v>2052</v>
      </c>
      <c r="AH2024" s="245" t="s">
        <v>578</v>
      </c>
      <c r="AI2024" s="245" t="s">
        <v>2051</v>
      </c>
      <c r="AJ2024" s="245" t="s">
        <v>1621</v>
      </c>
      <c r="AK2024" s="245"/>
      <c r="AL2024" s="245"/>
      <c r="AM2024" s="245"/>
      <c r="AN2024" s="245" t="s">
        <v>2028</v>
      </c>
      <c r="AO2024" s="245" t="s">
        <v>2028</v>
      </c>
      <c r="AP2024" s="24" t="s">
        <v>178</v>
      </c>
      <c r="AQ2024" s="245" t="s">
        <v>2050</v>
      </c>
      <c r="AR2024" s="245"/>
      <c r="AT2024" s="245" t="s">
        <v>120</v>
      </c>
      <c r="AU2024" s="245">
        <v>4</v>
      </c>
      <c r="AV2024" s="245">
        <v>4</v>
      </c>
      <c r="AW2024" s="245" t="s">
        <v>142</v>
      </c>
      <c r="AX2024" s="245"/>
      <c r="AY2024" s="245">
        <v>2863</v>
      </c>
      <c r="AZ2024" s="245">
        <v>19.600000000000001</v>
      </c>
      <c r="BA2024" s="245"/>
      <c r="BB2024" s="245" t="s">
        <v>2120</v>
      </c>
      <c r="BH2024" s="245">
        <v>20000</v>
      </c>
      <c r="BI2024" s="245">
        <v>40900</v>
      </c>
      <c r="BJ2024" s="245"/>
      <c r="BM2024" s="437">
        <v>1.5295300000000001</v>
      </c>
      <c r="BN2024" s="437">
        <v>1.508302</v>
      </c>
      <c r="BR2024" s="437">
        <v>16.600000000000001</v>
      </c>
      <c r="BS2024" s="437">
        <v>18.100000000000001</v>
      </c>
      <c r="BV2024" s="24" t="s">
        <v>2124</v>
      </c>
      <c r="BW2024" s="24">
        <v>1.29</v>
      </c>
      <c r="BX2024" s="24">
        <v>1.33</v>
      </c>
      <c r="CA2024" s="24" t="s">
        <v>2106</v>
      </c>
      <c r="DF2024" s="24">
        <v>1.7</v>
      </c>
      <c r="DG2024" s="24">
        <v>1.66</v>
      </c>
      <c r="DJ2024" s="24" t="s">
        <v>2107</v>
      </c>
      <c r="GR2024" s="24">
        <v>283</v>
      </c>
      <c r="GS2024" s="24">
        <v>575</v>
      </c>
      <c r="GV2024" s="24" t="s">
        <v>2109</v>
      </c>
      <c r="GW2024" s="24">
        <v>51</v>
      </c>
      <c r="GX2024" s="24">
        <v>54</v>
      </c>
      <c r="HA2024" s="24" t="s">
        <v>2110</v>
      </c>
      <c r="IA2024" s="24">
        <v>1298</v>
      </c>
      <c r="IB2024" s="24">
        <v>1530</v>
      </c>
      <c r="IF2024" s="24">
        <v>72</v>
      </c>
      <c r="IG2024" s="24">
        <v>106</v>
      </c>
      <c r="IO2024" s="245" t="s">
        <v>2094</v>
      </c>
      <c r="IP2024" s="245" t="s">
        <v>2108</v>
      </c>
      <c r="IQ2024" s="249"/>
    </row>
    <row r="2025" spans="1:251" s="101" customFormat="1" x14ac:dyDescent="0.25">
      <c r="A2025" s="233">
        <v>92</v>
      </c>
      <c r="B2025" s="234" t="s">
        <v>769</v>
      </c>
      <c r="C2025" s="234" t="s">
        <v>2128</v>
      </c>
      <c r="D2025" s="234">
        <v>2003</v>
      </c>
      <c r="E2025" s="234">
        <v>1997</v>
      </c>
      <c r="F2025" s="234" t="s">
        <v>2055</v>
      </c>
      <c r="G2025" s="234" t="s">
        <v>2054</v>
      </c>
      <c r="H2025" s="245" t="s">
        <v>2831</v>
      </c>
      <c r="I2025" s="234">
        <v>32.56</v>
      </c>
      <c r="J2025" s="234">
        <v>-83.9</v>
      </c>
      <c r="K2025" s="234">
        <v>16</v>
      </c>
      <c r="L2025" s="234">
        <v>18.100000000000001</v>
      </c>
      <c r="M2025" s="234"/>
      <c r="N2025" s="234">
        <v>1258</v>
      </c>
      <c r="O2025" s="234"/>
      <c r="P2025" s="234"/>
      <c r="Q2025" s="234">
        <v>4</v>
      </c>
      <c r="R2025" s="235" t="s">
        <v>1741</v>
      </c>
      <c r="T2025" s="235" t="s">
        <v>2123</v>
      </c>
      <c r="U2025" s="234" t="s">
        <v>1393</v>
      </c>
      <c r="V2025" s="236">
        <v>30</v>
      </c>
      <c r="W2025" s="234" t="s">
        <v>1393</v>
      </c>
      <c r="X2025" s="234" t="s">
        <v>1393</v>
      </c>
      <c r="Y2025" s="237">
        <v>1.5152619999999999</v>
      </c>
      <c r="Z2025" s="368">
        <v>65</v>
      </c>
      <c r="AA2025" s="368">
        <v>20</v>
      </c>
      <c r="AB2025" s="234" t="s">
        <v>241</v>
      </c>
      <c r="AC2025" s="234"/>
      <c r="AD2025" s="234"/>
      <c r="AE2025" s="234"/>
      <c r="AF2025" s="234" t="s">
        <v>2053</v>
      </c>
      <c r="AG2025" s="234" t="s">
        <v>1761</v>
      </c>
      <c r="AH2025" s="234" t="s">
        <v>132</v>
      </c>
      <c r="AI2025" s="234" t="s">
        <v>2051</v>
      </c>
      <c r="AJ2025" s="234" t="s">
        <v>1621</v>
      </c>
      <c r="AK2025" s="234"/>
      <c r="AL2025" s="234"/>
      <c r="AM2025" s="234"/>
      <c r="AN2025" s="234" t="s">
        <v>2028</v>
      </c>
      <c r="AO2025" s="234" t="s">
        <v>2028</v>
      </c>
      <c r="AP2025" s="24" t="s">
        <v>178</v>
      </c>
      <c r="AQ2025" s="234" t="s">
        <v>2050</v>
      </c>
      <c r="AR2025" s="234"/>
      <c r="AT2025" s="245" t="s">
        <v>120</v>
      </c>
      <c r="AU2025" s="234">
        <v>4</v>
      </c>
      <c r="AV2025" s="234">
        <v>4</v>
      </c>
      <c r="AW2025" s="234" t="s">
        <v>142</v>
      </c>
      <c r="AX2025" s="234"/>
      <c r="AY2025" s="234">
        <v>3020</v>
      </c>
      <c r="AZ2025" s="234">
        <v>25.3</v>
      </c>
      <c r="BA2025" s="234"/>
      <c r="BB2025" s="245" t="s">
        <v>2120</v>
      </c>
      <c r="BH2025" s="234">
        <v>17300</v>
      </c>
      <c r="BI2025" s="234">
        <v>13600</v>
      </c>
      <c r="BJ2025" s="234"/>
      <c r="BM2025" s="444"/>
      <c r="BN2025" s="444"/>
      <c r="BR2025" s="445">
        <v>16.3</v>
      </c>
      <c r="BS2025" s="444">
        <v>18.5</v>
      </c>
      <c r="BV2025" s="24" t="s">
        <v>2124</v>
      </c>
      <c r="BW2025" s="101">
        <v>1.28</v>
      </c>
      <c r="BX2025" s="101">
        <v>1.43</v>
      </c>
      <c r="CA2025" s="175" t="s">
        <v>2106</v>
      </c>
      <c r="DJ2025" s="175"/>
      <c r="IO2025" s="234" t="s">
        <v>2094</v>
      </c>
      <c r="IP2025" s="231" t="s">
        <v>2108</v>
      </c>
      <c r="IQ2025" s="177"/>
    </row>
    <row r="2026" spans="1:251" s="101" customFormat="1" x14ac:dyDescent="0.25">
      <c r="A2026" s="233">
        <v>92</v>
      </c>
      <c r="B2026" s="234" t="s">
        <v>769</v>
      </c>
      <c r="C2026" s="234" t="s">
        <v>2128</v>
      </c>
      <c r="D2026" s="234">
        <v>2003</v>
      </c>
      <c r="E2026" s="234">
        <v>1997</v>
      </c>
      <c r="F2026" s="234" t="s">
        <v>2055</v>
      </c>
      <c r="G2026" s="234" t="s">
        <v>2054</v>
      </c>
      <c r="H2026" s="245" t="s">
        <v>2831</v>
      </c>
      <c r="I2026" s="234">
        <v>32.56</v>
      </c>
      <c r="J2026" s="234">
        <v>-83.9</v>
      </c>
      <c r="K2026" s="234">
        <v>16</v>
      </c>
      <c r="L2026" s="234">
        <v>18.100000000000001</v>
      </c>
      <c r="M2026" s="234"/>
      <c r="N2026" s="234">
        <v>1258</v>
      </c>
      <c r="O2026" s="234"/>
      <c r="P2026" s="234"/>
      <c r="Q2026" s="234">
        <v>4</v>
      </c>
      <c r="R2026" s="235" t="s">
        <v>1741</v>
      </c>
      <c r="T2026" s="235" t="s">
        <v>2123</v>
      </c>
      <c r="U2026" s="234" t="s">
        <v>1393</v>
      </c>
      <c r="V2026" s="236">
        <v>30</v>
      </c>
      <c r="W2026" s="234" t="s">
        <v>1393</v>
      </c>
      <c r="X2026" s="234" t="s">
        <v>1393</v>
      </c>
      <c r="Y2026" s="237">
        <v>1.517611</v>
      </c>
      <c r="Z2026" s="368">
        <v>65</v>
      </c>
      <c r="AA2026" s="368">
        <v>20</v>
      </c>
      <c r="AB2026" s="234" t="s">
        <v>241</v>
      </c>
      <c r="AC2026" s="234"/>
      <c r="AD2026" s="234"/>
      <c r="AE2026" s="234"/>
      <c r="AF2026" s="234" t="s">
        <v>2053</v>
      </c>
      <c r="AG2026" s="234" t="s">
        <v>2043</v>
      </c>
      <c r="AH2026" s="234" t="s">
        <v>578</v>
      </c>
      <c r="AI2026" s="234" t="s">
        <v>2051</v>
      </c>
      <c r="AJ2026" s="234" t="s">
        <v>1621</v>
      </c>
      <c r="AK2026" s="234"/>
      <c r="AL2026" s="234"/>
      <c r="AM2026" s="234"/>
      <c r="AN2026" s="234" t="s">
        <v>2028</v>
      </c>
      <c r="AO2026" s="234" t="s">
        <v>2028</v>
      </c>
      <c r="AP2026" s="24" t="s">
        <v>178</v>
      </c>
      <c r="AQ2026" s="234" t="s">
        <v>2050</v>
      </c>
      <c r="AR2026" s="234"/>
      <c r="AT2026" s="245" t="s">
        <v>120</v>
      </c>
      <c r="AU2026" s="234">
        <v>4</v>
      </c>
      <c r="AV2026" s="234">
        <v>4</v>
      </c>
      <c r="AW2026" s="234" t="s">
        <v>142</v>
      </c>
      <c r="AX2026" s="234"/>
      <c r="AY2026" s="234">
        <v>1911</v>
      </c>
      <c r="AZ2026" s="234">
        <v>9.1999999999999993</v>
      </c>
      <c r="BA2026" s="234"/>
      <c r="BB2026" s="245" t="s">
        <v>2120</v>
      </c>
      <c r="BH2026" s="234">
        <v>17300</v>
      </c>
      <c r="BI2026" s="234">
        <v>31500</v>
      </c>
      <c r="BJ2026" s="234"/>
      <c r="BM2026" s="444"/>
      <c r="BN2026" s="444"/>
      <c r="BR2026" s="445">
        <v>16.3</v>
      </c>
      <c r="BS2026" s="444">
        <v>17.600000000000001</v>
      </c>
      <c r="BV2026" s="24" t="s">
        <v>2124</v>
      </c>
      <c r="BW2026" s="101">
        <v>1.28</v>
      </c>
      <c r="BX2026" s="101">
        <v>1.38</v>
      </c>
      <c r="CA2026" s="175" t="s">
        <v>2106</v>
      </c>
      <c r="IO2026" s="234" t="s">
        <v>2094</v>
      </c>
      <c r="IP2026" s="231" t="s">
        <v>2108</v>
      </c>
      <c r="IQ2026" s="177"/>
    </row>
    <row r="2027" spans="1:251" s="101" customFormat="1" x14ac:dyDescent="0.25">
      <c r="A2027" s="233">
        <v>92</v>
      </c>
      <c r="B2027" s="234" t="s">
        <v>769</v>
      </c>
      <c r="C2027" s="234" t="s">
        <v>2128</v>
      </c>
      <c r="D2027" s="234">
        <v>2003</v>
      </c>
      <c r="E2027" s="234">
        <v>1997</v>
      </c>
      <c r="F2027" s="234" t="s">
        <v>2055</v>
      </c>
      <c r="G2027" s="234" t="s">
        <v>2054</v>
      </c>
      <c r="H2027" s="245" t="s">
        <v>2831</v>
      </c>
      <c r="I2027" s="234">
        <v>32.56</v>
      </c>
      <c r="J2027" s="234">
        <v>-83.9</v>
      </c>
      <c r="K2027" s="234">
        <v>16</v>
      </c>
      <c r="L2027" s="234">
        <v>18.100000000000001</v>
      </c>
      <c r="M2027" s="234"/>
      <c r="N2027" s="234">
        <v>1258</v>
      </c>
      <c r="O2027" s="234"/>
      <c r="P2027" s="234"/>
      <c r="Q2027" s="234">
        <v>4</v>
      </c>
      <c r="R2027" s="235" t="s">
        <v>1741</v>
      </c>
      <c r="T2027" s="235" t="s">
        <v>2123</v>
      </c>
      <c r="U2027" s="234" t="s">
        <v>1393</v>
      </c>
      <c r="V2027" s="236">
        <v>30</v>
      </c>
      <c r="W2027" s="234" t="s">
        <v>1393</v>
      </c>
      <c r="X2027" s="234" t="s">
        <v>1393</v>
      </c>
      <c r="Y2027" s="237">
        <v>1.5189159999999999</v>
      </c>
      <c r="Z2027" s="368">
        <v>65</v>
      </c>
      <c r="AA2027" s="368">
        <v>20</v>
      </c>
      <c r="AB2027" s="234" t="s">
        <v>241</v>
      </c>
      <c r="AC2027" s="234"/>
      <c r="AD2027" s="234"/>
      <c r="AE2027" s="234"/>
      <c r="AF2027" s="234" t="s">
        <v>2053</v>
      </c>
      <c r="AG2027" s="234" t="s">
        <v>2052</v>
      </c>
      <c r="AH2027" s="234" t="s">
        <v>578</v>
      </c>
      <c r="AI2027" s="234" t="s">
        <v>2051</v>
      </c>
      <c r="AJ2027" s="234" t="s">
        <v>1621</v>
      </c>
      <c r="AK2027" s="234"/>
      <c r="AL2027" s="234"/>
      <c r="AM2027" s="234"/>
      <c r="AN2027" s="234" t="s">
        <v>2028</v>
      </c>
      <c r="AO2027" s="234" t="s">
        <v>2028</v>
      </c>
      <c r="AP2027" s="24" t="s">
        <v>178</v>
      </c>
      <c r="AQ2027" s="234" t="s">
        <v>2050</v>
      </c>
      <c r="AR2027" s="234"/>
      <c r="AT2027" s="245" t="s">
        <v>120</v>
      </c>
      <c r="AU2027" s="234">
        <v>4</v>
      </c>
      <c r="AV2027" s="234">
        <v>4</v>
      </c>
      <c r="AW2027" s="234" t="s">
        <v>142</v>
      </c>
      <c r="AX2027" s="234"/>
      <c r="AY2027" s="234">
        <v>2663</v>
      </c>
      <c r="AZ2027" s="234">
        <v>12.3</v>
      </c>
      <c r="BA2027" s="234"/>
      <c r="BB2027" s="245" t="s">
        <v>2120</v>
      </c>
      <c r="BH2027" s="234">
        <v>17300</v>
      </c>
      <c r="BI2027" s="234">
        <v>30000</v>
      </c>
      <c r="BJ2027" s="234"/>
      <c r="BM2027" s="444"/>
      <c r="BN2027" s="444"/>
      <c r="BR2027" s="445">
        <v>16.3</v>
      </c>
      <c r="BS2027" s="444">
        <v>17</v>
      </c>
      <c r="BV2027" s="24" t="s">
        <v>2124</v>
      </c>
      <c r="BW2027" s="101">
        <v>1.28</v>
      </c>
      <c r="BX2027" s="101">
        <v>1.36</v>
      </c>
      <c r="CA2027" s="175" t="s">
        <v>2106</v>
      </c>
      <c r="IO2027" s="234" t="s">
        <v>2094</v>
      </c>
      <c r="IP2027" s="231" t="s">
        <v>2108</v>
      </c>
      <c r="IQ2027" s="177"/>
    </row>
    <row r="2028" spans="1:251" s="175" customFormat="1" x14ac:dyDescent="0.25">
      <c r="A2028" s="300">
        <v>92</v>
      </c>
      <c r="B2028" s="231" t="s">
        <v>769</v>
      </c>
      <c r="C2028" s="231" t="s">
        <v>2128</v>
      </c>
      <c r="D2028" s="231">
        <v>2003</v>
      </c>
      <c r="E2028" s="231">
        <v>1998</v>
      </c>
      <c r="F2028" s="231" t="s">
        <v>2055</v>
      </c>
      <c r="G2028" s="231" t="s">
        <v>2054</v>
      </c>
      <c r="H2028" s="245" t="s">
        <v>2831</v>
      </c>
      <c r="I2028" s="231">
        <v>32.56</v>
      </c>
      <c r="J2028" s="231">
        <v>-83.9</v>
      </c>
      <c r="K2028" s="231">
        <v>16</v>
      </c>
      <c r="L2028" s="231">
        <v>18.100000000000001</v>
      </c>
      <c r="M2028" s="231"/>
      <c r="N2028" s="231">
        <v>1258</v>
      </c>
      <c r="O2028" s="231"/>
      <c r="P2028" s="231"/>
      <c r="Q2028" s="231">
        <v>5</v>
      </c>
      <c r="R2028" s="301" t="s">
        <v>1741</v>
      </c>
      <c r="T2028" s="301" t="s">
        <v>2123</v>
      </c>
      <c r="U2028" s="231" t="s">
        <v>1393</v>
      </c>
      <c r="V2028" s="302">
        <v>30</v>
      </c>
      <c r="W2028" s="231" t="s">
        <v>1393</v>
      </c>
      <c r="X2028" s="231" t="s">
        <v>1393</v>
      </c>
      <c r="Y2028" s="232">
        <v>1.5152619999999999</v>
      </c>
      <c r="Z2028" s="369">
        <v>65</v>
      </c>
      <c r="AA2028" s="369">
        <v>20</v>
      </c>
      <c r="AB2028" s="231" t="s">
        <v>241</v>
      </c>
      <c r="AC2028" s="231"/>
      <c r="AD2028" s="231"/>
      <c r="AE2028" s="231"/>
      <c r="AF2028" s="231" t="s">
        <v>2053</v>
      </c>
      <c r="AG2028" s="231" t="s">
        <v>1761</v>
      </c>
      <c r="AH2028" s="231" t="s">
        <v>132</v>
      </c>
      <c r="AI2028" s="231" t="s">
        <v>2051</v>
      </c>
      <c r="AJ2028" s="231" t="s">
        <v>1621</v>
      </c>
      <c r="AK2028" s="231"/>
      <c r="AL2028" s="231"/>
      <c r="AM2028" s="231"/>
      <c r="AN2028" s="231" t="s">
        <v>2028</v>
      </c>
      <c r="AO2028" s="231" t="s">
        <v>2028</v>
      </c>
      <c r="AP2028" s="24" t="s">
        <v>178</v>
      </c>
      <c r="AQ2028" s="231" t="s">
        <v>2050</v>
      </c>
      <c r="AR2028" s="231"/>
      <c r="AT2028" s="231" t="s">
        <v>120</v>
      </c>
      <c r="AU2028" s="231">
        <v>4</v>
      </c>
      <c r="AV2028" s="231">
        <v>4</v>
      </c>
      <c r="AW2028" s="231" t="s">
        <v>142</v>
      </c>
      <c r="AX2028" s="231"/>
      <c r="AY2028" s="231"/>
      <c r="AZ2028" s="231"/>
      <c r="BA2028" s="231"/>
      <c r="BB2028" s="231" t="s">
        <v>2120</v>
      </c>
      <c r="BH2028" s="231"/>
      <c r="BI2028" s="231"/>
      <c r="BJ2028" s="231"/>
      <c r="BM2028" s="445"/>
      <c r="BN2028" s="445"/>
      <c r="BR2028" s="445">
        <v>16.100000000000001</v>
      </c>
      <c r="BS2028" s="445">
        <v>18.3</v>
      </c>
      <c r="BV2028" s="24" t="s">
        <v>2124</v>
      </c>
      <c r="BW2028" s="175">
        <v>1.28</v>
      </c>
      <c r="BX2028" s="175">
        <v>1.44</v>
      </c>
      <c r="CA2028" s="175" t="s">
        <v>2106</v>
      </c>
      <c r="IO2028" s="231" t="s">
        <v>2094</v>
      </c>
      <c r="IP2028" s="231" t="s">
        <v>2108</v>
      </c>
      <c r="IQ2028" s="303"/>
    </row>
    <row r="2029" spans="1:251" s="175" customFormat="1" x14ac:dyDescent="0.25">
      <c r="A2029" s="300">
        <v>92</v>
      </c>
      <c r="B2029" s="231" t="s">
        <v>769</v>
      </c>
      <c r="C2029" s="231" t="s">
        <v>2128</v>
      </c>
      <c r="D2029" s="231">
        <v>2003</v>
      </c>
      <c r="E2029" s="231">
        <v>1998</v>
      </c>
      <c r="F2029" s="231" t="s">
        <v>2055</v>
      </c>
      <c r="G2029" s="231" t="s">
        <v>2054</v>
      </c>
      <c r="H2029" s="245" t="s">
        <v>2831</v>
      </c>
      <c r="I2029" s="231">
        <v>32.56</v>
      </c>
      <c r="J2029" s="231">
        <v>-83.9</v>
      </c>
      <c r="K2029" s="231">
        <v>16</v>
      </c>
      <c r="L2029" s="231">
        <v>18.100000000000001</v>
      </c>
      <c r="M2029" s="231"/>
      <c r="N2029" s="231">
        <v>1258</v>
      </c>
      <c r="O2029" s="231"/>
      <c r="P2029" s="231"/>
      <c r="Q2029" s="231">
        <v>5</v>
      </c>
      <c r="R2029" s="301" t="s">
        <v>1741</v>
      </c>
      <c r="T2029" s="301" t="s">
        <v>2123</v>
      </c>
      <c r="U2029" s="231" t="s">
        <v>1393</v>
      </c>
      <c r="V2029" s="302">
        <v>30</v>
      </c>
      <c r="W2029" s="231" t="s">
        <v>1393</v>
      </c>
      <c r="X2029" s="231" t="s">
        <v>1393</v>
      </c>
      <c r="Y2029" s="232">
        <v>1.517611</v>
      </c>
      <c r="Z2029" s="369">
        <v>65</v>
      </c>
      <c r="AA2029" s="369">
        <v>20</v>
      </c>
      <c r="AB2029" s="231" t="s">
        <v>241</v>
      </c>
      <c r="AC2029" s="231"/>
      <c r="AD2029" s="231"/>
      <c r="AE2029" s="231"/>
      <c r="AF2029" s="231" t="s">
        <v>2053</v>
      </c>
      <c r="AG2029" s="231" t="s">
        <v>2043</v>
      </c>
      <c r="AH2029" s="231" t="s">
        <v>578</v>
      </c>
      <c r="AI2029" s="231" t="s">
        <v>2051</v>
      </c>
      <c r="AJ2029" s="231" t="s">
        <v>1621</v>
      </c>
      <c r="AK2029" s="231"/>
      <c r="AL2029" s="231"/>
      <c r="AM2029" s="231"/>
      <c r="AN2029" s="231" t="s">
        <v>2028</v>
      </c>
      <c r="AO2029" s="231" t="s">
        <v>2028</v>
      </c>
      <c r="AP2029" s="24" t="s">
        <v>178</v>
      </c>
      <c r="AQ2029" s="231" t="s">
        <v>2050</v>
      </c>
      <c r="AR2029" s="231"/>
      <c r="AT2029" s="231" t="s">
        <v>120</v>
      </c>
      <c r="AU2029" s="231">
        <v>4</v>
      </c>
      <c r="AV2029" s="231">
        <v>4</v>
      </c>
      <c r="AW2029" s="231" t="s">
        <v>142</v>
      </c>
      <c r="AX2029" s="231"/>
      <c r="AY2029" s="231"/>
      <c r="AZ2029" s="231"/>
      <c r="BA2029" s="231"/>
      <c r="BB2029" s="231" t="s">
        <v>2120</v>
      </c>
      <c r="BH2029" s="231"/>
      <c r="BI2029" s="231"/>
      <c r="BJ2029" s="231"/>
      <c r="BM2029" s="445"/>
      <c r="BN2029" s="445"/>
      <c r="BR2029" s="445">
        <v>16.100000000000001</v>
      </c>
      <c r="BS2029" s="445">
        <v>17.3</v>
      </c>
      <c r="BV2029" s="24" t="s">
        <v>2124</v>
      </c>
      <c r="BW2029" s="175">
        <v>1.28</v>
      </c>
      <c r="BX2029" s="175">
        <v>1.38</v>
      </c>
      <c r="CA2029" s="175" t="s">
        <v>2106</v>
      </c>
      <c r="IO2029" s="231" t="s">
        <v>2094</v>
      </c>
      <c r="IP2029" s="231" t="s">
        <v>2108</v>
      </c>
      <c r="IQ2029" s="303"/>
    </row>
    <row r="2030" spans="1:251" s="175" customFormat="1" x14ac:dyDescent="0.25">
      <c r="A2030" s="300">
        <v>92</v>
      </c>
      <c r="B2030" s="231" t="s">
        <v>769</v>
      </c>
      <c r="C2030" s="231" t="s">
        <v>2128</v>
      </c>
      <c r="D2030" s="231">
        <v>2003</v>
      </c>
      <c r="E2030" s="231">
        <v>1998</v>
      </c>
      <c r="F2030" s="231" t="s">
        <v>2055</v>
      </c>
      <c r="G2030" s="231" t="s">
        <v>2054</v>
      </c>
      <c r="H2030" s="245" t="s">
        <v>2831</v>
      </c>
      <c r="I2030" s="231">
        <v>32.56</v>
      </c>
      <c r="J2030" s="231">
        <v>-83.9</v>
      </c>
      <c r="K2030" s="231">
        <v>16</v>
      </c>
      <c r="L2030" s="231">
        <v>18.100000000000001</v>
      </c>
      <c r="M2030" s="231"/>
      <c r="N2030" s="231">
        <v>1258</v>
      </c>
      <c r="O2030" s="231"/>
      <c r="P2030" s="231"/>
      <c r="Q2030" s="231">
        <v>5</v>
      </c>
      <c r="R2030" s="301" t="s">
        <v>1741</v>
      </c>
      <c r="T2030" s="301" t="s">
        <v>2123</v>
      </c>
      <c r="U2030" s="231" t="s">
        <v>1393</v>
      </c>
      <c r="V2030" s="302">
        <v>30</v>
      </c>
      <c r="W2030" s="231" t="s">
        <v>1393</v>
      </c>
      <c r="X2030" s="231" t="s">
        <v>1393</v>
      </c>
      <c r="Y2030" s="232">
        <v>1.5189159999999999</v>
      </c>
      <c r="Z2030" s="369">
        <v>65</v>
      </c>
      <c r="AA2030" s="369">
        <v>20</v>
      </c>
      <c r="AB2030" s="231" t="s">
        <v>241</v>
      </c>
      <c r="AC2030" s="231"/>
      <c r="AD2030" s="231"/>
      <c r="AE2030" s="231"/>
      <c r="AF2030" s="231" t="s">
        <v>2053</v>
      </c>
      <c r="AG2030" s="231" t="s">
        <v>2052</v>
      </c>
      <c r="AH2030" s="231" t="s">
        <v>578</v>
      </c>
      <c r="AI2030" s="231" t="s">
        <v>2051</v>
      </c>
      <c r="AJ2030" s="231" t="s">
        <v>1621</v>
      </c>
      <c r="AK2030" s="231"/>
      <c r="AL2030" s="231"/>
      <c r="AM2030" s="231"/>
      <c r="AN2030" s="231" t="s">
        <v>2028</v>
      </c>
      <c r="AO2030" s="231" t="s">
        <v>2028</v>
      </c>
      <c r="AP2030" s="24" t="s">
        <v>178</v>
      </c>
      <c r="AQ2030" s="231" t="s">
        <v>2050</v>
      </c>
      <c r="AR2030" s="231"/>
      <c r="AT2030" s="231" t="s">
        <v>120</v>
      </c>
      <c r="AU2030" s="231">
        <v>4</v>
      </c>
      <c r="AV2030" s="231">
        <v>4</v>
      </c>
      <c r="AW2030" s="231" t="s">
        <v>142</v>
      </c>
      <c r="AX2030" s="231"/>
      <c r="AY2030" s="231"/>
      <c r="AZ2030" s="231"/>
      <c r="BA2030" s="231"/>
      <c r="BB2030" s="231" t="s">
        <v>2120</v>
      </c>
      <c r="BH2030" s="231"/>
      <c r="BI2030" s="231"/>
      <c r="BJ2030" s="231"/>
      <c r="BM2030" s="445"/>
      <c r="BN2030" s="445"/>
      <c r="BR2030" s="445">
        <v>16.100000000000001</v>
      </c>
      <c r="BS2030" s="445">
        <v>17.7</v>
      </c>
      <c r="BV2030" s="24" t="s">
        <v>2124</v>
      </c>
      <c r="BW2030" s="175">
        <v>1.28</v>
      </c>
      <c r="BX2030" s="175">
        <v>1.36</v>
      </c>
      <c r="CA2030" s="175" t="s">
        <v>2106</v>
      </c>
      <c r="IO2030" s="231" t="s">
        <v>2094</v>
      </c>
      <c r="IP2030" s="231" t="s">
        <v>2108</v>
      </c>
      <c r="IQ2030" s="303"/>
    </row>
    <row r="2031" spans="1:251" s="24" customFormat="1" x14ac:dyDescent="0.25">
      <c r="A2031" s="244">
        <v>92</v>
      </c>
      <c r="B2031" s="245" t="s">
        <v>769</v>
      </c>
      <c r="C2031" s="245" t="s">
        <v>2128</v>
      </c>
      <c r="D2031" s="245">
        <v>2003</v>
      </c>
      <c r="E2031" s="245">
        <v>1999</v>
      </c>
      <c r="F2031" s="245" t="s">
        <v>2055</v>
      </c>
      <c r="G2031" s="245" t="s">
        <v>2054</v>
      </c>
      <c r="H2031" s="245" t="s">
        <v>2831</v>
      </c>
      <c r="I2031" s="245">
        <v>32.56</v>
      </c>
      <c r="J2031" s="245">
        <v>-83.9</v>
      </c>
      <c r="K2031" s="245">
        <v>16</v>
      </c>
      <c r="L2031" s="245">
        <v>18.100000000000001</v>
      </c>
      <c r="M2031" s="245"/>
      <c r="N2031" s="245">
        <v>1258</v>
      </c>
      <c r="O2031" s="245"/>
      <c r="P2031" s="245"/>
      <c r="Q2031" s="245">
        <v>6</v>
      </c>
      <c r="R2031" s="246" t="s">
        <v>1741</v>
      </c>
      <c r="T2031" s="246" t="s">
        <v>2123</v>
      </c>
      <c r="U2031" s="245" t="s">
        <v>1393</v>
      </c>
      <c r="V2031" s="247">
        <v>30</v>
      </c>
      <c r="W2031" s="245" t="s">
        <v>1393</v>
      </c>
      <c r="X2031" s="245" t="s">
        <v>1393</v>
      </c>
      <c r="Y2031" s="248">
        <v>1.5152619999999999</v>
      </c>
      <c r="Z2031" s="367">
        <v>65</v>
      </c>
      <c r="AA2031" s="367">
        <v>20</v>
      </c>
      <c r="AB2031" s="245" t="s">
        <v>241</v>
      </c>
      <c r="AC2031" s="245"/>
      <c r="AD2031" s="245"/>
      <c r="AE2031" s="245"/>
      <c r="AF2031" s="245" t="s">
        <v>2053</v>
      </c>
      <c r="AG2031" s="245" t="s">
        <v>1761</v>
      </c>
      <c r="AH2031" s="245" t="s">
        <v>132</v>
      </c>
      <c r="AI2031" s="245" t="s">
        <v>2051</v>
      </c>
      <c r="AJ2031" s="245" t="s">
        <v>1621</v>
      </c>
      <c r="AK2031" s="245"/>
      <c r="AL2031" s="245"/>
      <c r="AM2031" s="245"/>
      <c r="AN2031" s="245" t="s">
        <v>2028</v>
      </c>
      <c r="AO2031" s="245" t="s">
        <v>2028</v>
      </c>
      <c r="AP2031" s="24" t="s">
        <v>178</v>
      </c>
      <c r="AQ2031" s="245" t="s">
        <v>2050</v>
      </c>
      <c r="AR2031" s="245"/>
      <c r="AT2031" s="245" t="s">
        <v>120</v>
      </c>
      <c r="AU2031" s="245">
        <v>4</v>
      </c>
      <c r="AV2031" s="245">
        <v>4</v>
      </c>
      <c r="AW2031" s="245" t="s">
        <v>142</v>
      </c>
      <c r="AX2031" s="245"/>
      <c r="AY2031" s="245">
        <v>3704</v>
      </c>
      <c r="AZ2031" s="245">
        <v>49.2</v>
      </c>
      <c r="BA2031" s="245"/>
      <c r="BB2031" s="245" t="s">
        <v>2120</v>
      </c>
      <c r="BH2031" s="245">
        <v>56100</v>
      </c>
      <c r="BI2031" s="245">
        <v>37000</v>
      </c>
      <c r="BJ2031" s="245"/>
      <c r="BM2031" s="437"/>
      <c r="BN2031" s="437"/>
      <c r="BR2031" s="437">
        <v>15.6</v>
      </c>
      <c r="BS2031" s="437">
        <v>18.5</v>
      </c>
      <c r="BV2031" s="24" t="s">
        <v>2124</v>
      </c>
      <c r="BW2031" s="24">
        <v>1.32</v>
      </c>
      <c r="BX2031" s="24">
        <v>1.45</v>
      </c>
      <c r="CA2031" s="24" t="s">
        <v>2106</v>
      </c>
      <c r="IO2031" s="245" t="s">
        <v>2094</v>
      </c>
      <c r="IP2031" s="245" t="s">
        <v>2108</v>
      </c>
      <c r="IQ2031" s="249"/>
    </row>
    <row r="2032" spans="1:251" s="24" customFormat="1" x14ac:dyDescent="0.25">
      <c r="A2032" s="244">
        <v>92</v>
      </c>
      <c r="B2032" s="245" t="s">
        <v>769</v>
      </c>
      <c r="C2032" s="245" t="s">
        <v>2128</v>
      </c>
      <c r="D2032" s="245">
        <v>2003</v>
      </c>
      <c r="E2032" s="245">
        <v>1999</v>
      </c>
      <c r="F2032" s="245" t="s">
        <v>2055</v>
      </c>
      <c r="G2032" s="245" t="s">
        <v>2054</v>
      </c>
      <c r="H2032" s="245" t="s">
        <v>2831</v>
      </c>
      <c r="I2032" s="245">
        <v>32.56</v>
      </c>
      <c r="J2032" s="245">
        <v>-83.9</v>
      </c>
      <c r="K2032" s="245">
        <v>16</v>
      </c>
      <c r="L2032" s="245">
        <v>18.100000000000001</v>
      </c>
      <c r="M2032" s="245"/>
      <c r="N2032" s="245">
        <v>1258</v>
      </c>
      <c r="O2032" s="245"/>
      <c r="P2032" s="245"/>
      <c r="Q2032" s="245">
        <v>6</v>
      </c>
      <c r="R2032" s="246" t="s">
        <v>1741</v>
      </c>
      <c r="T2032" s="246" t="s">
        <v>2123</v>
      </c>
      <c r="U2032" s="245" t="s">
        <v>1393</v>
      </c>
      <c r="V2032" s="247">
        <v>30</v>
      </c>
      <c r="W2032" s="245" t="s">
        <v>1393</v>
      </c>
      <c r="X2032" s="245" t="s">
        <v>1393</v>
      </c>
      <c r="Y2032" s="248">
        <v>1.517611</v>
      </c>
      <c r="Z2032" s="367">
        <v>65</v>
      </c>
      <c r="AA2032" s="367">
        <v>20</v>
      </c>
      <c r="AB2032" s="245" t="s">
        <v>241</v>
      </c>
      <c r="AC2032" s="245"/>
      <c r="AD2032" s="245"/>
      <c r="AE2032" s="245"/>
      <c r="AF2032" s="245" t="s">
        <v>2053</v>
      </c>
      <c r="AG2032" s="245" t="s">
        <v>2043</v>
      </c>
      <c r="AH2032" s="245" t="s">
        <v>578</v>
      </c>
      <c r="AI2032" s="245" t="s">
        <v>2051</v>
      </c>
      <c r="AJ2032" s="245" t="s">
        <v>1621</v>
      </c>
      <c r="AK2032" s="245"/>
      <c r="AL2032" s="245"/>
      <c r="AM2032" s="245"/>
      <c r="AN2032" s="245" t="s">
        <v>2028</v>
      </c>
      <c r="AO2032" s="245" t="s">
        <v>2028</v>
      </c>
      <c r="AP2032" s="24" t="s">
        <v>178</v>
      </c>
      <c r="AQ2032" s="245" t="s">
        <v>2050</v>
      </c>
      <c r="AR2032" s="245"/>
      <c r="AT2032" s="245" t="s">
        <v>120</v>
      </c>
      <c r="AU2032" s="245">
        <v>4</v>
      </c>
      <c r="AV2032" s="245">
        <v>4</v>
      </c>
      <c r="AW2032" s="245" t="s">
        <v>142</v>
      </c>
      <c r="AX2032" s="245"/>
      <c r="AY2032" s="245">
        <v>704</v>
      </c>
      <c r="AZ2032" s="245">
        <v>9.8000000000000007</v>
      </c>
      <c r="BA2032" s="245"/>
      <c r="BB2032" s="245" t="s">
        <v>2120</v>
      </c>
      <c r="BH2032" s="245">
        <v>56100</v>
      </c>
      <c r="BI2032" s="245">
        <v>75200</v>
      </c>
      <c r="BJ2032" s="245"/>
      <c r="BM2032" s="437"/>
      <c r="BN2032" s="437"/>
      <c r="BR2032" s="437">
        <v>15.6</v>
      </c>
      <c r="BS2032" s="437">
        <v>17.7</v>
      </c>
      <c r="BV2032" s="24" t="s">
        <v>2124</v>
      </c>
      <c r="BW2032" s="24">
        <v>1.32</v>
      </c>
      <c r="BX2032" s="24">
        <v>1.41</v>
      </c>
      <c r="CA2032" s="24" t="s">
        <v>2106</v>
      </c>
      <c r="IO2032" s="245" t="s">
        <v>2094</v>
      </c>
      <c r="IP2032" s="245" t="s">
        <v>2108</v>
      </c>
      <c r="IQ2032" s="249"/>
    </row>
    <row r="2033" spans="1:251" s="24" customFormat="1" x14ac:dyDescent="0.25">
      <c r="A2033" s="244">
        <v>92</v>
      </c>
      <c r="B2033" s="245" t="s">
        <v>769</v>
      </c>
      <c r="C2033" s="245" t="s">
        <v>2128</v>
      </c>
      <c r="D2033" s="245">
        <v>2003</v>
      </c>
      <c r="E2033" s="245">
        <v>1999</v>
      </c>
      <c r="F2033" s="245" t="s">
        <v>2055</v>
      </c>
      <c r="G2033" s="245" t="s">
        <v>2054</v>
      </c>
      <c r="H2033" s="245" t="s">
        <v>2831</v>
      </c>
      <c r="I2033" s="245">
        <v>32.56</v>
      </c>
      <c r="J2033" s="245">
        <v>-83.9</v>
      </c>
      <c r="K2033" s="245">
        <v>16</v>
      </c>
      <c r="L2033" s="245">
        <v>18.100000000000001</v>
      </c>
      <c r="M2033" s="245"/>
      <c r="N2033" s="245">
        <v>1258</v>
      </c>
      <c r="O2033" s="245"/>
      <c r="P2033" s="245"/>
      <c r="Q2033" s="245">
        <v>6</v>
      </c>
      <c r="R2033" s="246" t="s">
        <v>1741</v>
      </c>
      <c r="T2033" s="246" t="s">
        <v>2123</v>
      </c>
      <c r="U2033" s="245" t="s">
        <v>1393</v>
      </c>
      <c r="V2033" s="247">
        <v>30</v>
      </c>
      <c r="W2033" s="245" t="s">
        <v>1393</v>
      </c>
      <c r="X2033" s="245" t="s">
        <v>1393</v>
      </c>
      <c r="Y2033" s="248">
        <v>1.5189159999999999</v>
      </c>
      <c r="Z2033" s="367">
        <v>65</v>
      </c>
      <c r="AA2033" s="367">
        <v>20</v>
      </c>
      <c r="AB2033" s="245" t="s">
        <v>241</v>
      </c>
      <c r="AC2033" s="245"/>
      <c r="AD2033" s="245"/>
      <c r="AE2033" s="245"/>
      <c r="AF2033" s="245" t="s">
        <v>2053</v>
      </c>
      <c r="AG2033" s="245" t="s">
        <v>2052</v>
      </c>
      <c r="AH2033" s="245" t="s">
        <v>578</v>
      </c>
      <c r="AI2033" s="245" t="s">
        <v>2051</v>
      </c>
      <c r="AJ2033" s="245" t="s">
        <v>1621</v>
      </c>
      <c r="AK2033" s="245"/>
      <c r="AL2033" s="245"/>
      <c r="AM2033" s="245"/>
      <c r="AN2033" s="245" t="s">
        <v>2028</v>
      </c>
      <c r="AO2033" s="245" t="s">
        <v>2028</v>
      </c>
      <c r="AP2033" s="24" t="s">
        <v>178</v>
      </c>
      <c r="AQ2033" s="245" t="s">
        <v>2050</v>
      </c>
      <c r="AR2033" s="245"/>
      <c r="AT2033" s="245" t="s">
        <v>120</v>
      </c>
      <c r="AU2033" s="245">
        <v>4</v>
      </c>
      <c r="AV2033" s="245">
        <v>4</v>
      </c>
      <c r="AW2033" s="245" t="s">
        <v>142</v>
      </c>
      <c r="AX2033" s="245"/>
      <c r="AY2033" s="245">
        <v>1231</v>
      </c>
      <c r="AZ2033" s="245">
        <v>14.3</v>
      </c>
      <c r="BA2033" s="245"/>
      <c r="BB2033" s="245" t="s">
        <v>2120</v>
      </c>
      <c r="BH2033" s="245">
        <v>56100</v>
      </c>
      <c r="BI2033" s="245">
        <v>65400</v>
      </c>
      <c r="BJ2033" s="245"/>
      <c r="BM2033" s="437"/>
      <c r="BN2033" s="437"/>
      <c r="BR2033" s="437">
        <v>15.6</v>
      </c>
      <c r="BS2033" s="437">
        <v>17.7</v>
      </c>
      <c r="BV2033" s="24" t="s">
        <v>2124</v>
      </c>
      <c r="BW2033" s="24">
        <v>1.32</v>
      </c>
      <c r="BX2033" s="24">
        <v>1.44</v>
      </c>
      <c r="CA2033" s="24" t="s">
        <v>2106</v>
      </c>
      <c r="IO2033" s="245" t="s">
        <v>2094</v>
      </c>
      <c r="IP2033" s="245" t="s">
        <v>2108</v>
      </c>
      <c r="IQ2033" s="249"/>
    </row>
    <row r="2034" spans="1:251" s="101" customFormat="1" x14ac:dyDescent="0.25">
      <c r="A2034" s="233">
        <v>92</v>
      </c>
      <c r="B2034" s="234" t="s">
        <v>769</v>
      </c>
      <c r="C2034" s="234" t="s">
        <v>2128</v>
      </c>
      <c r="D2034" s="234">
        <v>2003</v>
      </c>
      <c r="E2034" s="234">
        <v>2000</v>
      </c>
      <c r="F2034" s="234" t="s">
        <v>2055</v>
      </c>
      <c r="G2034" s="234" t="s">
        <v>2054</v>
      </c>
      <c r="H2034" s="245" t="s">
        <v>2831</v>
      </c>
      <c r="I2034" s="234">
        <v>32.56</v>
      </c>
      <c r="J2034" s="234">
        <v>-83.9</v>
      </c>
      <c r="K2034" s="234">
        <v>16</v>
      </c>
      <c r="L2034" s="234">
        <v>18.100000000000001</v>
      </c>
      <c r="M2034" s="234"/>
      <c r="N2034" s="234">
        <v>1258</v>
      </c>
      <c r="O2034" s="234"/>
      <c r="P2034" s="234"/>
      <c r="Q2034" s="234">
        <v>7</v>
      </c>
      <c r="R2034" s="235" t="s">
        <v>1741</v>
      </c>
      <c r="T2034" s="235" t="s">
        <v>2123</v>
      </c>
      <c r="U2034" s="234" t="s">
        <v>1393</v>
      </c>
      <c r="V2034" s="236">
        <v>30</v>
      </c>
      <c r="W2034" s="234" t="s">
        <v>1393</v>
      </c>
      <c r="X2034" s="234" t="s">
        <v>1393</v>
      </c>
      <c r="Y2034" s="237">
        <v>1.5152619999999999</v>
      </c>
      <c r="Z2034" s="368">
        <v>65</v>
      </c>
      <c r="AA2034" s="368">
        <v>20</v>
      </c>
      <c r="AB2034" s="234" t="s">
        <v>241</v>
      </c>
      <c r="AC2034" s="234"/>
      <c r="AD2034" s="234"/>
      <c r="AE2034" s="234"/>
      <c r="AF2034" s="234" t="s">
        <v>2053</v>
      </c>
      <c r="AG2034" s="234" t="s">
        <v>1761</v>
      </c>
      <c r="AH2034" s="234" t="s">
        <v>132</v>
      </c>
      <c r="AI2034" s="234" t="s">
        <v>2104</v>
      </c>
      <c r="AJ2034" s="234" t="s">
        <v>1621</v>
      </c>
      <c r="AK2034" s="234"/>
      <c r="AL2034" s="234"/>
      <c r="AM2034" s="234"/>
      <c r="AN2034" s="234" t="s">
        <v>2028</v>
      </c>
      <c r="AO2034" s="234" t="s">
        <v>2028</v>
      </c>
      <c r="AP2034" s="24" t="s">
        <v>178</v>
      </c>
      <c r="AQ2034" s="234" t="s">
        <v>2050</v>
      </c>
      <c r="AR2034" s="234"/>
      <c r="AT2034" s="245" t="s">
        <v>120</v>
      </c>
      <c r="AU2034" s="234">
        <v>4</v>
      </c>
      <c r="AV2034" s="234">
        <v>4</v>
      </c>
      <c r="AW2034" s="234" t="s">
        <v>142</v>
      </c>
      <c r="AX2034" s="234"/>
      <c r="AY2034" s="234">
        <v>3000</v>
      </c>
      <c r="AZ2034" s="234">
        <v>35.200000000000003</v>
      </c>
      <c r="BA2034" s="234"/>
      <c r="BB2034" s="245" t="s">
        <v>2120</v>
      </c>
      <c r="BH2034" s="234">
        <v>23700</v>
      </c>
      <c r="BI2034" s="234">
        <v>21000</v>
      </c>
      <c r="BJ2034" s="234"/>
      <c r="BM2034" s="444"/>
      <c r="BN2034" s="444"/>
      <c r="BR2034" s="444">
        <v>14.9</v>
      </c>
      <c r="BS2034" s="444">
        <v>18.7</v>
      </c>
      <c r="BV2034" s="24" t="s">
        <v>2124</v>
      </c>
      <c r="BW2034" s="101">
        <v>1.31</v>
      </c>
      <c r="BX2034" s="101">
        <v>1.45</v>
      </c>
      <c r="CA2034" s="175" t="s">
        <v>2106</v>
      </c>
      <c r="IO2034" s="234" t="s">
        <v>2094</v>
      </c>
      <c r="IP2034" s="231" t="s">
        <v>2108</v>
      </c>
      <c r="IQ2034" s="177"/>
    </row>
    <row r="2035" spans="1:251" s="101" customFormat="1" x14ac:dyDescent="0.25">
      <c r="A2035" s="233">
        <v>92</v>
      </c>
      <c r="B2035" s="234" t="s">
        <v>769</v>
      </c>
      <c r="C2035" s="234" t="s">
        <v>2128</v>
      </c>
      <c r="D2035" s="234">
        <v>2003</v>
      </c>
      <c r="E2035" s="234">
        <v>2000</v>
      </c>
      <c r="F2035" s="234" t="s">
        <v>2055</v>
      </c>
      <c r="G2035" s="234" t="s">
        <v>2054</v>
      </c>
      <c r="H2035" s="245" t="s">
        <v>2831</v>
      </c>
      <c r="I2035" s="234">
        <v>32.56</v>
      </c>
      <c r="J2035" s="234">
        <v>-83.9</v>
      </c>
      <c r="K2035" s="234">
        <v>16</v>
      </c>
      <c r="L2035" s="234">
        <v>18.100000000000001</v>
      </c>
      <c r="M2035" s="234"/>
      <c r="N2035" s="234">
        <v>1258</v>
      </c>
      <c r="O2035" s="234"/>
      <c r="P2035" s="234"/>
      <c r="Q2035" s="234">
        <v>7</v>
      </c>
      <c r="R2035" s="235" t="s">
        <v>1741</v>
      </c>
      <c r="T2035" s="235" t="s">
        <v>2123</v>
      </c>
      <c r="U2035" s="234" t="s">
        <v>1393</v>
      </c>
      <c r="V2035" s="236">
        <v>30</v>
      </c>
      <c r="W2035" s="234" t="s">
        <v>1393</v>
      </c>
      <c r="X2035" s="234" t="s">
        <v>1393</v>
      </c>
      <c r="Y2035" s="237">
        <v>1.517611</v>
      </c>
      <c r="Z2035" s="368">
        <v>65</v>
      </c>
      <c r="AA2035" s="368">
        <v>20</v>
      </c>
      <c r="AB2035" s="234" t="s">
        <v>241</v>
      </c>
      <c r="AC2035" s="234"/>
      <c r="AD2035" s="234"/>
      <c r="AE2035" s="234"/>
      <c r="AF2035" s="234" t="s">
        <v>2053</v>
      </c>
      <c r="AG2035" s="234" t="s">
        <v>2043</v>
      </c>
      <c r="AH2035" s="234" t="s">
        <v>578</v>
      </c>
      <c r="AI2035" s="234" t="s">
        <v>2104</v>
      </c>
      <c r="AJ2035" s="234" t="s">
        <v>1621</v>
      </c>
      <c r="AK2035" s="234"/>
      <c r="AL2035" s="234"/>
      <c r="AM2035" s="234"/>
      <c r="AN2035" s="234" t="s">
        <v>2028</v>
      </c>
      <c r="AO2035" s="234" t="s">
        <v>2028</v>
      </c>
      <c r="AP2035" s="24" t="s">
        <v>178</v>
      </c>
      <c r="AQ2035" s="234" t="s">
        <v>2050</v>
      </c>
      <c r="AR2035" s="234"/>
      <c r="AT2035" s="245" t="s">
        <v>120</v>
      </c>
      <c r="AU2035" s="234">
        <v>4</v>
      </c>
      <c r="AV2035" s="234">
        <v>4</v>
      </c>
      <c r="AW2035" s="234" t="s">
        <v>142</v>
      </c>
      <c r="AX2035" s="234"/>
      <c r="AY2035" s="234">
        <v>1723</v>
      </c>
      <c r="AZ2035" s="234">
        <v>9.8000000000000007</v>
      </c>
      <c r="BA2035" s="234"/>
      <c r="BB2035" s="245" t="s">
        <v>2120</v>
      </c>
      <c r="BH2035" s="234">
        <v>23700</v>
      </c>
      <c r="BI2035" s="234">
        <v>52100</v>
      </c>
      <c r="BJ2035" s="234"/>
      <c r="BM2035" s="444"/>
      <c r="BN2035" s="444"/>
      <c r="BR2035" s="444">
        <v>14.9</v>
      </c>
      <c r="BS2035" s="444">
        <v>18</v>
      </c>
      <c r="BV2035" s="24" t="s">
        <v>2124</v>
      </c>
      <c r="BW2035" s="101">
        <v>1.31</v>
      </c>
      <c r="BX2035" s="101">
        <v>1.41</v>
      </c>
      <c r="CA2035" s="175" t="s">
        <v>2106</v>
      </c>
      <c r="IO2035" s="234" t="s">
        <v>2094</v>
      </c>
      <c r="IP2035" s="231" t="s">
        <v>2108</v>
      </c>
      <c r="IQ2035" s="177"/>
    </row>
    <row r="2036" spans="1:251" s="101" customFormat="1" x14ac:dyDescent="0.25">
      <c r="A2036" s="233">
        <v>92</v>
      </c>
      <c r="B2036" s="234" t="s">
        <v>769</v>
      </c>
      <c r="C2036" s="234" t="s">
        <v>2128</v>
      </c>
      <c r="D2036" s="234">
        <v>2003</v>
      </c>
      <c r="E2036" s="234">
        <v>2000</v>
      </c>
      <c r="F2036" s="234" t="s">
        <v>2055</v>
      </c>
      <c r="G2036" s="234" t="s">
        <v>2054</v>
      </c>
      <c r="H2036" s="245" t="s">
        <v>2831</v>
      </c>
      <c r="I2036" s="234">
        <v>32.56</v>
      </c>
      <c r="J2036" s="234">
        <v>-83.9</v>
      </c>
      <c r="K2036" s="234">
        <v>16</v>
      </c>
      <c r="L2036" s="234">
        <v>18.100000000000001</v>
      </c>
      <c r="M2036" s="234"/>
      <c r="N2036" s="234">
        <v>1258</v>
      </c>
      <c r="O2036" s="234"/>
      <c r="P2036" s="234"/>
      <c r="Q2036" s="234">
        <v>7</v>
      </c>
      <c r="R2036" s="235" t="s">
        <v>1741</v>
      </c>
      <c r="T2036" s="235" t="s">
        <v>2123</v>
      </c>
      <c r="U2036" s="234" t="s">
        <v>1393</v>
      </c>
      <c r="V2036" s="236">
        <v>30</v>
      </c>
      <c r="W2036" s="234" t="s">
        <v>1393</v>
      </c>
      <c r="X2036" s="234" t="s">
        <v>1393</v>
      </c>
      <c r="Y2036" s="237">
        <v>1.5189159999999999</v>
      </c>
      <c r="Z2036" s="368">
        <v>65</v>
      </c>
      <c r="AA2036" s="368">
        <v>20</v>
      </c>
      <c r="AB2036" s="234" t="s">
        <v>241</v>
      </c>
      <c r="AC2036" s="234"/>
      <c r="AD2036" s="234"/>
      <c r="AE2036" s="234"/>
      <c r="AF2036" s="234" t="s">
        <v>2053</v>
      </c>
      <c r="AG2036" s="234" t="s">
        <v>2052</v>
      </c>
      <c r="AH2036" s="234" t="s">
        <v>578</v>
      </c>
      <c r="AI2036" s="234" t="s">
        <v>2104</v>
      </c>
      <c r="AJ2036" s="234" t="s">
        <v>1621</v>
      </c>
      <c r="AK2036" s="234"/>
      <c r="AL2036" s="234"/>
      <c r="AM2036" s="234"/>
      <c r="AN2036" s="234" t="s">
        <v>2028</v>
      </c>
      <c r="AO2036" s="234" t="s">
        <v>2028</v>
      </c>
      <c r="AP2036" s="24" t="s">
        <v>178</v>
      </c>
      <c r="AQ2036" s="234" t="s">
        <v>2050</v>
      </c>
      <c r="AR2036" s="234"/>
      <c r="AT2036" s="245" t="s">
        <v>120</v>
      </c>
      <c r="AU2036" s="234">
        <v>4</v>
      </c>
      <c r="AV2036" s="234">
        <v>4</v>
      </c>
      <c r="AW2036" s="234" t="s">
        <v>142</v>
      </c>
      <c r="AX2036" s="234"/>
      <c r="AY2036" s="234">
        <v>2285</v>
      </c>
      <c r="AZ2036" s="234">
        <v>13.8</v>
      </c>
      <c r="BA2036" s="234"/>
      <c r="BB2036" s="245" t="s">
        <v>2120</v>
      </c>
      <c r="BH2036" s="234">
        <v>23700</v>
      </c>
      <c r="BI2036" s="234">
        <v>45500</v>
      </c>
      <c r="BJ2036" s="234"/>
      <c r="BM2036" s="444"/>
      <c r="BN2036" s="444"/>
      <c r="BR2036" s="444">
        <v>14.9</v>
      </c>
      <c r="BS2036" s="444">
        <v>17.899999999999999</v>
      </c>
      <c r="BV2036" s="24" t="s">
        <v>2124</v>
      </c>
      <c r="BW2036" s="101">
        <v>1.31</v>
      </c>
      <c r="BX2036" s="101">
        <v>1.42</v>
      </c>
      <c r="CA2036" s="175" t="s">
        <v>2106</v>
      </c>
      <c r="IO2036" s="234" t="s">
        <v>2094</v>
      </c>
      <c r="IP2036" s="231" t="s">
        <v>2108</v>
      </c>
      <c r="IQ2036" s="177"/>
    </row>
    <row r="2037" spans="1:251" s="284" customFormat="1" x14ac:dyDescent="0.25">
      <c r="A2037" s="277">
        <v>93</v>
      </c>
      <c r="B2037" s="278" t="s">
        <v>769</v>
      </c>
      <c r="C2037" s="278" t="s">
        <v>2128</v>
      </c>
      <c r="D2037" s="278">
        <v>2002</v>
      </c>
      <c r="E2037" s="278">
        <v>1996</v>
      </c>
      <c r="F2037" s="278" t="s">
        <v>1756</v>
      </c>
      <c r="G2037" s="278" t="s">
        <v>2042</v>
      </c>
      <c r="H2037" s="278" t="s">
        <v>2831</v>
      </c>
      <c r="I2037" s="278">
        <v>32.57</v>
      </c>
      <c r="J2037" s="278">
        <v>-83.91</v>
      </c>
      <c r="K2037" s="278">
        <v>16</v>
      </c>
      <c r="L2037" s="278">
        <v>18.100000000000001</v>
      </c>
      <c r="M2037" s="278"/>
      <c r="N2037" s="278">
        <v>1258</v>
      </c>
      <c r="O2037" s="278"/>
      <c r="P2037" s="278"/>
      <c r="Q2037" s="278">
        <v>3</v>
      </c>
      <c r="R2037" s="280" t="s">
        <v>1991</v>
      </c>
      <c r="T2037" s="280" t="s">
        <v>2111</v>
      </c>
      <c r="U2037" s="278" t="s">
        <v>1383</v>
      </c>
      <c r="V2037" s="281">
        <v>20</v>
      </c>
      <c r="W2037" s="278" t="s">
        <v>1383</v>
      </c>
      <c r="X2037" s="278" t="s">
        <v>1383</v>
      </c>
      <c r="Y2037" s="282">
        <v>1.39</v>
      </c>
      <c r="Z2037" s="370">
        <v>65</v>
      </c>
      <c r="AA2037" s="370">
        <v>25</v>
      </c>
      <c r="AB2037" s="278" t="s">
        <v>241</v>
      </c>
      <c r="AC2037" s="278">
        <v>6.5</v>
      </c>
      <c r="AD2037" s="278">
        <f>23.9/(100*100*Y2037*0.2)*100</f>
        <v>0.85971223021582732</v>
      </c>
      <c r="AE2037" s="278"/>
      <c r="AF2037" s="278" t="s">
        <v>2046</v>
      </c>
      <c r="AG2037" s="278" t="s">
        <v>2043</v>
      </c>
      <c r="AH2037" s="278" t="s">
        <v>578</v>
      </c>
      <c r="AI2037" s="278" t="s">
        <v>2117</v>
      </c>
      <c r="AJ2037" s="278" t="s">
        <v>1625</v>
      </c>
      <c r="AK2037" s="278" t="s">
        <v>2045</v>
      </c>
      <c r="AL2037" s="278" t="s">
        <v>2045</v>
      </c>
      <c r="AM2037" s="278" t="s">
        <v>178</v>
      </c>
      <c r="AN2037" s="278" t="s">
        <v>2121</v>
      </c>
      <c r="AO2037" s="278" t="s">
        <v>2121</v>
      </c>
      <c r="AP2037" s="284" t="s">
        <v>178</v>
      </c>
      <c r="AQ2037" s="278" t="s">
        <v>636</v>
      </c>
      <c r="AR2037" s="278" t="s">
        <v>636</v>
      </c>
      <c r="AS2037" s="278" t="s">
        <v>178</v>
      </c>
      <c r="AT2037" s="278" t="s">
        <v>161</v>
      </c>
      <c r="AU2037" s="278">
        <v>4</v>
      </c>
      <c r="AV2037" s="278">
        <v>4</v>
      </c>
      <c r="AW2037" s="278" t="s">
        <v>142</v>
      </c>
      <c r="AX2037" s="278"/>
      <c r="AY2037" s="278">
        <v>2390</v>
      </c>
      <c r="AZ2037" s="278">
        <v>11.7</v>
      </c>
      <c r="BA2037" s="278"/>
      <c r="BB2037" s="278"/>
      <c r="BH2037" s="278">
        <v>53900</v>
      </c>
      <c r="BI2037" s="278">
        <v>56700</v>
      </c>
      <c r="BJ2037" s="278"/>
      <c r="BL2037" s="284" t="s">
        <v>2118</v>
      </c>
      <c r="BM2037" s="446"/>
      <c r="BN2037" s="446"/>
      <c r="BR2037" s="446">
        <f>AVERAGE(BR2043,BR2049,BR2055,BR2061,BR2067,BR2073,BR2079,BR2085,BR2091)</f>
        <v>22.688888888888886</v>
      </c>
      <c r="BS2037" s="446">
        <f>AVERAGE(BS2043,BS2049,BS2055,BS2061,BS2067,BS2073,BS2079,BS2085,BS2091)</f>
        <v>23.666666666666668</v>
      </c>
      <c r="BV2037" s="284" t="s">
        <v>2105</v>
      </c>
      <c r="BW2037" s="282">
        <f>AVERAGE(BW2043,BW2049,BW2055,BW2061,BW2067,BW2073,BW2079,BW2085,BW2091)</f>
        <v>2.0988888888888888</v>
      </c>
      <c r="BX2037" s="282">
        <f>AVERAGE(BX2043,BX2049,BX2055,BX2061,BX2067,BX2073,BX2079,BX2085,BX2091)</f>
        <v>2.0277777777777777</v>
      </c>
      <c r="CA2037" s="284" t="s">
        <v>570</v>
      </c>
      <c r="IO2037" s="278" t="s">
        <v>2094</v>
      </c>
      <c r="IP2037" s="278" t="s">
        <v>2119</v>
      </c>
      <c r="IQ2037" s="285"/>
    </row>
    <row r="2038" spans="1:251" s="284" customFormat="1" x14ac:dyDescent="0.25">
      <c r="A2038" s="277">
        <v>93</v>
      </c>
      <c r="B2038" s="278" t="s">
        <v>769</v>
      </c>
      <c r="C2038" s="278" t="s">
        <v>2128</v>
      </c>
      <c r="D2038" s="278">
        <v>2002</v>
      </c>
      <c r="E2038" s="278">
        <v>1997</v>
      </c>
      <c r="F2038" s="278" t="s">
        <v>1756</v>
      </c>
      <c r="G2038" s="278" t="s">
        <v>2042</v>
      </c>
      <c r="H2038" s="278" t="s">
        <v>2831</v>
      </c>
      <c r="I2038" s="278">
        <v>32.57</v>
      </c>
      <c r="J2038" s="278">
        <v>-83.91</v>
      </c>
      <c r="K2038" s="278">
        <v>16</v>
      </c>
      <c r="L2038" s="278">
        <v>18.100000000000001</v>
      </c>
      <c r="M2038" s="278"/>
      <c r="N2038" s="278">
        <v>1258</v>
      </c>
      <c r="O2038" s="278"/>
      <c r="P2038" s="278"/>
      <c r="Q2038" s="278">
        <v>4</v>
      </c>
      <c r="R2038" s="280" t="s">
        <v>1991</v>
      </c>
      <c r="T2038" s="280" t="s">
        <v>2111</v>
      </c>
      <c r="U2038" s="278" t="s">
        <v>1383</v>
      </c>
      <c r="V2038" s="281">
        <v>20</v>
      </c>
      <c r="W2038" s="278" t="s">
        <v>1383</v>
      </c>
      <c r="X2038" s="278" t="s">
        <v>1383</v>
      </c>
      <c r="Y2038" s="282">
        <v>1.39</v>
      </c>
      <c r="Z2038" s="370">
        <v>65</v>
      </c>
      <c r="AA2038" s="370">
        <v>25</v>
      </c>
      <c r="AB2038" s="278" t="s">
        <v>241</v>
      </c>
      <c r="AC2038" s="278">
        <v>6.5</v>
      </c>
      <c r="AD2038" s="278">
        <f t="shared" ref="AD2038:AD2039" si="276">23.9/(100*100*Y2038*0.2)*100</f>
        <v>0.85971223021582732</v>
      </c>
      <c r="AE2038" s="278"/>
      <c r="AF2038" s="278" t="s">
        <v>2046</v>
      </c>
      <c r="AG2038" s="278" t="s">
        <v>2043</v>
      </c>
      <c r="AH2038" s="278" t="s">
        <v>578</v>
      </c>
      <c r="AI2038" s="278" t="s">
        <v>2117</v>
      </c>
      <c r="AJ2038" s="278" t="s">
        <v>1625</v>
      </c>
      <c r="AK2038" s="278" t="s">
        <v>2045</v>
      </c>
      <c r="AL2038" s="278" t="s">
        <v>2045</v>
      </c>
      <c r="AM2038" s="278" t="s">
        <v>178</v>
      </c>
      <c r="AN2038" s="278" t="s">
        <v>2121</v>
      </c>
      <c r="AO2038" s="278" t="s">
        <v>2121</v>
      </c>
      <c r="AP2038" s="284" t="s">
        <v>178</v>
      </c>
      <c r="AQ2038" s="278" t="s">
        <v>636</v>
      </c>
      <c r="AR2038" s="278" t="s">
        <v>636</v>
      </c>
      <c r="AS2038" s="278" t="s">
        <v>178</v>
      </c>
      <c r="AT2038" s="278" t="s">
        <v>161</v>
      </c>
      <c r="AU2038" s="278">
        <v>4</v>
      </c>
      <c r="AV2038" s="278">
        <v>4</v>
      </c>
      <c r="AW2038" s="278" t="s">
        <v>142</v>
      </c>
      <c r="AX2038" s="278"/>
      <c r="AY2038" s="278">
        <v>1802</v>
      </c>
      <c r="AZ2038" s="278">
        <v>23.6</v>
      </c>
      <c r="BA2038" s="278"/>
      <c r="BB2038" s="278"/>
      <c r="BH2038" s="278">
        <v>33400</v>
      </c>
      <c r="BI2038" s="278">
        <v>34000</v>
      </c>
      <c r="BJ2038" s="278"/>
      <c r="BL2038" s="284" t="s">
        <v>2118</v>
      </c>
      <c r="BM2038" s="446"/>
      <c r="BN2038" s="446"/>
      <c r="BR2038" s="446">
        <f>AVERAGE(BR2044,BR2050,BR2056,BR2062,BR2068,BR2074,BR2080,BR2086,BR2092)</f>
        <v>21.6</v>
      </c>
      <c r="BS2038" s="446">
        <f>AVERAGE(BS2044,BS2050,BS2056,BS2062,BS2068,BS2074,BS2080,BS2086,BS2092)</f>
        <v>22.455555555555559</v>
      </c>
      <c r="BV2038" s="284" t="s">
        <v>2105</v>
      </c>
      <c r="BW2038" s="282">
        <f>AVERAGE(BW2044,BW2050,BW2056,BW2062,BW2068,BW2074,BW2080,BW2086,BW2092)</f>
        <v>1.7733333333333332</v>
      </c>
      <c r="BX2038" s="282">
        <f>AVERAGE(BX2044,BX2050,BX2056,BX2062,BX2068,BX2074,BX2080,BX2086,BX2092)</f>
        <v>1.8577777777777778</v>
      </c>
      <c r="CA2038" s="284" t="s">
        <v>570</v>
      </c>
      <c r="IO2038" s="278" t="s">
        <v>2094</v>
      </c>
      <c r="IP2038" s="278" t="s">
        <v>2119</v>
      </c>
      <c r="IQ2038" s="285"/>
    </row>
    <row r="2039" spans="1:251" s="284" customFormat="1" x14ac:dyDescent="0.25">
      <c r="A2039" s="277">
        <v>93</v>
      </c>
      <c r="B2039" s="278" t="s">
        <v>769</v>
      </c>
      <c r="C2039" s="278" t="s">
        <v>2128</v>
      </c>
      <c r="D2039" s="278">
        <v>2002</v>
      </c>
      <c r="E2039" s="278">
        <v>1998</v>
      </c>
      <c r="F2039" s="278" t="s">
        <v>1756</v>
      </c>
      <c r="G2039" s="278" t="s">
        <v>2042</v>
      </c>
      <c r="H2039" s="278" t="s">
        <v>2831</v>
      </c>
      <c r="I2039" s="278">
        <v>32.57</v>
      </c>
      <c r="J2039" s="278">
        <v>-83.91</v>
      </c>
      <c r="K2039" s="278">
        <v>16</v>
      </c>
      <c r="L2039" s="278">
        <v>18.100000000000001</v>
      </c>
      <c r="M2039" s="278"/>
      <c r="N2039" s="278">
        <v>1258</v>
      </c>
      <c r="O2039" s="278"/>
      <c r="P2039" s="278"/>
      <c r="Q2039" s="278">
        <v>5</v>
      </c>
      <c r="R2039" s="280" t="s">
        <v>1991</v>
      </c>
      <c r="T2039" s="280" t="s">
        <v>2111</v>
      </c>
      <c r="U2039" s="278" t="s">
        <v>1383</v>
      </c>
      <c r="V2039" s="281">
        <v>20</v>
      </c>
      <c r="W2039" s="278" t="s">
        <v>1383</v>
      </c>
      <c r="X2039" s="278" t="s">
        <v>1383</v>
      </c>
      <c r="Y2039" s="282">
        <v>1.39</v>
      </c>
      <c r="Z2039" s="370">
        <v>65</v>
      </c>
      <c r="AA2039" s="370">
        <v>25</v>
      </c>
      <c r="AB2039" s="278" t="s">
        <v>241</v>
      </c>
      <c r="AC2039" s="278">
        <v>6.5</v>
      </c>
      <c r="AD2039" s="278">
        <f t="shared" si="276"/>
        <v>0.85971223021582732</v>
      </c>
      <c r="AE2039" s="278"/>
      <c r="AF2039" s="278" t="s">
        <v>2046</v>
      </c>
      <c r="AG2039" s="278" t="s">
        <v>2043</v>
      </c>
      <c r="AH2039" s="278" t="s">
        <v>578</v>
      </c>
      <c r="AI2039" s="278" t="s">
        <v>2117</v>
      </c>
      <c r="AJ2039" s="278" t="s">
        <v>1625</v>
      </c>
      <c r="AK2039" s="278" t="s">
        <v>2045</v>
      </c>
      <c r="AL2039" s="278" t="s">
        <v>2045</v>
      </c>
      <c r="AM2039" s="278" t="s">
        <v>178</v>
      </c>
      <c r="AN2039" s="278" t="s">
        <v>2121</v>
      </c>
      <c r="AO2039" s="278" t="s">
        <v>2121</v>
      </c>
      <c r="AP2039" s="284" t="s">
        <v>178</v>
      </c>
      <c r="AQ2039" s="278" t="s">
        <v>636</v>
      </c>
      <c r="AR2039" s="278" t="s">
        <v>636</v>
      </c>
      <c r="AS2039" s="278" t="s">
        <v>178</v>
      </c>
      <c r="AT2039" s="278" t="s">
        <v>161</v>
      </c>
      <c r="AU2039" s="278">
        <v>4</v>
      </c>
      <c r="AV2039" s="278">
        <v>4</v>
      </c>
      <c r="AW2039" s="278" t="s">
        <v>142</v>
      </c>
      <c r="AX2039" s="278"/>
      <c r="AY2039" s="278">
        <v>2668</v>
      </c>
      <c r="AZ2039" s="278">
        <v>11.1</v>
      </c>
      <c r="BA2039" s="278"/>
      <c r="BB2039" s="278"/>
      <c r="BH2039" s="278">
        <v>15000</v>
      </c>
      <c r="BI2039" s="278">
        <v>14800</v>
      </c>
      <c r="BJ2039" s="278"/>
      <c r="BL2039" s="284" t="s">
        <v>2118</v>
      </c>
      <c r="BM2039" s="446"/>
      <c r="BN2039" s="446"/>
      <c r="BR2039" s="446">
        <f>AVERAGE(BR2045,BR2051,BR2057,BR2063,BR2069,BR2075,BR2081,BR2087,BR2093)</f>
        <v>21.311111111111106</v>
      </c>
      <c r="BS2039" s="446">
        <f t="shared" ref="BS2039:BS2040" si="277">AVERAGE(BS2045,BS2051,BS2057,BS2063,BS2069,BS2075,BS2081,BS2087,BS2093)</f>
        <v>22.177777777777777</v>
      </c>
      <c r="BV2039" s="284" t="s">
        <v>2105</v>
      </c>
      <c r="BW2039" s="282">
        <f t="shared" ref="BW2039:BX2039" si="278">AVERAGE(BW2045,BW2051,BW2057,BW2063,BW2069,BW2075,BW2081,BW2087,BW2093)</f>
        <v>1.6455555555555554</v>
      </c>
      <c r="BX2039" s="282">
        <f t="shared" si="278"/>
        <v>1.6166666666666667</v>
      </c>
      <c r="CA2039" s="284" t="s">
        <v>570</v>
      </c>
      <c r="IO2039" s="278" t="s">
        <v>2094</v>
      </c>
      <c r="IP2039" s="278" t="s">
        <v>2119</v>
      </c>
      <c r="IQ2039" s="285"/>
    </row>
    <row r="2040" spans="1:251" s="284" customFormat="1" x14ac:dyDescent="0.25">
      <c r="A2040" s="277">
        <v>93</v>
      </c>
      <c r="B2040" s="278" t="s">
        <v>769</v>
      </c>
      <c r="C2040" s="278" t="s">
        <v>2128</v>
      </c>
      <c r="D2040" s="278">
        <v>2002</v>
      </c>
      <c r="E2040" s="278">
        <v>1999</v>
      </c>
      <c r="F2040" s="278" t="s">
        <v>1756</v>
      </c>
      <c r="G2040" s="278" t="s">
        <v>2042</v>
      </c>
      <c r="H2040" s="278" t="s">
        <v>2831</v>
      </c>
      <c r="I2040" s="278">
        <v>32.57</v>
      </c>
      <c r="J2040" s="278">
        <v>-83.91</v>
      </c>
      <c r="K2040" s="278">
        <v>16</v>
      </c>
      <c r="L2040" s="278">
        <v>18.100000000000001</v>
      </c>
      <c r="M2040" s="278"/>
      <c r="N2040" s="278">
        <v>1258</v>
      </c>
      <c r="O2040" s="278"/>
      <c r="P2040" s="278"/>
      <c r="Q2040" s="278">
        <v>6</v>
      </c>
      <c r="R2040" s="280" t="s">
        <v>1991</v>
      </c>
      <c r="T2040" s="280" t="s">
        <v>2111</v>
      </c>
      <c r="U2040" s="278" t="s">
        <v>1383</v>
      </c>
      <c r="V2040" s="281">
        <v>20</v>
      </c>
      <c r="W2040" s="278" t="s">
        <v>1383</v>
      </c>
      <c r="X2040" s="278" t="s">
        <v>1383</v>
      </c>
      <c r="Y2040" s="282">
        <v>1.39</v>
      </c>
      <c r="Z2040" s="370">
        <v>65</v>
      </c>
      <c r="AA2040" s="370">
        <v>25</v>
      </c>
      <c r="AB2040" s="278" t="s">
        <v>241</v>
      </c>
      <c r="AC2040" s="278">
        <v>6.5</v>
      </c>
      <c r="AD2040" s="278">
        <f t="shared" ref="AD2040" si="279">23.9/(100*100*Y2040*0.2)*100</f>
        <v>0.85971223021582732</v>
      </c>
      <c r="AE2040" s="278"/>
      <c r="AF2040" s="278" t="s">
        <v>2046</v>
      </c>
      <c r="AG2040" s="278" t="s">
        <v>2043</v>
      </c>
      <c r="AH2040" s="278" t="s">
        <v>578</v>
      </c>
      <c r="AI2040" s="278" t="s">
        <v>2116</v>
      </c>
      <c r="AJ2040" s="278" t="s">
        <v>1625</v>
      </c>
      <c r="AK2040" s="278" t="s">
        <v>2045</v>
      </c>
      <c r="AL2040" s="278" t="s">
        <v>2045</v>
      </c>
      <c r="AM2040" s="278" t="s">
        <v>178</v>
      </c>
      <c r="AN2040" s="278" t="s">
        <v>2121</v>
      </c>
      <c r="AO2040" s="278" t="s">
        <v>2121</v>
      </c>
      <c r="AP2040" s="284" t="s">
        <v>178</v>
      </c>
      <c r="AQ2040" s="278" t="s">
        <v>636</v>
      </c>
      <c r="AR2040" s="278" t="s">
        <v>636</v>
      </c>
      <c r="AS2040" s="278" t="s">
        <v>178</v>
      </c>
      <c r="AT2040" s="278" t="s">
        <v>161</v>
      </c>
      <c r="AU2040" s="278">
        <v>4</v>
      </c>
      <c r="AV2040" s="278">
        <v>4</v>
      </c>
      <c r="AW2040" s="278" t="s">
        <v>142</v>
      </c>
      <c r="AX2040" s="278"/>
      <c r="AY2040" s="293">
        <v>2952</v>
      </c>
      <c r="AZ2040" s="293">
        <v>15</v>
      </c>
      <c r="BA2040" s="278"/>
      <c r="BB2040" s="278"/>
      <c r="BH2040" s="278">
        <v>21100</v>
      </c>
      <c r="BI2040" s="278">
        <v>24600</v>
      </c>
      <c r="BJ2040" s="278"/>
      <c r="BL2040" s="284" t="s">
        <v>2118</v>
      </c>
      <c r="BM2040" s="446"/>
      <c r="BN2040" s="446"/>
      <c r="BR2040" s="446">
        <f>AVERAGE(BR2046,BR2052,BR2058,BR2064,BR2070,BR2076,BR2082,BR2088,BR2094)</f>
        <v>20.044444444444444</v>
      </c>
      <c r="BS2040" s="446">
        <f t="shared" si="277"/>
        <v>21.666666666666668</v>
      </c>
      <c r="BV2040" s="284" t="s">
        <v>2105</v>
      </c>
      <c r="BW2040" s="282">
        <f t="shared" ref="BW2040:BX2040" si="280">AVERAGE(BW2046,BW2052,BW2058,BW2064,BW2070,BW2076,BW2082,BW2088,BW2094)</f>
        <v>1.5022222222222221</v>
      </c>
      <c r="BX2040" s="282">
        <f t="shared" si="280"/>
        <v>1.56</v>
      </c>
      <c r="CA2040" s="284" t="s">
        <v>570</v>
      </c>
      <c r="IO2040" s="278" t="s">
        <v>2094</v>
      </c>
      <c r="IP2040" s="278" t="s">
        <v>2119</v>
      </c>
      <c r="IQ2040" s="285"/>
    </row>
    <row r="2041" spans="1:251" s="291" customFormat="1" x14ac:dyDescent="0.25">
      <c r="A2041" s="286">
        <v>93</v>
      </c>
      <c r="B2041" s="287" t="s">
        <v>769</v>
      </c>
      <c r="C2041" s="287" t="s">
        <v>2128</v>
      </c>
      <c r="D2041" s="287">
        <v>2002</v>
      </c>
      <c r="E2041" s="287">
        <v>1994</v>
      </c>
      <c r="F2041" s="287" t="s">
        <v>1756</v>
      </c>
      <c r="G2041" s="287" t="s">
        <v>2042</v>
      </c>
      <c r="H2041" s="278" t="s">
        <v>2831</v>
      </c>
      <c r="I2041" s="287">
        <v>32.57</v>
      </c>
      <c r="J2041" s="287">
        <v>-83.91</v>
      </c>
      <c r="K2041" s="287">
        <v>16</v>
      </c>
      <c r="L2041" s="287">
        <v>18.100000000000001</v>
      </c>
      <c r="M2041" s="287"/>
      <c r="N2041" s="287">
        <v>1258</v>
      </c>
      <c r="O2041" s="287"/>
      <c r="P2041" s="287"/>
      <c r="Q2041" s="287">
        <v>1</v>
      </c>
      <c r="R2041" s="288" t="s">
        <v>1991</v>
      </c>
      <c r="T2041" s="288" t="s">
        <v>2111</v>
      </c>
      <c r="U2041" s="287" t="s">
        <v>1383</v>
      </c>
      <c r="V2041" s="289">
        <v>20</v>
      </c>
      <c r="W2041" s="287" t="s">
        <v>1383</v>
      </c>
      <c r="X2041" s="287" t="s">
        <v>1383</v>
      </c>
      <c r="Y2041" s="290">
        <v>1.39</v>
      </c>
      <c r="Z2041" s="371">
        <v>65</v>
      </c>
      <c r="AA2041" s="371">
        <v>25</v>
      </c>
      <c r="AB2041" s="287" t="s">
        <v>241</v>
      </c>
      <c r="AC2041" s="287">
        <v>6.5</v>
      </c>
      <c r="AD2041" s="287">
        <f t="shared" ref="AD2041:AD2046" si="281">23.9/(100*100*Y2041*0.2)*100</f>
        <v>0.85971223021582732</v>
      </c>
      <c r="AE2041" s="287"/>
      <c r="AF2041" s="287" t="s">
        <v>2046</v>
      </c>
      <c r="AG2041" s="287" t="s">
        <v>2043</v>
      </c>
      <c r="AH2041" s="287" t="s">
        <v>578</v>
      </c>
      <c r="AI2041" s="287" t="s">
        <v>2045</v>
      </c>
      <c r="AJ2041" s="287" t="s">
        <v>1625</v>
      </c>
      <c r="AK2041" s="287" t="s">
        <v>2045</v>
      </c>
      <c r="AL2041" s="287" t="s">
        <v>2045</v>
      </c>
      <c r="AM2041" s="287" t="s">
        <v>178</v>
      </c>
      <c r="AN2041" s="287" t="s">
        <v>1048</v>
      </c>
      <c r="AO2041" s="287" t="s">
        <v>1048</v>
      </c>
      <c r="AP2041" s="291" t="s">
        <v>178</v>
      </c>
      <c r="AQ2041" s="287" t="s">
        <v>2048</v>
      </c>
      <c r="AR2041" s="287" t="s">
        <v>2048</v>
      </c>
      <c r="AS2041" s="287" t="s">
        <v>178</v>
      </c>
      <c r="AT2041" s="253" t="s">
        <v>161</v>
      </c>
      <c r="AU2041" s="287">
        <v>4</v>
      </c>
      <c r="AV2041" s="287">
        <v>4</v>
      </c>
      <c r="AW2041" s="253" t="s">
        <v>142</v>
      </c>
      <c r="AX2041" s="287"/>
      <c r="BA2041" s="287"/>
      <c r="BB2041" s="287"/>
      <c r="BH2041" s="287"/>
      <c r="BI2041" s="287"/>
      <c r="BJ2041" s="287"/>
      <c r="BM2041" s="447"/>
      <c r="BN2041" s="447"/>
      <c r="BR2041" s="447">
        <v>23.9</v>
      </c>
      <c r="BS2041" s="447">
        <v>23.9</v>
      </c>
      <c r="BV2041" s="291" t="s">
        <v>2105</v>
      </c>
      <c r="BW2041" s="291">
        <v>1.95</v>
      </c>
      <c r="BX2041" s="291">
        <v>1.95</v>
      </c>
      <c r="CA2041" s="291" t="s">
        <v>570</v>
      </c>
      <c r="IO2041" s="287" t="s">
        <v>2094</v>
      </c>
      <c r="IP2041" s="253" t="s">
        <v>2119</v>
      </c>
      <c r="IQ2041" s="292"/>
    </row>
    <row r="2042" spans="1:251" s="291" customFormat="1" x14ac:dyDescent="0.25">
      <c r="A2042" s="286">
        <v>93</v>
      </c>
      <c r="B2042" s="287" t="s">
        <v>769</v>
      </c>
      <c r="C2042" s="287" t="s">
        <v>2128</v>
      </c>
      <c r="D2042" s="287">
        <v>2002</v>
      </c>
      <c r="E2042" s="287">
        <v>1995</v>
      </c>
      <c r="F2042" s="287" t="s">
        <v>1756</v>
      </c>
      <c r="G2042" s="287" t="s">
        <v>2042</v>
      </c>
      <c r="H2042" s="278" t="s">
        <v>2831</v>
      </c>
      <c r="I2042" s="287">
        <v>32.57</v>
      </c>
      <c r="J2042" s="287">
        <v>-83.91</v>
      </c>
      <c r="K2042" s="287">
        <v>16</v>
      </c>
      <c r="L2042" s="287">
        <v>18.100000000000001</v>
      </c>
      <c r="M2042" s="287"/>
      <c r="N2042" s="287">
        <v>1258</v>
      </c>
      <c r="O2042" s="287"/>
      <c r="P2042" s="287"/>
      <c r="Q2042" s="287">
        <v>2</v>
      </c>
      <c r="R2042" s="288" t="s">
        <v>1991</v>
      </c>
      <c r="T2042" s="288" t="s">
        <v>2111</v>
      </c>
      <c r="U2042" s="287" t="s">
        <v>1383</v>
      </c>
      <c r="V2042" s="289">
        <v>20</v>
      </c>
      <c r="W2042" s="287" t="s">
        <v>1383</v>
      </c>
      <c r="X2042" s="287" t="s">
        <v>1383</v>
      </c>
      <c r="Y2042" s="290">
        <v>1.39</v>
      </c>
      <c r="Z2042" s="371">
        <v>65</v>
      </c>
      <c r="AA2042" s="371">
        <v>25</v>
      </c>
      <c r="AB2042" s="287" t="s">
        <v>241</v>
      </c>
      <c r="AC2042" s="287">
        <v>6.5</v>
      </c>
      <c r="AD2042" s="287">
        <f t="shared" si="281"/>
        <v>0.85971223021582732</v>
      </c>
      <c r="AE2042" s="287"/>
      <c r="AF2042" s="287" t="s">
        <v>2046</v>
      </c>
      <c r="AG2042" s="287" t="s">
        <v>2043</v>
      </c>
      <c r="AH2042" s="287" t="s">
        <v>578</v>
      </c>
      <c r="AI2042" s="287" t="s">
        <v>2045</v>
      </c>
      <c r="AJ2042" s="287" t="s">
        <v>1625</v>
      </c>
      <c r="AK2042" s="287" t="s">
        <v>2045</v>
      </c>
      <c r="AL2042" s="287" t="s">
        <v>2045</v>
      </c>
      <c r="AM2042" s="287" t="s">
        <v>178</v>
      </c>
      <c r="AN2042" s="287" t="s">
        <v>1048</v>
      </c>
      <c r="AO2042" s="287" t="s">
        <v>1048</v>
      </c>
      <c r="AP2042" s="291" t="s">
        <v>178</v>
      </c>
      <c r="AQ2042" s="287" t="s">
        <v>2048</v>
      </c>
      <c r="AR2042" s="287" t="s">
        <v>2048</v>
      </c>
      <c r="AS2042" s="287" t="s">
        <v>178</v>
      </c>
      <c r="AT2042" s="253" t="s">
        <v>161</v>
      </c>
      <c r="AU2042" s="287">
        <v>4</v>
      </c>
      <c r="AV2042" s="287">
        <v>4</v>
      </c>
      <c r="AW2042" s="253" t="s">
        <v>142</v>
      </c>
      <c r="AX2042" s="287"/>
      <c r="AY2042" s="287"/>
      <c r="AZ2042" s="287"/>
      <c r="BA2042" s="287"/>
      <c r="BB2042" s="287"/>
      <c r="BH2042" s="287"/>
      <c r="BI2042" s="287"/>
      <c r="BJ2042" s="287"/>
      <c r="BM2042" s="447"/>
      <c r="BN2042" s="447"/>
      <c r="BR2042" s="447">
        <v>20.5</v>
      </c>
      <c r="BS2042" s="447">
        <v>24.2</v>
      </c>
      <c r="BV2042" s="291" t="s">
        <v>2105</v>
      </c>
      <c r="BW2042" s="291">
        <v>1.93</v>
      </c>
      <c r="BX2042" s="291">
        <v>2.08</v>
      </c>
      <c r="CA2042" s="291" t="s">
        <v>570</v>
      </c>
      <c r="IO2042" s="287" t="s">
        <v>2094</v>
      </c>
      <c r="IP2042" s="253" t="s">
        <v>2119</v>
      </c>
      <c r="IQ2042" s="292"/>
    </row>
    <row r="2043" spans="1:251" s="291" customFormat="1" x14ac:dyDescent="0.25">
      <c r="A2043" s="286">
        <v>93</v>
      </c>
      <c r="B2043" s="287" t="s">
        <v>769</v>
      </c>
      <c r="C2043" s="287" t="s">
        <v>2128</v>
      </c>
      <c r="D2043" s="287">
        <v>2002</v>
      </c>
      <c r="E2043" s="287">
        <v>1996</v>
      </c>
      <c r="F2043" s="287" t="s">
        <v>1756</v>
      </c>
      <c r="G2043" s="287" t="s">
        <v>2042</v>
      </c>
      <c r="H2043" s="278" t="s">
        <v>2831</v>
      </c>
      <c r="I2043" s="287">
        <v>32.57</v>
      </c>
      <c r="J2043" s="287">
        <v>-83.91</v>
      </c>
      <c r="K2043" s="287">
        <v>16</v>
      </c>
      <c r="L2043" s="287">
        <v>18.100000000000001</v>
      </c>
      <c r="M2043" s="287"/>
      <c r="N2043" s="287">
        <v>1258</v>
      </c>
      <c r="O2043" s="287"/>
      <c r="P2043" s="287"/>
      <c r="Q2043" s="287">
        <v>3</v>
      </c>
      <c r="R2043" s="288" t="s">
        <v>1991</v>
      </c>
      <c r="T2043" s="288" t="s">
        <v>2111</v>
      </c>
      <c r="U2043" s="287" t="s">
        <v>1383</v>
      </c>
      <c r="V2043" s="289">
        <v>20</v>
      </c>
      <c r="W2043" s="287" t="s">
        <v>1383</v>
      </c>
      <c r="X2043" s="287" t="s">
        <v>1383</v>
      </c>
      <c r="Y2043" s="290">
        <v>1.39</v>
      </c>
      <c r="Z2043" s="371">
        <v>65</v>
      </c>
      <c r="AA2043" s="371">
        <v>25</v>
      </c>
      <c r="AB2043" s="287" t="s">
        <v>241</v>
      </c>
      <c r="AC2043" s="287">
        <v>6.5</v>
      </c>
      <c r="AD2043" s="287">
        <f t="shared" si="281"/>
        <v>0.85971223021582732</v>
      </c>
      <c r="AE2043" s="287"/>
      <c r="AF2043" s="287" t="s">
        <v>2046</v>
      </c>
      <c r="AG2043" s="287" t="s">
        <v>2043</v>
      </c>
      <c r="AH2043" s="287" t="s">
        <v>578</v>
      </c>
      <c r="AI2043" s="287" t="s">
        <v>2045</v>
      </c>
      <c r="AJ2043" s="287" t="s">
        <v>1625</v>
      </c>
      <c r="AK2043" s="287" t="s">
        <v>2045</v>
      </c>
      <c r="AL2043" s="287" t="s">
        <v>2045</v>
      </c>
      <c r="AM2043" s="287" t="s">
        <v>178</v>
      </c>
      <c r="AN2043" s="287" t="s">
        <v>1048</v>
      </c>
      <c r="AO2043" s="287" t="s">
        <v>1048</v>
      </c>
      <c r="AP2043" s="291" t="s">
        <v>178</v>
      </c>
      <c r="AQ2043" s="287" t="s">
        <v>2048</v>
      </c>
      <c r="AR2043" s="287" t="s">
        <v>2048</v>
      </c>
      <c r="AS2043" s="287" t="s">
        <v>178</v>
      </c>
      <c r="AT2043" s="253" t="s">
        <v>161</v>
      </c>
      <c r="AU2043" s="287">
        <v>4</v>
      </c>
      <c r="AV2043" s="287">
        <v>4</v>
      </c>
      <c r="AW2043" s="253" t="s">
        <v>142</v>
      </c>
      <c r="AX2043" s="287"/>
      <c r="BA2043" s="287"/>
      <c r="BB2043" s="287"/>
      <c r="BH2043" s="287"/>
      <c r="BI2043" s="287"/>
      <c r="BJ2043" s="287"/>
      <c r="BM2043" s="447"/>
      <c r="BN2043" s="447"/>
      <c r="BR2043" s="447">
        <v>26</v>
      </c>
      <c r="BS2043" s="447">
        <v>28.4</v>
      </c>
      <c r="BV2043" s="291" t="s">
        <v>2105</v>
      </c>
      <c r="BW2043" s="291">
        <v>2.29</v>
      </c>
      <c r="BX2043" s="291">
        <v>2.5099999999999998</v>
      </c>
      <c r="CA2043" s="291" t="s">
        <v>570</v>
      </c>
      <c r="IO2043" s="287" t="s">
        <v>2094</v>
      </c>
      <c r="IP2043" s="253" t="s">
        <v>2119</v>
      </c>
      <c r="IQ2043" s="292"/>
    </row>
    <row r="2044" spans="1:251" s="291" customFormat="1" x14ac:dyDescent="0.25">
      <c r="A2044" s="286">
        <v>93</v>
      </c>
      <c r="B2044" s="287" t="s">
        <v>769</v>
      </c>
      <c r="C2044" s="287" t="s">
        <v>2128</v>
      </c>
      <c r="D2044" s="287">
        <v>2002</v>
      </c>
      <c r="E2044" s="287">
        <v>1997</v>
      </c>
      <c r="F2044" s="287" t="s">
        <v>1756</v>
      </c>
      <c r="G2044" s="287" t="s">
        <v>2042</v>
      </c>
      <c r="H2044" s="278" t="s">
        <v>2831</v>
      </c>
      <c r="I2044" s="287">
        <v>32.57</v>
      </c>
      <c r="J2044" s="287">
        <v>-83.91</v>
      </c>
      <c r="K2044" s="287">
        <v>16</v>
      </c>
      <c r="L2044" s="287">
        <v>18.100000000000001</v>
      </c>
      <c r="M2044" s="287"/>
      <c r="N2044" s="287">
        <v>1258</v>
      </c>
      <c r="O2044" s="287"/>
      <c r="P2044" s="287"/>
      <c r="Q2044" s="287">
        <v>4</v>
      </c>
      <c r="R2044" s="288" t="s">
        <v>1991</v>
      </c>
      <c r="T2044" s="288" t="s">
        <v>2111</v>
      </c>
      <c r="U2044" s="287" t="s">
        <v>1383</v>
      </c>
      <c r="V2044" s="289">
        <v>20</v>
      </c>
      <c r="W2044" s="287" t="s">
        <v>1383</v>
      </c>
      <c r="X2044" s="287" t="s">
        <v>1383</v>
      </c>
      <c r="Y2044" s="290">
        <v>1.39</v>
      </c>
      <c r="Z2044" s="371">
        <v>65</v>
      </c>
      <c r="AA2044" s="371">
        <v>25</v>
      </c>
      <c r="AB2044" s="287" t="s">
        <v>241</v>
      </c>
      <c r="AC2044" s="287">
        <v>6.5</v>
      </c>
      <c r="AD2044" s="287">
        <f t="shared" si="281"/>
        <v>0.85971223021582732</v>
      </c>
      <c r="AE2044" s="287"/>
      <c r="AF2044" s="287" t="s">
        <v>2046</v>
      </c>
      <c r="AG2044" s="287" t="s">
        <v>2043</v>
      </c>
      <c r="AH2044" s="287" t="s">
        <v>578</v>
      </c>
      <c r="AI2044" s="287" t="s">
        <v>2045</v>
      </c>
      <c r="AJ2044" s="287" t="s">
        <v>1625</v>
      </c>
      <c r="AK2044" s="287" t="s">
        <v>2045</v>
      </c>
      <c r="AL2044" s="287" t="s">
        <v>2045</v>
      </c>
      <c r="AM2044" s="287" t="s">
        <v>178</v>
      </c>
      <c r="AN2044" s="287" t="s">
        <v>1048</v>
      </c>
      <c r="AO2044" s="287" t="s">
        <v>1048</v>
      </c>
      <c r="AP2044" s="291" t="s">
        <v>178</v>
      </c>
      <c r="AQ2044" s="287" t="s">
        <v>2048</v>
      </c>
      <c r="AR2044" s="287" t="s">
        <v>2048</v>
      </c>
      <c r="AS2044" s="287" t="s">
        <v>178</v>
      </c>
      <c r="AT2044" s="253" t="s">
        <v>161</v>
      </c>
      <c r="AU2044" s="287">
        <v>4</v>
      </c>
      <c r="AV2044" s="287">
        <v>4</v>
      </c>
      <c r="AW2044" s="253" t="s">
        <v>142</v>
      </c>
      <c r="AX2044" s="287"/>
      <c r="AY2044" s="287"/>
      <c r="AZ2044" s="287"/>
      <c r="BA2044" s="287"/>
      <c r="BB2044" s="287"/>
      <c r="BH2044" s="287"/>
      <c r="BI2044" s="287"/>
      <c r="BJ2044" s="287"/>
      <c r="BM2044" s="447"/>
      <c r="BN2044" s="447"/>
      <c r="BR2044" s="447">
        <v>21.8</v>
      </c>
      <c r="BS2044" s="447">
        <v>24.5</v>
      </c>
      <c r="BV2044" s="291" t="s">
        <v>2105</v>
      </c>
      <c r="BW2044" s="291">
        <v>1.7</v>
      </c>
      <c r="BX2044" s="291">
        <v>2.38</v>
      </c>
      <c r="CA2044" s="291" t="s">
        <v>570</v>
      </c>
      <c r="IO2044" s="287" t="s">
        <v>2094</v>
      </c>
      <c r="IP2044" s="253" t="s">
        <v>2119</v>
      </c>
      <c r="IQ2044" s="292"/>
    </row>
    <row r="2045" spans="1:251" s="291" customFormat="1" x14ac:dyDescent="0.25">
      <c r="A2045" s="286">
        <v>93</v>
      </c>
      <c r="B2045" s="287" t="s">
        <v>769</v>
      </c>
      <c r="C2045" s="287" t="s">
        <v>2128</v>
      </c>
      <c r="D2045" s="287">
        <v>2002</v>
      </c>
      <c r="E2045" s="287">
        <v>1998</v>
      </c>
      <c r="F2045" s="287" t="s">
        <v>1756</v>
      </c>
      <c r="G2045" s="287" t="s">
        <v>2042</v>
      </c>
      <c r="H2045" s="278" t="s">
        <v>2831</v>
      </c>
      <c r="I2045" s="287">
        <v>32.57</v>
      </c>
      <c r="J2045" s="287">
        <v>-83.91</v>
      </c>
      <c r="K2045" s="287">
        <v>16</v>
      </c>
      <c r="L2045" s="287">
        <v>18.100000000000001</v>
      </c>
      <c r="M2045" s="287"/>
      <c r="N2045" s="287">
        <v>1258</v>
      </c>
      <c r="O2045" s="287"/>
      <c r="P2045" s="287"/>
      <c r="Q2045" s="287">
        <v>5</v>
      </c>
      <c r="R2045" s="288" t="s">
        <v>1991</v>
      </c>
      <c r="T2045" s="288" t="s">
        <v>2111</v>
      </c>
      <c r="U2045" s="287" t="s">
        <v>1383</v>
      </c>
      <c r="V2045" s="289">
        <v>20</v>
      </c>
      <c r="W2045" s="287" t="s">
        <v>1383</v>
      </c>
      <c r="X2045" s="287" t="s">
        <v>1383</v>
      </c>
      <c r="Y2045" s="290">
        <v>1.39</v>
      </c>
      <c r="Z2045" s="371">
        <v>65</v>
      </c>
      <c r="AA2045" s="371">
        <v>25</v>
      </c>
      <c r="AB2045" s="287" t="s">
        <v>241</v>
      </c>
      <c r="AC2045" s="287">
        <v>6.5</v>
      </c>
      <c r="AD2045" s="287">
        <f t="shared" si="281"/>
        <v>0.85971223021582732</v>
      </c>
      <c r="AE2045" s="287"/>
      <c r="AF2045" s="287" t="s">
        <v>2046</v>
      </c>
      <c r="AG2045" s="287" t="s">
        <v>2043</v>
      </c>
      <c r="AH2045" s="287" t="s">
        <v>578</v>
      </c>
      <c r="AI2045" s="287" t="s">
        <v>2045</v>
      </c>
      <c r="AJ2045" s="287" t="s">
        <v>1625</v>
      </c>
      <c r="AK2045" s="287" t="s">
        <v>2045</v>
      </c>
      <c r="AL2045" s="287" t="s">
        <v>2045</v>
      </c>
      <c r="AM2045" s="287" t="s">
        <v>178</v>
      </c>
      <c r="AN2045" s="287" t="s">
        <v>1048</v>
      </c>
      <c r="AO2045" s="287" t="s">
        <v>1048</v>
      </c>
      <c r="AP2045" s="291" t="s">
        <v>178</v>
      </c>
      <c r="AQ2045" s="287" t="s">
        <v>2048</v>
      </c>
      <c r="AR2045" s="287" t="s">
        <v>2048</v>
      </c>
      <c r="AS2045" s="287" t="s">
        <v>178</v>
      </c>
      <c r="AT2045" s="253" t="s">
        <v>161</v>
      </c>
      <c r="AU2045" s="287">
        <v>4</v>
      </c>
      <c r="AV2045" s="287">
        <v>4</v>
      </c>
      <c r="AW2045" s="253" t="s">
        <v>142</v>
      </c>
      <c r="AX2045" s="287"/>
      <c r="AY2045" s="287"/>
      <c r="AZ2045" s="287"/>
      <c r="BA2045" s="287"/>
      <c r="BB2045" s="287"/>
      <c r="BH2045" s="287"/>
      <c r="BI2045" s="287"/>
      <c r="BJ2045" s="287"/>
      <c r="BM2045" s="447"/>
      <c r="BN2045" s="447"/>
      <c r="BR2045" s="447">
        <v>21.4</v>
      </c>
      <c r="BS2045" s="447">
        <v>23.9</v>
      </c>
      <c r="BV2045" s="291" t="s">
        <v>2105</v>
      </c>
      <c r="BW2045" s="291">
        <v>1.6</v>
      </c>
      <c r="BX2045" s="291">
        <v>1.65</v>
      </c>
      <c r="CA2045" s="291" t="s">
        <v>570</v>
      </c>
      <c r="IO2045" s="287" t="s">
        <v>2094</v>
      </c>
      <c r="IP2045" s="253" t="s">
        <v>2119</v>
      </c>
      <c r="IQ2045" s="292"/>
    </row>
    <row r="2046" spans="1:251" s="291" customFormat="1" x14ac:dyDescent="0.25">
      <c r="A2046" s="286">
        <v>93</v>
      </c>
      <c r="B2046" s="287" t="s">
        <v>769</v>
      </c>
      <c r="C2046" s="287" t="s">
        <v>2128</v>
      </c>
      <c r="D2046" s="287">
        <v>2002</v>
      </c>
      <c r="E2046" s="287">
        <v>1999</v>
      </c>
      <c r="F2046" s="287" t="s">
        <v>1756</v>
      </c>
      <c r="G2046" s="287" t="s">
        <v>2042</v>
      </c>
      <c r="H2046" s="278" t="s">
        <v>2831</v>
      </c>
      <c r="I2046" s="287">
        <v>32.57</v>
      </c>
      <c r="J2046" s="287">
        <v>-83.91</v>
      </c>
      <c r="K2046" s="287">
        <v>16</v>
      </c>
      <c r="L2046" s="287">
        <v>18.100000000000001</v>
      </c>
      <c r="M2046" s="287"/>
      <c r="N2046" s="287">
        <v>1258</v>
      </c>
      <c r="O2046" s="287"/>
      <c r="P2046" s="287"/>
      <c r="Q2046" s="287">
        <v>6</v>
      </c>
      <c r="R2046" s="288" t="s">
        <v>1991</v>
      </c>
      <c r="T2046" s="288" t="s">
        <v>2111</v>
      </c>
      <c r="U2046" s="287" t="s">
        <v>1383</v>
      </c>
      <c r="V2046" s="289">
        <v>20</v>
      </c>
      <c r="W2046" s="287" t="s">
        <v>1383</v>
      </c>
      <c r="X2046" s="287" t="s">
        <v>1383</v>
      </c>
      <c r="Y2046" s="290">
        <v>1.39</v>
      </c>
      <c r="Z2046" s="371">
        <v>65</v>
      </c>
      <c r="AA2046" s="371">
        <v>25</v>
      </c>
      <c r="AB2046" s="287" t="s">
        <v>241</v>
      </c>
      <c r="AC2046" s="287">
        <v>6.5</v>
      </c>
      <c r="AD2046" s="287">
        <f t="shared" si="281"/>
        <v>0.85971223021582732</v>
      </c>
      <c r="AE2046" s="287"/>
      <c r="AF2046" s="287" t="s">
        <v>2046</v>
      </c>
      <c r="AG2046" s="287" t="s">
        <v>2043</v>
      </c>
      <c r="AH2046" s="287" t="s">
        <v>578</v>
      </c>
      <c r="AI2046" s="287" t="s">
        <v>2116</v>
      </c>
      <c r="AJ2046" s="287" t="s">
        <v>1625</v>
      </c>
      <c r="AK2046" s="287" t="s">
        <v>2045</v>
      </c>
      <c r="AL2046" s="287" t="s">
        <v>2045</v>
      </c>
      <c r="AM2046" s="287" t="s">
        <v>178</v>
      </c>
      <c r="AN2046" s="287" t="s">
        <v>1048</v>
      </c>
      <c r="AO2046" s="287" t="s">
        <v>1048</v>
      </c>
      <c r="AP2046" s="291" t="s">
        <v>178</v>
      </c>
      <c r="AQ2046" s="287" t="s">
        <v>2048</v>
      </c>
      <c r="AR2046" s="287" t="s">
        <v>2048</v>
      </c>
      <c r="AS2046" s="287" t="s">
        <v>178</v>
      </c>
      <c r="AT2046" s="253" t="s">
        <v>161</v>
      </c>
      <c r="AU2046" s="287">
        <v>4</v>
      </c>
      <c r="AV2046" s="287">
        <v>4</v>
      </c>
      <c r="AW2046" s="253" t="s">
        <v>142</v>
      </c>
      <c r="AX2046" s="287"/>
      <c r="AY2046" s="287"/>
      <c r="AZ2046" s="287"/>
      <c r="BA2046" s="287"/>
      <c r="BB2046" s="287"/>
      <c r="BH2046" s="287"/>
      <c r="BI2046" s="287"/>
      <c r="BJ2046" s="287"/>
      <c r="BM2046" s="447"/>
      <c r="BN2046" s="447"/>
      <c r="BR2046" s="447">
        <v>19.899999999999999</v>
      </c>
      <c r="BS2046" s="447">
        <v>24.4</v>
      </c>
      <c r="BV2046" s="291" t="s">
        <v>2105</v>
      </c>
      <c r="BW2046" s="291">
        <v>1.6</v>
      </c>
      <c r="BX2046" s="291">
        <v>1.72</v>
      </c>
      <c r="CA2046" s="291" t="s">
        <v>570</v>
      </c>
      <c r="IO2046" s="287" t="s">
        <v>2094</v>
      </c>
      <c r="IP2046" s="253" t="s">
        <v>2119</v>
      </c>
      <c r="IQ2046" s="292"/>
    </row>
    <row r="2047" spans="1:251" s="92" customFormat="1" x14ac:dyDescent="0.25">
      <c r="A2047" s="252">
        <v>93</v>
      </c>
      <c r="B2047" s="253" t="s">
        <v>769</v>
      </c>
      <c r="C2047" s="253" t="s">
        <v>2128</v>
      </c>
      <c r="D2047" s="253">
        <v>2002</v>
      </c>
      <c r="E2047" s="253">
        <v>1994</v>
      </c>
      <c r="F2047" s="253" t="s">
        <v>1756</v>
      </c>
      <c r="G2047" s="253" t="s">
        <v>2042</v>
      </c>
      <c r="H2047" s="278" t="s">
        <v>2831</v>
      </c>
      <c r="I2047" s="253">
        <v>32.57</v>
      </c>
      <c r="J2047" s="253">
        <v>-83.91</v>
      </c>
      <c r="K2047" s="253">
        <v>16</v>
      </c>
      <c r="L2047" s="253">
        <v>18.100000000000001</v>
      </c>
      <c r="M2047" s="253"/>
      <c r="N2047" s="253">
        <v>1258</v>
      </c>
      <c r="O2047" s="253"/>
      <c r="P2047" s="253"/>
      <c r="Q2047" s="253">
        <v>1</v>
      </c>
      <c r="R2047" s="255" t="s">
        <v>1991</v>
      </c>
      <c r="T2047" s="255" t="s">
        <v>2111</v>
      </c>
      <c r="U2047" s="253" t="s">
        <v>1383</v>
      </c>
      <c r="V2047" s="256">
        <v>20</v>
      </c>
      <c r="W2047" s="253" t="s">
        <v>1383</v>
      </c>
      <c r="X2047" s="253" t="s">
        <v>1383</v>
      </c>
      <c r="Y2047" s="257">
        <v>1.39</v>
      </c>
      <c r="Z2047" s="372">
        <v>65</v>
      </c>
      <c r="AA2047" s="372">
        <v>25</v>
      </c>
      <c r="AB2047" s="253" t="s">
        <v>241</v>
      </c>
      <c r="AC2047" s="253">
        <v>6.5</v>
      </c>
      <c r="AD2047" s="253">
        <f t="shared" ref="AD2047:AD2064" si="282">23.9/(100*100*Y2047*0.2)*100</f>
        <v>0.85971223021582732</v>
      </c>
      <c r="AE2047" s="253"/>
      <c r="AF2047" s="253" t="s">
        <v>2046</v>
      </c>
      <c r="AG2047" s="253" t="s">
        <v>2043</v>
      </c>
      <c r="AH2047" s="253" t="s">
        <v>578</v>
      </c>
      <c r="AI2047" s="253" t="s">
        <v>2045</v>
      </c>
      <c r="AJ2047" s="253" t="s">
        <v>1625</v>
      </c>
      <c r="AK2047" s="253" t="s">
        <v>2045</v>
      </c>
      <c r="AL2047" s="253" t="s">
        <v>2045</v>
      </c>
      <c r="AM2047" s="253" t="s">
        <v>178</v>
      </c>
      <c r="AN2047" s="253" t="s">
        <v>1048</v>
      </c>
      <c r="AO2047" s="253" t="s">
        <v>1048</v>
      </c>
      <c r="AP2047" s="291" t="s">
        <v>178</v>
      </c>
      <c r="AQ2047" s="253" t="s">
        <v>2047</v>
      </c>
      <c r="AR2047" s="253" t="s">
        <v>2047</v>
      </c>
      <c r="AS2047" s="287" t="s">
        <v>178</v>
      </c>
      <c r="AT2047" s="253" t="s">
        <v>161</v>
      </c>
      <c r="AU2047" s="253">
        <v>4</v>
      </c>
      <c r="AV2047" s="253">
        <v>4</v>
      </c>
      <c r="AW2047" s="253" t="s">
        <v>142</v>
      </c>
      <c r="AX2047" s="253"/>
      <c r="BA2047" s="253"/>
      <c r="BB2047" s="253"/>
      <c r="BH2047" s="253"/>
      <c r="BI2047" s="253"/>
      <c r="BJ2047" s="253"/>
      <c r="BM2047" s="438"/>
      <c r="BN2047" s="438"/>
      <c r="BR2047" s="438">
        <v>23.9</v>
      </c>
      <c r="BS2047" s="438">
        <v>23.9</v>
      </c>
      <c r="BV2047" s="291" t="s">
        <v>2105</v>
      </c>
      <c r="BW2047" s="92">
        <v>1.95</v>
      </c>
      <c r="BX2047" s="92">
        <v>1.95</v>
      </c>
      <c r="CA2047" s="291" t="s">
        <v>570</v>
      </c>
      <c r="IO2047" s="253" t="s">
        <v>2094</v>
      </c>
      <c r="IP2047" s="253" t="s">
        <v>2119</v>
      </c>
      <c r="IQ2047" s="259"/>
    </row>
    <row r="2048" spans="1:251" s="92" customFormat="1" x14ac:dyDescent="0.25">
      <c r="A2048" s="252">
        <v>93</v>
      </c>
      <c r="B2048" s="253" t="s">
        <v>769</v>
      </c>
      <c r="C2048" s="253" t="s">
        <v>2128</v>
      </c>
      <c r="D2048" s="253">
        <v>2002</v>
      </c>
      <c r="E2048" s="253">
        <v>1995</v>
      </c>
      <c r="F2048" s="253" t="s">
        <v>1756</v>
      </c>
      <c r="G2048" s="253" t="s">
        <v>2042</v>
      </c>
      <c r="H2048" s="278" t="s">
        <v>2831</v>
      </c>
      <c r="I2048" s="253">
        <v>32.57</v>
      </c>
      <c r="J2048" s="253">
        <v>-83.91</v>
      </c>
      <c r="K2048" s="253">
        <v>16</v>
      </c>
      <c r="L2048" s="253">
        <v>18.100000000000001</v>
      </c>
      <c r="M2048" s="253"/>
      <c r="N2048" s="253">
        <v>1258</v>
      </c>
      <c r="O2048" s="253"/>
      <c r="P2048" s="253"/>
      <c r="Q2048" s="253">
        <v>2</v>
      </c>
      <c r="R2048" s="255" t="s">
        <v>1991</v>
      </c>
      <c r="T2048" s="255" t="s">
        <v>2111</v>
      </c>
      <c r="U2048" s="253" t="s">
        <v>1383</v>
      </c>
      <c r="V2048" s="256">
        <v>20</v>
      </c>
      <c r="W2048" s="253" t="s">
        <v>1383</v>
      </c>
      <c r="X2048" s="253" t="s">
        <v>1383</v>
      </c>
      <c r="Y2048" s="257">
        <v>1.39</v>
      </c>
      <c r="Z2048" s="372">
        <v>65</v>
      </c>
      <c r="AA2048" s="372">
        <v>25</v>
      </c>
      <c r="AB2048" s="253" t="s">
        <v>241</v>
      </c>
      <c r="AC2048" s="253">
        <v>6.5</v>
      </c>
      <c r="AD2048" s="253">
        <f t="shared" si="282"/>
        <v>0.85971223021582732</v>
      </c>
      <c r="AE2048" s="253"/>
      <c r="AF2048" s="253" t="s">
        <v>2046</v>
      </c>
      <c r="AG2048" s="253" t="s">
        <v>2043</v>
      </c>
      <c r="AH2048" s="253" t="s">
        <v>578</v>
      </c>
      <c r="AI2048" s="253" t="s">
        <v>2045</v>
      </c>
      <c r="AJ2048" s="253" t="s">
        <v>1625</v>
      </c>
      <c r="AK2048" s="253" t="s">
        <v>2045</v>
      </c>
      <c r="AL2048" s="253" t="s">
        <v>2045</v>
      </c>
      <c r="AM2048" s="253" t="s">
        <v>178</v>
      </c>
      <c r="AN2048" s="253" t="s">
        <v>1048</v>
      </c>
      <c r="AO2048" s="253" t="s">
        <v>1048</v>
      </c>
      <c r="AP2048" s="291" t="s">
        <v>178</v>
      </c>
      <c r="AQ2048" s="253" t="s">
        <v>2047</v>
      </c>
      <c r="AR2048" s="253" t="s">
        <v>2047</v>
      </c>
      <c r="AS2048" s="287" t="s">
        <v>178</v>
      </c>
      <c r="AT2048" s="253" t="s">
        <v>161</v>
      </c>
      <c r="AU2048" s="253">
        <v>4</v>
      </c>
      <c r="AV2048" s="253">
        <v>4</v>
      </c>
      <c r="AW2048" s="253" t="s">
        <v>142</v>
      </c>
      <c r="AX2048" s="253"/>
      <c r="AY2048" s="253"/>
      <c r="AZ2048" s="253"/>
      <c r="BA2048" s="253"/>
      <c r="BB2048" s="253"/>
      <c r="BH2048" s="253"/>
      <c r="BI2048" s="253"/>
      <c r="BJ2048" s="253"/>
      <c r="BM2048" s="438"/>
      <c r="BN2048" s="438"/>
      <c r="BR2048" s="438">
        <v>21.6</v>
      </c>
      <c r="BS2048" s="438">
        <v>21.3</v>
      </c>
      <c r="BV2048" s="291" t="s">
        <v>2105</v>
      </c>
      <c r="BW2048" s="92">
        <v>1.8</v>
      </c>
      <c r="BX2048" s="92">
        <v>1.82</v>
      </c>
      <c r="CA2048" s="291" t="s">
        <v>570</v>
      </c>
      <c r="IO2048" s="253" t="s">
        <v>2094</v>
      </c>
      <c r="IP2048" s="253" t="s">
        <v>2119</v>
      </c>
      <c r="IQ2048" s="259"/>
    </row>
    <row r="2049" spans="1:251" s="92" customFormat="1" x14ac:dyDescent="0.25">
      <c r="A2049" s="252">
        <v>93</v>
      </c>
      <c r="B2049" s="253" t="s">
        <v>769</v>
      </c>
      <c r="C2049" s="253" t="s">
        <v>2128</v>
      </c>
      <c r="D2049" s="253">
        <v>2002</v>
      </c>
      <c r="E2049" s="253">
        <v>1996</v>
      </c>
      <c r="F2049" s="253" t="s">
        <v>1756</v>
      </c>
      <c r="G2049" s="253" t="s">
        <v>2042</v>
      </c>
      <c r="H2049" s="278" t="s">
        <v>2831</v>
      </c>
      <c r="I2049" s="253">
        <v>32.57</v>
      </c>
      <c r="J2049" s="253">
        <v>-83.91</v>
      </c>
      <c r="K2049" s="253">
        <v>16</v>
      </c>
      <c r="L2049" s="253">
        <v>18.100000000000001</v>
      </c>
      <c r="M2049" s="253"/>
      <c r="N2049" s="253">
        <v>1258</v>
      </c>
      <c r="O2049" s="253"/>
      <c r="P2049" s="253"/>
      <c r="Q2049" s="253">
        <v>3</v>
      </c>
      <c r="R2049" s="255" t="s">
        <v>1991</v>
      </c>
      <c r="T2049" s="255" t="s">
        <v>2111</v>
      </c>
      <c r="U2049" s="253" t="s">
        <v>1383</v>
      </c>
      <c r="V2049" s="256">
        <v>20</v>
      </c>
      <c r="W2049" s="253" t="s">
        <v>1383</v>
      </c>
      <c r="X2049" s="253" t="s">
        <v>1383</v>
      </c>
      <c r="Y2049" s="257">
        <v>1.39</v>
      </c>
      <c r="Z2049" s="372">
        <v>65</v>
      </c>
      <c r="AA2049" s="372">
        <v>25</v>
      </c>
      <c r="AB2049" s="253" t="s">
        <v>241</v>
      </c>
      <c r="AC2049" s="253">
        <v>6.5</v>
      </c>
      <c r="AD2049" s="253">
        <f t="shared" si="282"/>
        <v>0.85971223021582732</v>
      </c>
      <c r="AE2049" s="253"/>
      <c r="AF2049" s="253" t="s">
        <v>2046</v>
      </c>
      <c r="AG2049" s="253" t="s">
        <v>2043</v>
      </c>
      <c r="AH2049" s="253" t="s">
        <v>578</v>
      </c>
      <c r="AI2049" s="253" t="s">
        <v>2045</v>
      </c>
      <c r="AJ2049" s="253" t="s">
        <v>1625</v>
      </c>
      <c r="AK2049" s="253" t="s">
        <v>2045</v>
      </c>
      <c r="AL2049" s="253" t="s">
        <v>2045</v>
      </c>
      <c r="AM2049" s="253" t="s">
        <v>178</v>
      </c>
      <c r="AN2049" s="253" t="s">
        <v>1048</v>
      </c>
      <c r="AO2049" s="253" t="s">
        <v>1048</v>
      </c>
      <c r="AP2049" s="291" t="s">
        <v>178</v>
      </c>
      <c r="AQ2049" s="253" t="s">
        <v>2047</v>
      </c>
      <c r="AR2049" s="253" t="s">
        <v>2047</v>
      </c>
      <c r="AS2049" s="287" t="s">
        <v>178</v>
      </c>
      <c r="AT2049" s="253" t="s">
        <v>161</v>
      </c>
      <c r="AU2049" s="253">
        <v>4</v>
      </c>
      <c r="AV2049" s="253">
        <v>4</v>
      </c>
      <c r="AW2049" s="253" t="s">
        <v>142</v>
      </c>
      <c r="AX2049" s="253"/>
      <c r="BA2049" s="253"/>
      <c r="BB2049" s="253"/>
      <c r="BH2049" s="253"/>
      <c r="BI2049" s="253"/>
      <c r="BJ2049" s="253"/>
      <c r="BM2049" s="438"/>
      <c r="BN2049" s="438"/>
      <c r="BR2049" s="438">
        <v>24.5</v>
      </c>
      <c r="BS2049" s="438">
        <v>26.9</v>
      </c>
      <c r="BV2049" s="291" t="s">
        <v>2105</v>
      </c>
      <c r="BW2049" s="92">
        <v>2.33</v>
      </c>
      <c r="BX2049" s="92">
        <v>2.4700000000000002</v>
      </c>
      <c r="CA2049" s="291" t="s">
        <v>570</v>
      </c>
      <c r="IO2049" s="253" t="s">
        <v>2094</v>
      </c>
      <c r="IP2049" s="253" t="s">
        <v>2119</v>
      </c>
      <c r="IQ2049" s="259"/>
    </row>
    <row r="2050" spans="1:251" s="92" customFormat="1" x14ac:dyDescent="0.25">
      <c r="A2050" s="252">
        <v>93</v>
      </c>
      <c r="B2050" s="253" t="s">
        <v>769</v>
      </c>
      <c r="C2050" s="253" t="s">
        <v>2128</v>
      </c>
      <c r="D2050" s="253">
        <v>2002</v>
      </c>
      <c r="E2050" s="253">
        <v>1997</v>
      </c>
      <c r="F2050" s="253" t="s">
        <v>1756</v>
      </c>
      <c r="G2050" s="253" t="s">
        <v>2042</v>
      </c>
      <c r="H2050" s="278" t="s">
        <v>2831</v>
      </c>
      <c r="I2050" s="253">
        <v>32.57</v>
      </c>
      <c r="J2050" s="253">
        <v>-83.91</v>
      </c>
      <c r="K2050" s="253">
        <v>16</v>
      </c>
      <c r="L2050" s="253">
        <v>18.100000000000001</v>
      </c>
      <c r="M2050" s="253"/>
      <c r="N2050" s="253">
        <v>1258</v>
      </c>
      <c r="O2050" s="253"/>
      <c r="P2050" s="253"/>
      <c r="Q2050" s="253">
        <v>4</v>
      </c>
      <c r="R2050" s="255" t="s">
        <v>1991</v>
      </c>
      <c r="T2050" s="255" t="s">
        <v>2111</v>
      </c>
      <c r="U2050" s="253" t="s">
        <v>1383</v>
      </c>
      <c r="V2050" s="256">
        <v>20</v>
      </c>
      <c r="W2050" s="253" t="s">
        <v>1383</v>
      </c>
      <c r="X2050" s="253" t="s">
        <v>1383</v>
      </c>
      <c r="Y2050" s="257">
        <v>1.39</v>
      </c>
      <c r="Z2050" s="372">
        <v>65</v>
      </c>
      <c r="AA2050" s="372">
        <v>25</v>
      </c>
      <c r="AB2050" s="253" t="s">
        <v>241</v>
      </c>
      <c r="AC2050" s="253">
        <v>6.5</v>
      </c>
      <c r="AD2050" s="253">
        <f t="shared" si="282"/>
        <v>0.85971223021582732</v>
      </c>
      <c r="AE2050" s="253"/>
      <c r="AF2050" s="253" t="s">
        <v>2046</v>
      </c>
      <c r="AG2050" s="253" t="s">
        <v>2043</v>
      </c>
      <c r="AH2050" s="253" t="s">
        <v>578</v>
      </c>
      <c r="AI2050" s="253" t="s">
        <v>2045</v>
      </c>
      <c r="AJ2050" s="253" t="s">
        <v>1625</v>
      </c>
      <c r="AK2050" s="253" t="s">
        <v>2045</v>
      </c>
      <c r="AL2050" s="253" t="s">
        <v>2045</v>
      </c>
      <c r="AM2050" s="253" t="s">
        <v>178</v>
      </c>
      <c r="AN2050" s="253" t="s">
        <v>1048</v>
      </c>
      <c r="AO2050" s="253" t="s">
        <v>1048</v>
      </c>
      <c r="AP2050" s="291" t="s">
        <v>178</v>
      </c>
      <c r="AQ2050" s="253" t="s">
        <v>2047</v>
      </c>
      <c r="AR2050" s="253" t="s">
        <v>2047</v>
      </c>
      <c r="AS2050" s="287" t="s">
        <v>178</v>
      </c>
      <c r="AT2050" s="253" t="s">
        <v>161</v>
      </c>
      <c r="AU2050" s="253">
        <v>4</v>
      </c>
      <c r="AV2050" s="253">
        <v>4</v>
      </c>
      <c r="AW2050" s="253" t="s">
        <v>142</v>
      </c>
      <c r="AX2050" s="253"/>
      <c r="AY2050" s="253"/>
      <c r="AZ2050" s="253"/>
      <c r="BA2050" s="253"/>
      <c r="BB2050" s="253"/>
      <c r="BH2050" s="253"/>
      <c r="BI2050" s="253"/>
      <c r="BJ2050" s="253"/>
      <c r="BM2050" s="438"/>
      <c r="BN2050" s="438"/>
      <c r="BR2050" s="438">
        <v>22.8</v>
      </c>
      <c r="BS2050" s="438">
        <v>23.9</v>
      </c>
      <c r="BV2050" s="291" t="s">
        <v>2105</v>
      </c>
      <c r="BW2050" s="92">
        <v>1.94</v>
      </c>
      <c r="BX2050" s="92">
        <v>2.02</v>
      </c>
      <c r="CA2050" s="291" t="s">
        <v>570</v>
      </c>
      <c r="IO2050" s="253" t="s">
        <v>2094</v>
      </c>
      <c r="IP2050" s="253" t="s">
        <v>2119</v>
      </c>
      <c r="IQ2050" s="259"/>
    </row>
    <row r="2051" spans="1:251" s="92" customFormat="1" x14ac:dyDescent="0.25">
      <c r="A2051" s="252">
        <v>93</v>
      </c>
      <c r="B2051" s="253" t="s">
        <v>769</v>
      </c>
      <c r="C2051" s="253" t="s">
        <v>2128</v>
      </c>
      <c r="D2051" s="253">
        <v>2002</v>
      </c>
      <c r="E2051" s="253">
        <v>1998</v>
      </c>
      <c r="F2051" s="253" t="s">
        <v>1756</v>
      </c>
      <c r="G2051" s="253" t="s">
        <v>2042</v>
      </c>
      <c r="H2051" s="278" t="s">
        <v>2831</v>
      </c>
      <c r="I2051" s="253">
        <v>32.57</v>
      </c>
      <c r="J2051" s="253">
        <v>-83.91</v>
      </c>
      <c r="K2051" s="253">
        <v>16</v>
      </c>
      <c r="L2051" s="253">
        <v>18.100000000000001</v>
      </c>
      <c r="M2051" s="253"/>
      <c r="N2051" s="253">
        <v>1258</v>
      </c>
      <c r="O2051" s="253"/>
      <c r="P2051" s="253"/>
      <c r="Q2051" s="253">
        <v>5</v>
      </c>
      <c r="R2051" s="255" t="s">
        <v>1991</v>
      </c>
      <c r="T2051" s="255" t="s">
        <v>2111</v>
      </c>
      <c r="U2051" s="253" t="s">
        <v>1383</v>
      </c>
      <c r="V2051" s="256">
        <v>20</v>
      </c>
      <c r="W2051" s="253" t="s">
        <v>1383</v>
      </c>
      <c r="X2051" s="253" t="s">
        <v>1383</v>
      </c>
      <c r="Y2051" s="257">
        <v>1.39</v>
      </c>
      <c r="Z2051" s="372">
        <v>65</v>
      </c>
      <c r="AA2051" s="372">
        <v>25</v>
      </c>
      <c r="AB2051" s="253" t="s">
        <v>241</v>
      </c>
      <c r="AC2051" s="253">
        <v>6.5</v>
      </c>
      <c r="AD2051" s="253">
        <f t="shared" si="282"/>
        <v>0.85971223021582732</v>
      </c>
      <c r="AE2051" s="253"/>
      <c r="AF2051" s="253" t="s">
        <v>2046</v>
      </c>
      <c r="AG2051" s="253" t="s">
        <v>2043</v>
      </c>
      <c r="AH2051" s="253" t="s">
        <v>578</v>
      </c>
      <c r="AI2051" s="253" t="s">
        <v>2045</v>
      </c>
      <c r="AJ2051" s="253" t="s">
        <v>1625</v>
      </c>
      <c r="AK2051" s="253" t="s">
        <v>2045</v>
      </c>
      <c r="AL2051" s="253" t="s">
        <v>2045</v>
      </c>
      <c r="AM2051" s="253" t="s">
        <v>178</v>
      </c>
      <c r="AN2051" s="253" t="s">
        <v>1048</v>
      </c>
      <c r="AO2051" s="253" t="s">
        <v>1048</v>
      </c>
      <c r="AP2051" s="291" t="s">
        <v>178</v>
      </c>
      <c r="AQ2051" s="253" t="s">
        <v>2047</v>
      </c>
      <c r="AR2051" s="253" t="s">
        <v>2047</v>
      </c>
      <c r="AS2051" s="287" t="s">
        <v>178</v>
      </c>
      <c r="AT2051" s="253" t="s">
        <v>161</v>
      </c>
      <c r="AU2051" s="253">
        <v>4</v>
      </c>
      <c r="AV2051" s="253">
        <v>4</v>
      </c>
      <c r="AW2051" s="253" t="s">
        <v>142</v>
      </c>
      <c r="AX2051" s="253"/>
      <c r="AY2051" s="253"/>
      <c r="AZ2051" s="253"/>
      <c r="BA2051" s="253"/>
      <c r="BB2051" s="253"/>
      <c r="BH2051" s="253"/>
      <c r="BI2051" s="253"/>
      <c r="BJ2051" s="253"/>
      <c r="BM2051" s="438"/>
      <c r="BN2051" s="438"/>
      <c r="BR2051" s="438">
        <v>21.2</v>
      </c>
      <c r="BS2051" s="438">
        <v>23.9</v>
      </c>
      <c r="BV2051" s="291" t="s">
        <v>2105</v>
      </c>
      <c r="BW2051" s="92">
        <v>1.57</v>
      </c>
      <c r="BX2051" s="92">
        <v>1.74</v>
      </c>
      <c r="CA2051" s="291" t="s">
        <v>570</v>
      </c>
      <c r="IO2051" s="253" t="s">
        <v>2094</v>
      </c>
      <c r="IP2051" s="253" t="s">
        <v>2119</v>
      </c>
      <c r="IQ2051" s="259"/>
    </row>
    <row r="2052" spans="1:251" s="92" customFormat="1" x14ac:dyDescent="0.25">
      <c r="A2052" s="252">
        <v>93</v>
      </c>
      <c r="B2052" s="253" t="s">
        <v>769</v>
      </c>
      <c r="C2052" s="253" t="s">
        <v>2128</v>
      </c>
      <c r="D2052" s="253">
        <v>2002</v>
      </c>
      <c r="E2052" s="253">
        <v>1999</v>
      </c>
      <c r="F2052" s="253" t="s">
        <v>1756</v>
      </c>
      <c r="G2052" s="253" t="s">
        <v>2042</v>
      </c>
      <c r="H2052" s="278" t="s">
        <v>2831</v>
      </c>
      <c r="I2052" s="253">
        <v>32.57</v>
      </c>
      <c r="J2052" s="253">
        <v>-83.91</v>
      </c>
      <c r="K2052" s="253">
        <v>16</v>
      </c>
      <c r="L2052" s="253">
        <v>18.100000000000001</v>
      </c>
      <c r="M2052" s="253"/>
      <c r="N2052" s="253">
        <v>1258</v>
      </c>
      <c r="O2052" s="253"/>
      <c r="P2052" s="253"/>
      <c r="Q2052" s="253">
        <v>6</v>
      </c>
      <c r="R2052" s="255" t="s">
        <v>1991</v>
      </c>
      <c r="T2052" s="255" t="s">
        <v>2111</v>
      </c>
      <c r="U2052" s="253" t="s">
        <v>1383</v>
      </c>
      <c r="V2052" s="256">
        <v>20</v>
      </c>
      <c r="W2052" s="253" t="s">
        <v>1383</v>
      </c>
      <c r="X2052" s="253" t="s">
        <v>1383</v>
      </c>
      <c r="Y2052" s="257">
        <v>1.39</v>
      </c>
      <c r="Z2052" s="372">
        <v>65</v>
      </c>
      <c r="AA2052" s="372">
        <v>25</v>
      </c>
      <c r="AB2052" s="253" t="s">
        <v>241</v>
      </c>
      <c r="AC2052" s="253">
        <v>6.5</v>
      </c>
      <c r="AD2052" s="253">
        <f t="shared" si="282"/>
        <v>0.85971223021582732</v>
      </c>
      <c r="AE2052" s="253"/>
      <c r="AF2052" s="253" t="s">
        <v>2046</v>
      </c>
      <c r="AG2052" s="253" t="s">
        <v>2043</v>
      </c>
      <c r="AH2052" s="253" t="s">
        <v>578</v>
      </c>
      <c r="AI2052" s="253" t="s">
        <v>2116</v>
      </c>
      <c r="AJ2052" s="253" t="s">
        <v>1625</v>
      </c>
      <c r="AK2052" s="253" t="s">
        <v>2045</v>
      </c>
      <c r="AL2052" s="253" t="s">
        <v>2045</v>
      </c>
      <c r="AM2052" s="253" t="s">
        <v>178</v>
      </c>
      <c r="AN2052" s="253" t="s">
        <v>1048</v>
      </c>
      <c r="AO2052" s="253" t="s">
        <v>1048</v>
      </c>
      <c r="AP2052" s="291" t="s">
        <v>178</v>
      </c>
      <c r="AQ2052" s="253" t="s">
        <v>2047</v>
      </c>
      <c r="AR2052" s="253" t="s">
        <v>2047</v>
      </c>
      <c r="AS2052" s="287" t="s">
        <v>178</v>
      </c>
      <c r="AT2052" s="253" t="s">
        <v>161</v>
      </c>
      <c r="AU2052" s="253">
        <v>4</v>
      </c>
      <c r="AV2052" s="253">
        <v>4</v>
      </c>
      <c r="AW2052" s="253" t="s">
        <v>142</v>
      </c>
      <c r="AX2052" s="253"/>
      <c r="AY2052" s="253"/>
      <c r="AZ2052" s="253"/>
      <c r="BA2052" s="253"/>
      <c r="BB2052" s="253"/>
      <c r="BH2052" s="253"/>
      <c r="BI2052" s="253"/>
      <c r="BJ2052" s="253"/>
      <c r="BM2052" s="438"/>
      <c r="BN2052" s="438"/>
      <c r="BR2052" s="438">
        <v>19.8</v>
      </c>
      <c r="BS2052" s="438">
        <v>24.3</v>
      </c>
      <c r="BV2052" s="291" t="s">
        <v>2105</v>
      </c>
      <c r="BW2052" s="92">
        <v>1.48</v>
      </c>
      <c r="BX2052" s="92">
        <v>1.74</v>
      </c>
      <c r="CA2052" s="291" t="s">
        <v>570</v>
      </c>
      <c r="IO2052" s="253" t="s">
        <v>2094</v>
      </c>
      <c r="IP2052" s="253" t="s">
        <v>2119</v>
      </c>
      <c r="IQ2052" s="259"/>
    </row>
    <row r="2053" spans="1:251" s="291" customFormat="1" x14ac:dyDescent="0.25">
      <c r="A2053" s="286">
        <v>93</v>
      </c>
      <c r="B2053" s="287" t="s">
        <v>769</v>
      </c>
      <c r="C2053" s="287" t="s">
        <v>2128</v>
      </c>
      <c r="D2053" s="287">
        <v>2002</v>
      </c>
      <c r="E2053" s="287">
        <v>1994</v>
      </c>
      <c r="F2053" s="287" t="s">
        <v>1756</v>
      </c>
      <c r="G2053" s="287" t="s">
        <v>2042</v>
      </c>
      <c r="H2053" s="278" t="s">
        <v>2831</v>
      </c>
      <c r="I2053" s="287">
        <v>32.57</v>
      </c>
      <c r="J2053" s="287">
        <v>-83.91</v>
      </c>
      <c r="K2053" s="287">
        <v>16</v>
      </c>
      <c r="L2053" s="287">
        <v>18.100000000000001</v>
      </c>
      <c r="M2053" s="287"/>
      <c r="N2053" s="287">
        <v>1258</v>
      </c>
      <c r="O2053" s="287"/>
      <c r="P2053" s="287"/>
      <c r="Q2053" s="287">
        <v>1</v>
      </c>
      <c r="R2053" s="288" t="s">
        <v>1991</v>
      </c>
      <c r="T2053" s="288" t="s">
        <v>2111</v>
      </c>
      <c r="U2053" s="287" t="s">
        <v>1383</v>
      </c>
      <c r="V2053" s="289">
        <v>20</v>
      </c>
      <c r="W2053" s="287" t="s">
        <v>1383</v>
      </c>
      <c r="X2053" s="287" t="s">
        <v>1383</v>
      </c>
      <c r="Y2053" s="290">
        <v>1.39</v>
      </c>
      <c r="Z2053" s="371">
        <v>65</v>
      </c>
      <c r="AA2053" s="371">
        <v>25</v>
      </c>
      <c r="AB2053" s="287" t="s">
        <v>241</v>
      </c>
      <c r="AC2053" s="287">
        <v>6.5</v>
      </c>
      <c r="AD2053" s="287">
        <f t="shared" si="282"/>
        <v>0.85971223021582732</v>
      </c>
      <c r="AE2053" s="287"/>
      <c r="AF2053" s="287" t="s">
        <v>2046</v>
      </c>
      <c r="AG2053" s="287" t="s">
        <v>2043</v>
      </c>
      <c r="AH2053" s="287" t="s">
        <v>578</v>
      </c>
      <c r="AI2053" s="287" t="s">
        <v>2045</v>
      </c>
      <c r="AJ2053" s="287" t="s">
        <v>1625</v>
      </c>
      <c r="AK2053" s="287" t="s">
        <v>2045</v>
      </c>
      <c r="AL2053" s="287" t="s">
        <v>2045</v>
      </c>
      <c r="AM2053" s="287" t="s">
        <v>178</v>
      </c>
      <c r="AN2053" s="287" t="s">
        <v>1048</v>
      </c>
      <c r="AO2053" s="287" t="s">
        <v>1048</v>
      </c>
      <c r="AP2053" s="291" t="s">
        <v>178</v>
      </c>
      <c r="AQ2053" s="287" t="s">
        <v>2044</v>
      </c>
      <c r="AR2053" s="287" t="s">
        <v>2044</v>
      </c>
      <c r="AS2053" s="287" t="s">
        <v>178</v>
      </c>
      <c r="AT2053" s="253" t="s">
        <v>161</v>
      </c>
      <c r="AU2053" s="287">
        <v>4</v>
      </c>
      <c r="AV2053" s="287">
        <v>4</v>
      </c>
      <c r="AW2053" s="253" t="s">
        <v>142</v>
      </c>
      <c r="AX2053" s="287"/>
      <c r="BA2053" s="287"/>
      <c r="BB2053" s="287"/>
      <c r="BH2053" s="287"/>
      <c r="BI2053" s="287"/>
      <c r="BJ2053" s="287"/>
      <c r="BM2053" s="447"/>
      <c r="BN2053" s="447"/>
      <c r="BR2053" s="447">
        <v>23.9</v>
      </c>
      <c r="BS2053" s="447">
        <v>23.9</v>
      </c>
      <c r="BV2053" s="291" t="s">
        <v>2105</v>
      </c>
      <c r="BW2053" s="291">
        <v>1.95</v>
      </c>
      <c r="BX2053" s="291">
        <v>1.95</v>
      </c>
      <c r="CA2053" s="291" t="s">
        <v>570</v>
      </c>
      <c r="IO2053" s="287" t="s">
        <v>2094</v>
      </c>
      <c r="IP2053" s="253" t="s">
        <v>2119</v>
      </c>
      <c r="IQ2053" s="292"/>
    </row>
    <row r="2054" spans="1:251" s="291" customFormat="1" x14ac:dyDescent="0.25">
      <c r="A2054" s="286">
        <v>93</v>
      </c>
      <c r="B2054" s="287" t="s">
        <v>769</v>
      </c>
      <c r="C2054" s="287" t="s">
        <v>2128</v>
      </c>
      <c r="D2054" s="287">
        <v>2002</v>
      </c>
      <c r="E2054" s="287">
        <v>1995</v>
      </c>
      <c r="F2054" s="287" t="s">
        <v>1756</v>
      </c>
      <c r="G2054" s="287" t="s">
        <v>2042</v>
      </c>
      <c r="H2054" s="278" t="s">
        <v>2831</v>
      </c>
      <c r="I2054" s="287">
        <v>32.57</v>
      </c>
      <c r="J2054" s="287">
        <v>-83.91</v>
      </c>
      <c r="K2054" s="287">
        <v>16</v>
      </c>
      <c r="L2054" s="287">
        <v>18.100000000000001</v>
      </c>
      <c r="M2054" s="287"/>
      <c r="N2054" s="287">
        <v>1258</v>
      </c>
      <c r="O2054" s="287"/>
      <c r="P2054" s="287"/>
      <c r="Q2054" s="287">
        <v>2</v>
      </c>
      <c r="R2054" s="288" t="s">
        <v>1991</v>
      </c>
      <c r="T2054" s="288" t="s">
        <v>2111</v>
      </c>
      <c r="U2054" s="287" t="s">
        <v>1383</v>
      </c>
      <c r="V2054" s="289">
        <v>20</v>
      </c>
      <c r="W2054" s="287" t="s">
        <v>1383</v>
      </c>
      <c r="X2054" s="287" t="s">
        <v>1383</v>
      </c>
      <c r="Y2054" s="290">
        <v>1.39</v>
      </c>
      <c r="Z2054" s="371">
        <v>65</v>
      </c>
      <c r="AA2054" s="371">
        <v>25</v>
      </c>
      <c r="AB2054" s="287" t="s">
        <v>241</v>
      </c>
      <c r="AC2054" s="287">
        <v>6.5</v>
      </c>
      <c r="AD2054" s="287">
        <f t="shared" si="282"/>
        <v>0.85971223021582732</v>
      </c>
      <c r="AE2054" s="287"/>
      <c r="AF2054" s="287" t="s">
        <v>2046</v>
      </c>
      <c r="AG2054" s="287" t="s">
        <v>2043</v>
      </c>
      <c r="AH2054" s="287" t="s">
        <v>578</v>
      </c>
      <c r="AI2054" s="287" t="s">
        <v>2045</v>
      </c>
      <c r="AJ2054" s="287" t="s">
        <v>1625</v>
      </c>
      <c r="AK2054" s="287" t="s">
        <v>2045</v>
      </c>
      <c r="AL2054" s="287" t="s">
        <v>2045</v>
      </c>
      <c r="AM2054" s="287" t="s">
        <v>178</v>
      </c>
      <c r="AN2054" s="287" t="s">
        <v>1048</v>
      </c>
      <c r="AO2054" s="287" t="s">
        <v>1048</v>
      </c>
      <c r="AP2054" s="291" t="s">
        <v>178</v>
      </c>
      <c r="AQ2054" s="287" t="s">
        <v>2044</v>
      </c>
      <c r="AR2054" s="287" t="s">
        <v>2044</v>
      </c>
      <c r="AS2054" s="287" t="s">
        <v>178</v>
      </c>
      <c r="AT2054" s="253" t="s">
        <v>161</v>
      </c>
      <c r="AU2054" s="287">
        <v>4</v>
      </c>
      <c r="AV2054" s="287">
        <v>4</v>
      </c>
      <c r="AW2054" s="253" t="s">
        <v>142</v>
      </c>
      <c r="AX2054" s="287"/>
      <c r="AY2054" s="287"/>
      <c r="AZ2054" s="287"/>
      <c r="BA2054" s="287"/>
      <c r="BB2054" s="287"/>
      <c r="BH2054" s="287"/>
      <c r="BI2054" s="287"/>
      <c r="BJ2054" s="287"/>
      <c r="BM2054" s="447"/>
      <c r="BN2054" s="447"/>
      <c r="BR2054" s="447">
        <v>22.5</v>
      </c>
      <c r="BS2054" s="447">
        <v>21.3</v>
      </c>
      <c r="BV2054" s="291" t="s">
        <v>2105</v>
      </c>
      <c r="BW2054" s="291">
        <v>2.0499999999999998</v>
      </c>
      <c r="BX2054" s="291">
        <v>1.72</v>
      </c>
      <c r="CA2054" s="291" t="s">
        <v>570</v>
      </c>
      <c r="IO2054" s="287" t="s">
        <v>2094</v>
      </c>
      <c r="IP2054" s="253" t="s">
        <v>2119</v>
      </c>
      <c r="IQ2054" s="292"/>
    </row>
    <row r="2055" spans="1:251" s="291" customFormat="1" x14ac:dyDescent="0.25">
      <c r="A2055" s="286">
        <v>93</v>
      </c>
      <c r="B2055" s="287" t="s">
        <v>769</v>
      </c>
      <c r="C2055" s="287" t="s">
        <v>2128</v>
      </c>
      <c r="D2055" s="287">
        <v>2002</v>
      </c>
      <c r="E2055" s="287">
        <v>1996</v>
      </c>
      <c r="F2055" s="287" t="s">
        <v>1756</v>
      </c>
      <c r="G2055" s="287" t="s">
        <v>2042</v>
      </c>
      <c r="H2055" s="278" t="s">
        <v>2831</v>
      </c>
      <c r="I2055" s="287">
        <v>32.57</v>
      </c>
      <c r="J2055" s="287">
        <v>-83.91</v>
      </c>
      <c r="K2055" s="287">
        <v>16</v>
      </c>
      <c r="L2055" s="287">
        <v>18.100000000000001</v>
      </c>
      <c r="M2055" s="287"/>
      <c r="N2055" s="287">
        <v>1258</v>
      </c>
      <c r="O2055" s="287"/>
      <c r="P2055" s="287"/>
      <c r="Q2055" s="287">
        <v>3</v>
      </c>
      <c r="R2055" s="288" t="s">
        <v>1991</v>
      </c>
      <c r="T2055" s="288" t="s">
        <v>2111</v>
      </c>
      <c r="U2055" s="287" t="s">
        <v>1383</v>
      </c>
      <c r="V2055" s="289">
        <v>20</v>
      </c>
      <c r="W2055" s="287" t="s">
        <v>1383</v>
      </c>
      <c r="X2055" s="287" t="s">
        <v>1383</v>
      </c>
      <c r="Y2055" s="290">
        <v>1.39</v>
      </c>
      <c r="Z2055" s="371">
        <v>65</v>
      </c>
      <c r="AA2055" s="371">
        <v>25</v>
      </c>
      <c r="AB2055" s="287" t="s">
        <v>241</v>
      </c>
      <c r="AC2055" s="287">
        <v>6.5</v>
      </c>
      <c r="AD2055" s="287">
        <f t="shared" si="282"/>
        <v>0.85971223021582732</v>
      </c>
      <c r="AE2055" s="287"/>
      <c r="AF2055" s="287" t="s">
        <v>2046</v>
      </c>
      <c r="AG2055" s="287" t="s">
        <v>2043</v>
      </c>
      <c r="AH2055" s="287" t="s">
        <v>578</v>
      </c>
      <c r="AI2055" s="287" t="s">
        <v>2045</v>
      </c>
      <c r="AJ2055" s="287" t="s">
        <v>1625</v>
      </c>
      <c r="AK2055" s="287" t="s">
        <v>2045</v>
      </c>
      <c r="AL2055" s="287" t="s">
        <v>2045</v>
      </c>
      <c r="AM2055" s="287" t="s">
        <v>178</v>
      </c>
      <c r="AN2055" s="287" t="s">
        <v>1048</v>
      </c>
      <c r="AO2055" s="287" t="s">
        <v>1048</v>
      </c>
      <c r="AP2055" s="291" t="s">
        <v>178</v>
      </c>
      <c r="AQ2055" s="287" t="s">
        <v>2044</v>
      </c>
      <c r="AR2055" s="287" t="s">
        <v>2044</v>
      </c>
      <c r="AS2055" s="287" t="s">
        <v>178</v>
      </c>
      <c r="AT2055" s="253" t="s">
        <v>161</v>
      </c>
      <c r="AU2055" s="287">
        <v>4</v>
      </c>
      <c r="AV2055" s="287">
        <v>4</v>
      </c>
      <c r="AW2055" s="253" t="s">
        <v>142</v>
      </c>
      <c r="AX2055" s="287"/>
      <c r="BA2055" s="287"/>
      <c r="BB2055" s="287"/>
      <c r="BH2055" s="287"/>
      <c r="BI2055" s="287"/>
      <c r="BJ2055" s="287"/>
      <c r="BM2055" s="447"/>
      <c r="BN2055" s="447"/>
      <c r="BR2055" s="447">
        <v>28.8</v>
      </c>
      <c r="BS2055" s="447">
        <v>24.8</v>
      </c>
      <c r="BV2055" s="291" t="s">
        <v>2105</v>
      </c>
      <c r="BW2055" s="291">
        <v>2.54</v>
      </c>
      <c r="BX2055" s="291">
        <v>2.02</v>
      </c>
      <c r="CA2055" s="291" t="s">
        <v>570</v>
      </c>
      <c r="IO2055" s="287" t="s">
        <v>2094</v>
      </c>
      <c r="IP2055" s="253" t="s">
        <v>2119</v>
      </c>
      <c r="IQ2055" s="292"/>
    </row>
    <row r="2056" spans="1:251" s="291" customFormat="1" x14ac:dyDescent="0.25">
      <c r="A2056" s="286">
        <v>93</v>
      </c>
      <c r="B2056" s="287" t="s">
        <v>769</v>
      </c>
      <c r="C2056" s="287" t="s">
        <v>2128</v>
      </c>
      <c r="D2056" s="287">
        <v>2002</v>
      </c>
      <c r="E2056" s="287">
        <v>1997</v>
      </c>
      <c r="F2056" s="287" t="s">
        <v>1756</v>
      </c>
      <c r="G2056" s="287" t="s">
        <v>2042</v>
      </c>
      <c r="H2056" s="278" t="s">
        <v>2831</v>
      </c>
      <c r="I2056" s="287">
        <v>32.57</v>
      </c>
      <c r="J2056" s="287">
        <v>-83.91</v>
      </c>
      <c r="K2056" s="287">
        <v>16</v>
      </c>
      <c r="L2056" s="287">
        <v>18.100000000000001</v>
      </c>
      <c r="M2056" s="287"/>
      <c r="N2056" s="287">
        <v>1258</v>
      </c>
      <c r="O2056" s="287"/>
      <c r="P2056" s="287"/>
      <c r="Q2056" s="287">
        <v>4</v>
      </c>
      <c r="R2056" s="288" t="s">
        <v>1991</v>
      </c>
      <c r="T2056" s="288" t="s">
        <v>2111</v>
      </c>
      <c r="U2056" s="287" t="s">
        <v>1383</v>
      </c>
      <c r="V2056" s="289">
        <v>20</v>
      </c>
      <c r="W2056" s="287" t="s">
        <v>1383</v>
      </c>
      <c r="X2056" s="287" t="s">
        <v>1383</v>
      </c>
      <c r="Y2056" s="290">
        <v>1.39</v>
      </c>
      <c r="Z2056" s="371">
        <v>65</v>
      </c>
      <c r="AA2056" s="371">
        <v>25</v>
      </c>
      <c r="AB2056" s="287" t="s">
        <v>241</v>
      </c>
      <c r="AC2056" s="287">
        <v>6.5</v>
      </c>
      <c r="AD2056" s="287">
        <f t="shared" si="282"/>
        <v>0.85971223021582732</v>
      </c>
      <c r="AE2056" s="287"/>
      <c r="AF2056" s="287" t="s">
        <v>2046</v>
      </c>
      <c r="AG2056" s="287" t="s">
        <v>2043</v>
      </c>
      <c r="AH2056" s="287" t="s">
        <v>578</v>
      </c>
      <c r="AI2056" s="287" t="s">
        <v>2045</v>
      </c>
      <c r="AJ2056" s="287" t="s">
        <v>1625</v>
      </c>
      <c r="AK2056" s="287" t="s">
        <v>2045</v>
      </c>
      <c r="AL2056" s="287" t="s">
        <v>2045</v>
      </c>
      <c r="AM2056" s="287" t="s">
        <v>178</v>
      </c>
      <c r="AN2056" s="287" t="s">
        <v>1048</v>
      </c>
      <c r="AO2056" s="287" t="s">
        <v>1048</v>
      </c>
      <c r="AP2056" s="291" t="s">
        <v>178</v>
      </c>
      <c r="AQ2056" s="287" t="s">
        <v>2044</v>
      </c>
      <c r="AR2056" s="287" t="s">
        <v>2044</v>
      </c>
      <c r="AS2056" s="287" t="s">
        <v>178</v>
      </c>
      <c r="AT2056" s="253" t="s">
        <v>161</v>
      </c>
      <c r="AU2056" s="287">
        <v>4</v>
      </c>
      <c r="AV2056" s="287">
        <v>4</v>
      </c>
      <c r="AW2056" s="253" t="s">
        <v>142</v>
      </c>
      <c r="AX2056" s="287"/>
      <c r="AY2056" s="287"/>
      <c r="AZ2056" s="287"/>
      <c r="BA2056" s="287"/>
      <c r="BB2056" s="287"/>
      <c r="BH2056" s="287"/>
      <c r="BI2056" s="287"/>
      <c r="BJ2056" s="287"/>
      <c r="BM2056" s="447"/>
      <c r="BN2056" s="447"/>
      <c r="BR2056" s="447">
        <v>24.9</v>
      </c>
      <c r="BS2056" s="447">
        <v>22.9</v>
      </c>
      <c r="BV2056" s="291" t="s">
        <v>2105</v>
      </c>
      <c r="BW2056" s="291">
        <v>2.15</v>
      </c>
      <c r="BX2056" s="291">
        <v>1.33</v>
      </c>
      <c r="CA2056" s="291" t="s">
        <v>570</v>
      </c>
      <c r="IO2056" s="287" t="s">
        <v>2094</v>
      </c>
      <c r="IP2056" s="253" t="s">
        <v>2119</v>
      </c>
      <c r="IQ2056" s="292"/>
    </row>
    <row r="2057" spans="1:251" s="291" customFormat="1" x14ac:dyDescent="0.25">
      <c r="A2057" s="286">
        <v>93</v>
      </c>
      <c r="B2057" s="287" t="s">
        <v>769</v>
      </c>
      <c r="C2057" s="287" t="s">
        <v>2128</v>
      </c>
      <c r="D2057" s="287">
        <v>2002</v>
      </c>
      <c r="E2057" s="287">
        <v>1998</v>
      </c>
      <c r="F2057" s="287" t="s">
        <v>1756</v>
      </c>
      <c r="G2057" s="287" t="s">
        <v>2042</v>
      </c>
      <c r="H2057" s="278" t="s">
        <v>2831</v>
      </c>
      <c r="I2057" s="287">
        <v>32.57</v>
      </c>
      <c r="J2057" s="287">
        <v>-83.91</v>
      </c>
      <c r="K2057" s="287">
        <v>16</v>
      </c>
      <c r="L2057" s="287">
        <v>18.100000000000001</v>
      </c>
      <c r="M2057" s="287"/>
      <c r="N2057" s="287">
        <v>1258</v>
      </c>
      <c r="O2057" s="287"/>
      <c r="P2057" s="287"/>
      <c r="Q2057" s="287">
        <v>5</v>
      </c>
      <c r="R2057" s="288" t="s">
        <v>1991</v>
      </c>
      <c r="T2057" s="288" t="s">
        <v>2111</v>
      </c>
      <c r="U2057" s="287" t="s">
        <v>1383</v>
      </c>
      <c r="V2057" s="289">
        <v>20</v>
      </c>
      <c r="W2057" s="287" t="s">
        <v>1383</v>
      </c>
      <c r="X2057" s="287" t="s">
        <v>1383</v>
      </c>
      <c r="Y2057" s="290">
        <v>1.39</v>
      </c>
      <c r="Z2057" s="371">
        <v>65</v>
      </c>
      <c r="AA2057" s="371">
        <v>25</v>
      </c>
      <c r="AB2057" s="287" t="s">
        <v>241</v>
      </c>
      <c r="AC2057" s="287">
        <v>6.5</v>
      </c>
      <c r="AD2057" s="287">
        <f t="shared" si="282"/>
        <v>0.85971223021582732</v>
      </c>
      <c r="AE2057" s="287"/>
      <c r="AF2057" s="287" t="s">
        <v>2046</v>
      </c>
      <c r="AG2057" s="287" t="s">
        <v>2043</v>
      </c>
      <c r="AH2057" s="287" t="s">
        <v>578</v>
      </c>
      <c r="AI2057" s="287" t="s">
        <v>2045</v>
      </c>
      <c r="AJ2057" s="287" t="s">
        <v>1625</v>
      </c>
      <c r="AK2057" s="287" t="s">
        <v>2045</v>
      </c>
      <c r="AL2057" s="287" t="s">
        <v>2045</v>
      </c>
      <c r="AM2057" s="287" t="s">
        <v>178</v>
      </c>
      <c r="AN2057" s="287" t="s">
        <v>1048</v>
      </c>
      <c r="AO2057" s="287" t="s">
        <v>1048</v>
      </c>
      <c r="AP2057" s="291" t="s">
        <v>178</v>
      </c>
      <c r="AQ2057" s="287" t="s">
        <v>2044</v>
      </c>
      <c r="AR2057" s="287" t="s">
        <v>2044</v>
      </c>
      <c r="AS2057" s="287" t="s">
        <v>178</v>
      </c>
      <c r="AT2057" s="253" t="s">
        <v>161</v>
      </c>
      <c r="AU2057" s="287">
        <v>4</v>
      </c>
      <c r="AV2057" s="287">
        <v>4</v>
      </c>
      <c r="AW2057" s="253" t="s">
        <v>142</v>
      </c>
      <c r="AX2057" s="287"/>
      <c r="AY2057" s="287"/>
      <c r="AZ2057" s="287"/>
      <c r="BA2057" s="287"/>
      <c r="BB2057" s="287"/>
      <c r="BH2057" s="287"/>
      <c r="BI2057" s="287"/>
      <c r="BJ2057" s="287"/>
      <c r="BM2057" s="447"/>
      <c r="BN2057" s="447"/>
      <c r="BR2057" s="447">
        <v>21</v>
      </c>
      <c r="BS2057" s="447">
        <v>23.6</v>
      </c>
      <c r="BV2057" s="291" t="s">
        <v>2105</v>
      </c>
      <c r="BW2057" s="291">
        <v>1.62</v>
      </c>
      <c r="BX2057" s="291">
        <v>1.77</v>
      </c>
      <c r="CA2057" s="291" t="s">
        <v>570</v>
      </c>
      <c r="IO2057" s="287" t="s">
        <v>2094</v>
      </c>
      <c r="IP2057" s="253" t="s">
        <v>2119</v>
      </c>
      <c r="IQ2057" s="292"/>
    </row>
    <row r="2058" spans="1:251" s="291" customFormat="1" x14ac:dyDescent="0.25">
      <c r="A2058" s="286">
        <v>93</v>
      </c>
      <c r="B2058" s="287" t="s">
        <v>769</v>
      </c>
      <c r="C2058" s="287" t="s">
        <v>2128</v>
      </c>
      <c r="D2058" s="287">
        <v>2002</v>
      </c>
      <c r="E2058" s="287">
        <v>1999</v>
      </c>
      <c r="F2058" s="287" t="s">
        <v>1756</v>
      </c>
      <c r="G2058" s="287" t="s">
        <v>2042</v>
      </c>
      <c r="H2058" s="278" t="s">
        <v>2831</v>
      </c>
      <c r="I2058" s="287">
        <v>32.57</v>
      </c>
      <c r="J2058" s="287">
        <v>-83.91</v>
      </c>
      <c r="K2058" s="287">
        <v>16</v>
      </c>
      <c r="L2058" s="287">
        <v>18.100000000000001</v>
      </c>
      <c r="M2058" s="287"/>
      <c r="N2058" s="287">
        <v>1258</v>
      </c>
      <c r="O2058" s="287"/>
      <c r="P2058" s="287"/>
      <c r="Q2058" s="287">
        <v>6</v>
      </c>
      <c r="R2058" s="288" t="s">
        <v>1991</v>
      </c>
      <c r="T2058" s="288" t="s">
        <v>2111</v>
      </c>
      <c r="U2058" s="287" t="s">
        <v>1383</v>
      </c>
      <c r="V2058" s="289">
        <v>20</v>
      </c>
      <c r="W2058" s="287" t="s">
        <v>1383</v>
      </c>
      <c r="X2058" s="287" t="s">
        <v>1383</v>
      </c>
      <c r="Y2058" s="290">
        <v>1.39</v>
      </c>
      <c r="Z2058" s="371">
        <v>65</v>
      </c>
      <c r="AA2058" s="371">
        <v>25</v>
      </c>
      <c r="AB2058" s="287" t="s">
        <v>241</v>
      </c>
      <c r="AC2058" s="287">
        <v>6.5</v>
      </c>
      <c r="AD2058" s="287">
        <f t="shared" si="282"/>
        <v>0.85971223021582732</v>
      </c>
      <c r="AE2058" s="287"/>
      <c r="AF2058" s="287" t="s">
        <v>2046</v>
      </c>
      <c r="AG2058" s="287" t="s">
        <v>2043</v>
      </c>
      <c r="AH2058" s="287" t="s">
        <v>578</v>
      </c>
      <c r="AI2058" s="287" t="s">
        <v>2116</v>
      </c>
      <c r="AJ2058" s="287" t="s">
        <v>1625</v>
      </c>
      <c r="AK2058" s="287" t="s">
        <v>2045</v>
      </c>
      <c r="AL2058" s="287" t="s">
        <v>2045</v>
      </c>
      <c r="AM2058" s="287" t="s">
        <v>178</v>
      </c>
      <c r="AN2058" s="287" t="s">
        <v>1048</v>
      </c>
      <c r="AO2058" s="287" t="s">
        <v>1048</v>
      </c>
      <c r="AP2058" s="291" t="s">
        <v>178</v>
      </c>
      <c r="AQ2058" s="287" t="s">
        <v>2044</v>
      </c>
      <c r="AR2058" s="287" t="s">
        <v>2044</v>
      </c>
      <c r="AS2058" s="287" t="s">
        <v>178</v>
      </c>
      <c r="AT2058" s="253" t="s">
        <v>161</v>
      </c>
      <c r="AU2058" s="287">
        <v>4</v>
      </c>
      <c r="AV2058" s="287">
        <v>4</v>
      </c>
      <c r="AW2058" s="253" t="s">
        <v>142</v>
      </c>
      <c r="AX2058" s="287"/>
      <c r="AY2058" s="287"/>
      <c r="AZ2058" s="287"/>
      <c r="BA2058" s="287"/>
      <c r="BB2058" s="287"/>
      <c r="BH2058" s="287"/>
      <c r="BI2058" s="287"/>
      <c r="BJ2058" s="287"/>
      <c r="BM2058" s="447"/>
      <c r="BN2058" s="447"/>
      <c r="BR2058" s="447">
        <v>19.8</v>
      </c>
      <c r="BS2058" s="447">
        <v>24.2</v>
      </c>
      <c r="BV2058" s="291" t="s">
        <v>2105</v>
      </c>
      <c r="BW2058" s="291">
        <v>1.56</v>
      </c>
      <c r="BX2058" s="291">
        <v>1.76</v>
      </c>
      <c r="CA2058" s="291" t="s">
        <v>570</v>
      </c>
      <c r="IO2058" s="287" t="s">
        <v>2094</v>
      </c>
      <c r="IP2058" s="253" t="s">
        <v>2119</v>
      </c>
      <c r="IQ2058" s="292"/>
    </row>
    <row r="2059" spans="1:251" s="298" customFormat="1" x14ac:dyDescent="0.25">
      <c r="A2059" s="294">
        <v>93</v>
      </c>
      <c r="B2059" s="293" t="s">
        <v>769</v>
      </c>
      <c r="C2059" s="293" t="s">
        <v>2128</v>
      </c>
      <c r="D2059" s="293">
        <v>2002</v>
      </c>
      <c r="E2059" s="293">
        <v>1994</v>
      </c>
      <c r="F2059" s="293" t="s">
        <v>1756</v>
      </c>
      <c r="G2059" s="293" t="s">
        <v>2042</v>
      </c>
      <c r="H2059" s="278" t="s">
        <v>2831</v>
      </c>
      <c r="I2059" s="293">
        <v>32.57</v>
      </c>
      <c r="J2059" s="293">
        <v>-83.91</v>
      </c>
      <c r="K2059" s="293">
        <v>16</v>
      </c>
      <c r="L2059" s="293">
        <v>18.100000000000001</v>
      </c>
      <c r="M2059" s="293"/>
      <c r="N2059" s="293">
        <v>1258</v>
      </c>
      <c r="O2059" s="293"/>
      <c r="P2059" s="293"/>
      <c r="Q2059" s="293">
        <v>1</v>
      </c>
      <c r="R2059" s="295" t="s">
        <v>1991</v>
      </c>
      <c r="T2059" s="295" t="s">
        <v>2111</v>
      </c>
      <c r="U2059" s="293" t="s">
        <v>1383</v>
      </c>
      <c r="V2059" s="296">
        <v>20</v>
      </c>
      <c r="W2059" s="293" t="s">
        <v>1383</v>
      </c>
      <c r="X2059" s="293" t="s">
        <v>1383</v>
      </c>
      <c r="Y2059" s="297">
        <v>1.39</v>
      </c>
      <c r="Z2059" s="373">
        <v>65</v>
      </c>
      <c r="AA2059" s="373">
        <v>25</v>
      </c>
      <c r="AB2059" s="293" t="s">
        <v>241</v>
      </c>
      <c r="AC2059" s="293">
        <v>6.5</v>
      </c>
      <c r="AD2059" s="293">
        <f t="shared" si="282"/>
        <v>0.85971223021582732</v>
      </c>
      <c r="AE2059" s="293"/>
      <c r="AF2059" s="293" t="s">
        <v>2046</v>
      </c>
      <c r="AG2059" s="293" t="s">
        <v>2043</v>
      </c>
      <c r="AH2059" s="293" t="s">
        <v>578</v>
      </c>
      <c r="AI2059" s="293" t="s">
        <v>2045</v>
      </c>
      <c r="AJ2059" s="293" t="s">
        <v>1625</v>
      </c>
      <c r="AK2059" s="293" t="s">
        <v>2045</v>
      </c>
      <c r="AL2059" s="293" t="s">
        <v>2045</v>
      </c>
      <c r="AM2059" s="293" t="s">
        <v>178</v>
      </c>
      <c r="AN2059" s="293" t="s">
        <v>2049</v>
      </c>
      <c r="AO2059" s="293" t="s">
        <v>2049</v>
      </c>
      <c r="AP2059" s="298" t="s">
        <v>178</v>
      </c>
      <c r="AQ2059" s="293" t="s">
        <v>2048</v>
      </c>
      <c r="AR2059" s="293" t="s">
        <v>2048</v>
      </c>
      <c r="AS2059" s="298" t="s">
        <v>178</v>
      </c>
      <c r="AT2059" s="278" t="s">
        <v>161</v>
      </c>
      <c r="AU2059" s="293">
        <v>4</v>
      </c>
      <c r="AV2059" s="293">
        <v>4</v>
      </c>
      <c r="AW2059" s="278" t="s">
        <v>142</v>
      </c>
      <c r="AX2059" s="293"/>
      <c r="BA2059" s="293"/>
      <c r="BB2059" s="293"/>
      <c r="BH2059" s="293"/>
      <c r="BI2059" s="293"/>
      <c r="BJ2059" s="293"/>
      <c r="BM2059" s="448"/>
      <c r="BN2059" s="448"/>
      <c r="BR2059" s="448">
        <v>23.9</v>
      </c>
      <c r="BS2059" s="448">
        <v>23.9</v>
      </c>
      <c r="BV2059" s="298" t="s">
        <v>2105</v>
      </c>
      <c r="BW2059" s="298">
        <v>1.95</v>
      </c>
      <c r="BX2059" s="298">
        <v>1.95</v>
      </c>
      <c r="CA2059" s="298" t="s">
        <v>570</v>
      </c>
      <c r="IO2059" s="293" t="s">
        <v>2094</v>
      </c>
      <c r="IP2059" s="278" t="s">
        <v>2119</v>
      </c>
      <c r="IQ2059" s="299"/>
    </row>
    <row r="2060" spans="1:251" s="298" customFormat="1" x14ac:dyDescent="0.25">
      <c r="A2060" s="294">
        <v>93</v>
      </c>
      <c r="B2060" s="293" t="s">
        <v>769</v>
      </c>
      <c r="C2060" s="293" t="s">
        <v>2128</v>
      </c>
      <c r="D2060" s="293">
        <v>2002</v>
      </c>
      <c r="E2060" s="293">
        <v>1995</v>
      </c>
      <c r="F2060" s="293" t="s">
        <v>1756</v>
      </c>
      <c r="G2060" s="293" t="s">
        <v>2042</v>
      </c>
      <c r="H2060" s="278" t="s">
        <v>2831</v>
      </c>
      <c r="I2060" s="293">
        <v>32.57</v>
      </c>
      <c r="J2060" s="293">
        <v>-83.91</v>
      </c>
      <c r="K2060" s="293">
        <v>16</v>
      </c>
      <c r="L2060" s="293">
        <v>18.100000000000001</v>
      </c>
      <c r="M2060" s="293"/>
      <c r="N2060" s="293">
        <v>1258</v>
      </c>
      <c r="O2060" s="293"/>
      <c r="P2060" s="293"/>
      <c r="Q2060" s="293">
        <v>2</v>
      </c>
      <c r="R2060" s="295" t="s">
        <v>1991</v>
      </c>
      <c r="T2060" s="295" t="s">
        <v>2111</v>
      </c>
      <c r="U2060" s="293" t="s">
        <v>1383</v>
      </c>
      <c r="V2060" s="296">
        <v>20</v>
      </c>
      <c r="W2060" s="293" t="s">
        <v>1383</v>
      </c>
      <c r="X2060" s="293" t="s">
        <v>1383</v>
      </c>
      <c r="Y2060" s="297">
        <v>1.39</v>
      </c>
      <c r="Z2060" s="373">
        <v>65</v>
      </c>
      <c r="AA2060" s="373">
        <v>25</v>
      </c>
      <c r="AB2060" s="293" t="s">
        <v>241</v>
      </c>
      <c r="AC2060" s="293">
        <v>6.5</v>
      </c>
      <c r="AD2060" s="293">
        <f t="shared" si="282"/>
        <v>0.85971223021582732</v>
      </c>
      <c r="AE2060" s="293"/>
      <c r="AF2060" s="293" t="s">
        <v>2046</v>
      </c>
      <c r="AG2060" s="293" t="s">
        <v>2043</v>
      </c>
      <c r="AH2060" s="293" t="s">
        <v>578</v>
      </c>
      <c r="AI2060" s="293" t="s">
        <v>2045</v>
      </c>
      <c r="AJ2060" s="293" t="s">
        <v>1625</v>
      </c>
      <c r="AK2060" s="293" t="s">
        <v>2045</v>
      </c>
      <c r="AL2060" s="293" t="s">
        <v>2045</v>
      </c>
      <c r="AM2060" s="293" t="s">
        <v>178</v>
      </c>
      <c r="AN2060" s="293" t="s">
        <v>2049</v>
      </c>
      <c r="AO2060" s="293" t="s">
        <v>2049</v>
      </c>
      <c r="AP2060" s="298" t="s">
        <v>178</v>
      </c>
      <c r="AQ2060" s="293" t="s">
        <v>2048</v>
      </c>
      <c r="AR2060" s="293" t="s">
        <v>2048</v>
      </c>
      <c r="AS2060" s="298" t="s">
        <v>178</v>
      </c>
      <c r="AT2060" s="278" t="s">
        <v>161</v>
      </c>
      <c r="AU2060" s="293">
        <v>4</v>
      </c>
      <c r="AV2060" s="293">
        <v>4</v>
      </c>
      <c r="AW2060" s="278" t="s">
        <v>142</v>
      </c>
      <c r="AX2060" s="293"/>
      <c r="AY2060" s="293"/>
      <c r="AZ2060" s="293"/>
      <c r="BA2060" s="293"/>
      <c r="BB2060" s="293"/>
      <c r="BH2060" s="293"/>
      <c r="BI2060" s="293"/>
      <c r="BJ2060" s="293"/>
      <c r="BM2060" s="448"/>
      <c r="BN2060" s="448"/>
      <c r="BR2060" s="448">
        <v>23.2</v>
      </c>
      <c r="BS2060" s="448">
        <v>21.3</v>
      </c>
      <c r="BV2060" s="298" t="s">
        <v>2105</v>
      </c>
      <c r="BW2060" s="298">
        <v>1.63</v>
      </c>
      <c r="BX2060" s="298">
        <v>1.69</v>
      </c>
      <c r="CA2060" s="298" t="s">
        <v>570</v>
      </c>
      <c r="IO2060" s="293" t="s">
        <v>2094</v>
      </c>
      <c r="IP2060" s="278" t="s">
        <v>2119</v>
      </c>
      <c r="IQ2060" s="299"/>
    </row>
    <row r="2061" spans="1:251" s="298" customFormat="1" x14ac:dyDescent="0.25">
      <c r="A2061" s="294">
        <v>93</v>
      </c>
      <c r="B2061" s="293" t="s">
        <v>769</v>
      </c>
      <c r="C2061" s="293" t="s">
        <v>2128</v>
      </c>
      <c r="D2061" s="293">
        <v>2002</v>
      </c>
      <c r="E2061" s="293">
        <v>1996</v>
      </c>
      <c r="F2061" s="293" t="s">
        <v>1756</v>
      </c>
      <c r="G2061" s="293" t="s">
        <v>2042</v>
      </c>
      <c r="H2061" s="278" t="s">
        <v>2831</v>
      </c>
      <c r="I2061" s="293">
        <v>32.57</v>
      </c>
      <c r="J2061" s="293">
        <v>-83.91</v>
      </c>
      <c r="K2061" s="293">
        <v>16</v>
      </c>
      <c r="L2061" s="293">
        <v>18.100000000000001</v>
      </c>
      <c r="M2061" s="293"/>
      <c r="N2061" s="293">
        <v>1258</v>
      </c>
      <c r="O2061" s="293"/>
      <c r="P2061" s="293"/>
      <c r="Q2061" s="293">
        <v>3</v>
      </c>
      <c r="R2061" s="295" t="s">
        <v>1991</v>
      </c>
      <c r="T2061" s="295" t="s">
        <v>2111</v>
      </c>
      <c r="U2061" s="293" t="s">
        <v>1383</v>
      </c>
      <c r="V2061" s="296">
        <v>20</v>
      </c>
      <c r="W2061" s="293" t="s">
        <v>1383</v>
      </c>
      <c r="X2061" s="293" t="s">
        <v>1383</v>
      </c>
      <c r="Y2061" s="297">
        <v>1.39</v>
      </c>
      <c r="Z2061" s="373">
        <v>65</v>
      </c>
      <c r="AA2061" s="373">
        <v>25</v>
      </c>
      <c r="AB2061" s="293" t="s">
        <v>241</v>
      </c>
      <c r="AC2061" s="293">
        <v>6.5</v>
      </c>
      <c r="AD2061" s="293">
        <f t="shared" si="282"/>
        <v>0.85971223021582732</v>
      </c>
      <c r="AE2061" s="293"/>
      <c r="AF2061" s="293" t="s">
        <v>2046</v>
      </c>
      <c r="AG2061" s="293" t="s">
        <v>2043</v>
      </c>
      <c r="AH2061" s="293" t="s">
        <v>578</v>
      </c>
      <c r="AI2061" s="293" t="s">
        <v>2045</v>
      </c>
      <c r="AJ2061" s="293" t="s">
        <v>1625</v>
      </c>
      <c r="AK2061" s="293" t="s">
        <v>2045</v>
      </c>
      <c r="AL2061" s="293" t="s">
        <v>2045</v>
      </c>
      <c r="AM2061" s="293" t="s">
        <v>178</v>
      </c>
      <c r="AN2061" s="293" t="s">
        <v>2049</v>
      </c>
      <c r="AO2061" s="293" t="s">
        <v>2049</v>
      </c>
      <c r="AP2061" s="298" t="s">
        <v>178</v>
      </c>
      <c r="AQ2061" s="293" t="s">
        <v>2048</v>
      </c>
      <c r="AR2061" s="293" t="s">
        <v>2048</v>
      </c>
      <c r="AS2061" s="298" t="s">
        <v>178</v>
      </c>
      <c r="AT2061" s="278" t="s">
        <v>161</v>
      </c>
      <c r="AU2061" s="293">
        <v>4</v>
      </c>
      <c r="AV2061" s="293">
        <v>4</v>
      </c>
      <c r="AW2061" s="278" t="s">
        <v>142</v>
      </c>
      <c r="AX2061" s="293"/>
      <c r="BA2061" s="293"/>
      <c r="BB2061" s="293"/>
      <c r="BH2061" s="293"/>
      <c r="BI2061" s="293"/>
      <c r="BJ2061" s="293"/>
      <c r="BM2061" s="448"/>
      <c r="BN2061" s="448"/>
      <c r="BR2061" s="448">
        <v>22.7</v>
      </c>
      <c r="BS2061" s="448">
        <v>23.3</v>
      </c>
      <c r="BV2061" s="298" t="s">
        <v>2105</v>
      </c>
      <c r="BW2061" s="298">
        <v>2.06</v>
      </c>
      <c r="BX2061" s="298">
        <v>1.88</v>
      </c>
      <c r="CA2061" s="298" t="s">
        <v>570</v>
      </c>
      <c r="IO2061" s="293" t="s">
        <v>2094</v>
      </c>
      <c r="IP2061" s="278" t="s">
        <v>2119</v>
      </c>
      <c r="IQ2061" s="299"/>
    </row>
    <row r="2062" spans="1:251" s="298" customFormat="1" x14ac:dyDescent="0.25">
      <c r="A2062" s="294">
        <v>93</v>
      </c>
      <c r="B2062" s="293" t="s">
        <v>769</v>
      </c>
      <c r="C2062" s="293" t="s">
        <v>2128</v>
      </c>
      <c r="D2062" s="293">
        <v>2002</v>
      </c>
      <c r="E2062" s="293">
        <v>1997</v>
      </c>
      <c r="F2062" s="293" t="s">
        <v>1756</v>
      </c>
      <c r="G2062" s="293" t="s">
        <v>2042</v>
      </c>
      <c r="H2062" s="278" t="s">
        <v>2831</v>
      </c>
      <c r="I2062" s="293">
        <v>32.57</v>
      </c>
      <c r="J2062" s="293">
        <v>-83.91</v>
      </c>
      <c r="K2062" s="293">
        <v>16</v>
      </c>
      <c r="L2062" s="293">
        <v>18.100000000000001</v>
      </c>
      <c r="M2062" s="293"/>
      <c r="N2062" s="293">
        <v>1258</v>
      </c>
      <c r="O2062" s="293"/>
      <c r="P2062" s="293"/>
      <c r="Q2062" s="293">
        <v>4</v>
      </c>
      <c r="R2062" s="295" t="s">
        <v>1991</v>
      </c>
      <c r="T2062" s="295" t="s">
        <v>2111</v>
      </c>
      <c r="U2062" s="293" t="s">
        <v>1383</v>
      </c>
      <c r="V2062" s="296">
        <v>20</v>
      </c>
      <c r="W2062" s="293" t="s">
        <v>1383</v>
      </c>
      <c r="X2062" s="293" t="s">
        <v>1383</v>
      </c>
      <c r="Y2062" s="297">
        <v>1.39</v>
      </c>
      <c r="Z2062" s="373">
        <v>65</v>
      </c>
      <c r="AA2062" s="373">
        <v>25</v>
      </c>
      <c r="AB2062" s="293" t="s">
        <v>241</v>
      </c>
      <c r="AC2062" s="293">
        <v>6.5</v>
      </c>
      <c r="AD2062" s="293">
        <f t="shared" si="282"/>
        <v>0.85971223021582732</v>
      </c>
      <c r="AE2062" s="293"/>
      <c r="AF2062" s="293" t="s">
        <v>2046</v>
      </c>
      <c r="AG2062" s="293" t="s">
        <v>2043</v>
      </c>
      <c r="AH2062" s="293" t="s">
        <v>578</v>
      </c>
      <c r="AI2062" s="293" t="s">
        <v>2045</v>
      </c>
      <c r="AJ2062" s="293" t="s">
        <v>1625</v>
      </c>
      <c r="AK2062" s="293" t="s">
        <v>2045</v>
      </c>
      <c r="AL2062" s="293" t="s">
        <v>2045</v>
      </c>
      <c r="AM2062" s="293" t="s">
        <v>178</v>
      </c>
      <c r="AN2062" s="293" t="s">
        <v>2049</v>
      </c>
      <c r="AO2062" s="293" t="s">
        <v>2049</v>
      </c>
      <c r="AP2062" s="298" t="s">
        <v>178</v>
      </c>
      <c r="AQ2062" s="293" t="s">
        <v>2048</v>
      </c>
      <c r="AR2062" s="293" t="s">
        <v>2048</v>
      </c>
      <c r="AS2062" s="298" t="s">
        <v>178</v>
      </c>
      <c r="AT2062" s="278" t="s">
        <v>161</v>
      </c>
      <c r="AU2062" s="293">
        <v>4</v>
      </c>
      <c r="AV2062" s="293">
        <v>4</v>
      </c>
      <c r="AW2062" s="278" t="s">
        <v>142</v>
      </c>
      <c r="AX2062" s="293"/>
      <c r="AY2062" s="293"/>
      <c r="AZ2062" s="293"/>
      <c r="BA2062" s="293"/>
      <c r="BB2062" s="293"/>
      <c r="BH2062" s="293"/>
      <c r="BI2062" s="293"/>
      <c r="BJ2062" s="293"/>
      <c r="BM2062" s="448"/>
      <c r="BN2062" s="448"/>
      <c r="BR2062" s="448">
        <v>21.4</v>
      </c>
      <c r="BS2062" s="448">
        <v>23.1</v>
      </c>
      <c r="BV2062" s="298" t="s">
        <v>2105</v>
      </c>
      <c r="BW2062" s="298">
        <v>1.78</v>
      </c>
      <c r="BX2062" s="298">
        <v>1.99</v>
      </c>
      <c r="CA2062" s="298" t="s">
        <v>570</v>
      </c>
      <c r="IO2062" s="293" t="s">
        <v>2094</v>
      </c>
      <c r="IP2062" s="278" t="s">
        <v>2119</v>
      </c>
      <c r="IQ2062" s="299"/>
    </row>
    <row r="2063" spans="1:251" s="298" customFormat="1" x14ac:dyDescent="0.25">
      <c r="A2063" s="294">
        <v>93</v>
      </c>
      <c r="B2063" s="293" t="s">
        <v>769</v>
      </c>
      <c r="C2063" s="293" t="s">
        <v>2128</v>
      </c>
      <c r="D2063" s="293">
        <v>2002</v>
      </c>
      <c r="E2063" s="293">
        <v>1998</v>
      </c>
      <c r="F2063" s="293" t="s">
        <v>1756</v>
      </c>
      <c r="G2063" s="293" t="s">
        <v>2042</v>
      </c>
      <c r="H2063" s="278" t="s">
        <v>2831</v>
      </c>
      <c r="I2063" s="293">
        <v>32.57</v>
      </c>
      <c r="J2063" s="293">
        <v>-83.91</v>
      </c>
      <c r="K2063" s="293">
        <v>16</v>
      </c>
      <c r="L2063" s="293">
        <v>18.100000000000001</v>
      </c>
      <c r="M2063" s="293"/>
      <c r="N2063" s="293">
        <v>1258</v>
      </c>
      <c r="O2063" s="293"/>
      <c r="P2063" s="293"/>
      <c r="Q2063" s="293">
        <v>5</v>
      </c>
      <c r="R2063" s="295" t="s">
        <v>1991</v>
      </c>
      <c r="T2063" s="295" t="s">
        <v>2111</v>
      </c>
      <c r="U2063" s="293" t="s">
        <v>1383</v>
      </c>
      <c r="V2063" s="296">
        <v>20</v>
      </c>
      <c r="W2063" s="293" t="s">
        <v>1383</v>
      </c>
      <c r="X2063" s="293" t="s">
        <v>1383</v>
      </c>
      <c r="Y2063" s="297">
        <v>1.39</v>
      </c>
      <c r="Z2063" s="373">
        <v>65</v>
      </c>
      <c r="AA2063" s="373">
        <v>25</v>
      </c>
      <c r="AB2063" s="293" t="s">
        <v>241</v>
      </c>
      <c r="AC2063" s="293">
        <v>6.5</v>
      </c>
      <c r="AD2063" s="293">
        <f t="shared" si="282"/>
        <v>0.85971223021582732</v>
      </c>
      <c r="AE2063" s="293"/>
      <c r="AF2063" s="293" t="s">
        <v>2046</v>
      </c>
      <c r="AG2063" s="293" t="s">
        <v>2043</v>
      </c>
      <c r="AH2063" s="293" t="s">
        <v>578</v>
      </c>
      <c r="AI2063" s="293" t="s">
        <v>2045</v>
      </c>
      <c r="AJ2063" s="293" t="s">
        <v>1625</v>
      </c>
      <c r="AK2063" s="293" t="s">
        <v>2045</v>
      </c>
      <c r="AL2063" s="293" t="s">
        <v>2045</v>
      </c>
      <c r="AM2063" s="293" t="s">
        <v>178</v>
      </c>
      <c r="AN2063" s="293" t="s">
        <v>2049</v>
      </c>
      <c r="AO2063" s="293" t="s">
        <v>2049</v>
      </c>
      <c r="AP2063" s="298" t="s">
        <v>178</v>
      </c>
      <c r="AQ2063" s="293" t="s">
        <v>2048</v>
      </c>
      <c r="AR2063" s="293" t="s">
        <v>2048</v>
      </c>
      <c r="AS2063" s="298" t="s">
        <v>178</v>
      </c>
      <c r="AT2063" s="278" t="s">
        <v>161</v>
      </c>
      <c r="AU2063" s="293">
        <v>4</v>
      </c>
      <c r="AV2063" s="293">
        <v>4</v>
      </c>
      <c r="AW2063" s="278" t="s">
        <v>142</v>
      </c>
      <c r="AX2063" s="293"/>
      <c r="AY2063" s="293"/>
      <c r="AZ2063" s="293"/>
      <c r="BA2063" s="293"/>
      <c r="BB2063" s="293"/>
      <c r="BH2063" s="293"/>
      <c r="BI2063" s="293"/>
      <c r="BJ2063" s="293"/>
      <c r="BM2063" s="448"/>
      <c r="BN2063" s="448"/>
      <c r="BR2063" s="448">
        <v>21.6</v>
      </c>
      <c r="BS2063" s="448">
        <v>20.7</v>
      </c>
      <c r="BV2063" s="298" t="s">
        <v>2105</v>
      </c>
      <c r="BW2063" s="298">
        <v>1.71</v>
      </c>
      <c r="BX2063" s="298">
        <v>1.5</v>
      </c>
      <c r="CA2063" s="298" t="s">
        <v>570</v>
      </c>
      <c r="IO2063" s="293" t="s">
        <v>2094</v>
      </c>
      <c r="IP2063" s="278" t="s">
        <v>2119</v>
      </c>
      <c r="IQ2063" s="299"/>
    </row>
    <row r="2064" spans="1:251" s="298" customFormat="1" x14ac:dyDescent="0.25">
      <c r="A2064" s="294">
        <v>93</v>
      </c>
      <c r="B2064" s="293" t="s">
        <v>769</v>
      </c>
      <c r="C2064" s="293" t="s">
        <v>2128</v>
      </c>
      <c r="D2064" s="293">
        <v>2002</v>
      </c>
      <c r="E2064" s="293">
        <v>1999</v>
      </c>
      <c r="F2064" s="293" t="s">
        <v>1756</v>
      </c>
      <c r="G2064" s="293" t="s">
        <v>2042</v>
      </c>
      <c r="H2064" s="278" t="s">
        <v>2831</v>
      </c>
      <c r="I2064" s="293">
        <v>32.57</v>
      </c>
      <c r="J2064" s="293">
        <v>-83.91</v>
      </c>
      <c r="K2064" s="293">
        <v>16</v>
      </c>
      <c r="L2064" s="293">
        <v>18.100000000000001</v>
      </c>
      <c r="M2064" s="293"/>
      <c r="N2064" s="293">
        <v>1258</v>
      </c>
      <c r="O2064" s="293"/>
      <c r="P2064" s="293"/>
      <c r="Q2064" s="293">
        <v>6</v>
      </c>
      <c r="R2064" s="295" t="s">
        <v>1991</v>
      </c>
      <c r="T2064" s="295" t="s">
        <v>2111</v>
      </c>
      <c r="U2064" s="293" t="s">
        <v>1383</v>
      </c>
      <c r="V2064" s="296">
        <v>20</v>
      </c>
      <c r="W2064" s="293" t="s">
        <v>1383</v>
      </c>
      <c r="X2064" s="293" t="s">
        <v>1383</v>
      </c>
      <c r="Y2064" s="297">
        <v>1.39</v>
      </c>
      <c r="Z2064" s="373">
        <v>65</v>
      </c>
      <c r="AA2064" s="373">
        <v>25</v>
      </c>
      <c r="AB2064" s="293" t="s">
        <v>241</v>
      </c>
      <c r="AC2064" s="293">
        <v>6.5</v>
      </c>
      <c r="AD2064" s="293">
        <f t="shared" si="282"/>
        <v>0.85971223021582732</v>
      </c>
      <c r="AE2064" s="293"/>
      <c r="AF2064" s="293" t="s">
        <v>2046</v>
      </c>
      <c r="AG2064" s="293" t="s">
        <v>2043</v>
      </c>
      <c r="AH2064" s="293" t="s">
        <v>578</v>
      </c>
      <c r="AI2064" s="293" t="s">
        <v>2116</v>
      </c>
      <c r="AJ2064" s="293" t="s">
        <v>1625</v>
      </c>
      <c r="AK2064" s="293" t="s">
        <v>2045</v>
      </c>
      <c r="AL2064" s="293" t="s">
        <v>2045</v>
      </c>
      <c r="AM2064" s="293" t="s">
        <v>178</v>
      </c>
      <c r="AN2064" s="293" t="s">
        <v>2049</v>
      </c>
      <c r="AO2064" s="293" t="s">
        <v>2049</v>
      </c>
      <c r="AP2064" s="298" t="s">
        <v>178</v>
      </c>
      <c r="AQ2064" s="293" t="s">
        <v>2048</v>
      </c>
      <c r="AR2064" s="293" t="s">
        <v>2048</v>
      </c>
      <c r="AS2064" s="298" t="s">
        <v>178</v>
      </c>
      <c r="AT2064" s="278" t="s">
        <v>161</v>
      </c>
      <c r="AU2064" s="293">
        <v>4</v>
      </c>
      <c r="AV2064" s="293">
        <v>4</v>
      </c>
      <c r="AW2064" s="278" t="s">
        <v>142</v>
      </c>
      <c r="AX2064" s="293"/>
      <c r="AY2064" s="293"/>
      <c r="AZ2064" s="293"/>
      <c r="BA2064" s="293"/>
      <c r="BB2064" s="293"/>
      <c r="BH2064" s="293"/>
      <c r="BI2064" s="293"/>
      <c r="BJ2064" s="293"/>
      <c r="BM2064" s="448"/>
      <c r="BN2064" s="448"/>
      <c r="BR2064" s="448">
        <v>20.100000000000001</v>
      </c>
      <c r="BS2064" s="448">
        <v>20.100000000000001</v>
      </c>
      <c r="BV2064" s="298" t="s">
        <v>2105</v>
      </c>
      <c r="BW2064" s="298">
        <v>1.43</v>
      </c>
      <c r="BX2064" s="298">
        <v>1.51</v>
      </c>
      <c r="CA2064" s="298" t="s">
        <v>570</v>
      </c>
      <c r="IO2064" s="293" t="s">
        <v>2094</v>
      </c>
      <c r="IP2064" s="278" t="s">
        <v>2119</v>
      </c>
      <c r="IQ2064" s="299"/>
    </row>
    <row r="2065" spans="1:251" s="284" customFormat="1" x14ac:dyDescent="0.25">
      <c r="A2065" s="277">
        <v>93</v>
      </c>
      <c r="B2065" s="278" t="s">
        <v>769</v>
      </c>
      <c r="C2065" s="293" t="s">
        <v>2128</v>
      </c>
      <c r="D2065" s="278">
        <v>2002</v>
      </c>
      <c r="E2065" s="278">
        <v>1994</v>
      </c>
      <c r="F2065" s="278" t="s">
        <v>1756</v>
      </c>
      <c r="G2065" s="278" t="s">
        <v>2042</v>
      </c>
      <c r="H2065" s="278" t="s">
        <v>2831</v>
      </c>
      <c r="I2065" s="278">
        <v>32.57</v>
      </c>
      <c r="J2065" s="278">
        <v>-83.91</v>
      </c>
      <c r="K2065" s="278">
        <v>16</v>
      </c>
      <c r="L2065" s="278">
        <v>18.100000000000001</v>
      </c>
      <c r="M2065" s="278"/>
      <c r="N2065" s="278">
        <v>1258</v>
      </c>
      <c r="O2065" s="278"/>
      <c r="P2065" s="278"/>
      <c r="Q2065" s="278">
        <v>1</v>
      </c>
      <c r="R2065" s="280" t="s">
        <v>1991</v>
      </c>
      <c r="T2065" s="280" t="s">
        <v>2111</v>
      </c>
      <c r="U2065" s="278" t="s">
        <v>1383</v>
      </c>
      <c r="V2065" s="281">
        <v>20</v>
      </c>
      <c r="W2065" s="278" t="s">
        <v>1383</v>
      </c>
      <c r="X2065" s="278" t="s">
        <v>1383</v>
      </c>
      <c r="Y2065" s="282">
        <v>1.39</v>
      </c>
      <c r="Z2065" s="370">
        <v>65</v>
      </c>
      <c r="AA2065" s="370">
        <v>25</v>
      </c>
      <c r="AB2065" s="278" t="s">
        <v>241</v>
      </c>
      <c r="AC2065" s="278">
        <v>6.5</v>
      </c>
      <c r="AD2065" s="278">
        <f t="shared" ref="AD2065:AD2082" si="283">23.9/(100*100*Y2065*0.2)*100</f>
        <v>0.85971223021582732</v>
      </c>
      <c r="AE2065" s="278"/>
      <c r="AF2065" s="278" t="s">
        <v>2046</v>
      </c>
      <c r="AG2065" s="278" t="s">
        <v>2043</v>
      </c>
      <c r="AH2065" s="278" t="s">
        <v>578</v>
      </c>
      <c r="AI2065" s="278" t="s">
        <v>2045</v>
      </c>
      <c r="AJ2065" s="278" t="s">
        <v>1625</v>
      </c>
      <c r="AK2065" s="278" t="s">
        <v>2045</v>
      </c>
      <c r="AL2065" s="278" t="s">
        <v>2045</v>
      </c>
      <c r="AM2065" s="278" t="s">
        <v>178</v>
      </c>
      <c r="AN2065" s="278" t="s">
        <v>2049</v>
      </c>
      <c r="AO2065" s="278" t="s">
        <v>2049</v>
      </c>
      <c r="AP2065" s="298" t="s">
        <v>178</v>
      </c>
      <c r="AQ2065" s="278" t="s">
        <v>2047</v>
      </c>
      <c r="AR2065" s="278" t="s">
        <v>2047</v>
      </c>
      <c r="AS2065" s="298" t="s">
        <v>178</v>
      </c>
      <c r="AT2065" s="278" t="s">
        <v>161</v>
      </c>
      <c r="AU2065" s="278">
        <v>4</v>
      </c>
      <c r="AV2065" s="278">
        <v>4</v>
      </c>
      <c r="AW2065" s="278" t="s">
        <v>142</v>
      </c>
      <c r="AX2065" s="278"/>
      <c r="BA2065" s="278"/>
      <c r="BB2065" s="278"/>
      <c r="BH2065" s="278"/>
      <c r="BI2065" s="278"/>
      <c r="BJ2065" s="278"/>
      <c r="BM2065" s="446"/>
      <c r="BN2065" s="446"/>
      <c r="BR2065" s="446">
        <v>23.9</v>
      </c>
      <c r="BS2065" s="446">
        <v>23.9</v>
      </c>
      <c r="BV2065" s="284" t="s">
        <v>2105</v>
      </c>
      <c r="BW2065" s="284">
        <v>1.95</v>
      </c>
      <c r="BX2065" s="284">
        <v>1.95</v>
      </c>
      <c r="CA2065" s="284" t="s">
        <v>570</v>
      </c>
      <c r="IO2065" s="278" t="s">
        <v>2094</v>
      </c>
      <c r="IP2065" s="278" t="s">
        <v>2119</v>
      </c>
      <c r="IQ2065" s="285"/>
    </row>
    <row r="2066" spans="1:251" s="284" customFormat="1" x14ac:dyDescent="0.25">
      <c r="A2066" s="277">
        <v>93</v>
      </c>
      <c r="B2066" s="278" t="s">
        <v>769</v>
      </c>
      <c r="C2066" s="293" t="s">
        <v>2128</v>
      </c>
      <c r="D2066" s="278">
        <v>2002</v>
      </c>
      <c r="E2066" s="278">
        <v>1995</v>
      </c>
      <c r="F2066" s="278" t="s">
        <v>1756</v>
      </c>
      <c r="G2066" s="278" t="s">
        <v>2042</v>
      </c>
      <c r="H2066" s="278" t="s">
        <v>2831</v>
      </c>
      <c r="I2066" s="278">
        <v>32.57</v>
      </c>
      <c r="J2066" s="278">
        <v>-83.91</v>
      </c>
      <c r="K2066" s="278">
        <v>16</v>
      </c>
      <c r="L2066" s="278">
        <v>18.100000000000001</v>
      </c>
      <c r="M2066" s="278"/>
      <c r="N2066" s="278">
        <v>1258</v>
      </c>
      <c r="O2066" s="278"/>
      <c r="P2066" s="278"/>
      <c r="Q2066" s="278">
        <v>2</v>
      </c>
      <c r="R2066" s="280" t="s">
        <v>1991</v>
      </c>
      <c r="T2066" s="280" t="s">
        <v>2111</v>
      </c>
      <c r="U2066" s="278" t="s">
        <v>1383</v>
      </c>
      <c r="V2066" s="281">
        <v>20</v>
      </c>
      <c r="W2066" s="278" t="s">
        <v>1383</v>
      </c>
      <c r="X2066" s="278" t="s">
        <v>1383</v>
      </c>
      <c r="Y2066" s="282">
        <v>1.39</v>
      </c>
      <c r="Z2066" s="370">
        <v>65</v>
      </c>
      <c r="AA2066" s="370">
        <v>25</v>
      </c>
      <c r="AB2066" s="278" t="s">
        <v>241</v>
      </c>
      <c r="AC2066" s="278">
        <v>6.5</v>
      </c>
      <c r="AD2066" s="278">
        <f t="shared" si="283"/>
        <v>0.85971223021582732</v>
      </c>
      <c r="AE2066" s="278"/>
      <c r="AF2066" s="278" t="s">
        <v>2046</v>
      </c>
      <c r="AG2066" s="278" t="s">
        <v>2043</v>
      </c>
      <c r="AH2066" s="278" t="s">
        <v>578</v>
      </c>
      <c r="AI2066" s="278" t="s">
        <v>2045</v>
      </c>
      <c r="AJ2066" s="278" t="s">
        <v>1625</v>
      </c>
      <c r="AK2066" s="278" t="s">
        <v>2045</v>
      </c>
      <c r="AL2066" s="278" t="s">
        <v>2045</v>
      </c>
      <c r="AM2066" s="278" t="s">
        <v>178</v>
      </c>
      <c r="AN2066" s="278" t="s">
        <v>2049</v>
      </c>
      <c r="AO2066" s="278" t="s">
        <v>2049</v>
      </c>
      <c r="AP2066" s="298" t="s">
        <v>178</v>
      </c>
      <c r="AQ2066" s="278" t="s">
        <v>2047</v>
      </c>
      <c r="AR2066" s="278" t="s">
        <v>2047</v>
      </c>
      <c r="AS2066" s="298" t="s">
        <v>178</v>
      </c>
      <c r="AT2066" s="278" t="s">
        <v>161</v>
      </c>
      <c r="AU2066" s="278">
        <v>4</v>
      </c>
      <c r="AV2066" s="278">
        <v>4</v>
      </c>
      <c r="AW2066" s="278" t="s">
        <v>142</v>
      </c>
      <c r="AX2066" s="278"/>
      <c r="AY2066" s="278"/>
      <c r="AZ2066" s="278"/>
      <c r="BA2066" s="278"/>
      <c r="BB2066" s="278"/>
      <c r="BH2066" s="278"/>
      <c r="BI2066" s="278"/>
      <c r="BJ2066" s="278"/>
      <c r="BM2066" s="446"/>
      <c r="BN2066" s="446"/>
      <c r="BR2066" s="446">
        <v>21.5</v>
      </c>
      <c r="BS2066" s="446">
        <v>22.1</v>
      </c>
      <c r="BV2066" s="284" t="s">
        <v>2105</v>
      </c>
      <c r="BW2066" s="284">
        <v>2.0299999999999998</v>
      </c>
      <c r="BX2066" s="284">
        <v>1.88</v>
      </c>
      <c r="CA2066" s="284" t="s">
        <v>570</v>
      </c>
      <c r="IO2066" s="278" t="s">
        <v>2094</v>
      </c>
      <c r="IP2066" s="278" t="s">
        <v>2119</v>
      </c>
      <c r="IQ2066" s="285"/>
    </row>
    <row r="2067" spans="1:251" s="284" customFormat="1" x14ac:dyDescent="0.25">
      <c r="A2067" s="277">
        <v>93</v>
      </c>
      <c r="B2067" s="278" t="s">
        <v>769</v>
      </c>
      <c r="C2067" s="293" t="s">
        <v>2128</v>
      </c>
      <c r="D2067" s="278">
        <v>2002</v>
      </c>
      <c r="E2067" s="278">
        <v>1996</v>
      </c>
      <c r="F2067" s="278" t="s">
        <v>1756</v>
      </c>
      <c r="G2067" s="278" t="s">
        <v>2042</v>
      </c>
      <c r="H2067" s="278" t="s">
        <v>2831</v>
      </c>
      <c r="I2067" s="278">
        <v>32.57</v>
      </c>
      <c r="J2067" s="278">
        <v>-83.91</v>
      </c>
      <c r="K2067" s="278">
        <v>16</v>
      </c>
      <c r="L2067" s="278">
        <v>18.100000000000001</v>
      </c>
      <c r="M2067" s="278"/>
      <c r="N2067" s="278">
        <v>1258</v>
      </c>
      <c r="O2067" s="278"/>
      <c r="P2067" s="278"/>
      <c r="Q2067" s="278">
        <v>3</v>
      </c>
      <c r="R2067" s="280" t="s">
        <v>1991</v>
      </c>
      <c r="T2067" s="280" t="s">
        <v>2111</v>
      </c>
      <c r="U2067" s="278" t="s">
        <v>1383</v>
      </c>
      <c r="V2067" s="281">
        <v>20</v>
      </c>
      <c r="W2067" s="278" t="s">
        <v>1383</v>
      </c>
      <c r="X2067" s="278" t="s">
        <v>1383</v>
      </c>
      <c r="Y2067" s="282">
        <v>1.39</v>
      </c>
      <c r="Z2067" s="370">
        <v>65</v>
      </c>
      <c r="AA2067" s="370">
        <v>25</v>
      </c>
      <c r="AB2067" s="278" t="s">
        <v>241</v>
      </c>
      <c r="AC2067" s="278">
        <v>6.5</v>
      </c>
      <c r="AD2067" s="278">
        <f t="shared" si="283"/>
        <v>0.85971223021582732</v>
      </c>
      <c r="AE2067" s="278"/>
      <c r="AF2067" s="278" t="s">
        <v>2046</v>
      </c>
      <c r="AG2067" s="278" t="s">
        <v>2043</v>
      </c>
      <c r="AH2067" s="278" t="s">
        <v>578</v>
      </c>
      <c r="AI2067" s="278" t="s">
        <v>2045</v>
      </c>
      <c r="AJ2067" s="278" t="s">
        <v>1625</v>
      </c>
      <c r="AK2067" s="278" t="s">
        <v>2045</v>
      </c>
      <c r="AL2067" s="278" t="s">
        <v>2045</v>
      </c>
      <c r="AM2067" s="278" t="s">
        <v>178</v>
      </c>
      <c r="AN2067" s="278" t="s">
        <v>2049</v>
      </c>
      <c r="AO2067" s="278" t="s">
        <v>2049</v>
      </c>
      <c r="AP2067" s="298" t="s">
        <v>178</v>
      </c>
      <c r="AQ2067" s="278" t="s">
        <v>2047</v>
      </c>
      <c r="AR2067" s="278" t="s">
        <v>2047</v>
      </c>
      <c r="AS2067" s="298" t="s">
        <v>178</v>
      </c>
      <c r="AT2067" s="278" t="s">
        <v>161</v>
      </c>
      <c r="AU2067" s="278">
        <v>4</v>
      </c>
      <c r="AV2067" s="278">
        <v>4</v>
      </c>
      <c r="AW2067" s="278" t="s">
        <v>142</v>
      </c>
      <c r="AX2067" s="278"/>
      <c r="BA2067" s="278"/>
      <c r="BB2067" s="278"/>
      <c r="BH2067" s="278"/>
      <c r="BI2067" s="278"/>
      <c r="BJ2067" s="278"/>
      <c r="BM2067" s="446"/>
      <c r="BN2067" s="446"/>
      <c r="BR2067" s="446">
        <v>20.2</v>
      </c>
      <c r="BS2067" s="446">
        <v>20.100000000000001</v>
      </c>
      <c r="BV2067" s="284" t="s">
        <v>2105</v>
      </c>
      <c r="BW2067" s="284">
        <v>2.04</v>
      </c>
      <c r="BX2067" s="284">
        <v>1.71</v>
      </c>
      <c r="CA2067" s="284" t="s">
        <v>570</v>
      </c>
      <c r="IO2067" s="278" t="s">
        <v>2094</v>
      </c>
      <c r="IP2067" s="278" t="s">
        <v>2119</v>
      </c>
      <c r="IQ2067" s="285"/>
    </row>
    <row r="2068" spans="1:251" s="284" customFormat="1" x14ac:dyDescent="0.25">
      <c r="A2068" s="277">
        <v>93</v>
      </c>
      <c r="B2068" s="278" t="s">
        <v>769</v>
      </c>
      <c r="C2068" s="293" t="s">
        <v>2128</v>
      </c>
      <c r="D2068" s="278">
        <v>2002</v>
      </c>
      <c r="E2068" s="278">
        <v>1997</v>
      </c>
      <c r="F2068" s="278" t="s">
        <v>1756</v>
      </c>
      <c r="G2068" s="278" t="s">
        <v>2042</v>
      </c>
      <c r="H2068" s="278" t="s">
        <v>2831</v>
      </c>
      <c r="I2068" s="278">
        <v>32.57</v>
      </c>
      <c r="J2068" s="278">
        <v>-83.91</v>
      </c>
      <c r="K2068" s="278">
        <v>16</v>
      </c>
      <c r="L2068" s="278">
        <v>18.100000000000001</v>
      </c>
      <c r="M2068" s="278"/>
      <c r="N2068" s="278">
        <v>1258</v>
      </c>
      <c r="O2068" s="278"/>
      <c r="P2068" s="278"/>
      <c r="Q2068" s="278">
        <v>4</v>
      </c>
      <c r="R2068" s="280" t="s">
        <v>1991</v>
      </c>
      <c r="T2068" s="280" t="s">
        <v>2111</v>
      </c>
      <c r="U2068" s="278" t="s">
        <v>1383</v>
      </c>
      <c r="V2068" s="281">
        <v>20</v>
      </c>
      <c r="W2068" s="278" t="s">
        <v>1383</v>
      </c>
      <c r="X2068" s="278" t="s">
        <v>1383</v>
      </c>
      <c r="Y2068" s="282">
        <v>1.39</v>
      </c>
      <c r="Z2068" s="370">
        <v>65</v>
      </c>
      <c r="AA2068" s="370">
        <v>25</v>
      </c>
      <c r="AB2068" s="278" t="s">
        <v>241</v>
      </c>
      <c r="AC2068" s="278">
        <v>6.5</v>
      </c>
      <c r="AD2068" s="278">
        <f t="shared" si="283"/>
        <v>0.85971223021582732</v>
      </c>
      <c r="AE2068" s="278"/>
      <c r="AF2068" s="278" t="s">
        <v>2046</v>
      </c>
      <c r="AG2068" s="278" t="s">
        <v>2043</v>
      </c>
      <c r="AH2068" s="278" t="s">
        <v>578</v>
      </c>
      <c r="AI2068" s="278" t="s">
        <v>2045</v>
      </c>
      <c r="AJ2068" s="278" t="s">
        <v>1625</v>
      </c>
      <c r="AK2068" s="278" t="s">
        <v>2045</v>
      </c>
      <c r="AL2068" s="278" t="s">
        <v>2045</v>
      </c>
      <c r="AM2068" s="278" t="s">
        <v>178</v>
      </c>
      <c r="AN2068" s="278" t="s">
        <v>2049</v>
      </c>
      <c r="AO2068" s="278" t="s">
        <v>2049</v>
      </c>
      <c r="AP2068" s="298" t="s">
        <v>178</v>
      </c>
      <c r="AQ2068" s="278" t="s">
        <v>2047</v>
      </c>
      <c r="AR2068" s="278" t="s">
        <v>2047</v>
      </c>
      <c r="AS2068" s="298" t="s">
        <v>178</v>
      </c>
      <c r="AT2068" s="278" t="s">
        <v>161</v>
      </c>
      <c r="AU2068" s="278">
        <v>4</v>
      </c>
      <c r="AV2068" s="278">
        <v>4</v>
      </c>
      <c r="AW2068" s="278" t="s">
        <v>142</v>
      </c>
      <c r="AX2068" s="278"/>
      <c r="AY2068" s="278"/>
      <c r="AZ2068" s="278"/>
      <c r="BA2068" s="278"/>
      <c r="BB2068" s="278"/>
      <c r="BH2068" s="278"/>
      <c r="BI2068" s="278"/>
      <c r="BJ2068" s="278"/>
      <c r="BM2068" s="446"/>
      <c r="BN2068" s="446"/>
      <c r="BR2068" s="446">
        <v>22</v>
      </c>
      <c r="BS2068" s="446">
        <v>23.7</v>
      </c>
      <c r="BV2068" s="284" t="s">
        <v>2105</v>
      </c>
      <c r="BW2068" s="284">
        <v>1.78</v>
      </c>
      <c r="BX2068" s="284">
        <v>2.0299999999999998</v>
      </c>
      <c r="CA2068" s="284" t="s">
        <v>570</v>
      </c>
      <c r="IO2068" s="278" t="s">
        <v>2094</v>
      </c>
      <c r="IP2068" s="278" t="s">
        <v>2119</v>
      </c>
      <c r="IQ2068" s="285"/>
    </row>
    <row r="2069" spans="1:251" s="284" customFormat="1" x14ac:dyDescent="0.25">
      <c r="A2069" s="277">
        <v>93</v>
      </c>
      <c r="B2069" s="278" t="s">
        <v>769</v>
      </c>
      <c r="C2069" s="293" t="s">
        <v>2128</v>
      </c>
      <c r="D2069" s="278">
        <v>2002</v>
      </c>
      <c r="E2069" s="278">
        <v>1998</v>
      </c>
      <c r="F2069" s="278" t="s">
        <v>1756</v>
      </c>
      <c r="G2069" s="278" t="s">
        <v>2042</v>
      </c>
      <c r="H2069" s="278" t="s">
        <v>2831</v>
      </c>
      <c r="I2069" s="278">
        <v>32.57</v>
      </c>
      <c r="J2069" s="278">
        <v>-83.91</v>
      </c>
      <c r="K2069" s="278">
        <v>16</v>
      </c>
      <c r="L2069" s="278">
        <v>18.100000000000001</v>
      </c>
      <c r="M2069" s="278"/>
      <c r="N2069" s="278">
        <v>1258</v>
      </c>
      <c r="O2069" s="278"/>
      <c r="P2069" s="278"/>
      <c r="Q2069" s="278">
        <v>5</v>
      </c>
      <c r="R2069" s="280" t="s">
        <v>1991</v>
      </c>
      <c r="T2069" s="280" t="s">
        <v>2111</v>
      </c>
      <c r="U2069" s="278" t="s">
        <v>1383</v>
      </c>
      <c r="V2069" s="281">
        <v>20</v>
      </c>
      <c r="W2069" s="278" t="s">
        <v>1383</v>
      </c>
      <c r="X2069" s="278" t="s">
        <v>1383</v>
      </c>
      <c r="Y2069" s="282">
        <v>1.39</v>
      </c>
      <c r="Z2069" s="370">
        <v>65</v>
      </c>
      <c r="AA2069" s="370">
        <v>25</v>
      </c>
      <c r="AB2069" s="278" t="s">
        <v>241</v>
      </c>
      <c r="AC2069" s="278">
        <v>6.5</v>
      </c>
      <c r="AD2069" s="278">
        <f t="shared" si="283"/>
        <v>0.85971223021582732</v>
      </c>
      <c r="AE2069" s="278"/>
      <c r="AF2069" s="278" t="s">
        <v>2046</v>
      </c>
      <c r="AG2069" s="278" t="s">
        <v>2043</v>
      </c>
      <c r="AH2069" s="278" t="s">
        <v>578</v>
      </c>
      <c r="AI2069" s="278" t="s">
        <v>2045</v>
      </c>
      <c r="AJ2069" s="278" t="s">
        <v>1625</v>
      </c>
      <c r="AK2069" s="278" t="s">
        <v>2045</v>
      </c>
      <c r="AL2069" s="278" t="s">
        <v>2045</v>
      </c>
      <c r="AM2069" s="278" t="s">
        <v>178</v>
      </c>
      <c r="AN2069" s="278" t="s">
        <v>2049</v>
      </c>
      <c r="AO2069" s="278" t="s">
        <v>2049</v>
      </c>
      <c r="AP2069" s="298" t="s">
        <v>178</v>
      </c>
      <c r="AQ2069" s="278" t="s">
        <v>2047</v>
      </c>
      <c r="AR2069" s="278" t="s">
        <v>2047</v>
      </c>
      <c r="AS2069" s="298" t="s">
        <v>178</v>
      </c>
      <c r="AT2069" s="278" t="s">
        <v>161</v>
      </c>
      <c r="AU2069" s="278">
        <v>4</v>
      </c>
      <c r="AV2069" s="278">
        <v>4</v>
      </c>
      <c r="AW2069" s="278" t="s">
        <v>142</v>
      </c>
      <c r="AX2069" s="278"/>
      <c r="AY2069" s="278"/>
      <c r="AZ2069" s="278"/>
      <c r="BA2069" s="278"/>
      <c r="BB2069" s="278"/>
      <c r="BH2069" s="278"/>
      <c r="BI2069" s="278"/>
      <c r="BJ2069" s="278"/>
      <c r="BM2069" s="446"/>
      <c r="BN2069" s="446"/>
      <c r="BR2069" s="446">
        <v>22.6</v>
      </c>
      <c r="BS2069" s="446">
        <v>20.7</v>
      </c>
      <c r="BV2069" s="284" t="s">
        <v>2105</v>
      </c>
      <c r="BW2069" s="284">
        <v>1.69</v>
      </c>
      <c r="BX2069" s="284">
        <v>1.52</v>
      </c>
      <c r="CA2069" s="284" t="s">
        <v>570</v>
      </c>
      <c r="IO2069" s="278" t="s">
        <v>2094</v>
      </c>
      <c r="IP2069" s="278" t="s">
        <v>2119</v>
      </c>
      <c r="IQ2069" s="285"/>
    </row>
    <row r="2070" spans="1:251" s="284" customFormat="1" x14ac:dyDescent="0.25">
      <c r="A2070" s="277">
        <v>93</v>
      </c>
      <c r="B2070" s="278" t="s">
        <v>769</v>
      </c>
      <c r="C2070" s="293" t="s">
        <v>2128</v>
      </c>
      <c r="D2070" s="278">
        <v>2002</v>
      </c>
      <c r="E2070" s="278">
        <v>1999</v>
      </c>
      <c r="F2070" s="278" t="s">
        <v>1756</v>
      </c>
      <c r="G2070" s="278" t="s">
        <v>2042</v>
      </c>
      <c r="H2070" s="278" t="s">
        <v>2831</v>
      </c>
      <c r="I2070" s="278">
        <v>32.57</v>
      </c>
      <c r="J2070" s="278">
        <v>-83.91</v>
      </c>
      <c r="K2070" s="278">
        <v>16</v>
      </c>
      <c r="L2070" s="278">
        <v>18.100000000000001</v>
      </c>
      <c r="M2070" s="278"/>
      <c r="N2070" s="278">
        <v>1258</v>
      </c>
      <c r="O2070" s="278"/>
      <c r="P2070" s="278"/>
      <c r="Q2070" s="278">
        <v>6</v>
      </c>
      <c r="R2070" s="280" t="s">
        <v>1991</v>
      </c>
      <c r="T2070" s="280" t="s">
        <v>2111</v>
      </c>
      <c r="U2070" s="278" t="s">
        <v>1383</v>
      </c>
      <c r="V2070" s="281">
        <v>20</v>
      </c>
      <c r="W2070" s="278" t="s">
        <v>1383</v>
      </c>
      <c r="X2070" s="278" t="s">
        <v>1383</v>
      </c>
      <c r="Y2070" s="282">
        <v>1.39</v>
      </c>
      <c r="Z2070" s="370">
        <v>65</v>
      </c>
      <c r="AA2070" s="370">
        <v>25</v>
      </c>
      <c r="AB2070" s="278" t="s">
        <v>241</v>
      </c>
      <c r="AC2070" s="278">
        <v>6.5</v>
      </c>
      <c r="AD2070" s="278">
        <f t="shared" si="283"/>
        <v>0.85971223021582732</v>
      </c>
      <c r="AE2070" s="278"/>
      <c r="AF2070" s="278" t="s">
        <v>2046</v>
      </c>
      <c r="AG2070" s="278" t="s">
        <v>2043</v>
      </c>
      <c r="AH2070" s="278" t="s">
        <v>578</v>
      </c>
      <c r="AI2070" s="278" t="s">
        <v>2116</v>
      </c>
      <c r="AJ2070" s="278" t="s">
        <v>1625</v>
      </c>
      <c r="AK2070" s="278" t="s">
        <v>2045</v>
      </c>
      <c r="AL2070" s="278" t="s">
        <v>2045</v>
      </c>
      <c r="AM2070" s="278" t="s">
        <v>178</v>
      </c>
      <c r="AN2070" s="278" t="s">
        <v>2049</v>
      </c>
      <c r="AO2070" s="278" t="s">
        <v>2049</v>
      </c>
      <c r="AP2070" s="298" t="s">
        <v>178</v>
      </c>
      <c r="AQ2070" s="278" t="s">
        <v>2047</v>
      </c>
      <c r="AR2070" s="278" t="s">
        <v>2047</v>
      </c>
      <c r="AS2070" s="298" t="s">
        <v>178</v>
      </c>
      <c r="AT2070" s="278" t="s">
        <v>161</v>
      </c>
      <c r="AU2070" s="278">
        <v>4</v>
      </c>
      <c r="AV2070" s="278">
        <v>4</v>
      </c>
      <c r="AW2070" s="278" t="s">
        <v>142</v>
      </c>
      <c r="AX2070" s="278"/>
      <c r="AY2070" s="278"/>
      <c r="AZ2070" s="278"/>
      <c r="BA2070" s="278"/>
      <c r="BB2070" s="278"/>
      <c r="BH2070" s="278"/>
      <c r="BI2070" s="278"/>
      <c r="BJ2070" s="278"/>
      <c r="BM2070" s="446"/>
      <c r="BN2070" s="446"/>
      <c r="BR2070" s="446">
        <v>20</v>
      </c>
      <c r="BS2070" s="446">
        <v>20.3</v>
      </c>
      <c r="BV2070" s="284" t="s">
        <v>2105</v>
      </c>
      <c r="BW2070" s="284">
        <v>1.41</v>
      </c>
      <c r="BX2070" s="284">
        <v>1.53</v>
      </c>
      <c r="CA2070" s="284" t="s">
        <v>570</v>
      </c>
      <c r="IO2070" s="278" t="s">
        <v>2094</v>
      </c>
      <c r="IP2070" s="278" t="s">
        <v>2119</v>
      </c>
      <c r="IQ2070" s="285"/>
    </row>
    <row r="2071" spans="1:251" s="298" customFormat="1" x14ac:dyDescent="0.25">
      <c r="A2071" s="294">
        <v>93</v>
      </c>
      <c r="B2071" s="293" t="s">
        <v>769</v>
      </c>
      <c r="C2071" s="293" t="s">
        <v>2128</v>
      </c>
      <c r="D2071" s="293">
        <v>2002</v>
      </c>
      <c r="E2071" s="293">
        <v>1994</v>
      </c>
      <c r="F2071" s="293" t="s">
        <v>1756</v>
      </c>
      <c r="G2071" s="293" t="s">
        <v>2042</v>
      </c>
      <c r="H2071" s="278" t="s">
        <v>2831</v>
      </c>
      <c r="I2071" s="293">
        <v>32.57</v>
      </c>
      <c r="J2071" s="293">
        <v>-83.91</v>
      </c>
      <c r="K2071" s="293">
        <v>16</v>
      </c>
      <c r="L2071" s="293">
        <v>18.100000000000001</v>
      </c>
      <c r="M2071" s="293"/>
      <c r="N2071" s="293">
        <v>1258</v>
      </c>
      <c r="O2071" s="293"/>
      <c r="P2071" s="293"/>
      <c r="Q2071" s="293">
        <v>1</v>
      </c>
      <c r="R2071" s="295" t="s">
        <v>1991</v>
      </c>
      <c r="T2071" s="295" t="s">
        <v>2111</v>
      </c>
      <c r="U2071" s="293" t="s">
        <v>1383</v>
      </c>
      <c r="V2071" s="296">
        <v>20</v>
      </c>
      <c r="W2071" s="293" t="s">
        <v>1383</v>
      </c>
      <c r="X2071" s="293" t="s">
        <v>1383</v>
      </c>
      <c r="Y2071" s="297">
        <v>1.39</v>
      </c>
      <c r="Z2071" s="373">
        <v>65</v>
      </c>
      <c r="AA2071" s="373">
        <v>25</v>
      </c>
      <c r="AB2071" s="293" t="s">
        <v>241</v>
      </c>
      <c r="AC2071" s="293">
        <v>6.5</v>
      </c>
      <c r="AD2071" s="293">
        <f t="shared" si="283"/>
        <v>0.85971223021582732</v>
      </c>
      <c r="AE2071" s="293"/>
      <c r="AF2071" s="293" t="s">
        <v>2046</v>
      </c>
      <c r="AG2071" s="293" t="s">
        <v>2043</v>
      </c>
      <c r="AH2071" s="293" t="s">
        <v>578</v>
      </c>
      <c r="AI2071" s="293" t="s">
        <v>2045</v>
      </c>
      <c r="AJ2071" s="293" t="s">
        <v>1625</v>
      </c>
      <c r="AK2071" s="293" t="s">
        <v>2045</v>
      </c>
      <c r="AL2071" s="293" t="s">
        <v>2045</v>
      </c>
      <c r="AM2071" s="293" t="s">
        <v>178</v>
      </c>
      <c r="AN2071" s="293" t="s">
        <v>2049</v>
      </c>
      <c r="AO2071" s="293" t="s">
        <v>2049</v>
      </c>
      <c r="AP2071" s="298" t="s">
        <v>178</v>
      </c>
      <c r="AQ2071" s="293" t="s">
        <v>2044</v>
      </c>
      <c r="AR2071" s="293" t="s">
        <v>2044</v>
      </c>
      <c r="AS2071" s="298" t="s">
        <v>178</v>
      </c>
      <c r="AT2071" s="278" t="s">
        <v>161</v>
      </c>
      <c r="AU2071" s="293">
        <v>4</v>
      </c>
      <c r="AV2071" s="293">
        <v>4</v>
      </c>
      <c r="AW2071" s="278" t="s">
        <v>142</v>
      </c>
      <c r="AX2071" s="293"/>
      <c r="BA2071" s="293"/>
      <c r="BB2071" s="293"/>
      <c r="BH2071" s="293"/>
      <c r="BI2071" s="293"/>
      <c r="BJ2071" s="293"/>
      <c r="BM2071" s="448"/>
      <c r="BN2071" s="448"/>
      <c r="BR2071" s="448">
        <v>23.9</v>
      </c>
      <c r="BS2071" s="448">
        <v>23.9</v>
      </c>
      <c r="BV2071" s="298" t="s">
        <v>2105</v>
      </c>
      <c r="BW2071" s="298">
        <v>1.95</v>
      </c>
      <c r="BX2071" s="298">
        <v>1.95</v>
      </c>
      <c r="CA2071" s="298" t="s">
        <v>570</v>
      </c>
      <c r="IO2071" s="293" t="s">
        <v>2094</v>
      </c>
      <c r="IP2071" s="278" t="s">
        <v>2119</v>
      </c>
      <c r="IQ2071" s="299"/>
    </row>
    <row r="2072" spans="1:251" s="298" customFormat="1" x14ac:dyDescent="0.25">
      <c r="A2072" s="294">
        <v>93</v>
      </c>
      <c r="B2072" s="293" t="s">
        <v>769</v>
      </c>
      <c r="C2072" s="293" t="s">
        <v>2128</v>
      </c>
      <c r="D2072" s="293">
        <v>2002</v>
      </c>
      <c r="E2072" s="293">
        <v>1995</v>
      </c>
      <c r="F2072" s="293" t="s">
        <v>1756</v>
      </c>
      <c r="G2072" s="293" t="s">
        <v>2042</v>
      </c>
      <c r="H2072" s="278" t="s">
        <v>2831</v>
      </c>
      <c r="I2072" s="293">
        <v>32.57</v>
      </c>
      <c r="J2072" s="293">
        <v>-83.91</v>
      </c>
      <c r="K2072" s="293">
        <v>16</v>
      </c>
      <c r="L2072" s="293">
        <v>18.100000000000001</v>
      </c>
      <c r="M2072" s="293"/>
      <c r="N2072" s="293">
        <v>1258</v>
      </c>
      <c r="O2072" s="293"/>
      <c r="P2072" s="293"/>
      <c r="Q2072" s="293">
        <v>2</v>
      </c>
      <c r="R2072" s="295" t="s">
        <v>1991</v>
      </c>
      <c r="T2072" s="295" t="s">
        <v>2111</v>
      </c>
      <c r="U2072" s="293" t="s">
        <v>1383</v>
      </c>
      <c r="V2072" s="296">
        <v>20</v>
      </c>
      <c r="W2072" s="293" t="s">
        <v>1383</v>
      </c>
      <c r="X2072" s="293" t="s">
        <v>1383</v>
      </c>
      <c r="Y2072" s="297">
        <v>1.39</v>
      </c>
      <c r="Z2072" s="373">
        <v>65</v>
      </c>
      <c r="AA2072" s="373">
        <v>25</v>
      </c>
      <c r="AB2072" s="293" t="s">
        <v>241</v>
      </c>
      <c r="AC2072" s="293">
        <v>6.5</v>
      </c>
      <c r="AD2072" s="293">
        <f t="shared" si="283"/>
        <v>0.85971223021582732</v>
      </c>
      <c r="AE2072" s="293"/>
      <c r="AF2072" s="293" t="s">
        <v>2046</v>
      </c>
      <c r="AG2072" s="293" t="s">
        <v>2043</v>
      </c>
      <c r="AH2072" s="293" t="s">
        <v>578</v>
      </c>
      <c r="AI2072" s="293" t="s">
        <v>2045</v>
      </c>
      <c r="AJ2072" s="293" t="s">
        <v>1625</v>
      </c>
      <c r="AK2072" s="293" t="s">
        <v>2045</v>
      </c>
      <c r="AL2072" s="293" t="s">
        <v>2045</v>
      </c>
      <c r="AM2072" s="293" t="s">
        <v>178</v>
      </c>
      <c r="AN2072" s="293" t="s">
        <v>2049</v>
      </c>
      <c r="AO2072" s="293" t="s">
        <v>2049</v>
      </c>
      <c r="AP2072" s="298" t="s">
        <v>178</v>
      </c>
      <c r="AQ2072" s="293" t="s">
        <v>2044</v>
      </c>
      <c r="AR2072" s="293" t="s">
        <v>2044</v>
      </c>
      <c r="AS2072" s="298" t="s">
        <v>178</v>
      </c>
      <c r="AT2072" s="278" t="s">
        <v>161</v>
      </c>
      <c r="AU2072" s="293">
        <v>4</v>
      </c>
      <c r="AV2072" s="293">
        <v>4</v>
      </c>
      <c r="AW2072" s="278" t="s">
        <v>142</v>
      </c>
      <c r="AX2072" s="293"/>
      <c r="AY2072" s="293"/>
      <c r="AZ2072" s="293"/>
      <c r="BA2072" s="293"/>
      <c r="BB2072" s="293"/>
      <c r="BH2072" s="293"/>
      <c r="BI2072" s="293"/>
      <c r="BJ2072" s="293"/>
      <c r="BM2072" s="448"/>
      <c r="BN2072" s="448"/>
      <c r="BR2072" s="448">
        <v>24.7</v>
      </c>
      <c r="BS2072" s="448">
        <v>24.7</v>
      </c>
      <c r="BV2072" s="298" t="s">
        <v>2105</v>
      </c>
      <c r="BW2072" s="298">
        <v>2.04</v>
      </c>
      <c r="BX2072" s="298">
        <v>1.8</v>
      </c>
      <c r="CA2072" s="298" t="s">
        <v>570</v>
      </c>
      <c r="IO2072" s="293" t="s">
        <v>2094</v>
      </c>
      <c r="IP2072" s="278" t="s">
        <v>2119</v>
      </c>
      <c r="IQ2072" s="299"/>
    </row>
    <row r="2073" spans="1:251" s="298" customFormat="1" x14ac:dyDescent="0.25">
      <c r="A2073" s="294">
        <v>93</v>
      </c>
      <c r="B2073" s="293" t="s">
        <v>769</v>
      </c>
      <c r="C2073" s="293" t="s">
        <v>2128</v>
      </c>
      <c r="D2073" s="293">
        <v>2002</v>
      </c>
      <c r="E2073" s="293">
        <v>1996</v>
      </c>
      <c r="F2073" s="293" t="s">
        <v>1756</v>
      </c>
      <c r="G2073" s="293" t="s">
        <v>2042</v>
      </c>
      <c r="H2073" s="278" t="s">
        <v>2831</v>
      </c>
      <c r="I2073" s="293">
        <v>32.57</v>
      </c>
      <c r="J2073" s="293">
        <v>-83.91</v>
      </c>
      <c r="K2073" s="293">
        <v>16</v>
      </c>
      <c r="L2073" s="293">
        <v>18.100000000000001</v>
      </c>
      <c r="M2073" s="293"/>
      <c r="N2073" s="293">
        <v>1258</v>
      </c>
      <c r="O2073" s="293"/>
      <c r="P2073" s="293"/>
      <c r="Q2073" s="293">
        <v>3</v>
      </c>
      <c r="R2073" s="295" t="s">
        <v>1991</v>
      </c>
      <c r="T2073" s="295" t="s">
        <v>2111</v>
      </c>
      <c r="U2073" s="293" t="s">
        <v>1383</v>
      </c>
      <c r="V2073" s="296">
        <v>20</v>
      </c>
      <c r="W2073" s="293" t="s">
        <v>1383</v>
      </c>
      <c r="X2073" s="293" t="s">
        <v>1383</v>
      </c>
      <c r="Y2073" s="297">
        <v>1.39</v>
      </c>
      <c r="Z2073" s="373">
        <v>65</v>
      </c>
      <c r="AA2073" s="373">
        <v>25</v>
      </c>
      <c r="AB2073" s="293" t="s">
        <v>241</v>
      </c>
      <c r="AC2073" s="293">
        <v>6.5</v>
      </c>
      <c r="AD2073" s="293">
        <f t="shared" si="283"/>
        <v>0.85971223021582732</v>
      </c>
      <c r="AE2073" s="293"/>
      <c r="AF2073" s="293" t="s">
        <v>2046</v>
      </c>
      <c r="AG2073" s="293" t="s">
        <v>2043</v>
      </c>
      <c r="AH2073" s="293" t="s">
        <v>578</v>
      </c>
      <c r="AI2073" s="293" t="s">
        <v>2045</v>
      </c>
      <c r="AJ2073" s="293" t="s">
        <v>1625</v>
      </c>
      <c r="AK2073" s="293" t="s">
        <v>2045</v>
      </c>
      <c r="AL2073" s="293" t="s">
        <v>2045</v>
      </c>
      <c r="AM2073" s="293" t="s">
        <v>178</v>
      </c>
      <c r="AN2073" s="293" t="s">
        <v>2049</v>
      </c>
      <c r="AO2073" s="293" t="s">
        <v>2049</v>
      </c>
      <c r="AP2073" s="298" t="s">
        <v>178</v>
      </c>
      <c r="AQ2073" s="293" t="s">
        <v>2044</v>
      </c>
      <c r="AR2073" s="293" t="s">
        <v>2044</v>
      </c>
      <c r="AS2073" s="298" t="s">
        <v>178</v>
      </c>
      <c r="AT2073" s="278" t="s">
        <v>161</v>
      </c>
      <c r="AU2073" s="293">
        <v>4</v>
      </c>
      <c r="AV2073" s="293">
        <v>4</v>
      </c>
      <c r="AW2073" s="278" t="s">
        <v>142</v>
      </c>
      <c r="AX2073" s="293"/>
      <c r="BA2073" s="293"/>
      <c r="BB2073" s="293"/>
      <c r="BH2073" s="293"/>
      <c r="BI2073" s="293"/>
      <c r="BJ2073" s="293"/>
      <c r="BM2073" s="448"/>
      <c r="BN2073" s="448"/>
      <c r="BR2073" s="448">
        <v>23.2</v>
      </c>
      <c r="BS2073" s="448">
        <v>27.1</v>
      </c>
      <c r="BV2073" s="298" t="s">
        <v>2105</v>
      </c>
      <c r="BW2073" s="298">
        <v>2.1800000000000002</v>
      </c>
      <c r="BX2073" s="298">
        <v>2.25</v>
      </c>
      <c r="CA2073" s="298" t="s">
        <v>570</v>
      </c>
      <c r="IO2073" s="293" t="s">
        <v>2094</v>
      </c>
      <c r="IP2073" s="278" t="s">
        <v>2119</v>
      </c>
      <c r="IQ2073" s="299"/>
    </row>
    <row r="2074" spans="1:251" s="298" customFormat="1" x14ac:dyDescent="0.25">
      <c r="A2074" s="294">
        <v>93</v>
      </c>
      <c r="B2074" s="293" t="s">
        <v>769</v>
      </c>
      <c r="C2074" s="293" t="s">
        <v>2128</v>
      </c>
      <c r="D2074" s="293">
        <v>2002</v>
      </c>
      <c r="E2074" s="293">
        <v>1997</v>
      </c>
      <c r="F2074" s="293" t="s">
        <v>1756</v>
      </c>
      <c r="G2074" s="293" t="s">
        <v>2042</v>
      </c>
      <c r="H2074" s="278" t="s">
        <v>2831</v>
      </c>
      <c r="I2074" s="293">
        <v>32.57</v>
      </c>
      <c r="J2074" s="293">
        <v>-83.91</v>
      </c>
      <c r="K2074" s="293">
        <v>16</v>
      </c>
      <c r="L2074" s="293">
        <v>18.100000000000001</v>
      </c>
      <c r="M2074" s="293"/>
      <c r="N2074" s="293">
        <v>1258</v>
      </c>
      <c r="O2074" s="293"/>
      <c r="P2074" s="293"/>
      <c r="Q2074" s="293">
        <v>4</v>
      </c>
      <c r="R2074" s="295" t="s">
        <v>1991</v>
      </c>
      <c r="T2074" s="295" t="s">
        <v>2111</v>
      </c>
      <c r="U2074" s="293" t="s">
        <v>1383</v>
      </c>
      <c r="V2074" s="296">
        <v>20</v>
      </c>
      <c r="W2074" s="293" t="s">
        <v>1383</v>
      </c>
      <c r="X2074" s="293" t="s">
        <v>1383</v>
      </c>
      <c r="Y2074" s="297">
        <v>1.39</v>
      </c>
      <c r="Z2074" s="373">
        <v>65</v>
      </c>
      <c r="AA2074" s="373">
        <v>25</v>
      </c>
      <c r="AB2074" s="293" t="s">
        <v>241</v>
      </c>
      <c r="AC2074" s="293">
        <v>6.5</v>
      </c>
      <c r="AD2074" s="293">
        <f t="shared" si="283"/>
        <v>0.85971223021582732</v>
      </c>
      <c r="AE2074" s="293"/>
      <c r="AF2074" s="293" t="s">
        <v>2046</v>
      </c>
      <c r="AG2074" s="293" t="s">
        <v>2043</v>
      </c>
      <c r="AH2074" s="293" t="s">
        <v>578</v>
      </c>
      <c r="AI2074" s="293" t="s">
        <v>2045</v>
      </c>
      <c r="AJ2074" s="293" t="s">
        <v>1625</v>
      </c>
      <c r="AK2074" s="293" t="s">
        <v>2045</v>
      </c>
      <c r="AL2074" s="293" t="s">
        <v>2045</v>
      </c>
      <c r="AM2074" s="293" t="s">
        <v>178</v>
      </c>
      <c r="AN2074" s="293" t="s">
        <v>2049</v>
      </c>
      <c r="AO2074" s="293" t="s">
        <v>2049</v>
      </c>
      <c r="AP2074" s="298" t="s">
        <v>178</v>
      </c>
      <c r="AQ2074" s="293" t="s">
        <v>2044</v>
      </c>
      <c r="AR2074" s="293" t="s">
        <v>2044</v>
      </c>
      <c r="AS2074" s="298" t="s">
        <v>178</v>
      </c>
      <c r="AT2074" s="278" t="s">
        <v>161</v>
      </c>
      <c r="AU2074" s="293">
        <v>4</v>
      </c>
      <c r="AV2074" s="293">
        <v>4</v>
      </c>
      <c r="AW2074" s="278" t="s">
        <v>142</v>
      </c>
      <c r="AX2074" s="293"/>
      <c r="AY2074" s="293"/>
      <c r="AZ2074" s="293"/>
      <c r="BA2074" s="293"/>
      <c r="BB2074" s="293"/>
      <c r="BH2074" s="293"/>
      <c r="BI2074" s="293"/>
      <c r="BJ2074" s="293"/>
      <c r="BM2074" s="448"/>
      <c r="BN2074" s="448"/>
      <c r="BR2074" s="448">
        <v>24.8</v>
      </c>
      <c r="BS2074" s="448">
        <v>26</v>
      </c>
      <c r="BV2074" s="298" t="s">
        <v>2105</v>
      </c>
      <c r="BW2074" s="298">
        <v>2.08</v>
      </c>
      <c r="BX2074" s="298">
        <v>2.25</v>
      </c>
      <c r="CA2074" s="298" t="s">
        <v>570</v>
      </c>
      <c r="IO2074" s="293" t="s">
        <v>2094</v>
      </c>
      <c r="IP2074" s="278" t="s">
        <v>2119</v>
      </c>
      <c r="IQ2074" s="299"/>
    </row>
    <row r="2075" spans="1:251" s="298" customFormat="1" x14ac:dyDescent="0.25">
      <c r="A2075" s="294">
        <v>93</v>
      </c>
      <c r="B2075" s="293" t="s">
        <v>769</v>
      </c>
      <c r="C2075" s="293" t="s">
        <v>2128</v>
      </c>
      <c r="D2075" s="293">
        <v>2002</v>
      </c>
      <c r="E2075" s="293">
        <v>1998</v>
      </c>
      <c r="F2075" s="293" t="s">
        <v>1756</v>
      </c>
      <c r="G2075" s="293" t="s">
        <v>2042</v>
      </c>
      <c r="H2075" s="278" t="s">
        <v>2831</v>
      </c>
      <c r="I2075" s="293">
        <v>32.57</v>
      </c>
      <c r="J2075" s="293">
        <v>-83.91</v>
      </c>
      <c r="K2075" s="293">
        <v>16</v>
      </c>
      <c r="L2075" s="293">
        <v>18.100000000000001</v>
      </c>
      <c r="M2075" s="293"/>
      <c r="N2075" s="293">
        <v>1258</v>
      </c>
      <c r="O2075" s="293"/>
      <c r="P2075" s="293"/>
      <c r="Q2075" s="293">
        <v>5</v>
      </c>
      <c r="R2075" s="295" t="s">
        <v>1991</v>
      </c>
      <c r="T2075" s="295" t="s">
        <v>2111</v>
      </c>
      <c r="U2075" s="293" t="s">
        <v>1383</v>
      </c>
      <c r="V2075" s="296">
        <v>20</v>
      </c>
      <c r="W2075" s="293" t="s">
        <v>1383</v>
      </c>
      <c r="X2075" s="293" t="s">
        <v>1383</v>
      </c>
      <c r="Y2075" s="297">
        <v>1.39</v>
      </c>
      <c r="Z2075" s="373">
        <v>65</v>
      </c>
      <c r="AA2075" s="373">
        <v>25</v>
      </c>
      <c r="AB2075" s="293" t="s">
        <v>241</v>
      </c>
      <c r="AC2075" s="293">
        <v>6.5</v>
      </c>
      <c r="AD2075" s="293">
        <f t="shared" si="283"/>
        <v>0.85971223021582732</v>
      </c>
      <c r="AE2075" s="293"/>
      <c r="AF2075" s="293" t="s">
        <v>2046</v>
      </c>
      <c r="AG2075" s="293" t="s">
        <v>2043</v>
      </c>
      <c r="AH2075" s="293" t="s">
        <v>578</v>
      </c>
      <c r="AI2075" s="293" t="s">
        <v>2045</v>
      </c>
      <c r="AJ2075" s="293" t="s">
        <v>1625</v>
      </c>
      <c r="AK2075" s="293" t="s">
        <v>2045</v>
      </c>
      <c r="AL2075" s="293" t="s">
        <v>2045</v>
      </c>
      <c r="AM2075" s="293" t="s">
        <v>178</v>
      </c>
      <c r="AN2075" s="293" t="s">
        <v>2049</v>
      </c>
      <c r="AO2075" s="293" t="s">
        <v>2049</v>
      </c>
      <c r="AP2075" s="298" t="s">
        <v>178</v>
      </c>
      <c r="AQ2075" s="293" t="s">
        <v>2044</v>
      </c>
      <c r="AR2075" s="293" t="s">
        <v>2044</v>
      </c>
      <c r="AS2075" s="298" t="s">
        <v>178</v>
      </c>
      <c r="AT2075" s="278" t="s">
        <v>161</v>
      </c>
      <c r="AU2075" s="293">
        <v>4</v>
      </c>
      <c r="AV2075" s="293">
        <v>4</v>
      </c>
      <c r="AW2075" s="278" t="s">
        <v>142</v>
      </c>
      <c r="AX2075" s="293"/>
      <c r="AY2075" s="293"/>
      <c r="AZ2075" s="293"/>
      <c r="BA2075" s="293"/>
      <c r="BB2075" s="293"/>
      <c r="BH2075" s="293"/>
      <c r="BI2075" s="293"/>
      <c r="BJ2075" s="293"/>
      <c r="BM2075" s="448"/>
      <c r="BN2075" s="448"/>
      <c r="BR2075" s="448">
        <v>23.7</v>
      </c>
      <c r="BS2075" s="448">
        <v>20.7</v>
      </c>
      <c r="BV2075" s="298" t="s">
        <v>2105</v>
      </c>
      <c r="BW2075" s="298">
        <v>1.73</v>
      </c>
      <c r="BX2075" s="298">
        <v>1.51</v>
      </c>
      <c r="CA2075" s="298" t="s">
        <v>570</v>
      </c>
      <c r="IO2075" s="293" t="s">
        <v>2094</v>
      </c>
      <c r="IP2075" s="278" t="s">
        <v>2119</v>
      </c>
      <c r="IQ2075" s="299"/>
    </row>
    <row r="2076" spans="1:251" s="298" customFormat="1" x14ac:dyDescent="0.25">
      <c r="A2076" s="294">
        <v>93</v>
      </c>
      <c r="B2076" s="293" t="s">
        <v>769</v>
      </c>
      <c r="C2076" s="293" t="s">
        <v>2128</v>
      </c>
      <c r="D2076" s="293">
        <v>2002</v>
      </c>
      <c r="E2076" s="293">
        <v>1999</v>
      </c>
      <c r="F2076" s="293" t="s">
        <v>1756</v>
      </c>
      <c r="G2076" s="293" t="s">
        <v>2042</v>
      </c>
      <c r="H2076" s="278" t="s">
        <v>2831</v>
      </c>
      <c r="I2076" s="293">
        <v>32.57</v>
      </c>
      <c r="J2076" s="293">
        <v>-83.91</v>
      </c>
      <c r="K2076" s="293">
        <v>16</v>
      </c>
      <c r="L2076" s="293">
        <v>18.100000000000001</v>
      </c>
      <c r="M2076" s="293"/>
      <c r="N2076" s="293">
        <v>1258</v>
      </c>
      <c r="O2076" s="293"/>
      <c r="P2076" s="293"/>
      <c r="Q2076" s="293">
        <v>6</v>
      </c>
      <c r="R2076" s="295" t="s">
        <v>1991</v>
      </c>
      <c r="T2076" s="295" t="s">
        <v>2111</v>
      </c>
      <c r="U2076" s="293" t="s">
        <v>1383</v>
      </c>
      <c r="V2076" s="296">
        <v>20</v>
      </c>
      <c r="W2076" s="293" t="s">
        <v>1383</v>
      </c>
      <c r="X2076" s="293" t="s">
        <v>1383</v>
      </c>
      <c r="Y2076" s="297">
        <v>1.39</v>
      </c>
      <c r="Z2076" s="373">
        <v>65</v>
      </c>
      <c r="AA2076" s="373">
        <v>25</v>
      </c>
      <c r="AB2076" s="293" t="s">
        <v>241</v>
      </c>
      <c r="AC2076" s="293">
        <v>6.5</v>
      </c>
      <c r="AD2076" s="293">
        <f t="shared" si="283"/>
        <v>0.85971223021582732</v>
      </c>
      <c r="AE2076" s="293"/>
      <c r="AF2076" s="293" t="s">
        <v>2046</v>
      </c>
      <c r="AG2076" s="293" t="s">
        <v>2043</v>
      </c>
      <c r="AH2076" s="293" t="s">
        <v>578</v>
      </c>
      <c r="AI2076" s="293" t="s">
        <v>2116</v>
      </c>
      <c r="AJ2076" s="293" t="s">
        <v>1625</v>
      </c>
      <c r="AK2076" s="293" t="s">
        <v>2045</v>
      </c>
      <c r="AL2076" s="293" t="s">
        <v>2045</v>
      </c>
      <c r="AM2076" s="293" t="s">
        <v>178</v>
      </c>
      <c r="AN2076" s="293" t="s">
        <v>2049</v>
      </c>
      <c r="AO2076" s="293" t="s">
        <v>2049</v>
      </c>
      <c r="AP2076" s="298" t="s">
        <v>178</v>
      </c>
      <c r="AQ2076" s="293" t="s">
        <v>2044</v>
      </c>
      <c r="AR2076" s="293" t="s">
        <v>2044</v>
      </c>
      <c r="AS2076" s="298" t="s">
        <v>178</v>
      </c>
      <c r="AT2076" s="278" t="s">
        <v>161</v>
      </c>
      <c r="AU2076" s="293">
        <v>4</v>
      </c>
      <c r="AV2076" s="293">
        <v>4</v>
      </c>
      <c r="AW2076" s="278" t="s">
        <v>142</v>
      </c>
      <c r="AX2076" s="293"/>
      <c r="AY2076" s="293"/>
      <c r="AZ2076" s="293"/>
      <c r="BA2076" s="293"/>
      <c r="BB2076" s="293"/>
      <c r="BH2076" s="293"/>
      <c r="BI2076" s="293"/>
      <c r="BJ2076" s="293"/>
      <c r="BM2076" s="448"/>
      <c r="BN2076" s="448"/>
      <c r="BR2076" s="448">
        <v>20.3</v>
      </c>
      <c r="BS2076" s="448">
        <v>19.899999999999999</v>
      </c>
      <c r="BV2076" s="298" t="s">
        <v>2105</v>
      </c>
      <c r="BW2076" s="298">
        <v>1.45</v>
      </c>
      <c r="BX2076" s="298">
        <v>1.55</v>
      </c>
      <c r="CA2076" s="298" t="s">
        <v>570</v>
      </c>
      <c r="IO2076" s="293" t="s">
        <v>2094</v>
      </c>
      <c r="IP2076" s="278" t="s">
        <v>2119</v>
      </c>
      <c r="IQ2076" s="299"/>
    </row>
    <row r="2077" spans="1:251" s="291" customFormat="1" x14ac:dyDescent="0.25">
      <c r="A2077" s="286">
        <v>93</v>
      </c>
      <c r="B2077" s="287" t="s">
        <v>769</v>
      </c>
      <c r="C2077" s="287" t="s">
        <v>2128</v>
      </c>
      <c r="D2077" s="287">
        <v>2002</v>
      </c>
      <c r="E2077" s="287">
        <v>1994</v>
      </c>
      <c r="F2077" s="287" t="s">
        <v>1756</v>
      </c>
      <c r="G2077" s="287" t="s">
        <v>2042</v>
      </c>
      <c r="H2077" s="278" t="s">
        <v>2831</v>
      </c>
      <c r="I2077" s="287">
        <v>32.57</v>
      </c>
      <c r="J2077" s="287">
        <v>-83.91</v>
      </c>
      <c r="K2077" s="287">
        <v>16</v>
      </c>
      <c r="L2077" s="287">
        <v>18.100000000000001</v>
      </c>
      <c r="M2077" s="287"/>
      <c r="N2077" s="287">
        <v>1258</v>
      </c>
      <c r="O2077" s="287"/>
      <c r="P2077" s="287"/>
      <c r="Q2077" s="287">
        <v>1</v>
      </c>
      <c r="R2077" s="288" t="s">
        <v>1991</v>
      </c>
      <c r="T2077" s="288" t="s">
        <v>2111</v>
      </c>
      <c r="U2077" s="287" t="s">
        <v>1383</v>
      </c>
      <c r="V2077" s="289">
        <v>20</v>
      </c>
      <c r="W2077" s="287" t="s">
        <v>1383</v>
      </c>
      <c r="X2077" s="287" t="s">
        <v>1383</v>
      </c>
      <c r="Y2077" s="290">
        <v>1.39</v>
      </c>
      <c r="Z2077" s="371">
        <v>65</v>
      </c>
      <c r="AA2077" s="371">
        <v>25</v>
      </c>
      <c r="AB2077" s="287" t="s">
        <v>241</v>
      </c>
      <c r="AC2077" s="287">
        <v>6.5</v>
      </c>
      <c r="AD2077" s="287">
        <f t="shared" si="283"/>
        <v>0.85971223021582732</v>
      </c>
      <c r="AE2077" s="287"/>
      <c r="AF2077" s="287" t="s">
        <v>2046</v>
      </c>
      <c r="AG2077" s="287" t="s">
        <v>2043</v>
      </c>
      <c r="AH2077" s="287" t="s">
        <v>578</v>
      </c>
      <c r="AI2077" s="287" t="s">
        <v>2045</v>
      </c>
      <c r="AJ2077" s="287" t="s">
        <v>1625</v>
      </c>
      <c r="AK2077" s="287" t="s">
        <v>2045</v>
      </c>
      <c r="AL2077" s="287" t="s">
        <v>2045</v>
      </c>
      <c r="AM2077" s="287" t="s">
        <v>178</v>
      </c>
      <c r="AN2077" s="287" t="s">
        <v>2122</v>
      </c>
      <c r="AO2077" s="287" t="s">
        <v>2122</v>
      </c>
      <c r="AP2077" s="291" t="s">
        <v>178</v>
      </c>
      <c r="AQ2077" s="287" t="s">
        <v>2048</v>
      </c>
      <c r="AR2077" s="287" t="s">
        <v>2048</v>
      </c>
      <c r="AS2077" s="291" t="s">
        <v>178</v>
      </c>
      <c r="AT2077" s="253" t="s">
        <v>161</v>
      </c>
      <c r="AU2077" s="287">
        <v>4</v>
      </c>
      <c r="AV2077" s="287">
        <v>4</v>
      </c>
      <c r="AW2077" s="253" t="s">
        <v>142</v>
      </c>
      <c r="AX2077" s="287"/>
      <c r="BA2077" s="287"/>
      <c r="BB2077" s="287"/>
      <c r="BH2077" s="287"/>
      <c r="BI2077" s="287"/>
      <c r="BJ2077" s="287"/>
      <c r="BM2077" s="447"/>
      <c r="BN2077" s="447"/>
      <c r="BR2077" s="447">
        <v>23.9</v>
      </c>
      <c r="BS2077" s="447">
        <v>23.9</v>
      </c>
      <c r="BV2077" s="291" t="s">
        <v>2105</v>
      </c>
      <c r="BW2077" s="291">
        <v>1.95</v>
      </c>
      <c r="BX2077" s="291">
        <v>1.95</v>
      </c>
      <c r="CA2077" s="291" t="s">
        <v>570</v>
      </c>
      <c r="IO2077" s="287" t="s">
        <v>2094</v>
      </c>
      <c r="IP2077" s="253" t="s">
        <v>2119</v>
      </c>
      <c r="IQ2077" s="292"/>
    </row>
    <row r="2078" spans="1:251" s="291" customFormat="1" x14ac:dyDescent="0.25">
      <c r="A2078" s="286">
        <v>93</v>
      </c>
      <c r="B2078" s="287" t="s">
        <v>769</v>
      </c>
      <c r="C2078" s="287" t="s">
        <v>2128</v>
      </c>
      <c r="D2078" s="287">
        <v>2002</v>
      </c>
      <c r="E2078" s="287">
        <v>1995</v>
      </c>
      <c r="F2078" s="287" t="s">
        <v>1756</v>
      </c>
      <c r="G2078" s="287" t="s">
        <v>2042</v>
      </c>
      <c r="H2078" s="278" t="s">
        <v>2831</v>
      </c>
      <c r="I2078" s="287">
        <v>32.57</v>
      </c>
      <c r="J2078" s="287">
        <v>-83.91</v>
      </c>
      <c r="K2078" s="287">
        <v>16</v>
      </c>
      <c r="L2078" s="287">
        <v>18.100000000000001</v>
      </c>
      <c r="M2078" s="287"/>
      <c r="N2078" s="287">
        <v>1258</v>
      </c>
      <c r="O2078" s="287"/>
      <c r="P2078" s="287"/>
      <c r="Q2078" s="287">
        <v>2</v>
      </c>
      <c r="R2078" s="288" t="s">
        <v>1991</v>
      </c>
      <c r="T2078" s="288" t="s">
        <v>2111</v>
      </c>
      <c r="U2078" s="287" t="s">
        <v>1383</v>
      </c>
      <c r="V2078" s="289">
        <v>20</v>
      </c>
      <c r="W2078" s="287" t="s">
        <v>1383</v>
      </c>
      <c r="X2078" s="287" t="s">
        <v>1383</v>
      </c>
      <c r="Y2078" s="290">
        <v>1.39</v>
      </c>
      <c r="Z2078" s="371">
        <v>65</v>
      </c>
      <c r="AA2078" s="371">
        <v>25</v>
      </c>
      <c r="AB2078" s="287" t="s">
        <v>241</v>
      </c>
      <c r="AC2078" s="287">
        <v>6.5</v>
      </c>
      <c r="AD2078" s="287">
        <f t="shared" si="283"/>
        <v>0.85971223021582732</v>
      </c>
      <c r="AE2078" s="287"/>
      <c r="AF2078" s="287" t="s">
        <v>2046</v>
      </c>
      <c r="AG2078" s="287" t="s">
        <v>2043</v>
      </c>
      <c r="AH2078" s="287" t="s">
        <v>578</v>
      </c>
      <c r="AI2078" s="287" t="s">
        <v>2045</v>
      </c>
      <c r="AJ2078" s="287" t="s">
        <v>1625</v>
      </c>
      <c r="AK2078" s="287" t="s">
        <v>2045</v>
      </c>
      <c r="AL2078" s="287" t="s">
        <v>2045</v>
      </c>
      <c r="AM2078" s="287" t="s">
        <v>178</v>
      </c>
      <c r="AN2078" s="287" t="s">
        <v>2122</v>
      </c>
      <c r="AO2078" s="287" t="s">
        <v>2122</v>
      </c>
      <c r="AP2078" s="291" t="s">
        <v>178</v>
      </c>
      <c r="AQ2078" s="287" t="s">
        <v>2048</v>
      </c>
      <c r="AR2078" s="287" t="s">
        <v>2048</v>
      </c>
      <c r="AS2078" s="291" t="s">
        <v>178</v>
      </c>
      <c r="AT2078" s="253" t="s">
        <v>161</v>
      </c>
      <c r="AU2078" s="287">
        <v>4</v>
      </c>
      <c r="AV2078" s="287">
        <v>4</v>
      </c>
      <c r="AW2078" s="253" t="s">
        <v>142</v>
      </c>
      <c r="AX2078" s="287"/>
      <c r="AY2078" s="287"/>
      <c r="AZ2078" s="287"/>
      <c r="BA2078" s="287"/>
      <c r="BB2078" s="287"/>
      <c r="BH2078" s="287"/>
      <c r="BI2078" s="287"/>
      <c r="BJ2078" s="287"/>
      <c r="BM2078" s="447"/>
      <c r="BN2078" s="447"/>
      <c r="BR2078" s="447">
        <v>20.399999999999999</v>
      </c>
      <c r="BS2078" s="447">
        <v>19.399999999999999</v>
      </c>
      <c r="BV2078" s="291" t="s">
        <v>2105</v>
      </c>
      <c r="BW2078" s="291">
        <v>1.99</v>
      </c>
      <c r="BX2078" s="291">
        <v>1.45</v>
      </c>
      <c r="CA2078" s="291" t="s">
        <v>570</v>
      </c>
      <c r="IO2078" s="287" t="s">
        <v>2094</v>
      </c>
      <c r="IP2078" s="253" t="s">
        <v>2119</v>
      </c>
      <c r="IQ2078" s="292"/>
    </row>
    <row r="2079" spans="1:251" s="291" customFormat="1" x14ac:dyDescent="0.25">
      <c r="A2079" s="286">
        <v>93</v>
      </c>
      <c r="B2079" s="287" t="s">
        <v>769</v>
      </c>
      <c r="C2079" s="287" t="s">
        <v>2128</v>
      </c>
      <c r="D2079" s="287">
        <v>2002</v>
      </c>
      <c r="E2079" s="287">
        <v>1996</v>
      </c>
      <c r="F2079" s="287" t="s">
        <v>1756</v>
      </c>
      <c r="G2079" s="287" t="s">
        <v>2042</v>
      </c>
      <c r="H2079" s="278" t="s">
        <v>2831</v>
      </c>
      <c r="I2079" s="287">
        <v>32.57</v>
      </c>
      <c r="J2079" s="287">
        <v>-83.91</v>
      </c>
      <c r="K2079" s="287">
        <v>16</v>
      </c>
      <c r="L2079" s="287">
        <v>18.100000000000001</v>
      </c>
      <c r="M2079" s="287"/>
      <c r="N2079" s="287">
        <v>1258</v>
      </c>
      <c r="O2079" s="287"/>
      <c r="P2079" s="287"/>
      <c r="Q2079" s="287">
        <v>3</v>
      </c>
      <c r="R2079" s="288" t="s">
        <v>1991</v>
      </c>
      <c r="T2079" s="288" t="s">
        <v>2111</v>
      </c>
      <c r="U2079" s="287" t="s">
        <v>1383</v>
      </c>
      <c r="V2079" s="289">
        <v>20</v>
      </c>
      <c r="W2079" s="287" t="s">
        <v>1383</v>
      </c>
      <c r="X2079" s="287" t="s">
        <v>1383</v>
      </c>
      <c r="Y2079" s="290">
        <v>1.39</v>
      </c>
      <c r="Z2079" s="371">
        <v>65</v>
      </c>
      <c r="AA2079" s="371">
        <v>25</v>
      </c>
      <c r="AB2079" s="287" t="s">
        <v>241</v>
      </c>
      <c r="AC2079" s="287">
        <v>6.5</v>
      </c>
      <c r="AD2079" s="287">
        <f t="shared" si="283"/>
        <v>0.85971223021582732</v>
      </c>
      <c r="AE2079" s="287"/>
      <c r="AF2079" s="287" t="s">
        <v>2046</v>
      </c>
      <c r="AG2079" s="287" t="s">
        <v>2043</v>
      </c>
      <c r="AH2079" s="287" t="s">
        <v>578</v>
      </c>
      <c r="AI2079" s="287" t="s">
        <v>2045</v>
      </c>
      <c r="AJ2079" s="287" t="s">
        <v>1625</v>
      </c>
      <c r="AK2079" s="287" t="s">
        <v>2045</v>
      </c>
      <c r="AL2079" s="287" t="s">
        <v>2045</v>
      </c>
      <c r="AM2079" s="287" t="s">
        <v>178</v>
      </c>
      <c r="AN2079" s="287" t="s">
        <v>2122</v>
      </c>
      <c r="AO2079" s="287" t="s">
        <v>2122</v>
      </c>
      <c r="AP2079" s="291" t="s">
        <v>178</v>
      </c>
      <c r="AQ2079" s="287" t="s">
        <v>2048</v>
      </c>
      <c r="AR2079" s="287" t="s">
        <v>2048</v>
      </c>
      <c r="AS2079" s="291" t="s">
        <v>178</v>
      </c>
      <c r="AT2079" s="253" t="s">
        <v>161</v>
      </c>
      <c r="AU2079" s="287">
        <v>4</v>
      </c>
      <c r="AV2079" s="287">
        <v>4</v>
      </c>
      <c r="AW2079" s="253" t="s">
        <v>142</v>
      </c>
      <c r="AX2079" s="287"/>
      <c r="BA2079" s="287"/>
      <c r="BB2079" s="287"/>
      <c r="BH2079" s="287"/>
      <c r="BI2079" s="287"/>
      <c r="BJ2079" s="287"/>
      <c r="BM2079" s="447"/>
      <c r="BN2079" s="447"/>
      <c r="BR2079" s="447">
        <v>21.1</v>
      </c>
      <c r="BS2079" s="447">
        <v>23.2</v>
      </c>
      <c r="BV2079" s="291" t="s">
        <v>2105</v>
      </c>
      <c r="BW2079" s="291">
        <v>1.98</v>
      </c>
      <c r="BX2079" s="291">
        <v>2.0099999999999998</v>
      </c>
      <c r="CA2079" s="291" t="s">
        <v>570</v>
      </c>
      <c r="IO2079" s="287" t="s">
        <v>2094</v>
      </c>
      <c r="IP2079" s="253" t="s">
        <v>2119</v>
      </c>
      <c r="IQ2079" s="292"/>
    </row>
    <row r="2080" spans="1:251" s="291" customFormat="1" x14ac:dyDescent="0.25">
      <c r="A2080" s="286">
        <v>93</v>
      </c>
      <c r="B2080" s="287" t="s">
        <v>769</v>
      </c>
      <c r="C2080" s="287" t="s">
        <v>2128</v>
      </c>
      <c r="D2080" s="287">
        <v>2002</v>
      </c>
      <c r="E2080" s="287">
        <v>1997</v>
      </c>
      <c r="F2080" s="287" t="s">
        <v>1756</v>
      </c>
      <c r="G2080" s="287" t="s">
        <v>2042</v>
      </c>
      <c r="H2080" s="278" t="s">
        <v>2831</v>
      </c>
      <c r="I2080" s="287">
        <v>32.57</v>
      </c>
      <c r="J2080" s="287">
        <v>-83.91</v>
      </c>
      <c r="K2080" s="287">
        <v>16</v>
      </c>
      <c r="L2080" s="287">
        <v>18.100000000000001</v>
      </c>
      <c r="M2080" s="287"/>
      <c r="N2080" s="287">
        <v>1258</v>
      </c>
      <c r="O2080" s="287"/>
      <c r="P2080" s="287"/>
      <c r="Q2080" s="287">
        <v>4</v>
      </c>
      <c r="R2080" s="288" t="s">
        <v>1991</v>
      </c>
      <c r="T2080" s="288" t="s">
        <v>2111</v>
      </c>
      <c r="U2080" s="287" t="s">
        <v>1383</v>
      </c>
      <c r="V2080" s="289">
        <v>20</v>
      </c>
      <c r="W2080" s="287" t="s">
        <v>1383</v>
      </c>
      <c r="X2080" s="287" t="s">
        <v>1383</v>
      </c>
      <c r="Y2080" s="290">
        <v>1.39</v>
      </c>
      <c r="Z2080" s="371">
        <v>65</v>
      </c>
      <c r="AA2080" s="371">
        <v>25</v>
      </c>
      <c r="AB2080" s="287" t="s">
        <v>241</v>
      </c>
      <c r="AC2080" s="287">
        <v>6.5</v>
      </c>
      <c r="AD2080" s="287">
        <f t="shared" si="283"/>
        <v>0.85971223021582732</v>
      </c>
      <c r="AE2080" s="287"/>
      <c r="AF2080" s="287" t="s">
        <v>2046</v>
      </c>
      <c r="AG2080" s="287" t="s">
        <v>2043</v>
      </c>
      <c r="AH2080" s="287" t="s">
        <v>578</v>
      </c>
      <c r="AI2080" s="287" t="s">
        <v>2045</v>
      </c>
      <c r="AJ2080" s="287" t="s">
        <v>1625</v>
      </c>
      <c r="AK2080" s="287" t="s">
        <v>2045</v>
      </c>
      <c r="AL2080" s="287" t="s">
        <v>2045</v>
      </c>
      <c r="AM2080" s="287" t="s">
        <v>178</v>
      </c>
      <c r="AN2080" s="287" t="s">
        <v>2122</v>
      </c>
      <c r="AO2080" s="287" t="s">
        <v>2122</v>
      </c>
      <c r="AP2080" s="291" t="s">
        <v>178</v>
      </c>
      <c r="AQ2080" s="287" t="s">
        <v>2048</v>
      </c>
      <c r="AR2080" s="287" t="s">
        <v>2048</v>
      </c>
      <c r="AS2080" s="291" t="s">
        <v>178</v>
      </c>
      <c r="AT2080" s="253" t="s">
        <v>161</v>
      </c>
      <c r="AU2080" s="287">
        <v>4</v>
      </c>
      <c r="AV2080" s="287">
        <v>4</v>
      </c>
      <c r="AW2080" s="253" t="s">
        <v>142</v>
      </c>
      <c r="AX2080" s="287"/>
      <c r="AY2080" s="287"/>
      <c r="AZ2080" s="287"/>
      <c r="BA2080" s="287"/>
      <c r="BB2080" s="287"/>
      <c r="BH2080" s="287"/>
      <c r="BI2080" s="287"/>
      <c r="BJ2080" s="287"/>
      <c r="BM2080" s="447"/>
      <c r="BN2080" s="447"/>
      <c r="BR2080" s="447">
        <v>19.5</v>
      </c>
      <c r="BS2080" s="447">
        <v>19.399999999999999</v>
      </c>
      <c r="BV2080" s="291" t="s">
        <v>2105</v>
      </c>
      <c r="BW2080" s="291">
        <v>1.44</v>
      </c>
      <c r="BX2080" s="291">
        <v>1.52</v>
      </c>
      <c r="CA2080" s="291" t="s">
        <v>570</v>
      </c>
      <c r="IO2080" s="287" t="s">
        <v>2094</v>
      </c>
      <c r="IP2080" s="253" t="s">
        <v>2119</v>
      </c>
      <c r="IQ2080" s="292"/>
    </row>
    <row r="2081" spans="1:251" s="291" customFormat="1" x14ac:dyDescent="0.25">
      <c r="A2081" s="286">
        <v>93</v>
      </c>
      <c r="B2081" s="287" t="s">
        <v>769</v>
      </c>
      <c r="C2081" s="287" t="s">
        <v>2128</v>
      </c>
      <c r="D2081" s="287">
        <v>2002</v>
      </c>
      <c r="E2081" s="287">
        <v>1998</v>
      </c>
      <c r="F2081" s="287" t="s">
        <v>1756</v>
      </c>
      <c r="G2081" s="287" t="s">
        <v>2042</v>
      </c>
      <c r="H2081" s="278" t="s">
        <v>2831</v>
      </c>
      <c r="I2081" s="287">
        <v>32.57</v>
      </c>
      <c r="J2081" s="287">
        <v>-83.91</v>
      </c>
      <c r="K2081" s="287">
        <v>16</v>
      </c>
      <c r="L2081" s="287">
        <v>18.100000000000001</v>
      </c>
      <c r="M2081" s="287"/>
      <c r="N2081" s="287">
        <v>1258</v>
      </c>
      <c r="O2081" s="287"/>
      <c r="P2081" s="287"/>
      <c r="Q2081" s="287">
        <v>5</v>
      </c>
      <c r="R2081" s="288" t="s">
        <v>1991</v>
      </c>
      <c r="T2081" s="288" t="s">
        <v>2111</v>
      </c>
      <c r="U2081" s="287" t="s">
        <v>1383</v>
      </c>
      <c r="V2081" s="289">
        <v>20</v>
      </c>
      <c r="W2081" s="287" t="s">
        <v>1383</v>
      </c>
      <c r="X2081" s="287" t="s">
        <v>1383</v>
      </c>
      <c r="Y2081" s="290">
        <v>1.39</v>
      </c>
      <c r="Z2081" s="371">
        <v>65</v>
      </c>
      <c r="AA2081" s="371">
        <v>25</v>
      </c>
      <c r="AB2081" s="287" t="s">
        <v>241</v>
      </c>
      <c r="AC2081" s="287">
        <v>6.5</v>
      </c>
      <c r="AD2081" s="287">
        <f t="shared" si="283"/>
        <v>0.85971223021582732</v>
      </c>
      <c r="AE2081" s="287"/>
      <c r="AF2081" s="287" t="s">
        <v>2046</v>
      </c>
      <c r="AG2081" s="287" t="s">
        <v>2043</v>
      </c>
      <c r="AH2081" s="287" t="s">
        <v>578</v>
      </c>
      <c r="AI2081" s="287" t="s">
        <v>2045</v>
      </c>
      <c r="AJ2081" s="287" t="s">
        <v>1625</v>
      </c>
      <c r="AK2081" s="287" t="s">
        <v>2045</v>
      </c>
      <c r="AL2081" s="287" t="s">
        <v>2045</v>
      </c>
      <c r="AM2081" s="287" t="s">
        <v>178</v>
      </c>
      <c r="AN2081" s="287" t="s">
        <v>2122</v>
      </c>
      <c r="AO2081" s="287" t="s">
        <v>2122</v>
      </c>
      <c r="AP2081" s="291" t="s">
        <v>178</v>
      </c>
      <c r="AQ2081" s="287" t="s">
        <v>2048</v>
      </c>
      <c r="AR2081" s="287" t="s">
        <v>2048</v>
      </c>
      <c r="AS2081" s="291" t="s">
        <v>178</v>
      </c>
      <c r="AT2081" s="253" t="s">
        <v>161</v>
      </c>
      <c r="AU2081" s="287">
        <v>4</v>
      </c>
      <c r="AV2081" s="287">
        <v>4</v>
      </c>
      <c r="AW2081" s="253" t="s">
        <v>142</v>
      </c>
      <c r="AX2081" s="287"/>
      <c r="AY2081" s="287"/>
      <c r="AZ2081" s="287"/>
      <c r="BA2081" s="287"/>
      <c r="BB2081" s="287"/>
      <c r="BH2081" s="287"/>
      <c r="BI2081" s="287"/>
      <c r="BJ2081" s="287"/>
      <c r="BM2081" s="447"/>
      <c r="BN2081" s="447"/>
      <c r="BR2081" s="447">
        <v>20.100000000000001</v>
      </c>
      <c r="BS2081" s="447">
        <v>21.9</v>
      </c>
      <c r="BV2081" s="291" t="s">
        <v>2105</v>
      </c>
      <c r="BW2081" s="291">
        <v>1.62</v>
      </c>
      <c r="BX2081" s="291">
        <v>1.6</v>
      </c>
      <c r="CA2081" s="291" t="s">
        <v>570</v>
      </c>
      <c r="IO2081" s="287" t="s">
        <v>2094</v>
      </c>
      <c r="IP2081" s="253" t="s">
        <v>2119</v>
      </c>
      <c r="IQ2081" s="292"/>
    </row>
    <row r="2082" spans="1:251" s="291" customFormat="1" x14ac:dyDescent="0.25">
      <c r="A2082" s="286">
        <v>93</v>
      </c>
      <c r="B2082" s="287" t="s">
        <v>769</v>
      </c>
      <c r="C2082" s="287" t="s">
        <v>2128</v>
      </c>
      <c r="D2082" s="287">
        <v>2002</v>
      </c>
      <c r="E2082" s="287">
        <v>1999</v>
      </c>
      <c r="F2082" s="287" t="s">
        <v>1756</v>
      </c>
      <c r="G2082" s="287" t="s">
        <v>2042</v>
      </c>
      <c r="H2082" s="278" t="s">
        <v>2831</v>
      </c>
      <c r="I2082" s="287">
        <v>32.57</v>
      </c>
      <c r="J2082" s="287">
        <v>-83.91</v>
      </c>
      <c r="K2082" s="287">
        <v>16</v>
      </c>
      <c r="L2082" s="287">
        <v>18.100000000000001</v>
      </c>
      <c r="M2082" s="287"/>
      <c r="N2082" s="287">
        <v>1258</v>
      </c>
      <c r="O2082" s="287"/>
      <c r="P2082" s="287"/>
      <c r="Q2082" s="287">
        <v>6</v>
      </c>
      <c r="R2082" s="288" t="s">
        <v>1991</v>
      </c>
      <c r="T2082" s="288" t="s">
        <v>2111</v>
      </c>
      <c r="U2082" s="287" t="s">
        <v>1383</v>
      </c>
      <c r="V2082" s="289">
        <v>20</v>
      </c>
      <c r="W2082" s="287" t="s">
        <v>1383</v>
      </c>
      <c r="X2082" s="287" t="s">
        <v>1383</v>
      </c>
      <c r="Y2082" s="290">
        <v>1.39</v>
      </c>
      <c r="Z2082" s="371">
        <v>65</v>
      </c>
      <c r="AA2082" s="371">
        <v>25</v>
      </c>
      <c r="AB2082" s="287" t="s">
        <v>241</v>
      </c>
      <c r="AC2082" s="287">
        <v>6.5</v>
      </c>
      <c r="AD2082" s="287">
        <f t="shared" si="283"/>
        <v>0.85971223021582732</v>
      </c>
      <c r="AE2082" s="287"/>
      <c r="AF2082" s="287" t="s">
        <v>2046</v>
      </c>
      <c r="AG2082" s="287" t="s">
        <v>2043</v>
      </c>
      <c r="AH2082" s="287" t="s">
        <v>578</v>
      </c>
      <c r="AI2082" s="287" t="s">
        <v>2116</v>
      </c>
      <c r="AJ2082" s="287" t="s">
        <v>1625</v>
      </c>
      <c r="AK2082" s="287" t="s">
        <v>2045</v>
      </c>
      <c r="AL2082" s="287" t="s">
        <v>2045</v>
      </c>
      <c r="AM2082" s="287" t="s">
        <v>178</v>
      </c>
      <c r="AN2082" s="287" t="s">
        <v>2122</v>
      </c>
      <c r="AO2082" s="287" t="s">
        <v>2122</v>
      </c>
      <c r="AP2082" s="291" t="s">
        <v>178</v>
      </c>
      <c r="AQ2082" s="287" t="s">
        <v>2048</v>
      </c>
      <c r="AR2082" s="287" t="s">
        <v>2048</v>
      </c>
      <c r="AS2082" s="291" t="s">
        <v>178</v>
      </c>
      <c r="AT2082" s="253" t="s">
        <v>161</v>
      </c>
      <c r="AU2082" s="287">
        <v>4</v>
      </c>
      <c r="AV2082" s="287">
        <v>4</v>
      </c>
      <c r="AW2082" s="253" t="s">
        <v>142</v>
      </c>
      <c r="AX2082" s="287"/>
      <c r="AY2082" s="287"/>
      <c r="AZ2082" s="287"/>
      <c r="BA2082" s="287"/>
      <c r="BB2082" s="287"/>
      <c r="BH2082" s="287"/>
      <c r="BI2082" s="287"/>
      <c r="BJ2082" s="287"/>
      <c r="BM2082" s="447"/>
      <c r="BN2082" s="447"/>
      <c r="BR2082" s="447">
        <v>20.100000000000001</v>
      </c>
      <c r="BS2082" s="447">
        <v>20.8</v>
      </c>
      <c r="BV2082" s="291" t="s">
        <v>2105</v>
      </c>
      <c r="BW2082" s="291">
        <v>1.55</v>
      </c>
      <c r="BX2082" s="291">
        <v>1.41</v>
      </c>
      <c r="CA2082" s="291" t="s">
        <v>570</v>
      </c>
      <c r="IO2082" s="287" t="s">
        <v>2094</v>
      </c>
      <c r="IP2082" s="253" t="s">
        <v>2119</v>
      </c>
      <c r="IQ2082" s="292"/>
    </row>
    <row r="2083" spans="1:251" s="92" customFormat="1" x14ac:dyDescent="0.25">
      <c r="A2083" s="252">
        <v>93</v>
      </c>
      <c r="B2083" s="253" t="s">
        <v>769</v>
      </c>
      <c r="C2083" s="253" t="s">
        <v>2128</v>
      </c>
      <c r="D2083" s="253">
        <v>2002</v>
      </c>
      <c r="E2083" s="253">
        <v>1994</v>
      </c>
      <c r="F2083" s="253" t="s">
        <v>1756</v>
      </c>
      <c r="G2083" s="253" t="s">
        <v>2042</v>
      </c>
      <c r="H2083" s="278" t="s">
        <v>2831</v>
      </c>
      <c r="I2083" s="253">
        <v>32.57</v>
      </c>
      <c r="J2083" s="253">
        <v>-83.91</v>
      </c>
      <c r="K2083" s="253">
        <v>16</v>
      </c>
      <c r="L2083" s="253">
        <v>18.100000000000001</v>
      </c>
      <c r="M2083" s="253"/>
      <c r="N2083" s="253">
        <v>1258</v>
      </c>
      <c r="O2083" s="253"/>
      <c r="P2083" s="253"/>
      <c r="Q2083" s="253">
        <v>1</v>
      </c>
      <c r="R2083" s="255" t="s">
        <v>1991</v>
      </c>
      <c r="T2083" s="255" t="s">
        <v>2111</v>
      </c>
      <c r="U2083" s="253" t="s">
        <v>1383</v>
      </c>
      <c r="V2083" s="256">
        <v>20</v>
      </c>
      <c r="W2083" s="253" t="s">
        <v>1383</v>
      </c>
      <c r="X2083" s="253" t="s">
        <v>1383</v>
      </c>
      <c r="Y2083" s="257">
        <v>1.39</v>
      </c>
      <c r="Z2083" s="372">
        <v>65</v>
      </c>
      <c r="AA2083" s="372">
        <v>25</v>
      </c>
      <c r="AB2083" s="253" t="s">
        <v>241</v>
      </c>
      <c r="AC2083" s="253">
        <v>6.5</v>
      </c>
      <c r="AD2083" s="253">
        <f t="shared" ref="AD2083:AD2094" si="284">23.9/(100*100*Y2083*0.2)*100</f>
        <v>0.85971223021582732</v>
      </c>
      <c r="AE2083" s="253"/>
      <c r="AF2083" s="253" t="s">
        <v>2046</v>
      </c>
      <c r="AG2083" s="253" t="s">
        <v>2043</v>
      </c>
      <c r="AH2083" s="253" t="s">
        <v>578</v>
      </c>
      <c r="AI2083" s="253" t="s">
        <v>2045</v>
      </c>
      <c r="AJ2083" s="253" t="s">
        <v>1625</v>
      </c>
      <c r="AK2083" s="253" t="s">
        <v>2045</v>
      </c>
      <c r="AL2083" s="253" t="s">
        <v>2045</v>
      </c>
      <c r="AM2083" s="253" t="s">
        <v>178</v>
      </c>
      <c r="AN2083" s="253" t="s">
        <v>2122</v>
      </c>
      <c r="AO2083" s="253" t="s">
        <v>2122</v>
      </c>
      <c r="AP2083" s="291" t="s">
        <v>178</v>
      </c>
      <c r="AQ2083" s="253" t="s">
        <v>2047</v>
      </c>
      <c r="AR2083" s="253" t="s">
        <v>2047</v>
      </c>
      <c r="AS2083" s="291" t="s">
        <v>178</v>
      </c>
      <c r="AT2083" s="253" t="s">
        <v>161</v>
      </c>
      <c r="AU2083" s="253">
        <v>4</v>
      </c>
      <c r="AV2083" s="253">
        <v>4</v>
      </c>
      <c r="AW2083" s="253" t="s">
        <v>142</v>
      </c>
      <c r="AX2083" s="253"/>
      <c r="BA2083" s="253"/>
      <c r="BB2083" s="253"/>
      <c r="BH2083" s="253"/>
      <c r="BI2083" s="253"/>
      <c r="BJ2083" s="253"/>
      <c r="BM2083" s="438"/>
      <c r="BN2083" s="438"/>
      <c r="BR2083" s="438">
        <v>23.9</v>
      </c>
      <c r="BS2083" s="438">
        <v>23.9</v>
      </c>
      <c r="BV2083" s="92" t="s">
        <v>2105</v>
      </c>
      <c r="BW2083" s="92">
        <v>1.95</v>
      </c>
      <c r="BX2083" s="92">
        <v>1.95</v>
      </c>
      <c r="CA2083" s="92" t="s">
        <v>570</v>
      </c>
      <c r="IO2083" s="253" t="s">
        <v>2094</v>
      </c>
      <c r="IP2083" s="253" t="s">
        <v>2119</v>
      </c>
      <c r="IQ2083" s="259"/>
    </row>
    <row r="2084" spans="1:251" s="92" customFormat="1" x14ac:dyDescent="0.25">
      <c r="A2084" s="252">
        <v>93</v>
      </c>
      <c r="B2084" s="253" t="s">
        <v>769</v>
      </c>
      <c r="C2084" s="253" t="s">
        <v>2128</v>
      </c>
      <c r="D2084" s="253">
        <v>2002</v>
      </c>
      <c r="E2084" s="253">
        <v>1995</v>
      </c>
      <c r="F2084" s="253" t="s">
        <v>1756</v>
      </c>
      <c r="G2084" s="253" t="s">
        <v>2042</v>
      </c>
      <c r="H2084" s="278" t="s">
        <v>2831</v>
      </c>
      <c r="I2084" s="253">
        <v>32.57</v>
      </c>
      <c r="J2084" s="253">
        <v>-83.91</v>
      </c>
      <c r="K2084" s="253">
        <v>16</v>
      </c>
      <c r="L2084" s="253">
        <v>18.100000000000001</v>
      </c>
      <c r="M2084" s="253"/>
      <c r="N2084" s="253">
        <v>1258</v>
      </c>
      <c r="O2084" s="253"/>
      <c r="P2084" s="253"/>
      <c r="Q2084" s="253">
        <v>2</v>
      </c>
      <c r="R2084" s="255" t="s">
        <v>1991</v>
      </c>
      <c r="T2084" s="255" t="s">
        <v>2111</v>
      </c>
      <c r="U2084" s="253" t="s">
        <v>1383</v>
      </c>
      <c r="V2084" s="256">
        <v>20</v>
      </c>
      <c r="W2084" s="253" t="s">
        <v>1383</v>
      </c>
      <c r="X2084" s="253" t="s">
        <v>1383</v>
      </c>
      <c r="Y2084" s="257">
        <v>1.39</v>
      </c>
      <c r="Z2084" s="372">
        <v>65</v>
      </c>
      <c r="AA2084" s="372">
        <v>25</v>
      </c>
      <c r="AB2084" s="253" t="s">
        <v>241</v>
      </c>
      <c r="AC2084" s="253">
        <v>6.5</v>
      </c>
      <c r="AD2084" s="253">
        <f t="shared" si="284"/>
        <v>0.85971223021582732</v>
      </c>
      <c r="AE2084" s="253"/>
      <c r="AF2084" s="253" t="s">
        <v>2046</v>
      </c>
      <c r="AG2084" s="253" t="s">
        <v>2043</v>
      </c>
      <c r="AH2084" s="253" t="s">
        <v>578</v>
      </c>
      <c r="AI2084" s="253" t="s">
        <v>2045</v>
      </c>
      <c r="AJ2084" s="253" t="s">
        <v>1625</v>
      </c>
      <c r="AK2084" s="253" t="s">
        <v>2045</v>
      </c>
      <c r="AL2084" s="253" t="s">
        <v>2045</v>
      </c>
      <c r="AM2084" s="253" t="s">
        <v>178</v>
      </c>
      <c r="AN2084" s="253" t="s">
        <v>2122</v>
      </c>
      <c r="AO2084" s="253" t="s">
        <v>2122</v>
      </c>
      <c r="AP2084" s="291" t="s">
        <v>178</v>
      </c>
      <c r="AQ2084" s="253" t="s">
        <v>2047</v>
      </c>
      <c r="AR2084" s="253" t="s">
        <v>2047</v>
      </c>
      <c r="AS2084" s="291" t="s">
        <v>178</v>
      </c>
      <c r="AT2084" s="253" t="s">
        <v>161</v>
      </c>
      <c r="AU2084" s="253">
        <v>4</v>
      </c>
      <c r="AV2084" s="253">
        <v>4</v>
      </c>
      <c r="AW2084" s="253" t="s">
        <v>142</v>
      </c>
      <c r="AX2084" s="253"/>
      <c r="AY2084" s="253"/>
      <c r="AZ2084" s="253"/>
      <c r="BA2084" s="253"/>
      <c r="BB2084" s="253"/>
      <c r="BH2084" s="253"/>
      <c r="BI2084" s="253"/>
      <c r="BJ2084" s="253"/>
      <c r="BM2084" s="438"/>
      <c r="BN2084" s="438"/>
      <c r="BR2084" s="438">
        <v>17</v>
      </c>
      <c r="BS2084" s="438">
        <v>18</v>
      </c>
      <c r="BV2084" s="92" t="s">
        <v>2105</v>
      </c>
      <c r="BW2084" s="92">
        <v>1.31</v>
      </c>
      <c r="BX2084" s="92">
        <v>1.38</v>
      </c>
      <c r="CA2084" s="92" t="s">
        <v>570</v>
      </c>
      <c r="IO2084" s="253" t="s">
        <v>2094</v>
      </c>
      <c r="IP2084" s="253" t="s">
        <v>2119</v>
      </c>
      <c r="IQ2084" s="259"/>
    </row>
    <row r="2085" spans="1:251" s="92" customFormat="1" x14ac:dyDescent="0.25">
      <c r="A2085" s="252">
        <v>93</v>
      </c>
      <c r="B2085" s="253" t="s">
        <v>769</v>
      </c>
      <c r="C2085" s="253" t="s">
        <v>2128</v>
      </c>
      <c r="D2085" s="253">
        <v>2002</v>
      </c>
      <c r="E2085" s="253">
        <v>1996</v>
      </c>
      <c r="F2085" s="253" t="s">
        <v>1756</v>
      </c>
      <c r="G2085" s="253" t="s">
        <v>2042</v>
      </c>
      <c r="H2085" s="278" t="s">
        <v>2831</v>
      </c>
      <c r="I2085" s="253">
        <v>32.57</v>
      </c>
      <c r="J2085" s="253">
        <v>-83.91</v>
      </c>
      <c r="K2085" s="253">
        <v>16</v>
      </c>
      <c r="L2085" s="253">
        <v>18.100000000000001</v>
      </c>
      <c r="M2085" s="253"/>
      <c r="N2085" s="253">
        <v>1258</v>
      </c>
      <c r="O2085" s="253"/>
      <c r="P2085" s="253"/>
      <c r="Q2085" s="253">
        <v>3</v>
      </c>
      <c r="R2085" s="255" t="s">
        <v>1991</v>
      </c>
      <c r="T2085" s="255" t="s">
        <v>2111</v>
      </c>
      <c r="U2085" s="253" t="s">
        <v>1383</v>
      </c>
      <c r="V2085" s="256">
        <v>20</v>
      </c>
      <c r="W2085" s="253" t="s">
        <v>1383</v>
      </c>
      <c r="X2085" s="253" t="s">
        <v>1383</v>
      </c>
      <c r="Y2085" s="257">
        <v>1.39</v>
      </c>
      <c r="Z2085" s="372">
        <v>65</v>
      </c>
      <c r="AA2085" s="372">
        <v>25</v>
      </c>
      <c r="AB2085" s="253" t="s">
        <v>241</v>
      </c>
      <c r="AC2085" s="253">
        <v>6.5</v>
      </c>
      <c r="AD2085" s="253">
        <f t="shared" si="284"/>
        <v>0.85971223021582732</v>
      </c>
      <c r="AE2085" s="253"/>
      <c r="AF2085" s="253" t="s">
        <v>2046</v>
      </c>
      <c r="AG2085" s="253" t="s">
        <v>2043</v>
      </c>
      <c r="AH2085" s="253" t="s">
        <v>578</v>
      </c>
      <c r="AI2085" s="253" t="s">
        <v>2045</v>
      </c>
      <c r="AJ2085" s="253" t="s">
        <v>1625</v>
      </c>
      <c r="AK2085" s="253" t="s">
        <v>2045</v>
      </c>
      <c r="AL2085" s="253" t="s">
        <v>2045</v>
      </c>
      <c r="AM2085" s="253" t="s">
        <v>178</v>
      </c>
      <c r="AN2085" s="253" t="s">
        <v>2122</v>
      </c>
      <c r="AO2085" s="253" t="s">
        <v>2122</v>
      </c>
      <c r="AP2085" s="291" t="s">
        <v>178</v>
      </c>
      <c r="AQ2085" s="253" t="s">
        <v>2047</v>
      </c>
      <c r="AR2085" s="253" t="s">
        <v>2047</v>
      </c>
      <c r="AS2085" s="291" t="s">
        <v>178</v>
      </c>
      <c r="AT2085" s="253" t="s">
        <v>161</v>
      </c>
      <c r="AU2085" s="253">
        <v>4</v>
      </c>
      <c r="AV2085" s="253">
        <v>4</v>
      </c>
      <c r="AW2085" s="253" t="s">
        <v>142</v>
      </c>
      <c r="AX2085" s="253"/>
      <c r="BA2085" s="253"/>
      <c r="BB2085" s="253"/>
      <c r="BH2085" s="253"/>
      <c r="BI2085" s="253"/>
      <c r="BJ2085" s="253"/>
      <c r="BM2085" s="438"/>
      <c r="BN2085" s="438"/>
      <c r="BR2085" s="438">
        <v>19.7</v>
      </c>
      <c r="BS2085" s="438">
        <v>17.899999999999999</v>
      </c>
      <c r="BV2085" s="92" t="s">
        <v>2105</v>
      </c>
      <c r="BW2085" s="92">
        <v>1.68</v>
      </c>
      <c r="BX2085" s="92">
        <v>1.58</v>
      </c>
      <c r="CA2085" s="92" t="s">
        <v>570</v>
      </c>
      <c r="IO2085" s="253" t="s">
        <v>2094</v>
      </c>
      <c r="IP2085" s="253" t="s">
        <v>2119</v>
      </c>
      <c r="IQ2085" s="259"/>
    </row>
    <row r="2086" spans="1:251" s="92" customFormat="1" x14ac:dyDescent="0.25">
      <c r="A2086" s="252">
        <v>93</v>
      </c>
      <c r="B2086" s="253" t="s">
        <v>769</v>
      </c>
      <c r="C2086" s="253" t="s">
        <v>2128</v>
      </c>
      <c r="D2086" s="253">
        <v>2002</v>
      </c>
      <c r="E2086" s="253">
        <v>1997</v>
      </c>
      <c r="F2086" s="253" t="s">
        <v>1756</v>
      </c>
      <c r="G2086" s="253" t="s">
        <v>2042</v>
      </c>
      <c r="H2086" s="278" t="s">
        <v>2831</v>
      </c>
      <c r="I2086" s="253">
        <v>32.57</v>
      </c>
      <c r="J2086" s="253">
        <v>-83.91</v>
      </c>
      <c r="K2086" s="253">
        <v>16</v>
      </c>
      <c r="L2086" s="253">
        <v>18.100000000000001</v>
      </c>
      <c r="M2086" s="253"/>
      <c r="N2086" s="253">
        <v>1258</v>
      </c>
      <c r="O2086" s="253"/>
      <c r="P2086" s="253"/>
      <c r="Q2086" s="253">
        <v>4</v>
      </c>
      <c r="R2086" s="255" t="s">
        <v>1991</v>
      </c>
      <c r="T2086" s="255" t="s">
        <v>2111</v>
      </c>
      <c r="U2086" s="253" t="s">
        <v>1383</v>
      </c>
      <c r="V2086" s="256">
        <v>20</v>
      </c>
      <c r="W2086" s="253" t="s">
        <v>1383</v>
      </c>
      <c r="X2086" s="253" t="s">
        <v>1383</v>
      </c>
      <c r="Y2086" s="257">
        <v>1.39</v>
      </c>
      <c r="Z2086" s="372">
        <v>65</v>
      </c>
      <c r="AA2086" s="372">
        <v>25</v>
      </c>
      <c r="AB2086" s="253" t="s">
        <v>241</v>
      </c>
      <c r="AC2086" s="253">
        <v>6.5</v>
      </c>
      <c r="AD2086" s="253">
        <f t="shared" si="284"/>
        <v>0.85971223021582732</v>
      </c>
      <c r="AE2086" s="253"/>
      <c r="AF2086" s="253" t="s">
        <v>2046</v>
      </c>
      <c r="AG2086" s="253" t="s">
        <v>2043</v>
      </c>
      <c r="AH2086" s="253" t="s">
        <v>578</v>
      </c>
      <c r="AI2086" s="253" t="s">
        <v>2045</v>
      </c>
      <c r="AJ2086" s="253" t="s">
        <v>1625</v>
      </c>
      <c r="AK2086" s="253" t="s">
        <v>2045</v>
      </c>
      <c r="AL2086" s="253" t="s">
        <v>2045</v>
      </c>
      <c r="AM2086" s="253" t="s">
        <v>178</v>
      </c>
      <c r="AN2086" s="253" t="s">
        <v>2122</v>
      </c>
      <c r="AO2086" s="253" t="s">
        <v>2122</v>
      </c>
      <c r="AP2086" s="291" t="s">
        <v>178</v>
      </c>
      <c r="AQ2086" s="253" t="s">
        <v>2047</v>
      </c>
      <c r="AR2086" s="253" t="s">
        <v>2047</v>
      </c>
      <c r="AS2086" s="291" t="s">
        <v>178</v>
      </c>
      <c r="AT2086" s="253" t="s">
        <v>161</v>
      </c>
      <c r="AU2086" s="253">
        <v>4</v>
      </c>
      <c r="AV2086" s="253">
        <v>4</v>
      </c>
      <c r="AW2086" s="253" t="s">
        <v>142</v>
      </c>
      <c r="AX2086" s="253"/>
      <c r="AY2086" s="253"/>
      <c r="AZ2086" s="253"/>
      <c r="BA2086" s="253"/>
      <c r="BB2086" s="253"/>
      <c r="BH2086" s="253"/>
      <c r="BI2086" s="253"/>
      <c r="BJ2086" s="253"/>
      <c r="BM2086" s="438"/>
      <c r="BN2086" s="438"/>
      <c r="BR2086" s="438">
        <v>18.100000000000001</v>
      </c>
      <c r="BS2086" s="438">
        <v>18.2</v>
      </c>
      <c r="BV2086" s="92" t="s">
        <v>2105</v>
      </c>
      <c r="BW2086" s="92">
        <v>1.4</v>
      </c>
      <c r="BX2086" s="92">
        <v>1.49</v>
      </c>
      <c r="CA2086" s="92" t="s">
        <v>570</v>
      </c>
      <c r="IO2086" s="253" t="s">
        <v>2094</v>
      </c>
      <c r="IP2086" s="253" t="s">
        <v>2119</v>
      </c>
      <c r="IQ2086" s="259"/>
    </row>
    <row r="2087" spans="1:251" s="92" customFormat="1" x14ac:dyDescent="0.25">
      <c r="A2087" s="252">
        <v>93</v>
      </c>
      <c r="B2087" s="253" t="s">
        <v>769</v>
      </c>
      <c r="C2087" s="253" t="s">
        <v>2128</v>
      </c>
      <c r="D2087" s="253">
        <v>2002</v>
      </c>
      <c r="E2087" s="253">
        <v>1998</v>
      </c>
      <c r="F2087" s="253" t="s">
        <v>1756</v>
      </c>
      <c r="G2087" s="253" t="s">
        <v>2042</v>
      </c>
      <c r="H2087" s="278" t="s">
        <v>2831</v>
      </c>
      <c r="I2087" s="253">
        <v>32.57</v>
      </c>
      <c r="J2087" s="253">
        <v>-83.91</v>
      </c>
      <c r="K2087" s="253">
        <v>16</v>
      </c>
      <c r="L2087" s="253">
        <v>18.100000000000001</v>
      </c>
      <c r="M2087" s="253"/>
      <c r="N2087" s="253">
        <v>1258</v>
      </c>
      <c r="O2087" s="253"/>
      <c r="P2087" s="253"/>
      <c r="Q2087" s="253">
        <v>5</v>
      </c>
      <c r="R2087" s="255" t="s">
        <v>1991</v>
      </c>
      <c r="T2087" s="255" t="s">
        <v>2111</v>
      </c>
      <c r="U2087" s="253" t="s">
        <v>1383</v>
      </c>
      <c r="V2087" s="256">
        <v>20</v>
      </c>
      <c r="W2087" s="253" t="s">
        <v>1383</v>
      </c>
      <c r="X2087" s="253" t="s">
        <v>1383</v>
      </c>
      <c r="Y2087" s="257">
        <v>1.39</v>
      </c>
      <c r="Z2087" s="372">
        <v>65</v>
      </c>
      <c r="AA2087" s="372">
        <v>25</v>
      </c>
      <c r="AB2087" s="253" t="s">
        <v>241</v>
      </c>
      <c r="AC2087" s="253">
        <v>6.5</v>
      </c>
      <c r="AD2087" s="253">
        <f t="shared" si="284"/>
        <v>0.85971223021582732</v>
      </c>
      <c r="AE2087" s="253"/>
      <c r="AF2087" s="253" t="s">
        <v>2046</v>
      </c>
      <c r="AG2087" s="253" t="s">
        <v>2043</v>
      </c>
      <c r="AH2087" s="253" t="s">
        <v>578</v>
      </c>
      <c r="AI2087" s="253" t="s">
        <v>2045</v>
      </c>
      <c r="AJ2087" s="253" t="s">
        <v>1625</v>
      </c>
      <c r="AK2087" s="253" t="s">
        <v>2045</v>
      </c>
      <c r="AL2087" s="253" t="s">
        <v>2045</v>
      </c>
      <c r="AM2087" s="253" t="s">
        <v>178</v>
      </c>
      <c r="AN2087" s="253" t="s">
        <v>2122</v>
      </c>
      <c r="AO2087" s="253" t="s">
        <v>2122</v>
      </c>
      <c r="AP2087" s="291" t="s">
        <v>178</v>
      </c>
      <c r="AQ2087" s="253" t="s">
        <v>2047</v>
      </c>
      <c r="AR2087" s="253" t="s">
        <v>2047</v>
      </c>
      <c r="AS2087" s="291" t="s">
        <v>178</v>
      </c>
      <c r="AT2087" s="253" t="s">
        <v>161</v>
      </c>
      <c r="AU2087" s="253">
        <v>4</v>
      </c>
      <c r="AV2087" s="253">
        <v>4</v>
      </c>
      <c r="AW2087" s="253" t="s">
        <v>142</v>
      </c>
      <c r="AX2087" s="253"/>
      <c r="AY2087" s="253"/>
      <c r="AZ2087" s="253"/>
      <c r="BA2087" s="253"/>
      <c r="BB2087" s="253"/>
      <c r="BH2087" s="253"/>
      <c r="BI2087" s="253"/>
      <c r="BJ2087" s="253"/>
      <c r="BM2087" s="438"/>
      <c r="BN2087" s="438"/>
      <c r="BR2087" s="438">
        <v>20.100000000000001</v>
      </c>
      <c r="BS2087" s="438">
        <v>22.1</v>
      </c>
      <c r="BV2087" s="92" t="s">
        <v>2105</v>
      </c>
      <c r="BW2087" s="92">
        <v>1.63</v>
      </c>
      <c r="BX2087" s="92">
        <v>1.64</v>
      </c>
      <c r="CA2087" s="92" t="s">
        <v>570</v>
      </c>
      <c r="IO2087" s="253" t="s">
        <v>2094</v>
      </c>
      <c r="IP2087" s="253" t="s">
        <v>2119</v>
      </c>
      <c r="IQ2087" s="259"/>
    </row>
    <row r="2088" spans="1:251" s="92" customFormat="1" x14ac:dyDescent="0.25">
      <c r="A2088" s="252">
        <v>93</v>
      </c>
      <c r="B2088" s="253" t="s">
        <v>769</v>
      </c>
      <c r="C2088" s="253" t="s">
        <v>2128</v>
      </c>
      <c r="D2088" s="253">
        <v>2002</v>
      </c>
      <c r="E2088" s="253">
        <v>1999</v>
      </c>
      <c r="F2088" s="253" t="s">
        <v>1756</v>
      </c>
      <c r="G2088" s="253" t="s">
        <v>2042</v>
      </c>
      <c r="H2088" s="278" t="s">
        <v>2831</v>
      </c>
      <c r="I2088" s="253">
        <v>32.57</v>
      </c>
      <c r="J2088" s="253">
        <v>-83.91</v>
      </c>
      <c r="K2088" s="253">
        <v>16</v>
      </c>
      <c r="L2088" s="253">
        <v>18.100000000000001</v>
      </c>
      <c r="M2088" s="253"/>
      <c r="N2088" s="253">
        <v>1258</v>
      </c>
      <c r="O2088" s="253"/>
      <c r="P2088" s="253"/>
      <c r="Q2088" s="253">
        <v>6</v>
      </c>
      <c r="R2088" s="255" t="s">
        <v>1991</v>
      </c>
      <c r="T2088" s="255" t="s">
        <v>2111</v>
      </c>
      <c r="U2088" s="253" t="s">
        <v>1383</v>
      </c>
      <c r="V2088" s="256">
        <v>20</v>
      </c>
      <c r="W2088" s="253" t="s">
        <v>1383</v>
      </c>
      <c r="X2088" s="253" t="s">
        <v>1383</v>
      </c>
      <c r="Y2088" s="257">
        <v>1.39</v>
      </c>
      <c r="Z2088" s="372">
        <v>65</v>
      </c>
      <c r="AA2088" s="372">
        <v>25</v>
      </c>
      <c r="AB2088" s="253" t="s">
        <v>241</v>
      </c>
      <c r="AC2088" s="253">
        <v>6.5</v>
      </c>
      <c r="AD2088" s="253">
        <f t="shared" si="284"/>
        <v>0.85971223021582732</v>
      </c>
      <c r="AE2088" s="253"/>
      <c r="AF2088" s="253" t="s">
        <v>2046</v>
      </c>
      <c r="AG2088" s="253" t="s">
        <v>2043</v>
      </c>
      <c r="AH2088" s="253" t="s">
        <v>578</v>
      </c>
      <c r="AI2088" s="253" t="s">
        <v>2116</v>
      </c>
      <c r="AJ2088" s="253" t="s">
        <v>1625</v>
      </c>
      <c r="AK2088" s="253" t="s">
        <v>2045</v>
      </c>
      <c r="AL2088" s="253" t="s">
        <v>2045</v>
      </c>
      <c r="AM2088" s="253" t="s">
        <v>178</v>
      </c>
      <c r="AN2088" s="253" t="s">
        <v>2122</v>
      </c>
      <c r="AO2088" s="253" t="s">
        <v>2122</v>
      </c>
      <c r="AP2088" s="291" t="s">
        <v>178</v>
      </c>
      <c r="AQ2088" s="253" t="s">
        <v>2047</v>
      </c>
      <c r="AR2088" s="253" t="s">
        <v>2047</v>
      </c>
      <c r="AS2088" s="291" t="s">
        <v>178</v>
      </c>
      <c r="AT2088" s="253" t="s">
        <v>161</v>
      </c>
      <c r="AU2088" s="253">
        <v>4</v>
      </c>
      <c r="AV2088" s="253">
        <v>4</v>
      </c>
      <c r="AW2088" s="253" t="s">
        <v>142</v>
      </c>
      <c r="AX2088" s="253"/>
      <c r="AY2088" s="253"/>
      <c r="AZ2088" s="253"/>
      <c r="BA2088" s="253"/>
      <c r="BB2088" s="253"/>
      <c r="BH2088" s="253"/>
      <c r="BI2088" s="253"/>
      <c r="BJ2088" s="253"/>
      <c r="BM2088" s="438"/>
      <c r="BN2088" s="438"/>
      <c r="BR2088" s="438">
        <v>20.100000000000001</v>
      </c>
      <c r="BS2088" s="438">
        <v>21</v>
      </c>
      <c r="BV2088" s="92" t="s">
        <v>2105</v>
      </c>
      <c r="BW2088" s="92">
        <v>1.51</v>
      </c>
      <c r="BX2088" s="92">
        <v>1.43</v>
      </c>
      <c r="CA2088" s="92" t="s">
        <v>570</v>
      </c>
      <c r="IO2088" s="253" t="s">
        <v>2094</v>
      </c>
      <c r="IP2088" s="253" t="s">
        <v>2119</v>
      </c>
      <c r="IQ2088" s="259"/>
    </row>
    <row r="2089" spans="1:251" s="291" customFormat="1" x14ac:dyDescent="0.25">
      <c r="A2089" s="286">
        <v>93</v>
      </c>
      <c r="B2089" s="287" t="s">
        <v>769</v>
      </c>
      <c r="C2089" s="287" t="s">
        <v>2128</v>
      </c>
      <c r="D2089" s="287">
        <v>2002</v>
      </c>
      <c r="E2089" s="287">
        <v>1994</v>
      </c>
      <c r="F2089" s="287" t="s">
        <v>1756</v>
      </c>
      <c r="G2089" s="287" t="s">
        <v>2042</v>
      </c>
      <c r="H2089" s="278" t="s">
        <v>2831</v>
      </c>
      <c r="I2089" s="287">
        <v>32.57</v>
      </c>
      <c r="J2089" s="287">
        <v>-83.91</v>
      </c>
      <c r="K2089" s="287">
        <v>16</v>
      </c>
      <c r="L2089" s="287">
        <v>18.100000000000001</v>
      </c>
      <c r="M2089" s="287"/>
      <c r="N2089" s="287">
        <v>1258</v>
      </c>
      <c r="O2089" s="287"/>
      <c r="P2089" s="287"/>
      <c r="Q2089" s="287">
        <v>1</v>
      </c>
      <c r="R2089" s="288" t="s">
        <v>1991</v>
      </c>
      <c r="T2089" s="288" t="s">
        <v>2111</v>
      </c>
      <c r="U2089" s="287" t="s">
        <v>1383</v>
      </c>
      <c r="V2089" s="289">
        <v>20</v>
      </c>
      <c r="W2089" s="287" t="s">
        <v>1383</v>
      </c>
      <c r="X2089" s="287" t="s">
        <v>1383</v>
      </c>
      <c r="Y2089" s="290">
        <v>1.39</v>
      </c>
      <c r="Z2089" s="371">
        <v>65</v>
      </c>
      <c r="AA2089" s="371">
        <v>25</v>
      </c>
      <c r="AB2089" s="287" t="s">
        <v>241</v>
      </c>
      <c r="AC2089" s="287">
        <v>6.5</v>
      </c>
      <c r="AD2089" s="287">
        <f t="shared" si="284"/>
        <v>0.85971223021582732</v>
      </c>
      <c r="AE2089" s="287"/>
      <c r="AF2089" s="287" t="s">
        <v>2046</v>
      </c>
      <c r="AG2089" s="287" t="s">
        <v>2043</v>
      </c>
      <c r="AH2089" s="287" t="s">
        <v>578</v>
      </c>
      <c r="AI2089" s="287" t="s">
        <v>2045</v>
      </c>
      <c r="AJ2089" s="287" t="s">
        <v>1625</v>
      </c>
      <c r="AK2089" s="287" t="s">
        <v>2045</v>
      </c>
      <c r="AL2089" s="287" t="s">
        <v>2045</v>
      </c>
      <c r="AM2089" s="287" t="s">
        <v>178</v>
      </c>
      <c r="AN2089" s="287" t="s">
        <v>2122</v>
      </c>
      <c r="AO2089" s="287" t="s">
        <v>2122</v>
      </c>
      <c r="AP2089" s="291" t="s">
        <v>178</v>
      </c>
      <c r="AQ2089" s="287" t="s">
        <v>2044</v>
      </c>
      <c r="AR2089" s="287" t="s">
        <v>2044</v>
      </c>
      <c r="AS2089" s="291" t="s">
        <v>178</v>
      </c>
      <c r="AT2089" s="253" t="s">
        <v>161</v>
      </c>
      <c r="AU2089" s="287">
        <v>4</v>
      </c>
      <c r="AV2089" s="287">
        <v>4</v>
      </c>
      <c r="AW2089" s="253" t="s">
        <v>142</v>
      </c>
      <c r="AX2089" s="287"/>
      <c r="BA2089" s="287"/>
      <c r="BB2089" s="287"/>
      <c r="BH2089" s="287"/>
      <c r="BI2089" s="287"/>
      <c r="BJ2089" s="287"/>
      <c r="BM2089" s="447"/>
      <c r="BN2089" s="447"/>
      <c r="BR2089" s="447">
        <v>23.9</v>
      </c>
      <c r="BS2089" s="447">
        <v>23.9</v>
      </c>
      <c r="BV2089" s="291" t="s">
        <v>2105</v>
      </c>
      <c r="BW2089" s="291">
        <v>1.95</v>
      </c>
      <c r="BX2089" s="291">
        <v>1.95</v>
      </c>
      <c r="CA2089" s="291" t="s">
        <v>570</v>
      </c>
      <c r="IO2089" s="287" t="s">
        <v>2094</v>
      </c>
      <c r="IP2089" s="253" t="s">
        <v>2119</v>
      </c>
      <c r="IQ2089" s="292"/>
    </row>
    <row r="2090" spans="1:251" s="291" customFormat="1" x14ac:dyDescent="0.25">
      <c r="A2090" s="286">
        <v>93</v>
      </c>
      <c r="B2090" s="287" t="s">
        <v>769</v>
      </c>
      <c r="C2090" s="287" t="s">
        <v>2128</v>
      </c>
      <c r="D2090" s="287">
        <v>2002</v>
      </c>
      <c r="E2090" s="287">
        <v>1995</v>
      </c>
      <c r="F2090" s="287" t="s">
        <v>1756</v>
      </c>
      <c r="G2090" s="287" t="s">
        <v>2042</v>
      </c>
      <c r="H2090" s="278" t="s">
        <v>2831</v>
      </c>
      <c r="I2090" s="287">
        <v>32.57</v>
      </c>
      <c r="J2090" s="287">
        <v>-83.91</v>
      </c>
      <c r="K2090" s="287">
        <v>16</v>
      </c>
      <c r="L2090" s="287">
        <v>18.100000000000001</v>
      </c>
      <c r="M2090" s="287"/>
      <c r="N2090" s="287">
        <v>1258</v>
      </c>
      <c r="O2090" s="287"/>
      <c r="P2090" s="287"/>
      <c r="Q2090" s="287">
        <v>2</v>
      </c>
      <c r="R2090" s="288" t="s">
        <v>1991</v>
      </c>
      <c r="T2090" s="288" t="s">
        <v>2111</v>
      </c>
      <c r="U2090" s="287" t="s">
        <v>1383</v>
      </c>
      <c r="V2090" s="289">
        <v>20</v>
      </c>
      <c r="W2090" s="287" t="s">
        <v>1383</v>
      </c>
      <c r="X2090" s="287" t="s">
        <v>1383</v>
      </c>
      <c r="Y2090" s="290">
        <v>1.39</v>
      </c>
      <c r="Z2090" s="371">
        <v>65</v>
      </c>
      <c r="AA2090" s="371">
        <v>25</v>
      </c>
      <c r="AB2090" s="287" t="s">
        <v>241</v>
      </c>
      <c r="AC2090" s="287">
        <v>6.5</v>
      </c>
      <c r="AD2090" s="287">
        <f t="shared" si="284"/>
        <v>0.85971223021582732</v>
      </c>
      <c r="AE2090" s="287"/>
      <c r="AF2090" s="287" t="s">
        <v>2046</v>
      </c>
      <c r="AG2090" s="287" t="s">
        <v>2043</v>
      </c>
      <c r="AH2090" s="287" t="s">
        <v>578</v>
      </c>
      <c r="AI2090" s="287" t="s">
        <v>2045</v>
      </c>
      <c r="AJ2090" s="287" t="s">
        <v>1625</v>
      </c>
      <c r="AK2090" s="287" t="s">
        <v>2045</v>
      </c>
      <c r="AL2090" s="287" t="s">
        <v>2045</v>
      </c>
      <c r="AM2090" s="287" t="s">
        <v>178</v>
      </c>
      <c r="AN2090" s="287" t="s">
        <v>2122</v>
      </c>
      <c r="AO2090" s="287" t="s">
        <v>2122</v>
      </c>
      <c r="AP2090" s="291" t="s">
        <v>178</v>
      </c>
      <c r="AQ2090" s="287" t="s">
        <v>2044</v>
      </c>
      <c r="AR2090" s="287" t="s">
        <v>2044</v>
      </c>
      <c r="AS2090" s="291" t="s">
        <v>178</v>
      </c>
      <c r="AT2090" s="253" t="s">
        <v>161</v>
      </c>
      <c r="AU2090" s="287">
        <v>4</v>
      </c>
      <c r="AV2090" s="287">
        <v>4</v>
      </c>
      <c r="AW2090" s="253" t="s">
        <v>142</v>
      </c>
      <c r="AX2090" s="287"/>
      <c r="AY2090" s="287"/>
      <c r="AZ2090" s="287"/>
      <c r="BA2090" s="287"/>
      <c r="BB2090" s="287"/>
      <c r="BH2090" s="287"/>
      <c r="BI2090" s="287"/>
      <c r="BJ2090" s="287"/>
      <c r="BM2090" s="447"/>
      <c r="BN2090" s="447"/>
      <c r="BR2090" s="447">
        <v>18.2</v>
      </c>
      <c r="BS2090" s="447">
        <v>19</v>
      </c>
      <c r="BV2090" s="291" t="s">
        <v>2105</v>
      </c>
      <c r="BW2090" s="291">
        <v>1.82</v>
      </c>
      <c r="BX2090" s="291">
        <v>1.53</v>
      </c>
      <c r="CA2090" s="291" t="s">
        <v>570</v>
      </c>
      <c r="IO2090" s="287" t="s">
        <v>2094</v>
      </c>
      <c r="IP2090" s="253" t="s">
        <v>2119</v>
      </c>
      <c r="IQ2090" s="292"/>
    </row>
    <row r="2091" spans="1:251" s="291" customFormat="1" x14ac:dyDescent="0.25">
      <c r="A2091" s="286">
        <v>93</v>
      </c>
      <c r="B2091" s="287" t="s">
        <v>769</v>
      </c>
      <c r="C2091" s="287" t="s">
        <v>2128</v>
      </c>
      <c r="D2091" s="287">
        <v>2002</v>
      </c>
      <c r="E2091" s="287">
        <v>1996</v>
      </c>
      <c r="F2091" s="287" t="s">
        <v>1756</v>
      </c>
      <c r="G2091" s="287" t="s">
        <v>2042</v>
      </c>
      <c r="H2091" s="278" t="s">
        <v>2831</v>
      </c>
      <c r="I2091" s="287">
        <v>32.57</v>
      </c>
      <c r="J2091" s="287">
        <v>-83.91</v>
      </c>
      <c r="K2091" s="287">
        <v>16</v>
      </c>
      <c r="L2091" s="287">
        <v>18.100000000000001</v>
      </c>
      <c r="M2091" s="287"/>
      <c r="N2091" s="287">
        <v>1258</v>
      </c>
      <c r="O2091" s="287"/>
      <c r="P2091" s="287"/>
      <c r="Q2091" s="287">
        <v>3</v>
      </c>
      <c r="R2091" s="288" t="s">
        <v>1991</v>
      </c>
      <c r="T2091" s="288" t="s">
        <v>2111</v>
      </c>
      <c r="U2091" s="287" t="s">
        <v>1383</v>
      </c>
      <c r="V2091" s="289">
        <v>20</v>
      </c>
      <c r="W2091" s="287" t="s">
        <v>1383</v>
      </c>
      <c r="X2091" s="287" t="s">
        <v>1383</v>
      </c>
      <c r="Y2091" s="290">
        <v>1.39</v>
      </c>
      <c r="Z2091" s="371">
        <v>65</v>
      </c>
      <c r="AA2091" s="371">
        <v>25</v>
      </c>
      <c r="AB2091" s="287" t="s">
        <v>241</v>
      </c>
      <c r="AC2091" s="287">
        <v>6.5</v>
      </c>
      <c r="AD2091" s="287">
        <f t="shared" si="284"/>
        <v>0.85971223021582732</v>
      </c>
      <c r="AE2091" s="287"/>
      <c r="AF2091" s="287" t="s">
        <v>2046</v>
      </c>
      <c r="AG2091" s="287" t="s">
        <v>2043</v>
      </c>
      <c r="AH2091" s="287" t="s">
        <v>578</v>
      </c>
      <c r="AI2091" s="287" t="s">
        <v>2045</v>
      </c>
      <c r="AJ2091" s="287" t="s">
        <v>1625</v>
      </c>
      <c r="AK2091" s="287" t="s">
        <v>2045</v>
      </c>
      <c r="AL2091" s="287" t="s">
        <v>2045</v>
      </c>
      <c r="AM2091" s="287" t="s">
        <v>178</v>
      </c>
      <c r="AN2091" s="287" t="s">
        <v>2122</v>
      </c>
      <c r="AO2091" s="287" t="s">
        <v>2122</v>
      </c>
      <c r="AP2091" s="291" t="s">
        <v>178</v>
      </c>
      <c r="AQ2091" s="287" t="s">
        <v>2044</v>
      </c>
      <c r="AR2091" s="287" t="s">
        <v>2044</v>
      </c>
      <c r="AS2091" s="291" t="s">
        <v>178</v>
      </c>
      <c r="AT2091" s="253" t="s">
        <v>161</v>
      </c>
      <c r="AU2091" s="287">
        <v>4</v>
      </c>
      <c r="AV2091" s="287">
        <v>4</v>
      </c>
      <c r="AW2091" s="253" t="s">
        <v>142</v>
      </c>
      <c r="AX2091" s="287"/>
      <c r="BA2091" s="287"/>
      <c r="BB2091" s="287"/>
      <c r="BH2091" s="287"/>
      <c r="BI2091" s="287"/>
      <c r="BJ2091" s="287"/>
      <c r="BM2091" s="447"/>
      <c r="BN2091" s="447"/>
      <c r="BR2091" s="447">
        <v>18</v>
      </c>
      <c r="BS2091" s="447">
        <v>21.3</v>
      </c>
      <c r="BV2091" s="291" t="s">
        <v>2105</v>
      </c>
      <c r="BW2091" s="291">
        <v>1.79</v>
      </c>
      <c r="BX2091" s="291">
        <v>1.82</v>
      </c>
      <c r="CA2091" s="291" t="s">
        <v>570</v>
      </c>
      <c r="IO2091" s="287" t="s">
        <v>2094</v>
      </c>
      <c r="IP2091" s="253" t="s">
        <v>2119</v>
      </c>
      <c r="IQ2091" s="292"/>
    </row>
    <row r="2092" spans="1:251" s="291" customFormat="1" x14ac:dyDescent="0.25">
      <c r="A2092" s="286">
        <v>93</v>
      </c>
      <c r="B2092" s="287" t="s">
        <v>769</v>
      </c>
      <c r="C2092" s="287" t="s">
        <v>2128</v>
      </c>
      <c r="D2092" s="287">
        <v>2002</v>
      </c>
      <c r="E2092" s="287">
        <v>1997</v>
      </c>
      <c r="F2092" s="287" t="s">
        <v>1756</v>
      </c>
      <c r="G2092" s="287" t="s">
        <v>2042</v>
      </c>
      <c r="H2092" s="278" t="s">
        <v>2831</v>
      </c>
      <c r="I2092" s="287">
        <v>32.57</v>
      </c>
      <c r="J2092" s="287">
        <v>-83.91</v>
      </c>
      <c r="K2092" s="287">
        <v>16</v>
      </c>
      <c r="L2092" s="287">
        <v>18.100000000000001</v>
      </c>
      <c r="M2092" s="287"/>
      <c r="N2092" s="287">
        <v>1258</v>
      </c>
      <c r="O2092" s="287"/>
      <c r="P2092" s="287"/>
      <c r="Q2092" s="287">
        <v>4</v>
      </c>
      <c r="R2092" s="288" t="s">
        <v>1991</v>
      </c>
      <c r="T2092" s="288" t="s">
        <v>2111</v>
      </c>
      <c r="U2092" s="287" t="s">
        <v>1383</v>
      </c>
      <c r="V2092" s="289">
        <v>20</v>
      </c>
      <c r="W2092" s="287" t="s">
        <v>1383</v>
      </c>
      <c r="X2092" s="287" t="s">
        <v>1383</v>
      </c>
      <c r="Y2092" s="290">
        <v>1.39</v>
      </c>
      <c r="Z2092" s="371">
        <v>65</v>
      </c>
      <c r="AA2092" s="371">
        <v>25</v>
      </c>
      <c r="AB2092" s="287" t="s">
        <v>241</v>
      </c>
      <c r="AC2092" s="287">
        <v>6.5</v>
      </c>
      <c r="AD2092" s="287">
        <f t="shared" si="284"/>
        <v>0.85971223021582732</v>
      </c>
      <c r="AE2092" s="287"/>
      <c r="AF2092" s="287" t="s">
        <v>2046</v>
      </c>
      <c r="AG2092" s="287" t="s">
        <v>2043</v>
      </c>
      <c r="AH2092" s="287" t="s">
        <v>578</v>
      </c>
      <c r="AI2092" s="287" t="s">
        <v>2045</v>
      </c>
      <c r="AJ2092" s="287" t="s">
        <v>1625</v>
      </c>
      <c r="AK2092" s="287" t="s">
        <v>2045</v>
      </c>
      <c r="AL2092" s="287" t="s">
        <v>2045</v>
      </c>
      <c r="AM2092" s="287" t="s">
        <v>178</v>
      </c>
      <c r="AN2092" s="287" t="s">
        <v>2122</v>
      </c>
      <c r="AO2092" s="287" t="s">
        <v>2122</v>
      </c>
      <c r="AP2092" s="291" t="s">
        <v>178</v>
      </c>
      <c r="AQ2092" s="287" t="s">
        <v>2044</v>
      </c>
      <c r="AR2092" s="287" t="s">
        <v>2044</v>
      </c>
      <c r="AS2092" s="291" t="s">
        <v>178</v>
      </c>
      <c r="AT2092" s="253" t="s">
        <v>161</v>
      </c>
      <c r="AU2092" s="287">
        <v>4</v>
      </c>
      <c r="AV2092" s="287">
        <v>4</v>
      </c>
      <c r="AW2092" s="253" t="s">
        <v>142</v>
      </c>
      <c r="AX2092" s="287"/>
      <c r="AY2092" s="287"/>
      <c r="AZ2092" s="287"/>
      <c r="BA2092" s="287"/>
      <c r="BB2092" s="287"/>
      <c r="BH2092" s="287"/>
      <c r="BI2092" s="287"/>
      <c r="BJ2092" s="287"/>
      <c r="BM2092" s="447"/>
      <c r="BN2092" s="447"/>
      <c r="BR2092" s="447">
        <v>19.100000000000001</v>
      </c>
      <c r="BS2092" s="447">
        <v>20.399999999999999</v>
      </c>
      <c r="BV2092" s="291" t="s">
        <v>2105</v>
      </c>
      <c r="BW2092" s="291">
        <v>1.69</v>
      </c>
      <c r="BX2092" s="291">
        <v>1.71</v>
      </c>
      <c r="CA2092" s="291" t="s">
        <v>570</v>
      </c>
      <c r="IO2092" s="287" t="s">
        <v>2094</v>
      </c>
      <c r="IP2092" s="253" t="s">
        <v>2119</v>
      </c>
      <c r="IQ2092" s="292"/>
    </row>
    <row r="2093" spans="1:251" s="291" customFormat="1" x14ac:dyDescent="0.25">
      <c r="A2093" s="286">
        <v>93</v>
      </c>
      <c r="B2093" s="287" t="s">
        <v>769</v>
      </c>
      <c r="C2093" s="287" t="s">
        <v>2128</v>
      </c>
      <c r="D2093" s="287">
        <v>2002</v>
      </c>
      <c r="E2093" s="287">
        <v>1998</v>
      </c>
      <c r="F2093" s="287" t="s">
        <v>1756</v>
      </c>
      <c r="G2093" s="287" t="s">
        <v>2042</v>
      </c>
      <c r="H2093" s="278" t="s">
        <v>2831</v>
      </c>
      <c r="I2093" s="287">
        <v>32.57</v>
      </c>
      <c r="J2093" s="287">
        <v>-83.91</v>
      </c>
      <c r="K2093" s="287">
        <v>16</v>
      </c>
      <c r="L2093" s="287">
        <v>18.100000000000001</v>
      </c>
      <c r="M2093" s="287"/>
      <c r="N2093" s="287">
        <v>1258</v>
      </c>
      <c r="O2093" s="287"/>
      <c r="P2093" s="287"/>
      <c r="Q2093" s="287">
        <v>5</v>
      </c>
      <c r="R2093" s="288" t="s">
        <v>1991</v>
      </c>
      <c r="T2093" s="288" t="s">
        <v>2111</v>
      </c>
      <c r="U2093" s="287" t="s">
        <v>1383</v>
      </c>
      <c r="V2093" s="289">
        <v>20</v>
      </c>
      <c r="W2093" s="287" t="s">
        <v>1383</v>
      </c>
      <c r="X2093" s="287" t="s">
        <v>1383</v>
      </c>
      <c r="Y2093" s="290">
        <v>1.39</v>
      </c>
      <c r="Z2093" s="371">
        <v>65</v>
      </c>
      <c r="AA2093" s="371">
        <v>25</v>
      </c>
      <c r="AB2093" s="287" t="s">
        <v>241</v>
      </c>
      <c r="AC2093" s="287">
        <v>6.5</v>
      </c>
      <c r="AD2093" s="287">
        <f t="shared" si="284"/>
        <v>0.85971223021582732</v>
      </c>
      <c r="AE2093" s="287"/>
      <c r="AF2093" s="287" t="s">
        <v>2046</v>
      </c>
      <c r="AG2093" s="287" t="s">
        <v>2043</v>
      </c>
      <c r="AH2093" s="287" t="s">
        <v>578</v>
      </c>
      <c r="AI2093" s="287" t="s">
        <v>2045</v>
      </c>
      <c r="AJ2093" s="287" t="s">
        <v>1625</v>
      </c>
      <c r="AK2093" s="287" t="s">
        <v>2045</v>
      </c>
      <c r="AL2093" s="287" t="s">
        <v>2045</v>
      </c>
      <c r="AM2093" s="287" t="s">
        <v>178</v>
      </c>
      <c r="AN2093" s="287" t="s">
        <v>2122</v>
      </c>
      <c r="AO2093" s="287" t="s">
        <v>2122</v>
      </c>
      <c r="AP2093" s="291" t="s">
        <v>178</v>
      </c>
      <c r="AQ2093" s="287" t="s">
        <v>2044</v>
      </c>
      <c r="AR2093" s="287" t="s">
        <v>2044</v>
      </c>
      <c r="AS2093" s="291" t="s">
        <v>178</v>
      </c>
      <c r="AT2093" s="253" t="s">
        <v>161</v>
      </c>
      <c r="AU2093" s="287">
        <v>4</v>
      </c>
      <c r="AV2093" s="287">
        <v>4</v>
      </c>
      <c r="AW2093" s="253" t="s">
        <v>142</v>
      </c>
      <c r="AX2093" s="287"/>
      <c r="AY2093" s="287"/>
      <c r="AZ2093" s="287"/>
      <c r="BA2093" s="287"/>
      <c r="BB2093" s="287"/>
      <c r="BH2093" s="287"/>
      <c r="BI2093" s="287"/>
      <c r="BJ2093" s="287"/>
      <c r="BM2093" s="447"/>
      <c r="BN2093" s="447"/>
      <c r="BR2093" s="447">
        <v>20.100000000000001</v>
      </c>
      <c r="BS2093" s="447">
        <v>22.1</v>
      </c>
      <c r="BV2093" s="291" t="s">
        <v>2105</v>
      </c>
      <c r="BW2093" s="291">
        <v>1.64</v>
      </c>
      <c r="BX2093" s="291">
        <v>1.62</v>
      </c>
      <c r="CA2093" s="291" t="s">
        <v>570</v>
      </c>
      <c r="IO2093" s="287" t="s">
        <v>2094</v>
      </c>
      <c r="IP2093" s="253" t="s">
        <v>2119</v>
      </c>
      <c r="IQ2093" s="292"/>
    </row>
    <row r="2094" spans="1:251" s="291" customFormat="1" x14ac:dyDescent="0.25">
      <c r="A2094" s="286">
        <v>93</v>
      </c>
      <c r="B2094" s="287" t="s">
        <v>769</v>
      </c>
      <c r="C2094" s="287" t="s">
        <v>2128</v>
      </c>
      <c r="D2094" s="287">
        <v>2002</v>
      </c>
      <c r="E2094" s="287">
        <v>1999</v>
      </c>
      <c r="F2094" s="287" t="s">
        <v>1756</v>
      </c>
      <c r="G2094" s="287" t="s">
        <v>2042</v>
      </c>
      <c r="H2094" s="278" t="s">
        <v>2831</v>
      </c>
      <c r="I2094" s="287">
        <v>32.57</v>
      </c>
      <c r="J2094" s="287">
        <v>-83.91</v>
      </c>
      <c r="K2094" s="287">
        <v>16</v>
      </c>
      <c r="L2094" s="287">
        <v>18.100000000000001</v>
      </c>
      <c r="M2094" s="287"/>
      <c r="N2094" s="287">
        <v>1258</v>
      </c>
      <c r="O2094" s="287"/>
      <c r="P2094" s="287"/>
      <c r="Q2094" s="287">
        <v>6</v>
      </c>
      <c r="R2094" s="288" t="s">
        <v>1991</v>
      </c>
      <c r="T2094" s="288" t="s">
        <v>2111</v>
      </c>
      <c r="U2094" s="287" t="s">
        <v>1383</v>
      </c>
      <c r="V2094" s="289">
        <v>20</v>
      </c>
      <c r="W2094" s="287" t="s">
        <v>1383</v>
      </c>
      <c r="X2094" s="287" t="s">
        <v>1383</v>
      </c>
      <c r="Y2094" s="290">
        <v>1.39</v>
      </c>
      <c r="Z2094" s="371">
        <v>65</v>
      </c>
      <c r="AA2094" s="371">
        <v>25</v>
      </c>
      <c r="AB2094" s="287" t="s">
        <v>241</v>
      </c>
      <c r="AC2094" s="287">
        <v>6.5</v>
      </c>
      <c r="AD2094" s="287">
        <f t="shared" si="284"/>
        <v>0.85971223021582732</v>
      </c>
      <c r="AE2094" s="287"/>
      <c r="AF2094" s="287" t="s">
        <v>2046</v>
      </c>
      <c r="AG2094" s="287" t="s">
        <v>2043</v>
      </c>
      <c r="AH2094" s="287" t="s">
        <v>578</v>
      </c>
      <c r="AI2094" s="287" t="s">
        <v>2116</v>
      </c>
      <c r="AJ2094" s="287" t="s">
        <v>1625</v>
      </c>
      <c r="AK2094" s="287" t="s">
        <v>2045</v>
      </c>
      <c r="AL2094" s="287" t="s">
        <v>2045</v>
      </c>
      <c r="AM2094" s="287" t="s">
        <v>178</v>
      </c>
      <c r="AN2094" s="287" t="s">
        <v>2122</v>
      </c>
      <c r="AO2094" s="287" t="s">
        <v>2122</v>
      </c>
      <c r="AP2094" s="291" t="s">
        <v>178</v>
      </c>
      <c r="AQ2094" s="287" t="s">
        <v>2044</v>
      </c>
      <c r="AR2094" s="287" t="s">
        <v>2044</v>
      </c>
      <c r="AS2094" s="291" t="s">
        <v>178</v>
      </c>
      <c r="AT2094" s="253" t="s">
        <v>161</v>
      </c>
      <c r="AU2094" s="287">
        <v>4</v>
      </c>
      <c r="AV2094" s="287">
        <v>4</v>
      </c>
      <c r="AW2094" s="253" t="s">
        <v>142</v>
      </c>
      <c r="AX2094" s="287"/>
      <c r="AY2094" s="287"/>
      <c r="AZ2094" s="287"/>
      <c r="BA2094" s="287"/>
      <c r="BB2094" s="287"/>
      <c r="BH2094" s="287"/>
      <c r="BI2094" s="287"/>
      <c r="BJ2094" s="287"/>
      <c r="BM2094" s="447"/>
      <c r="BN2094" s="447"/>
      <c r="BR2094" s="447">
        <v>20.3</v>
      </c>
      <c r="BS2094" s="447">
        <v>20</v>
      </c>
      <c r="BV2094" s="291" t="s">
        <v>2105</v>
      </c>
      <c r="BW2094" s="291">
        <v>1.53</v>
      </c>
      <c r="BX2094" s="291">
        <v>1.39</v>
      </c>
      <c r="CA2094" s="291" t="s">
        <v>570</v>
      </c>
      <c r="IO2094" s="287" t="s">
        <v>2094</v>
      </c>
      <c r="IP2094" s="253" t="s">
        <v>2119</v>
      </c>
      <c r="IQ2094" s="292"/>
    </row>
    <row r="2095" spans="1:251" s="32" customFormat="1" x14ac:dyDescent="0.25">
      <c r="A2095" s="238">
        <v>94</v>
      </c>
      <c r="B2095" s="238" t="s">
        <v>769</v>
      </c>
      <c r="C2095" s="239" t="s">
        <v>2128</v>
      </c>
      <c r="D2095" s="238">
        <v>2006</v>
      </c>
      <c r="E2095" s="239">
        <v>2001</v>
      </c>
      <c r="F2095" s="238" t="s">
        <v>1756</v>
      </c>
      <c r="G2095" s="238" t="s">
        <v>2040</v>
      </c>
      <c r="H2095" s="238" t="s">
        <v>2831</v>
      </c>
      <c r="I2095" s="239">
        <v>32.9</v>
      </c>
      <c r="J2095" s="239">
        <v>-82.48</v>
      </c>
      <c r="K2095" s="304">
        <v>72</v>
      </c>
      <c r="L2095" s="304">
        <f>AVERAGE(7.9,12.7,12.8,18.7,22.6,25.5,26.8,27.3,23.1,17.4,16.5,12.1)</f>
        <v>18.616666666666667</v>
      </c>
      <c r="M2095" s="304">
        <f>AVERAGE(7.9,9.7,13.7,17.9,22,25.3,26.8,26.2,23.6,18.3,13.5,9.1)</f>
        <v>17.833333333333332</v>
      </c>
      <c r="N2095" s="304">
        <v>710</v>
      </c>
      <c r="O2095" s="304">
        <v>1150</v>
      </c>
      <c r="P2095" s="239"/>
      <c r="Q2095" s="304">
        <v>1</v>
      </c>
      <c r="R2095" s="240" t="s">
        <v>1735</v>
      </c>
      <c r="T2095" s="240" t="s">
        <v>1873</v>
      </c>
      <c r="U2095" s="241" t="s">
        <v>1386</v>
      </c>
      <c r="V2095" s="241">
        <v>15</v>
      </c>
      <c r="W2095" s="241" t="s">
        <v>1386</v>
      </c>
      <c r="X2095" s="241" t="s">
        <v>1386</v>
      </c>
      <c r="Y2095" s="242">
        <v>1.08</v>
      </c>
      <c r="Z2095" s="374">
        <v>65</v>
      </c>
      <c r="AA2095" s="374">
        <v>25</v>
      </c>
      <c r="AB2095" s="239" t="s">
        <v>241</v>
      </c>
      <c r="AC2095" s="239">
        <v>6.25</v>
      </c>
      <c r="AD2095" s="239">
        <f>18/(100*100*0.15*Y2095)*100</f>
        <v>1.1111111111111112</v>
      </c>
      <c r="AE2095" s="239"/>
      <c r="AF2095" s="238" t="s">
        <v>2039</v>
      </c>
      <c r="AG2095" s="304" t="s">
        <v>132</v>
      </c>
      <c r="AH2095" s="239" t="s">
        <v>1585</v>
      </c>
      <c r="AI2095" s="304" t="s">
        <v>2037</v>
      </c>
      <c r="AJ2095" s="239" t="s">
        <v>1621</v>
      </c>
      <c r="AK2095" s="239"/>
      <c r="AL2095" s="239"/>
      <c r="AM2095" s="239"/>
      <c r="AN2095" s="239"/>
      <c r="AO2095" s="239"/>
      <c r="AP2095" s="304"/>
      <c r="AQ2095" s="239"/>
      <c r="AR2095" s="239"/>
      <c r="AS2095" s="305"/>
      <c r="AT2095" s="239" t="s">
        <v>120</v>
      </c>
      <c r="AU2095" s="304">
        <v>4</v>
      </c>
      <c r="AV2095" s="304">
        <v>4</v>
      </c>
      <c r="AW2095" s="239" t="s">
        <v>142</v>
      </c>
      <c r="AX2095" s="239"/>
      <c r="AY2095" s="239">
        <v>2080</v>
      </c>
      <c r="AZ2095" s="239">
        <v>35</v>
      </c>
      <c r="BA2095" s="239"/>
      <c r="BB2095" s="239"/>
      <c r="BH2095" s="304">
        <v>6550</v>
      </c>
      <c r="BI2095" s="304">
        <v>6460</v>
      </c>
      <c r="BJ2095" s="239">
        <v>1010</v>
      </c>
      <c r="BK2095" s="32">
        <v>1070</v>
      </c>
      <c r="BM2095" s="449">
        <f t="shared" ref="BM2095:BP2097" si="285">AVERAGE(BM2101,BM2104)</f>
        <v>1.08</v>
      </c>
      <c r="BN2095" s="449">
        <f t="shared" si="285"/>
        <v>1.0900000000000001</v>
      </c>
      <c r="BO2095" s="306">
        <f t="shared" si="285"/>
        <v>4.4999999999999998E-2</v>
      </c>
      <c r="BP2095" s="306">
        <f t="shared" si="285"/>
        <v>0.04</v>
      </c>
      <c r="BR2095" s="451"/>
      <c r="BS2095" s="451"/>
      <c r="IO2095" s="304" t="s">
        <v>2093</v>
      </c>
      <c r="IP2095" s="239"/>
      <c r="IQ2095" s="243"/>
    </row>
    <row r="2096" spans="1:251" s="32" customFormat="1" x14ac:dyDescent="0.25">
      <c r="A2096" s="238">
        <v>94</v>
      </c>
      <c r="B2096" s="238" t="s">
        <v>769</v>
      </c>
      <c r="C2096" s="239" t="s">
        <v>2128</v>
      </c>
      <c r="D2096" s="238">
        <v>2006</v>
      </c>
      <c r="E2096" s="239">
        <v>2001</v>
      </c>
      <c r="F2096" s="238" t="s">
        <v>1756</v>
      </c>
      <c r="G2096" s="238" t="s">
        <v>2040</v>
      </c>
      <c r="H2096" s="238" t="s">
        <v>2831</v>
      </c>
      <c r="I2096" s="239">
        <v>32.9</v>
      </c>
      <c r="J2096" s="239">
        <v>-82.48</v>
      </c>
      <c r="K2096" s="304">
        <v>72</v>
      </c>
      <c r="L2096" s="304">
        <f t="shared" ref="L2096:L2097" si="286">AVERAGE(7.9,12.7,12.8,18.7,22.6,25.5,26.8,27.3,23.1,17.4,16.5,12.1)</f>
        <v>18.616666666666667</v>
      </c>
      <c r="M2096" s="304">
        <f t="shared" ref="M2096:M2097" si="287">AVERAGE(7.9,9.7,13.7,17.9,22,25.3,26.8,26.2,23.6,18.3,13.5,9.1)</f>
        <v>17.833333333333332</v>
      </c>
      <c r="N2096" s="304">
        <v>710</v>
      </c>
      <c r="O2096" s="304">
        <v>1150</v>
      </c>
      <c r="P2096" s="239"/>
      <c r="Q2096" s="304">
        <v>1</v>
      </c>
      <c r="R2096" s="240" t="s">
        <v>1735</v>
      </c>
      <c r="T2096" s="240" t="s">
        <v>1873</v>
      </c>
      <c r="U2096" s="241" t="s">
        <v>1386</v>
      </c>
      <c r="V2096" s="241">
        <v>15</v>
      </c>
      <c r="W2096" s="241" t="s">
        <v>1386</v>
      </c>
      <c r="X2096" s="241" t="s">
        <v>1386</v>
      </c>
      <c r="Y2096" s="242">
        <v>1.08</v>
      </c>
      <c r="Z2096" s="374">
        <v>65</v>
      </c>
      <c r="AA2096" s="374">
        <v>25</v>
      </c>
      <c r="AB2096" s="239" t="s">
        <v>241</v>
      </c>
      <c r="AC2096" s="239">
        <v>6.25</v>
      </c>
      <c r="AD2096" s="239">
        <f t="shared" ref="AD2096:AD2100" si="288">18/(100*100*0.15*Y2096)*100</f>
        <v>1.1111111111111112</v>
      </c>
      <c r="AE2096" s="239"/>
      <c r="AF2096" s="238" t="s">
        <v>2039</v>
      </c>
      <c r="AG2096" s="304" t="s">
        <v>2127</v>
      </c>
      <c r="AH2096" s="239" t="s">
        <v>1587</v>
      </c>
      <c r="AI2096" s="304" t="s">
        <v>2037</v>
      </c>
      <c r="AJ2096" s="239" t="s">
        <v>1621</v>
      </c>
      <c r="AK2096" s="239"/>
      <c r="AL2096" s="239"/>
      <c r="AM2096" s="239"/>
      <c r="AN2096" s="239"/>
      <c r="AO2096" s="239"/>
      <c r="AP2096" s="304"/>
      <c r="AQ2096" s="239"/>
      <c r="AR2096" s="239"/>
      <c r="AS2096" s="305"/>
      <c r="AT2096" s="239" t="s">
        <v>120</v>
      </c>
      <c r="AU2096" s="304">
        <v>4</v>
      </c>
      <c r="AV2096" s="304">
        <v>4</v>
      </c>
      <c r="AW2096" s="239" t="s">
        <v>142</v>
      </c>
      <c r="AX2096" s="239"/>
      <c r="AY2096" s="239">
        <v>2120</v>
      </c>
      <c r="AZ2096" s="239">
        <v>21</v>
      </c>
      <c r="BA2096" s="239"/>
      <c r="BB2096" s="239"/>
      <c r="BH2096" s="304">
        <v>6550</v>
      </c>
      <c r="BI2096" s="304">
        <v>7370</v>
      </c>
      <c r="BJ2096" s="239">
        <v>1010</v>
      </c>
      <c r="BK2096" s="32">
        <v>970</v>
      </c>
      <c r="BM2096" s="449">
        <f t="shared" si="285"/>
        <v>1.08</v>
      </c>
      <c r="BN2096" s="449">
        <f t="shared" si="285"/>
        <v>1.0649999999999999</v>
      </c>
      <c r="BO2096" s="306">
        <f t="shared" si="285"/>
        <v>4.4999999999999998E-2</v>
      </c>
      <c r="BP2096" s="306">
        <f t="shared" si="285"/>
        <v>8.5000000000000006E-2</v>
      </c>
      <c r="BR2096" s="451"/>
      <c r="BS2096" s="451"/>
      <c r="IO2096" s="304" t="s">
        <v>2093</v>
      </c>
      <c r="IP2096" s="239"/>
      <c r="IQ2096" s="243"/>
    </row>
    <row r="2097" spans="1:251" s="32" customFormat="1" x14ac:dyDescent="0.25">
      <c r="A2097" s="238">
        <v>94</v>
      </c>
      <c r="B2097" s="238" t="s">
        <v>769</v>
      </c>
      <c r="C2097" s="239" t="s">
        <v>2128</v>
      </c>
      <c r="D2097" s="238">
        <v>2006</v>
      </c>
      <c r="E2097" s="239">
        <v>2001</v>
      </c>
      <c r="F2097" s="238" t="s">
        <v>1756</v>
      </c>
      <c r="G2097" s="238" t="s">
        <v>2040</v>
      </c>
      <c r="H2097" s="238" t="s">
        <v>2831</v>
      </c>
      <c r="I2097" s="239">
        <v>32.9</v>
      </c>
      <c r="J2097" s="239">
        <v>-82.48</v>
      </c>
      <c r="K2097" s="304">
        <v>72</v>
      </c>
      <c r="L2097" s="304">
        <f t="shared" si="286"/>
        <v>18.616666666666667</v>
      </c>
      <c r="M2097" s="304">
        <f t="shared" si="287"/>
        <v>17.833333333333332</v>
      </c>
      <c r="N2097" s="304">
        <v>710</v>
      </c>
      <c r="O2097" s="304">
        <v>1150</v>
      </c>
      <c r="P2097" s="239"/>
      <c r="Q2097" s="304">
        <v>1</v>
      </c>
      <c r="R2097" s="240" t="s">
        <v>1735</v>
      </c>
      <c r="T2097" s="240" t="s">
        <v>1873</v>
      </c>
      <c r="U2097" s="241" t="s">
        <v>1386</v>
      </c>
      <c r="V2097" s="241">
        <v>15</v>
      </c>
      <c r="W2097" s="241" t="s">
        <v>1386</v>
      </c>
      <c r="X2097" s="241" t="s">
        <v>1386</v>
      </c>
      <c r="Y2097" s="242">
        <v>1.08</v>
      </c>
      <c r="Z2097" s="374">
        <v>65</v>
      </c>
      <c r="AA2097" s="374">
        <v>25</v>
      </c>
      <c r="AB2097" s="239" t="s">
        <v>241</v>
      </c>
      <c r="AC2097" s="239">
        <v>6.25</v>
      </c>
      <c r="AD2097" s="239">
        <f t="shared" si="288"/>
        <v>1.1111111111111112</v>
      </c>
      <c r="AE2097" s="239"/>
      <c r="AF2097" s="238" t="s">
        <v>2039</v>
      </c>
      <c r="AG2097" s="304" t="s">
        <v>2126</v>
      </c>
      <c r="AH2097" s="239" t="s">
        <v>636</v>
      </c>
      <c r="AI2097" s="304" t="s">
        <v>2037</v>
      </c>
      <c r="AJ2097" s="239" t="s">
        <v>1621</v>
      </c>
      <c r="AK2097" s="239"/>
      <c r="AL2097" s="239"/>
      <c r="AM2097" s="239"/>
      <c r="AN2097" s="239"/>
      <c r="AO2097" s="239"/>
      <c r="AP2097" s="304"/>
      <c r="AQ2097" s="239"/>
      <c r="AR2097" s="239"/>
      <c r="AS2097" s="305"/>
      <c r="AT2097" s="239" t="s">
        <v>120</v>
      </c>
      <c r="AU2097" s="304">
        <v>4</v>
      </c>
      <c r="AV2097" s="304">
        <v>4</v>
      </c>
      <c r="AW2097" s="239" t="s">
        <v>142</v>
      </c>
      <c r="AX2097" s="239"/>
      <c r="AY2097" s="239">
        <v>3370</v>
      </c>
      <c r="AZ2097" s="239">
        <v>32</v>
      </c>
      <c r="BA2097" s="239"/>
      <c r="BB2097" s="239"/>
      <c r="BH2097" s="304">
        <v>6550</v>
      </c>
      <c r="BI2097" s="304">
        <v>7680</v>
      </c>
      <c r="BJ2097" s="239">
        <v>1010</v>
      </c>
      <c r="BK2097" s="32">
        <v>1170</v>
      </c>
      <c r="BM2097" s="449">
        <f t="shared" si="285"/>
        <v>1.08</v>
      </c>
      <c r="BN2097" s="449">
        <f t="shared" si="285"/>
        <v>1.0750000000000002</v>
      </c>
      <c r="BO2097" s="306">
        <f t="shared" si="285"/>
        <v>4.4999999999999998E-2</v>
      </c>
      <c r="BP2097" s="306">
        <f t="shared" si="285"/>
        <v>7.5000000000000011E-2</v>
      </c>
      <c r="BR2097" s="451"/>
      <c r="BS2097" s="451"/>
      <c r="IO2097" s="304" t="s">
        <v>2093</v>
      </c>
      <c r="IP2097" s="239"/>
      <c r="IQ2097" s="243"/>
    </row>
    <row r="2098" spans="1:251" s="267" customFormat="1" x14ac:dyDescent="0.25">
      <c r="A2098" s="260">
        <v>94</v>
      </c>
      <c r="B2098" s="260" t="s">
        <v>769</v>
      </c>
      <c r="C2098" s="261" t="s">
        <v>2128</v>
      </c>
      <c r="D2098" s="260">
        <v>2006</v>
      </c>
      <c r="E2098" s="261">
        <v>2002</v>
      </c>
      <c r="F2098" s="260" t="s">
        <v>1756</v>
      </c>
      <c r="G2098" s="260" t="s">
        <v>2040</v>
      </c>
      <c r="H2098" s="238" t="s">
        <v>2831</v>
      </c>
      <c r="I2098" s="261">
        <v>32.9</v>
      </c>
      <c r="J2098" s="261">
        <v>-82.48</v>
      </c>
      <c r="K2098" s="262">
        <v>72</v>
      </c>
      <c r="L2098" s="262">
        <f>AVERAGE(9.9,9.1,15.4,21,22.2,26.4,28.1,27.1,25.5,20.3,12.1,8)</f>
        <v>18.758333333333333</v>
      </c>
      <c r="M2098" s="262">
        <v>17.833333333333332</v>
      </c>
      <c r="N2098" s="262">
        <v>1024</v>
      </c>
      <c r="O2098" s="262">
        <v>1150</v>
      </c>
      <c r="P2098" s="261"/>
      <c r="Q2098" s="262">
        <v>2</v>
      </c>
      <c r="R2098" s="263" t="s">
        <v>1735</v>
      </c>
      <c r="T2098" s="263" t="s">
        <v>1873</v>
      </c>
      <c r="U2098" s="264" t="s">
        <v>1386</v>
      </c>
      <c r="V2098" s="264">
        <v>15</v>
      </c>
      <c r="W2098" s="264" t="s">
        <v>1386</v>
      </c>
      <c r="X2098" s="264" t="s">
        <v>1386</v>
      </c>
      <c r="Y2098" s="265">
        <v>1.08</v>
      </c>
      <c r="Z2098" s="375">
        <v>65</v>
      </c>
      <c r="AA2098" s="375">
        <v>25</v>
      </c>
      <c r="AB2098" s="261" t="s">
        <v>241</v>
      </c>
      <c r="AC2098" s="261">
        <v>6.25</v>
      </c>
      <c r="AD2098" s="239">
        <f t="shared" si="288"/>
        <v>1.1111111111111112</v>
      </c>
      <c r="AE2098" s="261"/>
      <c r="AF2098" s="260" t="s">
        <v>2039</v>
      </c>
      <c r="AG2098" s="262" t="s">
        <v>132</v>
      </c>
      <c r="AH2098" s="261" t="s">
        <v>1585</v>
      </c>
      <c r="AI2098" s="262" t="s">
        <v>2037</v>
      </c>
      <c r="AJ2098" s="261" t="s">
        <v>1621</v>
      </c>
      <c r="AK2098" s="261"/>
      <c r="AL2098" s="261"/>
      <c r="AM2098" s="261"/>
      <c r="AN2098" s="261"/>
      <c r="AO2098" s="261"/>
      <c r="AP2098" s="262"/>
      <c r="AQ2098" s="261"/>
      <c r="AR2098" s="261"/>
      <c r="AS2098" s="266"/>
      <c r="AT2098" s="261" t="s">
        <v>120</v>
      </c>
      <c r="AU2098" s="262">
        <v>4</v>
      </c>
      <c r="AV2098" s="262">
        <v>4</v>
      </c>
      <c r="AW2098" s="261" t="s">
        <v>142</v>
      </c>
      <c r="AX2098" s="261"/>
      <c r="AY2098" s="261">
        <v>1900</v>
      </c>
      <c r="AZ2098" s="261">
        <v>17</v>
      </c>
      <c r="BA2098" s="261"/>
      <c r="BB2098" s="261"/>
      <c r="BH2098" s="262">
        <v>6280</v>
      </c>
      <c r="BI2098" s="262">
        <v>5440</v>
      </c>
      <c r="BJ2098" s="261">
        <v>870</v>
      </c>
      <c r="BK2098" s="267">
        <v>670</v>
      </c>
      <c r="BM2098" s="450"/>
      <c r="BN2098" s="450"/>
      <c r="BR2098" s="464"/>
      <c r="BS2098" s="464"/>
      <c r="IO2098" s="262" t="s">
        <v>2093</v>
      </c>
      <c r="IP2098" s="261"/>
      <c r="IQ2098" s="268"/>
    </row>
    <row r="2099" spans="1:251" s="267" customFormat="1" x14ac:dyDescent="0.25">
      <c r="A2099" s="260">
        <v>94</v>
      </c>
      <c r="B2099" s="260" t="s">
        <v>769</v>
      </c>
      <c r="C2099" s="261" t="s">
        <v>2128</v>
      </c>
      <c r="D2099" s="260">
        <v>2006</v>
      </c>
      <c r="E2099" s="261">
        <v>2002</v>
      </c>
      <c r="F2099" s="260" t="s">
        <v>1756</v>
      </c>
      <c r="G2099" s="260" t="s">
        <v>2040</v>
      </c>
      <c r="H2099" s="238" t="s">
        <v>2831</v>
      </c>
      <c r="I2099" s="261">
        <v>32.9</v>
      </c>
      <c r="J2099" s="261">
        <v>-82.48</v>
      </c>
      <c r="K2099" s="262">
        <v>72</v>
      </c>
      <c r="L2099" s="262">
        <f t="shared" ref="L2099:L2100" si="289">AVERAGE(9.9,9.1,15.4,21,22.2,26.4,28.1,27.1,25.5,20.3,12.1,8)</f>
        <v>18.758333333333333</v>
      </c>
      <c r="M2099" s="262">
        <v>17.833333333333332</v>
      </c>
      <c r="N2099" s="262">
        <v>1024</v>
      </c>
      <c r="O2099" s="262">
        <v>1150</v>
      </c>
      <c r="P2099" s="261"/>
      <c r="Q2099" s="262">
        <v>2</v>
      </c>
      <c r="R2099" s="263" t="s">
        <v>1735</v>
      </c>
      <c r="T2099" s="263" t="s">
        <v>1873</v>
      </c>
      <c r="U2099" s="264" t="s">
        <v>1386</v>
      </c>
      <c r="V2099" s="264">
        <v>15</v>
      </c>
      <c r="W2099" s="264" t="s">
        <v>1386</v>
      </c>
      <c r="X2099" s="264" t="s">
        <v>1386</v>
      </c>
      <c r="Y2099" s="265">
        <v>1.08</v>
      </c>
      <c r="Z2099" s="375">
        <v>65</v>
      </c>
      <c r="AA2099" s="375">
        <v>25</v>
      </c>
      <c r="AB2099" s="261" t="s">
        <v>241</v>
      </c>
      <c r="AC2099" s="261">
        <v>6.25</v>
      </c>
      <c r="AD2099" s="239">
        <f t="shared" si="288"/>
        <v>1.1111111111111112</v>
      </c>
      <c r="AE2099" s="261"/>
      <c r="AF2099" s="260" t="s">
        <v>2039</v>
      </c>
      <c r="AG2099" s="262" t="s">
        <v>2127</v>
      </c>
      <c r="AH2099" s="261" t="s">
        <v>1587</v>
      </c>
      <c r="AI2099" s="262" t="s">
        <v>2037</v>
      </c>
      <c r="AJ2099" s="261" t="s">
        <v>1621</v>
      </c>
      <c r="AK2099" s="261"/>
      <c r="AL2099" s="261"/>
      <c r="AM2099" s="261"/>
      <c r="AN2099" s="261"/>
      <c r="AO2099" s="261"/>
      <c r="AP2099" s="262"/>
      <c r="AQ2099" s="261"/>
      <c r="AR2099" s="261"/>
      <c r="AS2099" s="266"/>
      <c r="AT2099" s="261" t="s">
        <v>120</v>
      </c>
      <c r="AU2099" s="262">
        <v>4</v>
      </c>
      <c r="AV2099" s="262">
        <v>4</v>
      </c>
      <c r="AW2099" s="261" t="s">
        <v>142</v>
      </c>
      <c r="AX2099" s="261"/>
      <c r="AY2099" s="261">
        <v>950</v>
      </c>
      <c r="AZ2099" s="261">
        <v>12</v>
      </c>
      <c r="BA2099" s="261"/>
      <c r="BB2099" s="261"/>
      <c r="BH2099" s="262">
        <v>6280</v>
      </c>
      <c r="BI2099" s="262">
        <v>2200</v>
      </c>
      <c r="BJ2099" s="261">
        <v>870</v>
      </c>
      <c r="BK2099" s="267">
        <v>230</v>
      </c>
      <c r="BM2099" s="450"/>
      <c r="BN2099" s="450"/>
      <c r="BR2099" s="464"/>
      <c r="BS2099" s="464"/>
      <c r="IO2099" s="262" t="s">
        <v>2093</v>
      </c>
      <c r="IP2099" s="261"/>
      <c r="IQ2099" s="268"/>
    </row>
    <row r="2100" spans="1:251" s="267" customFormat="1" x14ac:dyDescent="0.25">
      <c r="A2100" s="260">
        <v>94</v>
      </c>
      <c r="B2100" s="260" t="s">
        <v>769</v>
      </c>
      <c r="C2100" s="261" t="s">
        <v>2128</v>
      </c>
      <c r="D2100" s="260">
        <v>2006</v>
      </c>
      <c r="E2100" s="261">
        <v>2002</v>
      </c>
      <c r="F2100" s="260" t="s">
        <v>1756</v>
      </c>
      <c r="G2100" s="260" t="s">
        <v>2040</v>
      </c>
      <c r="H2100" s="238" t="s">
        <v>2831</v>
      </c>
      <c r="I2100" s="261">
        <v>32.9</v>
      </c>
      <c r="J2100" s="261">
        <v>-82.48</v>
      </c>
      <c r="K2100" s="262">
        <v>72</v>
      </c>
      <c r="L2100" s="262">
        <f t="shared" si="289"/>
        <v>18.758333333333333</v>
      </c>
      <c r="M2100" s="262">
        <v>17.833333333333332</v>
      </c>
      <c r="N2100" s="262">
        <v>1024</v>
      </c>
      <c r="O2100" s="262">
        <v>1150</v>
      </c>
      <c r="P2100" s="261"/>
      <c r="Q2100" s="262">
        <v>2</v>
      </c>
      <c r="R2100" s="263" t="s">
        <v>1735</v>
      </c>
      <c r="T2100" s="263" t="s">
        <v>1873</v>
      </c>
      <c r="U2100" s="264" t="s">
        <v>1386</v>
      </c>
      <c r="V2100" s="264">
        <v>15</v>
      </c>
      <c r="W2100" s="264" t="s">
        <v>1386</v>
      </c>
      <c r="X2100" s="264" t="s">
        <v>1386</v>
      </c>
      <c r="Y2100" s="265">
        <v>1.08</v>
      </c>
      <c r="Z2100" s="375">
        <v>65</v>
      </c>
      <c r="AA2100" s="375">
        <v>25</v>
      </c>
      <c r="AB2100" s="261" t="s">
        <v>241</v>
      </c>
      <c r="AC2100" s="261">
        <v>6.25</v>
      </c>
      <c r="AD2100" s="239">
        <f t="shared" si="288"/>
        <v>1.1111111111111112</v>
      </c>
      <c r="AE2100" s="261"/>
      <c r="AF2100" s="260" t="s">
        <v>2039</v>
      </c>
      <c r="AG2100" s="262" t="s">
        <v>2126</v>
      </c>
      <c r="AH2100" s="261" t="s">
        <v>636</v>
      </c>
      <c r="AI2100" s="262" t="s">
        <v>2037</v>
      </c>
      <c r="AJ2100" s="261" t="s">
        <v>1621</v>
      </c>
      <c r="AK2100" s="261"/>
      <c r="AL2100" s="261"/>
      <c r="AM2100" s="261"/>
      <c r="AN2100" s="261"/>
      <c r="AO2100" s="261"/>
      <c r="AP2100" s="262"/>
      <c r="AQ2100" s="261"/>
      <c r="AR2100" s="261"/>
      <c r="AS2100" s="266"/>
      <c r="AT2100" s="261" t="s">
        <v>120</v>
      </c>
      <c r="AU2100" s="262">
        <v>4</v>
      </c>
      <c r="AV2100" s="262">
        <v>4</v>
      </c>
      <c r="AW2100" s="261" t="s">
        <v>142</v>
      </c>
      <c r="AX2100" s="261"/>
      <c r="AY2100" s="261">
        <v>1960</v>
      </c>
      <c r="AZ2100" s="261">
        <v>14</v>
      </c>
      <c r="BA2100" s="261"/>
      <c r="BB2100" s="261"/>
      <c r="BH2100" s="262">
        <v>6280</v>
      </c>
      <c r="BI2100" s="262">
        <v>2530</v>
      </c>
      <c r="BJ2100" s="261">
        <v>870</v>
      </c>
      <c r="BK2100" s="267">
        <v>370</v>
      </c>
      <c r="BM2100" s="450"/>
      <c r="BN2100" s="450"/>
      <c r="BR2100" s="464"/>
      <c r="BS2100" s="464"/>
      <c r="IO2100" s="262" t="s">
        <v>2093</v>
      </c>
      <c r="IP2100" s="261"/>
      <c r="IQ2100" s="268"/>
    </row>
    <row r="2101" spans="1:251" s="32" customFormat="1" x14ac:dyDescent="0.25">
      <c r="A2101" s="238">
        <v>94</v>
      </c>
      <c r="B2101" s="238" t="s">
        <v>769</v>
      </c>
      <c r="C2101" s="239" t="s">
        <v>2128</v>
      </c>
      <c r="D2101" s="238">
        <v>2006</v>
      </c>
      <c r="E2101" s="239">
        <v>2002</v>
      </c>
      <c r="F2101" s="238" t="s">
        <v>1756</v>
      </c>
      <c r="G2101" s="238" t="s">
        <v>2040</v>
      </c>
      <c r="H2101" s="238" t="s">
        <v>2831</v>
      </c>
      <c r="I2101" s="239">
        <v>32.9</v>
      </c>
      <c r="J2101" s="239">
        <v>-82.48</v>
      </c>
      <c r="K2101" s="304">
        <v>72</v>
      </c>
      <c r="L2101" s="304">
        <f>AVERAGE(7.9,12.7,12.8,18.7,22.6,25.5,26.8,27.3,23.1,17.4,16.5,12.1)</f>
        <v>18.616666666666667</v>
      </c>
      <c r="M2101" s="304">
        <f>AVERAGE(7.9,9.7,13.7,17.9,22,25.3,26.8,26.2,23.6,18.3,13.5,9.1)</f>
        <v>17.833333333333332</v>
      </c>
      <c r="N2101" s="304">
        <v>710</v>
      </c>
      <c r="O2101" s="304">
        <v>1150</v>
      </c>
      <c r="P2101" s="239"/>
      <c r="Q2101" s="304">
        <v>2</v>
      </c>
      <c r="R2101" s="240" t="s">
        <v>1735</v>
      </c>
      <c r="T2101" s="240" t="s">
        <v>1873</v>
      </c>
      <c r="U2101" s="241" t="s">
        <v>1398</v>
      </c>
      <c r="V2101" s="241">
        <v>5</v>
      </c>
      <c r="W2101" s="241" t="s">
        <v>1398</v>
      </c>
      <c r="X2101" s="241" t="s">
        <v>1398</v>
      </c>
      <c r="Y2101" s="242">
        <v>1.08</v>
      </c>
      <c r="Z2101" s="374">
        <v>65</v>
      </c>
      <c r="AA2101" s="374">
        <v>25</v>
      </c>
      <c r="AB2101" s="239" t="s">
        <v>241</v>
      </c>
      <c r="AC2101" s="239">
        <v>6.25</v>
      </c>
      <c r="AD2101" s="239">
        <f>18/(100*100*0.15*Y2101)*100</f>
        <v>1.1111111111111112</v>
      </c>
      <c r="AE2101" s="239"/>
      <c r="AF2101" s="238" t="s">
        <v>2039</v>
      </c>
      <c r="AG2101" s="304" t="s">
        <v>132</v>
      </c>
      <c r="AH2101" s="239" t="s">
        <v>1585</v>
      </c>
      <c r="AI2101" s="304" t="s">
        <v>2037</v>
      </c>
      <c r="AJ2101" s="239" t="s">
        <v>1621</v>
      </c>
      <c r="AK2101" s="239"/>
      <c r="AL2101" s="239"/>
      <c r="AM2101" s="239"/>
      <c r="AN2101" s="239"/>
      <c r="AO2101" s="239"/>
      <c r="AP2101" s="304"/>
      <c r="AQ2101" s="239"/>
      <c r="AR2101" s="239"/>
      <c r="AS2101" s="305"/>
      <c r="AT2101" s="239" t="s">
        <v>120</v>
      </c>
      <c r="AU2101" s="304">
        <v>4</v>
      </c>
      <c r="AV2101" s="304">
        <v>4</v>
      </c>
      <c r="AW2101" s="239" t="s">
        <v>142</v>
      </c>
      <c r="AX2101" s="239"/>
      <c r="BA2101" s="239"/>
      <c r="BB2101" s="239"/>
      <c r="BH2101" s="304"/>
      <c r="BI2101" s="304"/>
      <c r="BJ2101" s="239"/>
      <c r="BM2101" s="451">
        <v>1.06</v>
      </c>
      <c r="BN2101" s="451">
        <v>1.08</v>
      </c>
      <c r="BO2101" s="32">
        <v>0.04</v>
      </c>
      <c r="BP2101" s="32">
        <v>7.0000000000000007E-2</v>
      </c>
      <c r="BR2101" s="397"/>
      <c r="BS2101" s="397"/>
      <c r="IO2101" s="304" t="s">
        <v>2093</v>
      </c>
      <c r="IP2101" s="239"/>
      <c r="IQ2101" s="243"/>
    </row>
    <row r="2102" spans="1:251" s="32" customFormat="1" x14ac:dyDescent="0.25">
      <c r="A2102" s="238">
        <v>94</v>
      </c>
      <c r="B2102" s="238" t="s">
        <v>769</v>
      </c>
      <c r="C2102" s="239" t="s">
        <v>2128</v>
      </c>
      <c r="D2102" s="238">
        <v>2006</v>
      </c>
      <c r="E2102" s="239">
        <v>2002</v>
      </c>
      <c r="F2102" s="238" t="s">
        <v>1756</v>
      </c>
      <c r="G2102" s="238" t="s">
        <v>2040</v>
      </c>
      <c r="H2102" s="238" t="s">
        <v>2831</v>
      </c>
      <c r="I2102" s="239">
        <v>32.9</v>
      </c>
      <c r="J2102" s="239">
        <v>-82.48</v>
      </c>
      <c r="K2102" s="304">
        <v>72</v>
      </c>
      <c r="L2102" s="304">
        <f t="shared" ref="L2102:L2103" si="290">AVERAGE(7.9,12.7,12.8,18.7,22.6,25.5,26.8,27.3,23.1,17.4,16.5,12.1)</f>
        <v>18.616666666666667</v>
      </c>
      <c r="M2102" s="304">
        <f t="shared" ref="M2102:M2103" si="291">AVERAGE(7.9,9.7,13.7,17.9,22,25.3,26.8,26.2,23.6,18.3,13.5,9.1)</f>
        <v>17.833333333333332</v>
      </c>
      <c r="N2102" s="304">
        <v>710</v>
      </c>
      <c r="O2102" s="304">
        <v>1150</v>
      </c>
      <c r="P2102" s="239"/>
      <c r="Q2102" s="304">
        <v>2</v>
      </c>
      <c r="R2102" s="240" t="s">
        <v>1735</v>
      </c>
      <c r="T2102" s="240" t="s">
        <v>1873</v>
      </c>
      <c r="U2102" s="241" t="s">
        <v>1398</v>
      </c>
      <c r="V2102" s="241">
        <v>5</v>
      </c>
      <c r="W2102" s="241" t="s">
        <v>1398</v>
      </c>
      <c r="X2102" s="241" t="s">
        <v>1398</v>
      </c>
      <c r="Y2102" s="242">
        <v>1.08</v>
      </c>
      <c r="Z2102" s="374">
        <v>65</v>
      </c>
      <c r="AA2102" s="374">
        <v>25</v>
      </c>
      <c r="AB2102" s="239" t="s">
        <v>241</v>
      </c>
      <c r="AC2102" s="239">
        <v>6.25</v>
      </c>
      <c r="AD2102" s="239">
        <f t="shared" ref="AD2102:AD2103" si="292">18/(100*100*0.15*Y2102)*100</f>
        <v>1.1111111111111112</v>
      </c>
      <c r="AE2102" s="239"/>
      <c r="AF2102" s="238" t="s">
        <v>2039</v>
      </c>
      <c r="AG2102" s="304" t="s">
        <v>2127</v>
      </c>
      <c r="AH2102" s="239" t="s">
        <v>1587</v>
      </c>
      <c r="AI2102" s="304" t="s">
        <v>2037</v>
      </c>
      <c r="AJ2102" s="239" t="s">
        <v>1621</v>
      </c>
      <c r="AK2102" s="239"/>
      <c r="AL2102" s="239"/>
      <c r="AM2102" s="239"/>
      <c r="AN2102" s="239"/>
      <c r="AO2102" s="239"/>
      <c r="AP2102" s="304"/>
      <c r="AQ2102" s="239"/>
      <c r="AR2102" s="239"/>
      <c r="AS2102" s="305"/>
      <c r="AT2102" s="239" t="s">
        <v>120</v>
      </c>
      <c r="AU2102" s="304">
        <v>4</v>
      </c>
      <c r="AV2102" s="304">
        <v>4</v>
      </c>
      <c r="AW2102" s="239" t="s">
        <v>142</v>
      </c>
      <c r="AX2102" s="239"/>
      <c r="BA2102" s="239"/>
      <c r="BB2102" s="239"/>
      <c r="BH2102" s="304"/>
      <c r="BI2102" s="304"/>
      <c r="BJ2102" s="239"/>
      <c r="BM2102" s="451">
        <v>1.06</v>
      </c>
      <c r="BN2102" s="451">
        <v>1.05</v>
      </c>
      <c r="BO2102" s="32">
        <v>0.04</v>
      </c>
      <c r="BP2102" s="32">
        <v>0.1</v>
      </c>
      <c r="BR2102" s="397"/>
      <c r="BS2102" s="397"/>
      <c r="IO2102" s="304" t="s">
        <v>2093</v>
      </c>
      <c r="IP2102" s="239"/>
      <c r="IQ2102" s="243"/>
    </row>
    <row r="2103" spans="1:251" s="32" customFormat="1" x14ac:dyDescent="0.25">
      <c r="A2103" s="238">
        <v>94</v>
      </c>
      <c r="B2103" s="238" t="s">
        <v>769</v>
      </c>
      <c r="C2103" s="239" t="s">
        <v>2128</v>
      </c>
      <c r="D2103" s="238">
        <v>2006</v>
      </c>
      <c r="E2103" s="239">
        <v>2002</v>
      </c>
      <c r="F2103" s="238" t="s">
        <v>1756</v>
      </c>
      <c r="G2103" s="238" t="s">
        <v>2040</v>
      </c>
      <c r="H2103" s="238" t="s">
        <v>2831</v>
      </c>
      <c r="I2103" s="239">
        <v>32.9</v>
      </c>
      <c r="J2103" s="239">
        <v>-82.48</v>
      </c>
      <c r="K2103" s="304">
        <v>72</v>
      </c>
      <c r="L2103" s="304">
        <f t="shared" si="290"/>
        <v>18.616666666666667</v>
      </c>
      <c r="M2103" s="304">
        <f t="shared" si="291"/>
        <v>17.833333333333332</v>
      </c>
      <c r="N2103" s="304">
        <v>710</v>
      </c>
      <c r="O2103" s="304">
        <v>1150</v>
      </c>
      <c r="P2103" s="239"/>
      <c r="Q2103" s="304">
        <v>2</v>
      </c>
      <c r="R2103" s="240" t="s">
        <v>1735</v>
      </c>
      <c r="T2103" s="240" t="s">
        <v>1873</v>
      </c>
      <c r="U2103" s="241" t="s">
        <v>1398</v>
      </c>
      <c r="V2103" s="241">
        <v>5</v>
      </c>
      <c r="W2103" s="241" t="s">
        <v>1398</v>
      </c>
      <c r="X2103" s="241" t="s">
        <v>1398</v>
      </c>
      <c r="Y2103" s="242">
        <v>1.08</v>
      </c>
      <c r="Z2103" s="374">
        <v>65</v>
      </c>
      <c r="AA2103" s="374">
        <v>25</v>
      </c>
      <c r="AB2103" s="239" t="s">
        <v>241</v>
      </c>
      <c r="AC2103" s="239">
        <v>6.25</v>
      </c>
      <c r="AD2103" s="239">
        <f t="shared" si="292"/>
        <v>1.1111111111111112</v>
      </c>
      <c r="AE2103" s="239"/>
      <c r="AF2103" s="238" t="s">
        <v>2039</v>
      </c>
      <c r="AG2103" s="304" t="s">
        <v>2126</v>
      </c>
      <c r="AH2103" s="239" t="s">
        <v>636</v>
      </c>
      <c r="AI2103" s="304" t="s">
        <v>2037</v>
      </c>
      <c r="AJ2103" s="239" t="s">
        <v>1621</v>
      </c>
      <c r="AK2103" s="239"/>
      <c r="AL2103" s="239"/>
      <c r="AM2103" s="239"/>
      <c r="AN2103" s="239"/>
      <c r="AO2103" s="239"/>
      <c r="AP2103" s="304"/>
      <c r="AQ2103" s="239"/>
      <c r="AR2103" s="239"/>
      <c r="AS2103" s="305"/>
      <c r="AT2103" s="239" t="s">
        <v>120</v>
      </c>
      <c r="AU2103" s="304">
        <v>4</v>
      </c>
      <c r="AV2103" s="304">
        <v>4</v>
      </c>
      <c r="AW2103" s="239" t="s">
        <v>142</v>
      </c>
      <c r="AX2103" s="239"/>
      <c r="BA2103" s="239"/>
      <c r="BB2103" s="239"/>
      <c r="BH2103" s="304"/>
      <c r="BI2103" s="304"/>
      <c r="BJ2103" s="239"/>
      <c r="BM2103" s="451">
        <v>1.06</v>
      </c>
      <c r="BN2103" s="451">
        <v>1.05</v>
      </c>
      <c r="BO2103" s="32">
        <v>0.04</v>
      </c>
      <c r="BP2103" s="32">
        <v>0.1</v>
      </c>
      <c r="BR2103" s="397"/>
      <c r="BS2103" s="397"/>
      <c r="IO2103" s="304" t="s">
        <v>2093</v>
      </c>
      <c r="IP2103" s="239"/>
      <c r="IQ2103" s="243"/>
    </row>
    <row r="2104" spans="1:251" s="24" customFormat="1" x14ac:dyDescent="0.25">
      <c r="A2104" s="244">
        <v>94</v>
      </c>
      <c r="B2104" s="244" t="s">
        <v>769</v>
      </c>
      <c r="C2104" s="245" t="s">
        <v>2128</v>
      </c>
      <c r="D2104" s="244">
        <v>2006</v>
      </c>
      <c r="E2104" s="245">
        <v>2002</v>
      </c>
      <c r="F2104" s="244" t="s">
        <v>1756</v>
      </c>
      <c r="G2104" s="244" t="s">
        <v>2040</v>
      </c>
      <c r="H2104" s="238" t="s">
        <v>2831</v>
      </c>
      <c r="I2104" s="245">
        <v>32.9</v>
      </c>
      <c r="J2104" s="245">
        <v>-82.48</v>
      </c>
      <c r="K2104" s="307">
        <v>72</v>
      </c>
      <c r="L2104" s="307">
        <v>18.616666666666667</v>
      </c>
      <c r="M2104" s="307">
        <v>17.833333333333332</v>
      </c>
      <c r="N2104" s="307">
        <v>710</v>
      </c>
      <c r="O2104" s="307">
        <v>1150</v>
      </c>
      <c r="P2104" s="245"/>
      <c r="Q2104" s="307">
        <v>2</v>
      </c>
      <c r="R2104" s="246" t="s">
        <v>1735</v>
      </c>
      <c r="T2104" s="246" t="s">
        <v>1873</v>
      </c>
      <c r="U2104" s="247" t="s">
        <v>1416</v>
      </c>
      <c r="V2104" s="247">
        <v>10</v>
      </c>
      <c r="W2104" s="247" t="s">
        <v>1416</v>
      </c>
      <c r="X2104" s="247" t="s">
        <v>1416</v>
      </c>
      <c r="Y2104" s="248">
        <v>1.08</v>
      </c>
      <c r="Z2104" s="376">
        <v>65</v>
      </c>
      <c r="AA2104" s="376">
        <v>25</v>
      </c>
      <c r="AB2104" s="245" t="s">
        <v>241</v>
      </c>
      <c r="AC2104" s="245">
        <v>6.25</v>
      </c>
      <c r="AD2104" s="245">
        <v>1.1111111111111112</v>
      </c>
      <c r="AE2104" s="245"/>
      <c r="AF2104" s="244" t="s">
        <v>2039</v>
      </c>
      <c r="AG2104" s="307" t="s">
        <v>132</v>
      </c>
      <c r="AH2104" s="245" t="s">
        <v>1585</v>
      </c>
      <c r="AI2104" s="307" t="s">
        <v>2037</v>
      </c>
      <c r="AJ2104" s="245" t="s">
        <v>1621</v>
      </c>
      <c r="AK2104" s="245"/>
      <c r="AL2104" s="245"/>
      <c r="AM2104" s="245"/>
      <c r="AN2104" s="245"/>
      <c r="AO2104" s="245"/>
      <c r="AP2104" s="307"/>
      <c r="AQ2104" s="245"/>
      <c r="AR2104" s="245"/>
      <c r="AS2104" s="308"/>
      <c r="AT2104" s="245" t="s">
        <v>120</v>
      </c>
      <c r="AU2104" s="307">
        <v>4</v>
      </c>
      <c r="AV2104" s="307">
        <v>4</v>
      </c>
      <c r="AW2104" s="245" t="s">
        <v>142</v>
      </c>
      <c r="AX2104" s="245"/>
      <c r="AY2104" s="245"/>
      <c r="AZ2104" s="245"/>
      <c r="BA2104" s="245"/>
      <c r="BB2104" s="245"/>
      <c r="BH2104" s="307"/>
      <c r="BI2104" s="307"/>
      <c r="BJ2104" s="245"/>
      <c r="BM2104" s="437">
        <v>1.1000000000000001</v>
      </c>
      <c r="BN2104" s="437">
        <v>1.1000000000000001</v>
      </c>
      <c r="BO2104" s="24">
        <v>0.05</v>
      </c>
      <c r="BP2104" s="24">
        <v>0.01</v>
      </c>
      <c r="BR2104" s="395"/>
      <c r="BS2104" s="395"/>
      <c r="IO2104" s="307" t="s">
        <v>2093</v>
      </c>
      <c r="IP2104" s="245"/>
      <c r="IQ2104" s="249"/>
    </row>
    <row r="2105" spans="1:251" s="24" customFormat="1" x14ac:dyDescent="0.25">
      <c r="A2105" s="244">
        <v>94</v>
      </c>
      <c r="B2105" s="244" t="s">
        <v>769</v>
      </c>
      <c r="C2105" s="245" t="s">
        <v>2128</v>
      </c>
      <c r="D2105" s="244">
        <v>2006</v>
      </c>
      <c r="E2105" s="245">
        <v>2002</v>
      </c>
      <c r="F2105" s="244" t="s">
        <v>1756</v>
      </c>
      <c r="G2105" s="244" t="s">
        <v>2040</v>
      </c>
      <c r="H2105" s="238" t="s">
        <v>2831</v>
      </c>
      <c r="I2105" s="245">
        <v>32.9</v>
      </c>
      <c r="J2105" s="245">
        <v>-82.48</v>
      </c>
      <c r="K2105" s="307">
        <v>72</v>
      </c>
      <c r="L2105" s="307">
        <v>18.616666666666667</v>
      </c>
      <c r="M2105" s="307">
        <v>17.833333333333332</v>
      </c>
      <c r="N2105" s="307">
        <v>710</v>
      </c>
      <c r="O2105" s="307">
        <v>1150</v>
      </c>
      <c r="P2105" s="245"/>
      <c r="Q2105" s="307">
        <v>2</v>
      </c>
      <c r="R2105" s="246" t="s">
        <v>1735</v>
      </c>
      <c r="T2105" s="246" t="s">
        <v>1873</v>
      </c>
      <c r="U2105" s="247" t="s">
        <v>1416</v>
      </c>
      <c r="V2105" s="247">
        <v>10</v>
      </c>
      <c r="W2105" s="247" t="s">
        <v>1416</v>
      </c>
      <c r="X2105" s="247" t="s">
        <v>1416</v>
      </c>
      <c r="Y2105" s="248">
        <v>1.08</v>
      </c>
      <c r="Z2105" s="376">
        <v>65</v>
      </c>
      <c r="AA2105" s="376">
        <v>25</v>
      </c>
      <c r="AB2105" s="245" t="s">
        <v>241</v>
      </c>
      <c r="AC2105" s="245">
        <v>6.25</v>
      </c>
      <c r="AD2105" s="245">
        <v>1.1111111111111112</v>
      </c>
      <c r="AE2105" s="245"/>
      <c r="AF2105" s="244" t="s">
        <v>2039</v>
      </c>
      <c r="AG2105" s="307" t="s">
        <v>2127</v>
      </c>
      <c r="AH2105" s="245" t="s">
        <v>1587</v>
      </c>
      <c r="AI2105" s="307" t="s">
        <v>2037</v>
      </c>
      <c r="AJ2105" s="245" t="s">
        <v>1621</v>
      </c>
      <c r="AK2105" s="245"/>
      <c r="AL2105" s="245"/>
      <c r="AM2105" s="245"/>
      <c r="AN2105" s="245"/>
      <c r="AO2105" s="245"/>
      <c r="AP2105" s="307"/>
      <c r="AQ2105" s="245"/>
      <c r="AR2105" s="245"/>
      <c r="AS2105" s="308"/>
      <c r="AT2105" s="245" t="s">
        <v>120</v>
      </c>
      <c r="AU2105" s="307">
        <v>4</v>
      </c>
      <c r="AV2105" s="307">
        <v>4</v>
      </c>
      <c r="AW2105" s="245" t="s">
        <v>142</v>
      </c>
      <c r="AX2105" s="245"/>
      <c r="AY2105" s="245"/>
      <c r="AZ2105" s="245"/>
      <c r="BA2105" s="245"/>
      <c r="BB2105" s="245"/>
      <c r="BH2105" s="307"/>
      <c r="BI2105" s="307"/>
      <c r="BJ2105" s="245"/>
      <c r="BM2105" s="437">
        <v>1.1000000000000001</v>
      </c>
      <c r="BN2105" s="437">
        <v>1.08</v>
      </c>
      <c r="BO2105" s="24">
        <v>0.05</v>
      </c>
      <c r="BP2105" s="24">
        <v>7.0000000000000007E-2</v>
      </c>
      <c r="BR2105" s="395"/>
      <c r="BS2105" s="395"/>
      <c r="IO2105" s="307" t="s">
        <v>2093</v>
      </c>
      <c r="IP2105" s="245"/>
      <c r="IQ2105" s="249"/>
    </row>
    <row r="2106" spans="1:251" s="24" customFormat="1" x14ac:dyDescent="0.25">
      <c r="A2106" s="244">
        <v>94</v>
      </c>
      <c r="B2106" s="244" t="s">
        <v>769</v>
      </c>
      <c r="C2106" s="245" t="s">
        <v>2128</v>
      </c>
      <c r="D2106" s="244">
        <v>2006</v>
      </c>
      <c r="E2106" s="245">
        <v>2002</v>
      </c>
      <c r="F2106" s="244" t="s">
        <v>1756</v>
      </c>
      <c r="G2106" s="244" t="s">
        <v>2040</v>
      </c>
      <c r="H2106" s="238" t="s">
        <v>2831</v>
      </c>
      <c r="I2106" s="245">
        <v>32.9</v>
      </c>
      <c r="J2106" s="245">
        <v>-82.48</v>
      </c>
      <c r="K2106" s="307">
        <v>72</v>
      </c>
      <c r="L2106" s="307">
        <v>18.616666666666667</v>
      </c>
      <c r="M2106" s="307">
        <v>17.833333333333332</v>
      </c>
      <c r="N2106" s="307">
        <v>710</v>
      </c>
      <c r="O2106" s="307">
        <v>1150</v>
      </c>
      <c r="P2106" s="245"/>
      <c r="Q2106" s="307">
        <v>2</v>
      </c>
      <c r="R2106" s="246" t="s">
        <v>1735</v>
      </c>
      <c r="T2106" s="246" t="s">
        <v>1873</v>
      </c>
      <c r="U2106" s="247" t="s">
        <v>1416</v>
      </c>
      <c r="V2106" s="247">
        <v>10</v>
      </c>
      <c r="W2106" s="247" t="s">
        <v>1416</v>
      </c>
      <c r="X2106" s="247" t="s">
        <v>1416</v>
      </c>
      <c r="Y2106" s="248">
        <v>1.08</v>
      </c>
      <c r="Z2106" s="376">
        <v>65</v>
      </c>
      <c r="AA2106" s="376">
        <v>25</v>
      </c>
      <c r="AB2106" s="245" t="s">
        <v>241</v>
      </c>
      <c r="AC2106" s="245">
        <v>6.25</v>
      </c>
      <c r="AD2106" s="245">
        <v>1.1111111111111112</v>
      </c>
      <c r="AE2106" s="245"/>
      <c r="AF2106" s="244" t="s">
        <v>2039</v>
      </c>
      <c r="AG2106" s="307" t="s">
        <v>2126</v>
      </c>
      <c r="AH2106" s="245" t="s">
        <v>636</v>
      </c>
      <c r="AI2106" s="307" t="s">
        <v>2037</v>
      </c>
      <c r="AJ2106" s="245" t="s">
        <v>1621</v>
      </c>
      <c r="AK2106" s="245"/>
      <c r="AL2106" s="245"/>
      <c r="AM2106" s="245"/>
      <c r="AN2106" s="245"/>
      <c r="AO2106" s="245"/>
      <c r="AP2106" s="307"/>
      <c r="AQ2106" s="245"/>
      <c r="AR2106" s="245"/>
      <c r="AS2106" s="308"/>
      <c r="AT2106" s="245" t="s">
        <v>120</v>
      </c>
      <c r="AU2106" s="307">
        <v>4</v>
      </c>
      <c r="AV2106" s="307">
        <v>4</v>
      </c>
      <c r="AW2106" s="245" t="s">
        <v>142</v>
      </c>
      <c r="AX2106" s="245"/>
      <c r="AY2106" s="245"/>
      <c r="AZ2106" s="245"/>
      <c r="BA2106" s="245"/>
      <c r="BB2106" s="245"/>
      <c r="BH2106" s="307"/>
      <c r="BI2106" s="307"/>
      <c r="BJ2106" s="245"/>
      <c r="BM2106" s="437">
        <v>1.1000000000000001</v>
      </c>
      <c r="BN2106" s="437">
        <v>1.1000000000000001</v>
      </c>
      <c r="BO2106" s="24">
        <v>0.05</v>
      </c>
      <c r="BP2106" s="24">
        <v>0.05</v>
      </c>
      <c r="BR2106" s="395"/>
      <c r="BS2106" s="395"/>
      <c r="IO2106" s="307" t="s">
        <v>2093</v>
      </c>
      <c r="IP2106" s="245"/>
      <c r="IQ2106" s="249"/>
    </row>
    <row r="2107" spans="1:251" s="36" customFormat="1" x14ac:dyDescent="0.25">
      <c r="A2107" s="224">
        <v>95</v>
      </c>
      <c r="B2107" s="224" t="s">
        <v>769</v>
      </c>
      <c r="C2107" s="224" t="s">
        <v>2128</v>
      </c>
      <c r="D2107" s="224">
        <v>2007</v>
      </c>
      <c r="E2107" s="224">
        <v>1998</v>
      </c>
      <c r="F2107" s="224" t="s">
        <v>1756</v>
      </c>
      <c r="G2107" s="224" t="s">
        <v>2129</v>
      </c>
      <c r="H2107" s="224" t="s">
        <v>2831</v>
      </c>
      <c r="I2107" s="224">
        <f t="shared" ref="I2107:I2118" si="293">48+48/60</f>
        <v>48.8</v>
      </c>
      <c r="J2107" s="224">
        <f t="shared" ref="J2107:J2118" si="294">-110-1/60</f>
        <v>-110.01666666666667</v>
      </c>
      <c r="K2107" s="224">
        <v>871.2</v>
      </c>
      <c r="L2107" s="224"/>
      <c r="M2107" s="224"/>
      <c r="N2107" s="224"/>
      <c r="O2107" s="224"/>
      <c r="P2107" s="224"/>
      <c r="Q2107" s="226" t="s">
        <v>1986</v>
      </c>
      <c r="R2107" s="226" t="s">
        <v>1741</v>
      </c>
      <c r="T2107" s="226" t="s">
        <v>2130</v>
      </c>
      <c r="U2107" s="226" t="s">
        <v>1383</v>
      </c>
      <c r="V2107" s="226" t="s">
        <v>1722</v>
      </c>
      <c r="W2107" s="226" t="s">
        <v>1398</v>
      </c>
      <c r="X2107" s="226" t="s">
        <v>1383</v>
      </c>
      <c r="Y2107" s="224">
        <v>1.31</v>
      </c>
      <c r="Z2107" s="377">
        <v>53</v>
      </c>
      <c r="AA2107" s="377">
        <v>21</v>
      </c>
      <c r="AB2107" s="224" t="s">
        <v>519</v>
      </c>
      <c r="AC2107" s="224">
        <v>8.3000000000000007</v>
      </c>
      <c r="AD2107" s="224">
        <f t="shared" ref="AD2107:AD2118" si="295">20.5/(100*100*0.2*Y2107)*100</f>
        <v>0.78244274809160308</v>
      </c>
      <c r="AE2107" s="224"/>
      <c r="AF2107" s="224" t="s">
        <v>1343</v>
      </c>
      <c r="AG2107" s="224" t="s">
        <v>563</v>
      </c>
      <c r="AH2107" s="224" t="s">
        <v>578</v>
      </c>
      <c r="AI2107" s="224" t="s">
        <v>117</v>
      </c>
      <c r="AJ2107" s="224" t="s">
        <v>117</v>
      </c>
      <c r="AK2107" s="224"/>
      <c r="AL2107" s="224"/>
      <c r="AM2107" s="224"/>
      <c r="AN2107" s="224"/>
      <c r="AO2107" s="224"/>
      <c r="AP2107" s="224"/>
      <c r="AQ2107" s="224"/>
      <c r="AR2107" s="224"/>
      <c r="AS2107" s="224"/>
      <c r="AT2107" s="224" t="s">
        <v>120</v>
      </c>
      <c r="AU2107" s="224"/>
      <c r="AV2107" s="224"/>
      <c r="AW2107" s="224" t="s">
        <v>2131</v>
      </c>
      <c r="AX2107" s="224"/>
      <c r="AY2107" s="224"/>
      <c r="AZ2107" s="224"/>
      <c r="BA2107" s="224"/>
      <c r="BB2107" s="224"/>
      <c r="BC2107" s="36">
        <v>2820</v>
      </c>
      <c r="BD2107" s="36">
        <v>5390</v>
      </c>
      <c r="BG2107" s="36" t="s">
        <v>2132</v>
      </c>
      <c r="BM2107" s="407"/>
      <c r="BN2107" s="407"/>
      <c r="BR2107" s="441"/>
      <c r="BS2107" s="441"/>
      <c r="IO2107" s="224"/>
      <c r="IP2107" s="224"/>
      <c r="IQ2107" s="230"/>
    </row>
    <row r="2108" spans="1:251" s="36" customFormat="1" x14ac:dyDescent="0.25">
      <c r="A2108" s="224">
        <v>95</v>
      </c>
      <c r="B2108" s="224" t="s">
        <v>769</v>
      </c>
      <c r="C2108" s="224" t="s">
        <v>2128</v>
      </c>
      <c r="D2108" s="224">
        <v>2007</v>
      </c>
      <c r="E2108" s="224">
        <v>1999</v>
      </c>
      <c r="F2108" s="224" t="s">
        <v>1756</v>
      </c>
      <c r="G2108" s="224" t="s">
        <v>2129</v>
      </c>
      <c r="H2108" s="224" t="s">
        <v>2831</v>
      </c>
      <c r="I2108" s="224">
        <f t="shared" si="293"/>
        <v>48.8</v>
      </c>
      <c r="J2108" s="224">
        <f t="shared" si="294"/>
        <v>-110.01666666666667</v>
      </c>
      <c r="K2108" s="224">
        <v>871.2</v>
      </c>
      <c r="L2108" s="224"/>
      <c r="M2108" s="224"/>
      <c r="N2108" s="224"/>
      <c r="O2108" s="224"/>
      <c r="P2108" s="224"/>
      <c r="Q2108" s="226" t="s">
        <v>1856</v>
      </c>
      <c r="R2108" s="226" t="s">
        <v>1741</v>
      </c>
      <c r="T2108" s="226" t="s">
        <v>2130</v>
      </c>
      <c r="U2108" s="226" t="s">
        <v>1383</v>
      </c>
      <c r="V2108" s="226" t="s">
        <v>1722</v>
      </c>
      <c r="W2108" s="226" t="s">
        <v>1398</v>
      </c>
      <c r="X2108" s="226" t="s">
        <v>1383</v>
      </c>
      <c r="Y2108" s="224">
        <v>1.31</v>
      </c>
      <c r="Z2108" s="377">
        <v>53</v>
      </c>
      <c r="AA2108" s="377">
        <v>21</v>
      </c>
      <c r="AB2108" s="224" t="s">
        <v>519</v>
      </c>
      <c r="AC2108" s="224">
        <v>8.3000000000000007</v>
      </c>
      <c r="AD2108" s="224">
        <f t="shared" si="295"/>
        <v>0.78244274809160308</v>
      </c>
      <c r="AE2108" s="224"/>
      <c r="AF2108" s="224" t="s">
        <v>1343</v>
      </c>
      <c r="AG2108" s="224" t="s">
        <v>563</v>
      </c>
      <c r="AH2108" s="224" t="s">
        <v>578</v>
      </c>
      <c r="AI2108" s="224" t="s">
        <v>117</v>
      </c>
      <c r="AJ2108" s="224" t="s">
        <v>117</v>
      </c>
      <c r="AK2108" s="224"/>
      <c r="AL2108" s="224"/>
      <c r="AM2108" s="224"/>
      <c r="AN2108" s="224"/>
      <c r="AO2108" s="224"/>
      <c r="AP2108" s="224"/>
      <c r="AQ2108" s="224"/>
      <c r="AR2108" s="224"/>
      <c r="AS2108" s="224"/>
      <c r="AT2108" s="224" t="s">
        <v>120</v>
      </c>
      <c r="AU2108" s="224"/>
      <c r="AV2108" s="224"/>
      <c r="AW2108" s="224" t="s">
        <v>2131</v>
      </c>
      <c r="AX2108" s="224"/>
      <c r="AY2108" s="224"/>
      <c r="AZ2108" s="224"/>
      <c r="BA2108" s="224"/>
      <c r="BB2108" s="224"/>
      <c r="BC2108" s="36">
        <v>3060</v>
      </c>
      <c r="BD2108" s="36">
        <v>2020</v>
      </c>
      <c r="BG2108" s="36" t="s">
        <v>2132</v>
      </c>
      <c r="BM2108" s="407"/>
      <c r="BN2108" s="407"/>
      <c r="BR2108" s="441"/>
      <c r="BS2108" s="441"/>
      <c r="IO2108" s="224"/>
      <c r="IP2108" s="224"/>
      <c r="IQ2108" s="230"/>
    </row>
    <row r="2109" spans="1:251" s="36" customFormat="1" x14ac:dyDescent="0.25">
      <c r="A2109" s="224">
        <v>95</v>
      </c>
      <c r="B2109" s="224" t="s">
        <v>769</v>
      </c>
      <c r="C2109" s="224" t="s">
        <v>2128</v>
      </c>
      <c r="D2109" s="224">
        <v>2007</v>
      </c>
      <c r="E2109" s="224">
        <v>2000</v>
      </c>
      <c r="F2109" s="224" t="s">
        <v>1756</v>
      </c>
      <c r="G2109" s="224" t="s">
        <v>2129</v>
      </c>
      <c r="H2109" s="224" t="s">
        <v>2831</v>
      </c>
      <c r="I2109" s="224">
        <f t="shared" si="293"/>
        <v>48.8</v>
      </c>
      <c r="J2109" s="224">
        <f t="shared" si="294"/>
        <v>-110.01666666666667</v>
      </c>
      <c r="K2109" s="224">
        <v>871.2</v>
      </c>
      <c r="L2109" s="224"/>
      <c r="M2109" s="224"/>
      <c r="N2109" s="224"/>
      <c r="O2109" s="224"/>
      <c r="P2109" s="224"/>
      <c r="Q2109" s="226" t="s">
        <v>1735</v>
      </c>
      <c r="R2109" s="226" t="s">
        <v>1741</v>
      </c>
      <c r="T2109" s="226" t="s">
        <v>2130</v>
      </c>
      <c r="U2109" s="226" t="s">
        <v>1383</v>
      </c>
      <c r="V2109" s="226" t="s">
        <v>1722</v>
      </c>
      <c r="W2109" s="226" t="s">
        <v>1398</v>
      </c>
      <c r="X2109" s="226" t="s">
        <v>1383</v>
      </c>
      <c r="Y2109" s="224">
        <v>1.31</v>
      </c>
      <c r="Z2109" s="377">
        <v>53</v>
      </c>
      <c r="AA2109" s="377">
        <v>21</v>
      </c>
      <c r="AB2109" s="224" t="s">
        <v>519</v>
      </c>
      <c r="AC2109" s="224">
        <v>8.3000000000000007</v>
      </c>
      <c r="AD2109" s="224">
        <f t="shared" si="295"/>
        <v>0.78244274809160308</v>
      </c>
      <c r="AE2109" s="224"/>
      <c r="AF2109" s="224" t="s">
        <v>1343</v>
      </c>
      <c r="AG2109" s="224" t="s">
        <v>563</v>
      </c>
      <c r="AH2109" s="224" t="s">
        <v>578</v>
      </c>
      <c r="AI2109" s="224" t="s">
        <v>117</v>
      </c>
      <c r="AJ2109" s="224" t="s">
        <v>117</v>
      </c>
      <c r="AK2109" s="224"/>
      <c r="AL2109" s="224"/>
      <c r="AM2109" s="224"/>
      <c r="AN2109" s="224"/>
      <c r="AO2109" s="224"/>
      <c r="AP2109" s="224"/>
      <c r="AQ2109" s="224"/>
      <c r="AR2109" s="224"/>
      <c r="AS2109" s="224"/>
      <c r="AT2109" s="224" t="s">
        <v>120</v>
      </c>
      <c r="AU2109" s="224"/>
      <c r="AV2109" s="224"/>
      <c r="AW2109" s="224" t="s">
        <v>2131</v>
      </c>
      <c r="AX2109" s="224"/>
      <c r="AY2109" s="224"/>
      <c r="AZ2109" s="224"/>
      <c r="BA2109" s="224"/>
      <c r="BB2109" s="224"/>
      <c r="BC2109" s="36">
        <v>1390</v>
      </c>
      <c r="BD2109" s="36">
        <v>1660</v>
      </c>
      <c r="BG2109" s="36" t="s">
        <v>2132</v>
      </c>
      <c r="BM2109" s="407"/>
      <c r="BN2109" s="407"/>
      <c r="BR2109" s="441"/>
      <c r="BS2109" s="441"/>
      <c r="IO2109" s="224"/>
      <c r="IP2109" s="224"/>
      <c r="IQ2109" s="230"/>
    </row>
    <row r="2110" spans="1:251" s="36" customFormat="1" x14ac:dyDescent="0.25">
      <c r="A2110" s="224">
        <v>95</v>
      </c>
      <c r="B2110" s="224" t="s">
        <v>769</v>
      </c>
      <c r="C2110" s="224" t="s">
        <v>2128</v>
      </c>
      <c r="D2110" s="224">
        <v>2007</v>
      </c>
      <c r="E2110" s="224">
        <v>2001</v>
      </c>
      <c r="F2110" s="224" t="s">
        <v>1756</v>
      </c>
      <c r="G2110" s="224" t="s">
        <v>2129</v>
      </c>
      <c r="H2110" s="224" t="s">
        <v>2831</v>
      </c>
      <c r="I2110" s="224">
        <f t="shared" si="293"/>
        <v>48.8</v>
      </c>
      <c r="J2110" s="224">
        <f t="shared" si="294"/>
        <v>-110.01666666666667</v>
      </c>
      <c r="K2110" s="224">
        <v>871.2</v>
      </c>
      <c r="L2110" s="224"/>
      <c r="M2110" s="224"/>
      <c r="N2110" s="224"/>
      <c r="O2110" s="224"/>
      <c r="P2110" s="224"/>
      <c r="Q2110" s="226" t="s">
        <v>1867</v>
      </c>
      <c r="R2110" s="226" t="s">
        <v>1741</v>
      </c>
      <c r="T2110" s="226" t="s">
        <v>2130</v>
      </c>
      <c r="U2110" s="226" t="s">
        <v>1383</v>
      </c>
      <c r="V2110" s="226" t="s">
        <v>1722</v>
      </c>
      <c r="W2110" s="226" t="s">
        <v>1398</v>
      </c>
      <c r="X2110" s="226" t="s">
        <v>1383</v>
      </c>
      <c r="Y2110" s="224">
        <v>1.31</v>
      </c>
      <c r="Z2110" s="377">
        <v>53</v>
      </c>
      <c r="AA2110" s="377">
        <v>21</v>
      </c>
      <c r="AB2110" s="224" t="s">
        <v>519</v>
      </c>
      <c r="AC2110" s="224">
        <v>8.3000000000000007</v>
      </c>
      <c r="AD2110" s="224">
        <f t="shared" si="295"/>
        <v>0.78244274809160308</v>
      </c>
      <c r="AE2110" s="224"/>
      <c r="AF2110" s="224" t="s">
        <v>1343</v>
      </c>
      <c r="AG2110" s="224" t="s">
        <v>563</v>
      </c>
      <c r="AH2110" s="224" t="s">
        <v>578</v>
      </c>
      <c r="AI2110" s="224" t="s">
        <v>117</v>
      </c>
      <c r="AJ2110" s="224" t="s">
        <v>117</v>
      </c>
      <c r="AK2110" s="224"/>
      <c r="AL2110" s="224"/>
      <c r="AM2110" s="224"/>
      <c r="AN2110" s="224"/>
      <c r="AO2110" s="224"/>
      <c r="AP2110" s="224"/>
      <c r="AQ2110" s="224"/>
      <c r="AR2110" s="224"/>
      <c r="AS2110" s="224"/>
      <c r="AT2110" s="224" t="s">
        <v>120</v>
      </c>
      <c r="AU2110" s="224"/>
      <c r="AV2110" s="224"/>
      <c r="AW2110" s="224" t="s">
        <v>2131</v>
      </c>
      <c r="AX2110" s="224"/>
      <c r="AY2110" s="224"/>
      <c r="AZ2110" s="224"/>
      <c r="BA2110" s="224"/>
      <c r="BB2110" s="224"/>
      <c r="BC2110" s="36">
        <v>630</v>
      </c>
      <c r="BD2110" s="36">
        <v>210</v>
      </c>
      <c r="BG2110" s="36" t="s">
        <v>2132</v>
      </c>
      <c r="BM2110" s="407"/>
      <c r="BN2110" s="407"/>
      <c r="BR2110" s="441"/>
      <c r="BS2110" s="441"/>
      <c r="IO2110" s="224"/>
      <c r="IP2110" s="224"/>
      <c r="IQ2110" s="230"/>
    </row>
    <row r="2111" spans="1:251" s="36" customFormat="1" x14ac:dyDescent="0.25">
      <c r="A2111" s="224">
        <v>95</v>
      </c>
      <c r="B2111" s="224" t="s">
        <v>769</v>
      </c>
      <c r="C2111" s="224" t="s">
        <v>2128</v>
      </c>
      <c r="D2111" s="224">
        <v>2007</v>
      </c>
      <c r="E2111" s="224">
        <v>2002</v>
      </c>
      <c r="F2111" s="224" t="s">
        <v>1756</v>
      </c>
      <c r="G2111" s="224" t="s">
        <v>2129</v>
      </c>
      <c r="H2111" s="224" t="s">
        <v>2831</v>
      </c>
      <c r="I2111" s="224">
        <f t="shared" si="293"/>
        <v>48.8</v>
      </c>
      <c r="J2111" s="224">
        <f t="shared" si="294"/>
        <v>-110.01666666666667</v>
      </c>
      <c r="K2111" s="224">
        <v>871.2</v>
      </c>
      <c r="L2111" s="224"/>
      <c r="M2111" s="224"/>
      <c r="N2111" s="224"/>
      <c r="O2111" s="224"/>
      <c r="P2111" s="224"/>
      <c r="Q2111" s="226" t="s">
        <v>1729</v>
      </c>
      <c r="R2111" s="226" t="s">
        <v>1741</v>
      </c>
      <c r="T2111" s="226" t="s">
        <v>2130</v>
      </c>
      <c r="U2111" s="226" t="s">
        <v>1383</v>
      </c>
      <c r="V2111" s="226" t="s">
        <v>1722</v>
      </c>
      <c r="W2111" s="226" t="s">
        <v>1398</v>
      </c>
      <c r="X2111" s="226" t="s">
        <v>1383</v>
      </c>
      <c r="Y2111" s="224">
        <v>1.31</v>
      </c>
      <c r="Z2111" s="377">
        <v>53</v>
      </c>
      <c r="AA2111" s="377">
        <v>21</v>
      </c>
      <c r="AB2111" s="224" t="s">
        <v>519</v>
      </c>
      <c r="AC2111" s="224">
        <v>8.3000000000000007</v>
      </c>
      <c r="AD2111" s="224">
        <f t="shared" si="295"/>
        <v>0.78244274809160308</v>
      </c>
      <c r="AE2111" s="224"/>
      <c r="AF2111" s="224" t="s">
        <v>1343</v>
      </c>
      <c r="AG2111" s="224" t="s">
        <v>563</v>
      </c>
      <c r="AH2111" s="224" t="s">
        <v>578</v>
      </c>
      <c r="AI2111" s="224" t="s">
        <v>117</v>
      </c>
      <c r="AJ2111" s="224" t="s">
        <v>117</v>
      </c>
      <c r="AK2111" s="224"/>
      <c r="AL2111" s="224"/>
      <c r="AM2111" s="224"/>
      <c r="AN2111" s="224"/>
      <c r="AO2111" s="224"/>
      <c r="AP2111" s="224"/>
      <c r="AQ2111" s="224"/>
      <c r="AR2111" s="224"/>
      <c r="AS2111" s="224"/>
      <c r="AT2111" s="224" t="s">
        <v>120</v>
      </c>
      <c r="AU2111" s="224"/>
      <c r="AV2111" s="224"/>
      <c r="AW2111" s="224" t="s">
        <v>2131</v>
      </c>
      <c r="AX2111" s="224"/>
      <c r="AY2111" s="224"/>
      <c r="AZ2111" s="224"/>
      <c r="BA2111" s="224"/>
      <c r="BB2111" s="224"/>
      <c r="BC2111" s="36">
        <v>1240</v>
      </c>
      <c r="BD2111" s="36">
        <v>2250</v>
      </c>
      <c r="BG2111" s="36" t="s">
        <v>2132</v>
      </c>
      <c r="BM2111" s="407"/>
      <c r="BN2111" s="407"/>
      <c r="BR2111" s="441"/>
      <c r="BS2111" s="441"/>
      <c r="IO2111" s="224"/>
      <c r="IP2111" s="224"/>
      <c r="IQ2111" s="230"/>
    </row>
    <row r="2112" spans="1:251" s="36" customFormat="1" x14ac:dyDescent="0.25">
      <c r="A2112" s="224">
        <v>95</v>
      </c>
      <c r="B2112" s="224" t="s">
        <v>769</v>
      </c>
      <c r="C2112" s="224" t="s">
        <v>2128</v>
      </c>
      <c r="D2112" s="224">
        <v>2007</v>
      </c>
      <c r="E2112" s="224">
        <v>2003</v>
      </c>
      <c r="F2112" s="224" t="s">
        <v>1756</v>
      </c>
      <c r="G2112" s="224" t="s">
        <v>2129</v>
      </c>
      <c r="H2112" s="224" t="s">
        <v>2831</v>
      </c>
      <c r="I2112" s="224">
        <f t="shared" si="293"/>
        <v>48.8</v>
      </c>
      <c r="J2112" s="224">
        <f t="shared" si="294"/>
        <v>-110.01666666666667</v>
      </c>
      <c r="K2112" s="224">
        <v>871.2</v>
      </c>
      <c r="L2112" s="224"/>
      <c r="M2112" s="224"/>
      <c r="N2112" s="224"/>
      <c r="O2112" s="224"/>
      <c r="P2112" s="224"/>
      <c r="Q2112" s="226" t="s">
        <v>1852</v>
      </c>
      <c r="R2112" s="226" t="s">
        <v>1741</v>
      </c>
      <c r="T2112" s="226" t="s">
        <v>2130</v>
      </c>
      <c r="U2112" s="226" t="s">
        <v>1383</v>
      </c>
      <c r="V2112" s="226" t="s">
        <v>1722</v>
      </c>
      <c r="W2112" s="226" t="s">
        <v>1398</v>
      </c>
      <c r="X2112" s="226" t="s">
        <v>1383</v>
      </c>
      <c r="Y2112" s="224">
        <v>1.31</v>
      </c>
      <c r="Z2112" s="377">
        <v>53</v>
      </c>
      <c r="AA2112" s="377">
        <v>21</v>
      </c>
      <c r="AB2112" s="224" t="s">
        <v>519</v>
      </c>
      <c r="AC2112" s="224">
        <v>8.3000000000000007</v>
      </c>
      <c r="AD2112" s="224">
        <f t="shared" si="295"/>
        <v>0.78244274809160308</v>
      </c>
      <c r="AE2112" s="224"/>
      <c r="AF2112" s="224" t="s">
        <v>1343</v>
      </c>
      <c r="AG2112" s="224" t="s">
        <v>563</v>
      </c>
      <c r="AH2112" s="224" t="s">
        <v>578</v>
      </c>
      <c r="AI2112" s="224" t="s">
        <v>117</v>
      </c>
      <c r="AJ2112" s="224" t="s">
        <v>117</v>
      </c>
      <c r="AK2112" s="224"/>
      <c r="AL2112" s="224"/>
      <c r="AM2112" s="224"/>
      <c r="AN2112" s="224"/>
      <c r="AO2112" s="224"/>
      <c r="AP2112" s="224"/>
      <c r="AQ2112" s="224"/>
      <c r="AR2112" s="224"/>
      <c r="AS2112" s="224"/>
      <c r="AT2112" s="224" t="s">
        <v>120</v>
      </c>
      <c r="AU2112" s="224"/>
      <c r="AV2112" s="224"/>
      <c r="AW2112" s="224" t="s">
        <v>2131</v>
      </c>
      <c r="AX2112" s="224"/>
      <c r="AY2112" s="224"/>
      <c r="AZ2112" s="224"/>
      <c r="BA2112" s="224"/>
      <c r="BB2112" s="224"/>
      <c r="BC2112" s="36">
        <v>1540</v>
      </c>
      <c r="BD2112" s="36">
        <v>880</v>
      </c>
      <c r="BG2112" s="36" t="s">
        <v>2132</v>
      </c>
      <c r="BM2112" s="407"/>
      <c r="BN2112" s="407"/>
      <c r="BR2112" s="441"/>
      <c r="BS2112" s="441"/>
      <c r="IO2112" s="224"/>
      <c r="IP2112" s="224"/>
      <c r="IQ2112" s="230"/>
    </row>
    <row r="2113" spans="1:251" s="284" customFormat="1" x14ac:dyDescent="0.25">
      <c r="A2113" s="278">
        <v>95</v>
      </c>
      <c r="B2113" s="278" t="s">
        <v>769</v>
      </c>
      <c r="C2113" s="278" t="s">
        <v>2128</v>
      </c>
      <c r="D2113" s="278">
        <v>2007</v>
      </c>
      <c r="E2113" s="278">
        <v>2000</v>
      </c>
      <c r="F2113" s="278" t="s">
        <v>1756</v>
      </c>
      <c r="G2113" s="278" t="s">
        <v>2129</v>
      </c>
      <c r="H2113" s="224" t="s">
        <v>2831</v>
      </c>
      <c r="I2113" s="278">
        <f t="shared" si="293"/>
        <v>48.8</v>
      </c>
      <c r="J2113" s="278">
        <f t="shared" si="294"/>
        <v>-110.01666666666667</v>
      </c>
      <c r="K2113" s="278">
        <v>871.2</v>
      </c>
      <c r="L2113" s="278"/>
      <c r="M2113" s="278"/>
      <c r="N2113" s="278"/>
      <c r="O2113" s="278"/>
      <c r="P2113" s="278"/>
      <c r="Q2113" s="280" t="s">
        <v>1735</v>
      </c>
      <c r="R2113" s="280" t="s">
        <v>1741</v>
      </c>
      <c r="T2113" s="280" t="s">
        <v>2130</v>
      </c>
      <c r="U2113" s="280" t="s">
        <v>1398</v>
      </c>
      <c r="V2113" s="280" t="s">
        <v>1729</v>
      </c>
      <c r="W2113" s="280" t="s">
        <v>1398</v>
      </c>
      <c r="X2113" s="280" t="s">
        <v>1383</v>
      </c>
      <c r="Y2113" s="278">
        <v>1.31</v>
      </c>
      <c r="Z2113" s="370">
        <v>53</v>
      </c>
      <c r="AA2113" s="370">
        <v>21</v>
      </c>
      <c r="AB2113" s="278" t="s">
        <v>519</v>
      </c>
      <c r="AC2113" s="278">
        <v>8.3000000000000007</v>
      </c>
      <c r="AD2113" s="278">
        <f t="shared" si="295"/>
        <v>0.78244274809160308</v>
      </c>
      <c r="AE2113" s="278"/>
      <c r="AF2113" s="278" t="s">
        <v>1343</v>
      </c>
      <c r="AG2113" s="278" t="s">
        <v>563</v>
      </c>
      <c r="AH2113" s="278" t="s">
        <v>578</v>
      </c>
      <c r="AI2113" s="278" t="s">
        <v>117</v>
      </c>
      <c r="AJ2113" s="278" t="s">
        <v>117</v>
      </c>
      <c r="AK2113" s="278"/>
      <c r="AL2113" s="278"/>
      <c r="AM2113" s="278"/>
      <c r="AN2113" s="278" t="s">
        <v>2135</v>
      </c>
      <c r="AO2113" s="278" t="s">
        <v>2135</v>
      </c>
      <c r="AP2113" s="278" t="s">
        <v>178</v>
      </c>
      <c r="AQ2113" s="278"/>
      <c r="AR2113" s="278"/>
      <c r="AS2113" s="278"/>
      <c r="AT2113" s="278" t="s">
        <v>120</v>
      </c>
      <c r="AU2113" s="278"/>
      <c r="AV2113" s="278"/>
      <c r="AW2113" s="278" t="s">
        <v>2131</v>
      </c>
      <c r="AX2113" s="278"/>
      <c r="AY2113" s="278"/>
      <c r="AZ2113" s="278"/>
      <c r="BA2113" s="278"/>
      <c r="BB2113" s="278"/>
      <c r="BM2113" s="452"/>
      <c r="BN2113" s="452"/>
      <c r="BR2113" s="446"/>
      <c r="BS2113" s="446"/>
      <c r="BW2113" s="284">
        <v>0.62</v>
      </c>
      <c r="BX2113" s="284">
        <v>0.66</v>
      </c>
      <c r="CA2113" s="284" t="s">
        <v>2134</v>
      </c>
      <c r="GW2113" s="284">
        <v>5.9</v>
      </c>
      <c r="GX2113" s="284">
        <v>22.2</v>
      </c>
      <c r="HA2113" s="284" t="s">
        <v>570</v>
      </c>
      <c r="IA2113" s="284">
        <f>312.5/(100*100*0.05*Y2113)*1000</f>
        <v>477.09923664122141</v>
      </c>
      <c r="IB2113" s="284">
        <f>334.87/(100*100*0.05*Y2113)*1000</f>
        <v>511.25190839694659</v>
      </c>
      <c r="IE2113" s="284" t="s">
        <v>2133</v>
      </c>
      <c r="IF2113" s="284">
        <v>37</v>
      </c>
      <c r="IG2113" s="284">
        <v>49</v>
      </c>
      <c r="IJ2113" s="284" t="s">
        <v>180</v>
      </c>
      <c r="IO2113" s="278"/>
      <c r="IP2113" s="278"/>
      <c r="IQ2113" s="285"/>
    </row>
    <row r="2114" spans="1:251" s="284" customFormat="1" x14ac:dyDescent="0.25">
      <c r="A2114" s="278">
        <v>95</v>
      </c>
      <c r="B2114" s="278" t="s">
        <v>769</v>
      </c>
      <c r="C2114" s="278" t="s">
        <v>2128</v>
      </c>
      <c r="D2114" s="278">
        <v>2007</v>
      </c>
      <c r="E2114" s="278">
        <v>2000</v>
      </c>
      <c r="F2114" s="278" t="s">
        <v>1756</v>
      </c>
      <c r="G2114" s="278" t="s">
        <v>2129</v>
      </c>
      <c r="H2114" s="224" t="s">
        <v>2831</v>
      </c>
      <c r="I2114" s="278">
        <f t="shared" si="293"/>
        <v>48.8</v>
      </c>
      <c r="J2114" s="278">
        <f t="shared" si="294"/>
        <v>-110.01666666666667</v>
      </c>
      <c r="K2114" s="278">
        <v>871.2</v>
      </c>
      <c r="L2114" s="278"/>
      <c r="M2114" s="278"/>
      <c r="N2114" s="278"/>
      <c r="O2114" s="278"/>
      <c r="P2114" s="278"/>
      <c r="Q2114" s="280" t="s">
        <v>1735</v>
      </c>
      <c r="R2114" s="280" t="s">
        <v>1741</v>
      </c>
      <c r="T2114" s="280" t="s">
        <v>2130</v>
      </c>
      <c r="U2114" s="280" t="s">
        <v>1418</v>
      </c>
      <c r="V2114" s="280" t="s">
        <v>1724</v>
      </c>
      <c r="W2114" s="280" t="s">
        <v>1398</v>
      </c>
      <c r="X2114" s="280" t="s">
        <v>1383</v>
      </c>
      <c r="Y2114" s="278">
        <v>1.31</v>
      </c>
      <c r="Z2114" s="370">
        <v>53</v>
      </c>
      <c r="AA2114" s="370">
        <v>21</v>
      </c>
      <c r="AB2114" s="278" t="s">
        <v>519</v>
      </c>
      <c r="AC2114" s="278">
        <v>8.3000000000000007</v>
      </c>
      <c r="AD2114" s="278">
        <f t="shared" si="295"/>
        <v>0.78244274809160308</v>
      </c>
      <c r="AE2114" s="278"/>
      <c r="AF2114" s="278" t="s">
        <v>1343</v>
      </c>
      <c r="AG2114" s="278" t="s">
        <v>563</v>
      </c>
      <c r="AH2114" s="278" t="s">
        <v>578</v>
      </c>
      <c r="AI2114" s="278" t="s">
        <v>117</v>
      </c>
      <c r="AJ2114" s="278" t="s">
        <v>117</v>
      </c>
      <c r="AK2114" s="278"/>
      <c r="AL2114" s="278"/>
      <c r="AM2114" s="278"/>
      <c r="AN2114" s="278" t="s">
        <v>2135</v>
      </c>
      <c r="AO2114" s="278" t="s">
        <v>2135</v>
      </c>
      <c r="AP2114" s="278" t="s">
        <v>178</v>
      </c>
      <c r="AQ2114" s="278"/>
      <c r="AR2114" s="278"/>
      <c r="AS2114" s="278"/>
      <c r="AT2114" s="278" t="s">
        <v>120</v>
      </c>
      <c r="AU2114" s="278"/>
      <c r="AV2114" s="278"/>
      <c r="AW2114" s="278" t="s">
        <v>2131</v>
      </c>
      <c r="AX2114" s="278"/>
      <c r="AY2114" s="278"/>
      <c r="AZ2114" s="278"/>
      <c r="BA2114" s="278"/>
      <c r="BB2114" s="278"/>
      <c r="BM2114" s="452"/>
      <c r="BN2114" s="452"/>
      <c r="BR2114" s="446"/>
      <c r="BS2114" s="446"/>
      <c r="BW2114" s="284">
        <v>1.7</v>
      </c>
      <c r="BX2114" s="284">
        <v>2.21</v>
      </c>
      <c r="CA2114" s="284" t="s">
        <v>2134</v>
      </c>
      <c r="GW2114" s="284">
        <v>11</v>
      </c>
      <c r="GX2114" s="284">
        <v>2.9</v>
      </c>
      <c r="HA2114" s="284" t="s">
        <v>570</v>
      </c>
      <c r="IF2114" s="284">
        <v>67.900000000000006</v>
      </c>
      <c r="IG2114" s="284">
        <v>18.5</v>
      </c>
      <c r="IJ2114" s="284" t="s">
        <v>180</v>
      </c>
      <c r="IO2114" s="278"/>
      <c r="IP2114" s="278"/>
      <c r="IQ2114" s="285"/>
    </row>
    <row r="2115" spans="1:251" s="36" customFormat="1" x14ac:dyDescent="0.25">
      <c r="A2115" s="224">
        <v>95</v>
      </c>
      <c r="B2115" s="224" t="s">
        <v>769</v>
      </c>
      <c r="C2115" s="224" t="s">
        <v>2128</v>
      </c>
      <c r="D2115" s="224">
        <v>2007</v>
      </c>
      <c r="E2115" s="224">
        <v>2000</v>
      </c>
      <c r="F2115" s="224" t="s">
        <v>1756</v>
      </c>
      <c r="G2115" s="224" t="s">
        <v>2129</v>
      </c>
      <c r="H2115" s="224" t="s">
        <v>2831</v>
      </c>
      <c r="I2115" s="224">
        <f t="shared" si="293"/>
        <v>48.8</v>
      </c>
      <c r="J2115" s="224">
        <f t="shared" si="294"/>
        <v>-110.01666666666667</v>
      </c>
      <c r="K2115" s="224">
        <v>871.2</v>
      </c>
      <c r="L2115" s="224"/>
      <c r="M2115" s="224"/>
      <c r="N2115" s="224"/>
      <c r="O2115" s="224"/>
      <c r="P2115" s="224"/>
      <c r="Q2115" s="226" t="s">
        <v>1735</v>
      </c>
      <c r="R2115" s="226" t="s">
        <v>1741</v>
      </c>
      <c r="T2115" s="226" t="s">
        <v>2130</v>
      </c>
      <c r="U2115" s="226" t="s">
        <v>1383</v>
      </c>
      <c r="V2115" s="226" t="s">
        <v>1722</v>
      </c>
      <c r="W2115" s="226" t="s">
        <v>1398</v>
      </c>
      <c r="X2115" s="226" t="s">
        <v>1383</v>
      </c>
      <c r="Y2115" s="224">
        <v>1.31</v>
      </c>
      <c r="Z2115" s="377">
        <v>53</v>
      </c>
      <c r="AA2115" s="377">
        <v>21</v>
      </c>
      <c r="AB2115" s="224" t="s">
        <v>519</v>
      </c>
      <c r="AC2115" s="224">
        <v>8.3000000000000007</v>
      </c>
      <c r="AD2115" s="224">
        <f t="shared" si="295"/>
        <v>0.78244274809160308</v>
      </c>
      <c r="AE2115" s="224"/>
      <c r="AF2115" s="224" t="s">
        <v>1343</v>
      </c>
      <c r="AG2115" s="224" t="s">
        <v>563</v>
      </c>
      <c r="AH2115" s="224" t="s">
        <v>578</v>
      </c>
      <c r="AI2115" s="224" t="s">
        <v>117</v>
      </c>
      <c r="AJ2115" s="224" t="s">
        <v>117</v>
      </c>
      <c r="AK2115" s="224"/>
      <c r="AL2115" s="224"/>
      <c r="AM2115" s="224"/>
      <c r="AN2115" s="224" t="s">
        <v>2135</v>
      </c>
      <c r="AO2115" s="224" t="s">
        <v>2135</v>
      </c>
      <c r="AP2115" s="224" t="s">
        <v>178</v>
      </c>
      <c r="AQ2115" s="224"/>
      <c r="AR2115" s="224"/>
      <c r="AS2115" s="224"/>
      <c r="AT2115" s="224" t="s">
        <v>120</v>
      </c>
      <c r="AU2115" s="224"/>
      <c r="AV2115" s="224"/>
      <c r="AW2115" s="224" t="s">
        <v>2131</v>
      </c>
      <c r="AX2115" s="224"/>
      <c r="AY2115" s="224"/>
      <c r="AZ2115" s="224"/>
      <c r="BA2115" s="224"/>
      <c r="BB2115" s="224"/>
      <c r="BM2115" s="407"/>
      <c r="BN2115" s="407"/>
      <c r="BR2115" s="441"/>
      <c r="BS2115" s="441"/>
      <c r="BW2115" s="36">
        <v>2.3199999999999998</v>
      </c>
      <c r="BX2115" s="36">
        <v>2.87</v>
      </c>
      <c r="CA2115" s="36" t="s">
        <v>2134</v>
      </c>
      <c r="GW2115" s="36">
        <v>16.899999999999999</v>
      </c>
      <c r="GX2115" s="36">
        <v>24.7</v>
      </c>
      <c r="HA2115" s="36" t="s">
        <v>570</v>
      </c>
      <c r="IF2115" s="36">
        <v>104.9</v>
      </c>
      <c r="IG2115" s="36">
        <v>67.5</v>
      </c>
      <c r="IJ2115" s="36" t="s">
        <v>180</v>
      </c>
      <c r="IO2115" s="224"/>
      <c r="IP2115" s="224"/>
      <c r="IQ2115" s="230"/>
    </row>
    <row r="2116" spans="1:251" s="284" customFormat="1" x14ac:dyDescent="0.25">
      <c r="A2116" s="278">
        <v>95</v>
      </c>
      <c r="B2116" s="278" t="s">
        <v>769</v>
      </c>
      <c r="C2116" s="278" t="s">
        <v>2128</v>
      </c>
      <c r="D2116" s="278">
        <v>2007</v>
      </c>
      <c r="E2116" s="278">
        <v>2000</v>
      </c>
      <c r="F2116" s="278" t="s">
        <v>1756</v>
      </c>
      <c r="G2116" s="278" t="s">
        <v>2129</v>
      </c>
      <c r="H2116" s="224" t="s">
        <v>2831</v>
      </c>
      <c r="I2116" s="278">
        <f t="shared" si="293"/>
        <v>48.8</v>
      </c>
      <c r="J2116" s="278">
        <f t="shared" si="294"/>
        <v>-110.01666666666667</v>
      </c>
      <c r="K2116" s="278">
        <v>871.2</v>
      </c>
      <c r="L2116" s="278"/>
      <c r="M2116" s="278"/>
      <c r="N2116" s="278"/>
      <c r="O2116" s="278"/>
      <c r="P2116" s="278"/>
      <c r="Q2116" s="280" t="s">
        <v>1735</v>
      </c>
      <c r="R2116" s="280" t="s">
        <v>1741</v>
      </c>
      <c r="T2116" s="280" t="s">
        <v>2130</v>
      </c>
      <c r="U2116" s="280" t="s">
        <v>1398</v>
      </c>
      <c r="V2116" s="280" t="s">
        <v>1729</v>
      </c>
      <c r="W2116" s="280" t="s">
        <v>1398</v>
      </c>
      <c r="X2116" s="280" t="s">
        <v>1383</v>
      </c>
      <c r="Y2116" s="278">
        <v>1.31</v>
      </c>
      <c r="Z2116" s="370">
        <v>53</v>
      </c>
      <c r="AA2116" s="370">
        <v>21</v>
      </c>
      <c r="AB2116" s="278" t="s">
        <v>519</v>
      </c>
      <c r="AC2116" s="278">
        <v>8.3000000000000007</v>
      </c>
      <c r="AD2116" s="278">
        <f t="shared" si="295"/>
        <v>0.78244274809160308</v>
      </c>
      <c r="AE2116" s="278"/>
      <c r="AF2116" s="278" t="s">
        <v>1343</v>
      </c>
      <c r="AG2116" s="278" t="s">
        <v>563</v>
      </c>
      <c r="AH2116" s="278" t="s">
        <v>578</v>
      </c>
      <c r="AI2116" s="278" t="s">
        <v>117</v>
      </c>
      <c r="AJ2116" s="278" t="s">
        <v>117</v>
      </c>
      <c r="AK2116" s="278"/>
      <c r="AL2116" s="278"/>
      <c r="AM2116" s="278"/>
      <c r="AN2116" s="278" t="s">
        <v>2136</v>
      </c>
      <c r="AO2116" s="278" t="s">
        <v>2136</v>
      </c>
      <c r="AP2116" s="278" t="s">
        <v>178</v>
      </c>
      <c r="AQ2116" s="278"/>
      <c r="AR2116" s="278"/>
      <c r="AS2116" s="278"/>
      <c r="AT2116" s="278" t="s">
        <v>120</v>
      </c>
      <c r="AU2116" s="278"/>
      <c r="AV2116" s="278"/>
      <c r="AW2116" s="278" t="s">
        <v>2131</v>
      </c>
      <c r="AX2116" s="278"/>
      <c r="AY2116" s="278"/>
      <c r="AZ2116" s="278"/>
      <c r="BA2116" s="278"/>
      <c r="BB2116" s="278"/>
      <c r="BM2116" s="452"/>
      <c r="BN2116" s="452"/>
      <c r="BR2116" s="446"/>
      <c r="BS2116" s="446"/>
      <c r="BW2116" s="284">
        <v>0.92</v>
      </c>
      <c r="BX2116" s="284">
        <v>0.56000000000000005</v>
      </c>
      <c r="CA2116" s="284" t="s">
        <v>2134</v>
      </c>
      <c r="GW2116" s="284">
        <v>4.5</v>
      </c>
      <c r="GX2116" s="284">
        <v>1.7</v>
      </c>
      <c r="HA2116" s="284" t="s">
        <v>570</v>
      </c>
      <c r="IF2116" s="284">
        <v>20</v>
      </c>
      <c r="IG2116" s="284">
        <v>22.9</v>
      </c>
      <c r="IJ2116" s="284" t="s">
        <v>180</v>
      </c>
      <c r="IO2116" s="278"/>
      <c r="IP2116" s="278"/>
      <c r="IQ2116" s="285"/>
    </row>
    <row r="2117" spans="1:251" s="284" customFormat="1" x14ac:dyDescent="0.25">
      <c r="A2117" s="278">
        <v>95</v>
      </c>
      <c r="B2117" s="278" t="s">
        <v>769</v>
      </c>
      <c r="C2117" s="278" t="s">
        <v>2128</v>
      </c>
      <c r="D2117" s="278">
        <v>2007</v>
      </c>
      <c r="E2117" s="278">
        <v>2000</v>
      </c>
      <c r="F2117" s="278" t="s">
        <v>1756</v>
      </c>
      <c r="G2117" s="278" t="s">
        <v>2129</v>
      </c>
      <c r="H2117" s="224" t="s">
        <v>2831</v>
      </c>
      <c r="I2117" s="278">
        <f t="shared" si="293"/>
        <v>48.8</v>
      </c>
      <c r="J2117" s="278">
        <f t="shared" si="294"/>
        <v>-110.01666666666667</v>
      </c>
      <c r="K2117" s="278">
        <v>871.2</v>
      </c>
      <c r="L2117" s="278"/>
      <c r="M2117" s="278"/>
      <c r="N2117" s="278"/>
      <c r="O2117" s="278"/>
      <c r="P2117" s="278"/>
      <c r="Q2117" s="280" t="s">
        <v>1735</v>
      </c>
      <c r="R2117" s="280" t="s">
        <v>1741</v>
      </c>
      <c r="T2117" s="280" t="s">
        <v>2130</v>
      </c>
      <c r="U2117" s="280" t="s">
        <v>1418</v>
      </c>
      <c r="V2117" s="280" t="s">
        <v>1724</v>
      </c>
      <c r="W2117" s="280" t="s">
        <v>1398</v>
      </c>
      <c r="X2117" s="280" t="s">
        <v>1383</v>
      </c>
      <c r="Y2117" s="278">
        <v>1.31</v>
      </c>
      <c r="Z2117" s="370">
        <v>53</v>
      </c>
      <c r="AA2117" s="370">
        <v>21</v>
      </c>
      <c r="AB2117" s="278" t="s">
        <v>519</v>
      </c>
      <c r="AC2117" s="278">
        <v>8.3000000000000007</v>
      </c>
      <c r="AD2117" s="278">
        <f t="shared" si="295"/>
        <v>0.78244274809160308</v>
      </c>
      <c r="AE2117" s="278"/>
      <c r="AF2117" s="278" t="s">
        <v>1343</v>
      </c>
      <c r="AG2117" s="278" t="s">
        <v>563</v>
      </c>
      <c r="AH2117" s="278" t="s">
        <v>578</v>
      </c>
      <c r="AI2117" s="278" t="s">
        <v>117</v>
      </c>
      <c r="AJ2117" s="278" t="s">
        <v>117</v>
      </c>
      <c r="AK2117" s="278"/>
      <c r="AL2117" s="278"/>
      <c r="AM2117" s="278"/>
      <c r="AN2117" s="278" t="s">
        <v>2136</v>
      </c>
      <c r="AO2117" s="278" t="s">
        <v>2136</v>
      </c>
      <c r="AP2117" s="278" t="s">
        <v>178</v>
      </c>
      <c r="AQ2117" s="278"/>
      <c r="AR2117" s="278"/>
      <c r="AS2117" s="278"/>
      <c r="AT2117" s="278" t="s">
        <v>120</v>
      </c>
      <c r="AU2117" s="278"/>
      <c r="AV2117" s="278"/>
      <c r="AW2117" s="278" t="s">
        <v>2131</v>
      </c>
      <c r="AX2117" s="278"/>
      <c r="AY2117" s="278"/>
      <c r="AZ2117" s="278"/>
      <c r="BA2117" s="278"/>
      <c r="BB2117" s="278"/>
      <c r="BM2117" s="452"/>
      <c r="BN2117" s="452"/>
      <c r="BR2117" s="446"/>
      <c r="BS2117" s="446"/>
      <c r="BW2117" s="284">
        <v>1.41</v>
      </c>
      <c r="BX2117" s="284">
        <v>1.55</v>
      </c>
      <c r="CA2117" s="284" t="s">
        <v>2134</v>
      </c>
      <c r="GW2117" s="284">
        <v>7.7</v>
      </c>
      <c r="GX2117" s="284">
        <v>7.8</v>
      </c>
      <c r="HA2117" s="284" t="s">
        <v>570</v>
      </c>
      <c r="IF2117" s="284">
        <v>47.4</v>
      </c>
      <c r="IG2117" s="284">
        <v>58.8</v>
      </c>
      <c r="IJ2117" s="284" t="s">
        <v>180</v>
      </c>
      <c r="IO2117" s="278"/>
      <c r="IP2117" s="278"/>
      <c r="IQ2117" s="285"/>
    </row>
    <row r="2118" spans="1:251" s="36" customFormat="1" x14ac:dyDescent="0.25">
      <c r="A2118" s="224">
        <v>95</v>
      </c>
      <c r="B2118" s="224" t="s">
        <v>769</v>
      </c>
      <c r="C2118" s="224" t="s">
        <v>2128</v>
      </c>
      <c r="D2118" s="224">
        <v>2007</v>
      </c>
      <c r="E2118" s="224">
        <v>2000</v>
      </c>
      <c r="F2118" s="224" t="s">
        <v>1756</v>
      </c>
      <c r="G2118" s="224" t="s">
        <v>2129</v>
      </c>
      <c r="H2118" s="224" t="s">
        <v>2831</v>
      </c>
      <c r="I2118" s="224">
        <f t="shared" si="293"/>
        <v>48.8</v>
      </c>
      <c r="J2118" s="224">
        <f t="shared" si="294"/>
        <v>-110.01666666666667</v>
      </c>
      <c r="K2118" s="224">
        <v>871.2</v>
      </c>
      <c r="L2118" s="224"/>
      <c r="M2118" s="224"/>
      <c r="N2118" s="224"/>
      <c r="O2118" s="224"/>
      <c r="P2118" s="224"/>
      <c r="Q2118" s="226" t="s">
        <v>1735</v>
      </c>
      <c r="R2118" s="226" t="s">
        <v>1741</v>
      </c>
      <c r="T2118" s="226" t="s">
        <v>2130</v>
      </c>
      <c r="U2118" s="226" t="s">
        <v>1383</v>
      </c>
      <c r="V2118" s="226" t="s">
        <v>1722</v>
      </c>
      <c r="W2118" s="226" t="s">
        <v>1398</v>
      </c>
      <c r="X2118" s="226" t="s">
        <v>1383</v>
      </c>
      <c r="Y2118" s="224">
        <v>1.31</v>
      </c>
      <c r="Z2118" s="377">
        <v>53</v>
      </c>
      <c r="AA2118" s="377">
        <v>21</v>
      </c>
      <c r="AB2118" s="224" t="s">
        <v>519</v>
      </c>
      <c r="AC2118" s="224">
        <v>8.3000000000000007</v>
      </c>
      <c r="AD2118" s="224">
        <f t="shared" si="295"/>
        <v>0.78244274809160308</v>
      </c>
      <c r="AE2118" s="224"/>
      <c r="AF2118" s="224" t="s">
        <v>1343</v>
      </c>
      <c r="AG2118" s="224" t="s">
        <v>563</v>
      </c>
      <c r="AH2118" s="224" t="s">
        <v>578</v>
      </c>
      <c r="AI2118" s="224" t="s">
        <v>117</v>
      </c>
      <c r="AJ2118" s="224" t="s">
        <v>117</v>
      </c>
      <c r="AK2118" s="224"/>
      <c r="AL2118" s="224"/>
      <c r="AM2118" s="224"/>
      <c r="AN2118" s="224" t="s">
        <v>2136</v>
      </c>
      <c r="AO2118" s="224" t="s">
        <v>2136</v>
      </c>
      <c r="AP2118" s="224" t="s">
        <v>178</v>
      </c>
      <c r="AQ2118" s="224"/>
      <c r="AR2118" s="224"/>
      <c r="AS2118" s="224"/>
      <c r="AT2118" s="224" t="s">
        <v>120</v>
      </c>
      <c r="AU2118" s="224"/>
      <c r="AV2118" s="224"/>
      <c r="AW2118" s="224" t="s">
        <v>2131</v>
      </c>
      <c r="AX2118" s="224"/>
      <c r="AY2118" s="224"/>
      <c r="AZ2118" s="224"/>
      <c r="BA2118" s="224"/>
      <c r="BB2118" s="224"/>
      <c r="BM2118" s="407"/>
      <c r="BN2118" s="407"/>
      <c r="BR2118" s="441"/>
      <c r="BS2118" s="441"/>
      <c r="BW2118" s="36">
        <v>2.33</v>
      </c>
      <c r="BX2118" s="36">
        <v>2.61</v>
      </c>
      <c r="CA2118" s="36" t="s">
        <v>2134</v>
      </c>
      <c r="GW2118" s="36">
        <v>12.2</v>
      </c>
      <c r="GX2118" s="36">
        <v>9.5</v>
      </c>
      <c r="HA2118" s="36" t="s">
        <v>570</v>
      </c>
      <c r="IF2118" s="36">
        <v>67.400000000000006</v>
      </c>
      <c r="IG2118" s="36">
        <v>81.7</v>
      </c>
      <c r="IJ2118" s="36" t="s">
        <v>180</v>
      </c>
      <c r="IO2118" s="224"/>
      <c r="IP2118" s="224"/>
      <c r="IQ2118" s="230"/>
    </row>
    <row r="2119" spans="1:251" s="40" customFormat="1" x14ac:dyDescent="0.25">
      <c r="A2119" s="156">
        <v>96</v>
      </c>
      <c r="B2119" s="156" t="s">
        <v>2032</v>
      </c>
      <c r="C2119" s="156" t="s">
        <v>526</v>
      </c>
      <c r="D2119" s="156">
        <v>1990</v>
      </c>
      <c r="E2119" s="156">
        <v>1984</v>
      </c>
      <c r="F2119" s="156" t="s">
        <v>303</v>
      </c>
      <c r="G2119" s="156" t="s">
        <v>2031</v>
      </c>
      <c r="H2119" s="156" t="s">
        <v>2831</v>
      </c>
      <c r="I2119" s="156">
        <v>38.06</v>
      </c>
      <c r="J2119" s="156">
        <v>-84.59</v>
      </c>
      <c r="K2119" s="156">
        <v>294</v>
      </c>
      <c r="L2119" s="156">
        <v>12.8</v>
      </c>
      <c r="M2119" s="156"/>
      <c r="N2119" s="156">
        <v>1148.0999999999999</v>
      </c>
      <c r="O2119" s="156"/>
      <c r="P2119" s="156"/>
      <c r="Q2119" s="156">
        <v>1</v>
      </c>
      <c r="R2119" s="158" t="s">
        <v>1856</v>
      </c>
      <c r="T2119" s="158" t="s">
        <v>2139</v>
      </c>
      <c r="U2119" s="156" t="s">
        <v>1384</v>
      </c>
      <c r="V2119" s="155">
        <v>7.5</v>
      </c>
      <c r="W2119" s="156" t="s">
        <v>1384</v>
      </c>
      <c r="X2119" s="156" t="s">
        <v>1384</v>
      </c>
      <c r="Y2119" s="163">
        <f>AVERAGE(Sheet1!BM2119:BN2119)</f>
        <v>1.252</v>
      </c>
      <c r="Z2119" s="378">
        <v>65</v>
      </c>
      <c r="AA2119" s="378">
        <v>25</v>
      </c>
      <c r="AB2119" s="156" t="s">
        <v>1759</v>
      </c>
      <c r="AC2119" s="156"/>
      <c r="AD2119" s="163">
        <v>1.97</v>
      </c>
      <c r="AE2119" s="156"/>
      <c r="AF2119" s="156" t="s">
        <v>2030</v>
      </c>
      <c r="AG2119" s="156" t="s">
        <v>2034</v>
      </c>
      <c r="AH2119" s="156" t="s">
        <v>578</v>
      </c>
      <c r="AI2119" s="156" t="s">
        <v>2029</v>
      </c>
      <c r="AJ2119" s="156" t="s">
        <v>133</v>
      </c>
      <c r="AK2119" s="156"/>
      <c r="AL2119" s="156"/>
      <c r="AM2119" s="156"/>
      <c r="AN2119" s="156" t="s">
        <v>1048</v>
      </c>
      <c r="AO2119" s="156" t="s">
        <v>1048</v>
      </c>
      <c r="AP2119" s="40" t="s">
        <v>178</v>
      </c>
      <c r="AQ2119" s="156" t="s">
        <v>2033</v>
      </c>
      <c r="AR2119" s="156" t="s">
        <v>2137</v>
      </c>
      <c r="AS2119" s="40" t="s">
        <v>178</v>
      </c>
      <c r="AT2119" s="156"/>
      <c r="AU2119" s="310">
        <v>4</v>
      </c>
      <c r="AV2119" s="310">
        <v>4</v>
      </c>
      <c r="AW2119" s="156" t="s">
        <v>2131</v>
      </c>
      <c r="AX2119" s="156"/>
      <c r="AY2119" s="156">
        <v>3000</v>
      </c>
      <c r="AZ2119" s="156">
        <f>AY2119/119</f>
        <v>25.210084033613445</v>
      </c>
      <c r="BA2119" s="156"/>
      <c r="BB2119" s="156"/>
      <c r="BH2119" s="156">
        <v>2750</v>
      </c>
      <c r="BI2119" s="156">
        <v>6400</v>
      </c>
      <c r="BJ2119" s="156"/>
      <c r="BM2119" s="430">
        <v>1.2659199999999999</v>
      </c>
      <c r="BN2119" s="430">
        <v>1.2380800000000001</v>
      </c>
      <c r="BR2119" s="430">
        <v>1.97</v>
      </c>
      <c r="BS2119" s="430">
        <v>2.13</v>
      </c>
      <c r="BV2119" s="40" t="s">
        <v>2105</v>
      </c>
      <c r="IO2119" s="156" t="s">
        <v>2092</v>
      </c>
      <c r="IP2119" s="156"/>
      <c r="IQ2119" s="311"/>
    </row>
    <row r="2120" spans="1:251" s="40" customFormat="1" x14ac:dyDescent="0.25">
      <c r="A2120" s="156">
        <v>96</v>
      </c>
      <c r="B2120" s="156" t="s">
        <v>2032</v>
      </c>
      <c r="C2120" s="156" t="s">
        <v>526</v>
      </c>
      <c r="D2120" s="156">
        <v>1990</v>
      </c>
      <c r="E2120" s="156">
        <v>1984</v>
      </c>
      <c r="F2120" s="156" t="s">
        <v>303</v>
      </c>
      <c r="G2120" s="156" t="s">
        <v>2031</v>
      </c>
      <c r="H2120" s="156" t="s">
        <v>2831</v>
      </c>
      <c r="I2120" s="156">
        <v>38.06</v>
      </c>
      <c r="J2120" s="156">
        <v>-84.59</v>
      </c>
      <c r="K2120" s="156">
        <v>294</v>
      </c>
      <c r="L2120" s="156">
        <v>12.8</v>
      </c>
      <c r="M2120" s="156"/>
      <c r="N2120" s="156">
        <v>1148.0999999999999</v>
      </c>
      <c r="O2120" s="156"/>
      <c r="P2120" s="156"/>
      <c r="Q2120" s="156">
        <v>1</v>
      </c>
      <c r="R2120" s="158" t="s">
        <v>1856</v>
      </c>
      <c r="T2120" s="158" t="s">
        <v>2139</v>
      </c>
      <c r="U2120" s="156" t="s">
        <v>1384</v>
      </c>
      <c r="V2120" s="155">
        <v>7.5</v>
      </c>
      <c r="W2120" s="156" t="s">
        <v>1384</v>
      </c>
      <c r="X2120" s="156" t="s">
        <v>1384</v>
      </c>
      <c r="Y2120" s="163">
        <f>AVERAGE(Sheet1!BM2120:BN2120)</f>
        <v>1.196755</v>
      </c>
      <c r="Z2120" s="378">
        <v>65</v>
      </c>
      <c r="AA2120" s="378">
        <v>25</v>
      </c>
      <c r="AB2120" s="156" t="s">
        <v>1759</v>
      </c>
      <c r="AC2120" s="156"/>
      <c r="AD2120" s="163">
        <v>2.35</v>
      </c>
      <c r="AE2120" s="156"/>
      <c r="AF2120" s="156" t="s">
        <v>2030</v>
      </c>
      <c r="AG2120" s="156" t="s">
        <v>2034</v>
      </c>
      <c r="AH2120" s="156" t="s">
        <v>578</v>
      </c>
      <c r="AI2120" s="156" t="s">
        <v>2029</v>
      </c>
      <c r="AJ2120" s="156" t="s">
        <v>133</v>
      </c>
      <c r="AK2120" s="156"/>
      <c r="AL2120" s="156"/>
      <c r="AM2120" s="156"/>
      <c r="AN2120" s="156" t="s">
        <v>1048</v>
      </c>
      <c r="AO2120" s="156" t="s">
        <v>1048</v>
      </c>
      <c r="AP2120" s="40" t="s">
        <v>178</v>
      </c>
      <c r="AQ2120" s="156" t="s">
        <v>2027</v>
      </c>
      <c r="AR2120" s="156" t="s">
        <v>2138</v>
      </c>
      <c r="AS2120" s="40" t="s">
        <v>178</v>
      </c>
      <c r="AT2120" s="156"/>
      <c r="AU2120" s="310">
        <v>4</v>
      </c>
      <c r="AV2120" s="310">
        <v>4</v>
      </c>
      <c r="AW2120" s="156" t="s">
        <v>2131</v>
      </c>
      <c r="AX2120" s="156"/>
      <c r="AY2120" s="156">
        <v>3300</v>
      </c>
      <c r="AZ2120" s="156">
        <f>AY2120/132</f>
        <v>25</v>
      </c>
      <c r="BA2120" s="156"/>
      <c r="BB2120" s="156"/>
      <c r="BH2120" s="156">
        <v>6700</v>
      </c>
      <c r="BI2120" s="156">
        <v>8000</v>
      </c>
      <c r="BJ2120" s="156"/>
      <c r="BM2120" s="430">
        <v>1.1998</v>
      </c>
      <c r="BN2120" s="430">
        <v>1.19371</v>
      </c>
      <c r="BR2120" s="430">
        <v>2.35</v>
      </c>
      <c r="BS2120" s="430">
        <v>2.3850000000000002</v>
      </c>
      <c r="BV2120" s="40" t="s">
        <v>2105</v>
      </c>
      <c r="IO2120" s="156" t="s">
        <v>2092</v>
      </c>
      <c r="IP2120" s="156"/>
      <c r="IQ2120" s="311"/>
    </row>
    <row r="2121" spans="1:251" s="40" customFormat="1" x14ac:dyDescent="0.25">
      <c r="A2121" s="156">
        <v>96</v>
      </c>
      <c r="B2121" s="156" t="s">
        <v>2032</v>
      </c>
      <c r="C2121" s="156" t="s">
        <v>526</v>
      </c>
      <c r="D2121" s="156">
        <v>1990</v>
      </c>
      <c r="E2121" s="156">
        <v>1985</v>
      </c>
      <c r="F2121" s="156" t="s">
        <v>303</v>
      </c>
      <c r="G2121" s="156" t="s">
        <v>2031</v>
      </c>
      <c r="H2121" s="156" t="s">
        <v>2831</v>
      </c>
      <c r="I2121" s="156">
        <v>38.06</v>
      </c>
      <c r="J2121" s="156">
        <v>-84.59</v>
      </c>
      <c r="K2121" s="156">
        <v>294</v>
      </c>
      <c r="L2121" s="156">
        <v>12.8</v>
      </c>
      <c r="M2121" s="156"/>
      <c r="N2121" s="156">
        <v>1148.0999999999999</v>
      </c>
      <c r="O2121" s="156"/>
      <c r="P2121" s="156"/>
      <c r="Q2121" s="156">
        <v>2</v>
      </c>
      <c r="R2121" s="158" t="s">
        <v>1856</v>
      </c>
      <c r="T2121" s="158" t="s">
        <v>2139</v>
      </c>
      <c r="U2121" s="156" t="s">
        <v>1384</v>
      </c>
      <c r="V2121" s="155">
        <v>7.5</v>
      </c>
      <c r="W2121" s="156" t="s">
        <v>1384</v>
      </c>
      <c r="X2121" s="156" t="s">
        <v>1384</v>
      </c>
      <c r="Y2121" s="163">
        <f>AVERAGE(Sheet1!BM2121:BN2121)</f>
        <v>1.320295</v>
      </c>
      <c r="Z2121" s="378">
        <v>65</v>
      </c>
      <c r="AA2121" s="378">
        <v>25</v>
      </c>
      <c r="AB2121" s="156" t="s">
        <v>1759</v>
      </c>
      <c r="AC2121" s="156"/>
      <c r="AD2121" s="163">
        <v>1.64</v>
      </c>
      <c r="AE2121" s="156"/>
      <c r="AF2121" s="156" t="s">
        <v>2030</v>
      </c>
      <c r="AG2121" s="156" t="s">
        <v>2034</v>
      </c>
      <c r="AH2121" s="156" t="s">
        <v>578</v>
      </c>
      <c r="AI2121" s="156" t="s">
        <v>2029</v>
      </c>
      <c r="AJ2121" s="156" t="s">
        <v>133</v>
      </c>
      <c r="AK2121" s="156"/>
      <c r="AL2121" s="156"/>
      <c r="AM2121" s="156"/>
      <c r="AN2121" s="156" t="s">
        <v>2028</v>
      </c>
      <c r="AO2121" s="156" t="s">
        <v>2028</v>
      </c>
      <c r="AP2121" s="40" t="s">
        <v>178</v>
      </c>
      <c r="AQ2121" s="156" t="s">
        <v>2033</v>
      </c>
      <c r="AR2121" s="156" t="s">
        <v>2137</v>
      </c>
      <c r="AS2121" s="40" t="s">
        <v>178</v>
      </c>
      <c r="AT2121" s="156"/>
      <c r="AU2121" s="310">
        <v>4</v>
      </c>
      <c r="AV2121" s="310">
        <v>4</v>
      </c>
      <c r="AW2121" s="156" t="s">
        <v>2131</v>
      </c>
      <c r="AX2121" s="156"/>
      <c r="AY2121" s="156">
        <v>3500</v>
      </c>
      <c r="AZ2121" s="156">
        <f>AY2121/137</f>
        <v>25.547445255474454</v>
      </c>
      <c r="BA2121" s="156"/>
      <c r="BB2121" s="156"/>
      <c r="BH2121" s="156">
        <v>4000</v>
      </c>
      <c r="BI2121" s="156">
        <v>7100</v>
      </c>
      <c r="BJ2121" s="156"/>
      <c r="BM2121" s="430">
        <v>1.32334</v>
      </c>
      <c r="BN2121" s="430">
        <v>1.31725</v>
      </c>
      <c r="BR2121" s="430">
        <v>1.64</v>
      </c>
      <c r="BS2121" s="430">
        <v>1.675</v>
      </c>
      <c r="BV2121" s="40" t="s">
        <v>2105</v>
      </c>
      <c r="IO2121" s="156" t="s">
        <v>2092</v>
      </c>
      <c r="IP2121" s="156"/>
      <c r="IQ2121" s="311"/>
    </row>
    <row r="2122" spans="1:251" s="40" customFormat="1" x14ac:dyDescent="0.25">
      <c r="A2122" s="156">
        <v>96</v>
      </c>
      <c r="B2122" s="156" t="s">
        <v>2032</v>
      </c>
      <c r="C2122" s="156" t="s">
        <v>526</v>
      </c>
      <c r="D2122" s="156">
        <v>1990</v>
      </c>
      <c r="E2122" s="156">
        <v>1985</v>
      </c>
      <c r="F2122" s="156" t="s">
        <v>303</v>
      </c>
      <c r="G2122" s="156" t="s">
        <v>2031</v>
      </c>
      <c r="H2122" s="156" t="s">
        <v>2831</v>
      </c>
      <c r="I2122" s="156">
        <v>38.06</v>
      </c>
      <c r="J2122" s="156">
        <v>-84.59</v>
      </c>
      <c r="K2122" s="156">
        <v>294</v>
      </c>
      <c r="L2122" s="156">
        <v>12.8</v>
      </c>
      <c r="M2122" s="156"/>
      <c r="N2122" s="156">
        <v>1148.0999999999999</v>
      </c>
      <c r="O2122" s="156"/>
      <c r="P2122" s="156"/>
      <c r="Q2122" s="156">
        <v>2</v>
      </c>
      <c r="R2122" s="158" t="s">
        <v>1856</v>
      </c>
      <c r="T2122" s="158" t="s">
        <v>2139</v>
      </c>
      <c r="U2122" s="156" t="s">
        <v>1384</v>
      </c>
      <c r="V2122" s="155">
        <v>7.5</v>
      </c>
      <c r="W2122" s="156" t="s">
        <v>1384</v>
      </c>
      <c r="X2122" s="156" t="s">
        <v>1384</v>
      </c>
      <c r="Y2122" s="163">
        <f>AVERAGE(Sheet1!BM2122:BN2122)</f>
        <v>1.3115950000000001</v>
      </c>
      <c r="Z2122" s="378">
        <v>65</v>
      </c>
      <c r="AA2122" s="378">
        <v>25</v>
      </c>
      <c r="AB2122" s="156" t="s">
        <v>1759</v>
      </c>
      <c r="AC2122" s="156"/>
      <c r="AD2122" s="163">
        <v>1.675</v>
      </c>
      <c r="AE2122" s="156"/>
      <c r="AF2122" s="156" t="s">
        <v>2030</v>
      </c>
      <c r="AG2122" s="156" t="s">
        <v>2034</v>
      </c>
      <c r="AH2122" s="156" t="s">
        <v>578</v>
      </c>
      <c r="AI2122" s="156" t="s">
        <v>2029</v>
      </c>
      <c r="AJ2122" s="156" t="s">
        <v>133</v>
      </c>
      <c r="AK2122" s="156"/>
      <c r="AL2122" s="156"/>
      <c r="AM2122" s="156"/>
      <c r="AN2122" s="156" t="s">
        <v>2028</v>
      </c>
      <c r="AO2122" s="156" t="s">
        <v>2028</v>
      </c>
      <c r="AP2122" s="40" t="s">
        <v>178</v>
      </c>
      <c r="AQ2122" s="156" t="s">
        <v>2027</v>
      </c>
      <c r="AR2122" s="156" t="s">
        <v>2138</v>
      </c>
      <c r="AS2122" s="40" t="s">
        <v>178</v>
      </c>
      <c r="AT2122" s="156"/>
      <c r="AU2122" s="310">
        <v>4</v>
      </c>
      <c r="AV2122" s="310">
        <v>4</v>
      </c>
      <c r="AW2122" s="156" t="s">
        <v>2131</v>
      </c>
      <c r="AX2122" s="156"/>
      <c r="AY2122" s="156">
        <v>3600</v>
      </c>
      <c r="AZ2122" s="156">
        <f>AY2122/139</f>
        <v>25.899280575539567</v>
      </c>
      <c r="BA2122" s="156"/>
      <c r="BB2122" s="156"/>
      <c r="BH2122" s="156">
        <v>6600</v>
      </c>
      <c r="BI2122" s="156">
        <v>7700</v>
      </c>
      <c r="BJ2122" s="156"/>
      <c r="BM2122" s="430">
        <v>1.31725</v>
      </c>
      <c r="BN2122" s="430">
        <v>1.3059400000000001</v>
      </c>
      <c r="BR2122" s="430">
        <v>1.675</v>
      </c>
      <c r="BS2122" s="430">
        <v>1.7399999999999998</v>
      </c>
      <c r="BV2122" s="40" t="s">
        <v>2105</v>
      </c>
      <c r="IO2122" s="156" t="s">
        <v>2092</v>
      </c>
      <c r="IP2122" s="156"/>
      <c r="IQ2122" s="311"/>
    </row>
    <row r="2123" spans="1:251" s="24" customFormat="1" x14ac:dyDescent="0.25">
      <c r="A2123" s="245">
        <v>96</v>
      </c>
      <c r="B2123" s="245" t="s">
        <v>2032</v>
      </c>
      <c r="C2123" s="245" t="s">
        <v>526</v>
      </c>
      <c r="D2123" s="245">
        <v>1990</v>
      </c>
      <c r="E2123" s="245">
        <v>1984</v>
      </c>
      <c r="F2123" s="245" t="s">
        <v>303</v>
      </c>
      <c r="G2123" s="245" t="s">
        <v>2031</v>
      </c>
      <c r="H2123" s="156" t="s">
        <v>2831</v>
      </c>
      <c r="I2123" s="245">
        <v>38.06</v>
      </c>
      <c r="J2123" s="245">
        <v>-84.59</v>
      </c>
      <c r="K2123" s="245">
        <v>294</v>
      </c>
      <c r="L2123" s="245">
        <v>12.8</v>
      </c>
      <c r="M2123" s="245"/>
      <c r="N2123" s="245">
        <v>1148.0999999999999</v>
      </c>
      <c r="O2123" s="245"/>
      <c r="P2123" s="245"/>
      <c r="Q2123" s="245">
        <v>1</v>
      </c>
      <c r="R2123" s="246" t="s">
        <v>1856</v>
      </c>
      <c r="T2123" s="246" t="s">
        <v>2139</v>
      </c>
      <c r="U2123" s="245" t="s">
        <v>1384</v>
      </c>
      <c r="V2123" s="247">
        <v>7.5</v>
      </c>
      <c r="W2123" s="245" t="s">
        <v>1384</v>
      </c>
      <c r="X2123" s="245" t="s">
        <v>1384</v>
      </c>
      <c r="Y2123" s="248">
        <f>AVERAGE(Sheet1!BM2123:BN2123)</f>
        <v>1.26244</v>
      </c>
      <c r="Z2123" s="379">
        <v>65</v>
      </c>
      <c r="AA2123" s="379">
        <v>25</v>
      </c>
      <c r="AB2123" s="245" t="s">
        <v>1759</v>
      </c>
      <c r="AC2123" s="245"/>
      <c r="AD2123" s="248">
        <v>1.97</v>
      </c>
      <c r="AE2123" s="245"/>
      <c r="AF2123" s="245" t="s">
        <v>2030</v>
      </c>
      <c r="AG2123" s="245" t="s">
        <v>1761</v>
      </c>
      <c r="AH2123" s="245" t="s">
        <v>132</v>
      </c>
      <c r="AI2123" s="245" t="s">
        <v>2029</v>
      </c>
      <c r="AJ2123" s="245" t="s">
        <v>133</v>
      </c>
      <c r="AK2123" s="245"/>
      <c r="AL2123" s="245"/>
      <c r="AM2123" s="245"/>
      <c r="AN2123" s="245" t="s">
        <v>1048</v>
      </c>
      <c r="AO2123" s="245" t="s">
        <v>1048</v>
      </c>
      <c r="AP2123" s="24" t="s">
        <v>178</v>
      </c>
      <c r="AQ2123" s="245" t="s">
        <v>2033</v>
      </c>
      <c r="AR2123" s="245" t="s">
        <v>2137</v>
      </c>
      <c r="AS2123" s="24" t="s">
        <v>178</v>
      </c>
      <c r="AT2123" s="245"/>
      <c r="AU2123" s="250">
        <v>4</v>
      </c>
      <c r="AV2123" s="250">
        <v>4</v>
      </c>
      <c r="AW2123" s="245" t="s">
        <v>2131</v>
      </c>
      <c r="AX2123" s="245"/>
      <c r="AY2123" s="245">
        <v>1700</v>
      </c>
      <c r="AZ2123" s="245">
        <f>AY2123/27</f>
        <v>62.962962962962962</v>
      </c>
      <c r="BA2123" s="245"/>
      <c r="BB2123" s="245"/>
      <c r="BH2123" s="245">
        <v>2750</v>
      </c>
      <c r="BI2123" s="245">
        <v>2850</v>
      </c>
      <c r="BJ2123" s="245"/>
      <c r="BM2123" s="437">
        <v>1.2659199999999999</v>
      </c>
      <c r="BN2123" s="437">
        <v>1.2589600000000001</v>
      </c>
      <c r="BR2123" s="437">
        <v>1.97</v>
      </c>
      <c r="BS2123" s="437">
        <v>2.0100000000000002</v>
      </c>
      <c r="BV2123" s="24" t="s">
        <v>2105</v>
      </c>
      <c r="IO2123" s="245" t="s">
        <v>2092</v>
      </c>
      <c r="IP2123" s="245"/>
      <c r="IQ2123" s="249"/>
    </row>
    <row r="2124" spans="1:251" s="24" customFormat="1" x14ac:dyDescent="0.25">
      <c r="A2124" s="245">
        <v>96</v>
      </c>
      <c r="B2124" s="245" t="s">
        <v>2032</v>
      </c>
      <c r="C2124" s="245" t="s">
        <v>526</v>
      </c>
      <c r="D2124" s="245">
        <v>1990</v>
      </c>
      <c r="E2124" s="245">
        <v>1984</v>
      </c>
      <c r="F2124" s="245" t="s">
        <v>303</v>
      </c>
      <c r="G2124" s="245" t="s">
        <v>2031</v>
      </c>
      <c r="H2124" s="156" t="s">
        <v>2831</v>
      </c>
      <c r="I2124" s="245">
        <v>38.06</v>
      </c>
      <c r="J2124" s="245">
        <v>-84.59</v>
      </c>
      <c r="K2124" s="245">
        <v>294</v>
      </c>
      <c r="L2124" s="245">
        <v>12.8</v>
      </c>
      <c r="M2124" s="245"/>
      <c r="N2124" s="245">
        <v>1148.0999999999999</v>
      </c>
      <c r="O2124" s="245"/>
      <c r="P2124" s="245"/>
      <c r="Q2124" s="245">
        <v>1</v>
      </c>
      <c r="R2124" s="246" t="s">
        <v>1856</v>
      </c>
      <c r="T2124" s="246" t="s">
        <v>2139</v>
      </c>
      <c r="U2124" s="245" t="s">
        <v>1384</v>
      </c>
      <c r="V2124" s="247">
        <v>7.5</v>
      </c>
      <c r="W2124" s="245" t="s">
        <v>1384</v>
      </c>
      <c r="X2124" s="245" t="s">
        <v>1384</v>
      </c>
      <c r="Y2124" s="248">
        <f>AVERAGE(Sheet1!BM2124:BN2124)</f>
        <v>1.2089349999999999</v>
      </c>
      <c r="Z2124" s="379">
        <v>65</v>
      </c>
      <c r="AA2124" s="379">
        <v>25</v>
      </c>
      <c r="AB2124" s="245" t="s">
        <v>1759</v>
      </c>
      <c r="AC2124" s="245"/>
      <c r="AD2124" s="248">
        <v>2.35</v>
      </c>
      <c r="AE2124" s="245"/>
      <c r="AF2124" s="245" t="s">
        <v>2030</v>
      </c>
      <c r="AG2124" s="245" t="s">
        <v>1761</v>
      </c>
      <c r="AH2124" s="245" t="s">
        <v>132</v>
      </c>
      <c r="AI2124" s="245" t="s">
        <v>2029</v>
      </c>
      <c r="AJ2124" s="245" t="s">
        <v>133</v>
      </c>
      <c r="AK2124" s="245"/>
      <c r="AL2124" s="245"/>
      <c r="AM2124" s="245"/>
      <c r="AN2124" s="245" t="s">
        <v>1048</v>
      </c>
      <c r="AO2124" s="245" t="s">
        <v>1048</v>
      </c>
      <c r="AP2124" s="24" t="s">
        <v>178</v>
      </c>
      <c r="AQ2124" s="245" t="s">
        <v>2027</v>
      </c>
      <c r="AR2124" s="245" t="s">
        <v>2138</v>
      </c>
      <c r="AS2124" s="24" t="s">
        <v>178</v>
      </c>
      <c r="AT2124" s="245"/>
      <c r="AU2124" s="250">
        <v>4</v>
      </c>
      <c r="AV2124" s="250">
        <v>4</v>
      </c>
      <c r="AW2124" s="245" t="s">
        <v>2131</v>
      </c>
      <c r="AX2124" s="245"/>
      <c r="AY2124" s="245">
        <v>3500</v>
      </c>
      <c r="AZ2124" s="245">
        <f>AY2124/55</f>
        <v>63.636363636363633</v>
      </c>
      <c r="BA2124" s="245"/>
      <c r="BB2124" s="245"/>
      <c r="BH2124" s="245">
        <v>6700</v>
      </c>
      <c r="BI2124" s="245">
        <v>6600</v>
      </c>
      <c r="BJ2124" s="245"/>
      <c r="BM2124" s="437">
        <v>1.1998</v>
      </c>
      <c r="BN2124" s="437">
        <v>1.21807</v>
      </c>
      <c r="BR2124" s="437">
        <v>2.35</v>
      </c>
      <c r="BS2124" s="437">
        <v>2.2450000000000001</v>
      </c>
      <c r="BV2124" s="24" t="s">
        <v>2105</v>
      </c>
      <c r="IO2124" s="245" t="s">
        <v>2092</v>
      </c>
      <c r="IP2124" s="245"/>
      <c r="IQ2124" s="249"/>
    </row>
    <row r="2125" spans="1:251" s="24" customFormat="1" x14ac:dyDescent="0.25">
      <c r="A2125" s="245">
        <v>96</v>
      </c>
      <c r="B2125" s="245" t="s">
        <v>2032</v>
      </c>
      <c r="C2125" s="245" t="s">
        <v>526</v>
      </c>
      <c r="D2125" s="245">
        <v>1990</v>
      </c>
      <c r="E2125" s="245">
        <v>1985</v>
      </c>
      <c r="F2125" s="245" t="s">
        <v>303</v>
      </c>
      <c r="G2125" s="245" t="s">
        <v>2031</v>
      </c>
      <c r="H2125" s="156" t="s">
        <v>2831</v>
      </c>
      <c r="I2125" s="245">
        <v>38.06</v>
      </c>
      <c r="J2125" s="245">
        <v>-84.59</v>
      </c>
      <c r="K2125" s="245">
        <v>294</v>
      </c>
      <c r="L2125" s="245">
        <v>12.8</v>
      </c>
      <c r="M2125" s="245"/>
      <c r="N2125" s="245">
        <v>1148.0999999999999</v>
      </c>
      <c r="O2125" s="245"/>
      <c r="P2125" s="245"/>
      <c r="Q2125" s="245">
        <v>2</v>
      </c>
      <c r="R2125" s="246" t="s">
        <v>1856</v>
      </c>
      <c r="T2125" s="246" t="s">
        <v>2139</v>
      </c>
      <c r="U2125" s="245" t="s">
        <v>1384</v>
      </c>
      <c r="V2125" s="247">
        <v>7.5</v>
      </c>
      <c r="W2125" s="245" t="s">
        <v>1384</v>
      </c>
      <c r="X2125" s="245" t="s">
        <v>1384</v>
      </c>
      <c r="Y2125" s="248">
        <f>AVERAGE(Sheet1!BM2125:BN2125)</f>
        <v>1.322905</v>
      </c>
      <c r="Z2125" s="379">
        <v>65</v>
      </c>
      <c r="AA2125" s="379">
        <v>25</v>
      </c>
      <c r="AB2125" s="245" t="s">
        <v>1759</v>
      </c>
      <c r="AC2125" s="245"/>
      <c r="AD2125" s="248">
        <v>1.64</v>
      </c>
      <c r="AE2125" s="245"/>
      <c r="AF2125" s="245" t="s">
        <v>2030</v>
      </c>
      <c r="AG2125" s="245" t="s">
        <v>1761</v>
      </c>
      <c r="AH2125" s="245" t="s">
        <v>132</v>
      </c>
      <c r="AI2125" s="245" t="s">
        <v>2029</v>
      </c>
      <c r="AJ2125" s="245" t="s">
        <v>133</v>
      </c>
      <c r="AK2125" s="245"/>
      <c r="AL2125" s="245"/>
      <c r="AM2125" s="245"/>
      <c r="AN2125" s="245" t="s">
        <v>2028</v>
      </c>
      <c r="AO2125" s="245" t="s">
        <v>2028</v>
      </c>
      <c r="AP2125" s="24" t="s">
        <v>178</v>
      </c>
      <c r="AQ2125" s="245" t="s">
        <v>2033</v>
      </c>
      <c r="AR2125" s="245" t="s">
        <v>2137</v>
      </c>
      <c r="AS2125" s="24" t="s">
        <v>178</v>
      </c>
      <c r="AT2125" s="245"/>
      <c r="AU2125" s="250">
        <v>4</v>
      </c>
      <c r="AV2125" s="250">
        <v>4</v>
      </c>
      <c r="AW2125" s="245" t="s">
        <v>2131</v>
      </c>
      <c r="AX2125" s="245"/>
      <c r="AY2125" s="245">
        <v>2600</v>
      </c>
      <c r="AZ2125" s="245">
        <f>AY2125/25</f>
        <v>104</v>
      </c>
      <c r="BA2125" s="245"/>
      <c r="BB2125" s="245"/>
      <c r="BH2125" s="245">
        <v>4000</v>
      </c>
      <c r="BI2125" s="245">
        <v>3500</v>
      </c>
      <c r="BJ2125" s="245"/>
      <c r="BM2125" s="437">
        <v>1.32334</v>
      </c>
      <c r="BN2125" s="437">
        <v>1.32247</v>
      </c>
      <c r="BR2125" s="437">
        <v>1.64</v>
      </c>
      <c r="BS2125" s="437">
        <v>1.645</v>
      </c>
      <c r="BV2125" s="24" t="s">
        <v>2105</v>
      </c>
      <c r="IO2125" s="245" t="s">
        <v>2092</v>
      </c>
      <c r="IP2125" s="245"/>
      <c r="IQ2125" s="249"/>
    </row>
    <row r="2126" spans="1:251" s="24" customFormat="1" x14ac:dyDescent="0.25">
      <c r="A2126" s="245">
        <v>96</v>
      </c>
      <c r="B2126" s="245" t="s">
        <v>2032</v>
      </c>
      <c r="C2126" s="245" t="s">
        <v>526</v>
      </c>
      <c r="D2126" s="245">
        <v>1990</v>
      </c>
      <c r="E2126" s="245">
        <v>1985</v>
      </c>
      <c r="F2126" s="245" t="s">
        <v>303</v>
      </c>
      <c r="G2126" s="245" t="s">
        <v>2031</v>
      </c>
      <c r="H2126" s="156" t="s">
        <v>2831</v>
      </c>
      <c r="I2126" s="245">
        <v>38.06</v>
      </c>
      <c r="J2126" s="245">
        <v>-84.59</v>
      </c>
      <c r="K2126" s="245">
        <v>294</v>
      </c>
      <c r="L2126" s="245">
        <v>12.8</v>
      </c>
      <c r="M2126" s="245"/>
      <c r="N2126" s="245">
        <v>1148.0999999999999</v>
      </c>
      <c r="O2126" s="245"/>
      <c r="P2126" s="245"/>
      <c r="Q2126" s="245">
        <v>2</v>
      </c>
      <c r="R2126" s="246" t="s">
        <v>1856</v>
      </c>
      <c r="T2126" s="246" t="s">
        <v>2139</v>
      </c>
      <c r="U2126" s="245" t="s">
        <v>1384</v>
      </c>
      <c r="V2126" s="247">
        <v>7.5</v>
      </c>
      <c r="W2126" s="245" t="s">
        <v>1384</v>
      </c>
      <c r="X2126" s="245" t="s">
        <v>1384</v>
      </c>
      <c r="Y2126" s="248">
        <f>AVERAGE(Sheet1!BM2126:BN2126)</f>
        <v>1.32334</v>
      </c>
      <c r="Z2126" s="379">
        <v>65</v>
      </c>
      <c r="AA2126" s="379">
        <v>25</v>
      </c>
      <c r="AB2126" s="245" t="s">
        <v>1759</v>
      </c>
      <c r="AC2126" s="245"/>
      <c r="AD2126" s="248">
        <v>1.675</v>
      </c>
      <c r="AE2126" s="245"/>
      <c r="AF2126" s="245" t="s">
        <v>2030</v>
      </c>
      <c r="AG2126" s="245" t="s">
        <v>1761</v>
      </c>
      <c r="AH2126" s="245" t="s">
        <v>132</v>
      </c>
      <c r="AI2126" s="245" t="s">
        <v>2029</v>
      </c>
      <c r="AJ2126" s="245" t="s">
        <v>133</v>
      </c>
      <c r="AK2126" s="245"/>
      <c r="AL2126" s="245"/>
      <c r="AM2126" s="245"/>
      <c r="AN2126" s="245" t="s">
        <v>2028</v>
      </c>
      <c r="AO2126" s="245" t="s">
        <v>2028</v>
      </c>
      <c r="AP2126" s="24" t="s">
        <v>178</v>
      </c>
      <c r="AQ2126" s="245" t="s">
        <v>2027</v>
      </c>
      <c r="AR2126" s="245" t="s">
        <v>2138</v>
      </c>
      <c r="AS2126" s="24" t="s">
        <v>178</v>
      </c>
      <c r="AT2126" s="245"/>
      <c r="AU2126" s="250">
        <v>4</v>
      </c>
      <c r="AV2126" s="250">
        <v>4</v>
      </c>
      <c r="AW2126" s="245" t="s">
        <v>2131</v>
      </c>
      <c r="AX2126" s="245"/>
      <c r="AY2126" s="245">
        <v>6100</v>
      </c>
      <c r="AZ2126" s="245">
        <f>AY2126/68</f>
        <v>89.705882352941174</v>
      </c>
      <c r="BA2126" s="245"/>
      <c r="BB2126" s="245"/>
      <c r="BH2126" s="245">
        <v>6600</v>
      </c>
      <c r="BI2126" s="245">
        <v>6900</v>
      </c>
      <c r="BJ2126" s="245"/>
      <c r="BM2126" s="437">
        <v>1.31725</v>
      </c>
      <c r="BN2126" s="437">
        <v>1.3294299999999999</v>
      </c>
      <c r="BR2126" s="437">
        <v>1.675</v>
      </c>
      <c r="BS2126" s="437">
        <v>1.605</v>
      </c>
      <c r="BV2126" s="24" t="s">
        <v>2105</v>
      </c>
      <c r="IO2126" s="245" t="s">
        <v>2092</v>
      </c>
      <c r="IP2126" s="245"/>
      <c r="IQ2126" s="249"/>
    </row>
    <row r="2127" spans="1:251" s="314" customFormat="1" x14ac:dyDescent="0.25">
      <c r="A2127" s="314">
        <v>97</v>
      </c>
      <c r="B2127" s="185" t="s">
        <v>2140</v>
      </c>
      <c r="D2127" s="185">
        <v>2000</v>
      </c>
      <c r="E2127" s="314">
        <v>1994</v>
      </c>
      <c r="F2127" s="185" t="s">
        <v>2055</v>
      </c>
      <c r="G2127" s="185" t="s">
        <v>2141</v>
      </c>
      <c r="H2127" s="185" t="s">
        <v>2832</v>
      </c>
      <c r="I2127" s="314">
        <v>46.58</v>
      </c>
      <c r="J2127" s="314">
        <v>-71.23</v>
      </c>
      <c r="K2127" s="185">
        <v>132.1</v>
      </c>
      <c r="L2127" s="185"/>
      <c r="M2127" s="185"/>
      <c r="Q2127" s="314">
        <v>2</v>
      </c>
      <c r="R2127" s="185">
        <v>4</v>
      </c>
      <c r="T2127" s="314" t="s">
        <v>2284</v>
      </c>
      <c r="U2127" s="185" t="s">
        <v>1383</v>
      </c>
      <c r="V2127" s="164">
        <v>20</v>
      </c>
      <c r="W2127" s="185" t="s">
        <v>1383</v>
      </c>
      <c r="X2127" s="185" t="s">
        <v>1383</v>
      </c>
      <c r="Y2127" s="317">
        <v>1.6087</v>
      </c>
      <c r="Z2127" s="380">
        <v>27</v>
      </c>
      <c r="AA2127" s="380">
        <v>49</v>
      </c>
      <c r="AB2127" s="314" t="s">
        <v>140</v>
      </c>
      <c r="AF2127" s="185" t="s">
        <v>2142</v>
      </c>
      <c r="AG2127" s="185" t="s">
        <v>2143</v>
      </c>
      <c r="AH2127" s="314" t="s">
        <v>578</v>
      </c>
      <c r="AI2127" s="185" t="s">
        <v>2144</v>
      </c>
      <c r="AJ2127" s="314" t="s">
        <v>117</v>
      </c>
      <c r="AN2127" s="185" t="s">
        <v>2028</v>
      </c>
      <c r="AO2127" s="185" t="s">
        <v>2028</v>
      </c>
      <c r="AP2127" s="314" t="s">
        <v>178</v>
      </c>
      <c r="AQ2127" s="185" t="s">
        <v>2033</v>
      </c>
      <c r="AR2127" s="185" t="s">
        <v>2033</v>
      </c>
      <c r="AS2127" s="314" t="s">
        <v>178</v>
      </c>
      <c r="AT2127" s="185" t="s">
        <v>161</v>
      </c>
      <c r="AU2127" s="314">
        <v>3</v>
      </c>
      <c r="AV2127" s="185">
        <v>10</v>
      </c>
      <c r="AW2127" s="314" t="s">
        <v>142</v>
      </c>
      <c r="AY2127" s="314">
        <v>678</v>
      </c>
      <c r="AZ2127" s="314">
        <v>27</v>
      </c>
      <c r="BH2127" s="185">
        <v>930.4</v>
      </c>
      <c r="BI2127" s="314">
        <v>1644</v>
      </c>
      <c r="BK2127" s="315"/>
      <c r="BL2127" s="314" t="s">
        <v>570</v>
      </c>
      <c r="BM2127" s="433"/>
      <c r="BN2127" s="433"/>
      <c r="BR2127" s="465">
        <f>1/1000000*100*285</f>
        <v>2.8499999999999998E-2</v>
      </c>
      <c r="BS2127" s="465">
        <f>1/1000000*100*350</f>
        <v>3.4999999999999996E-2</v>
      </c>
      <c r="BT2127" s="314">
        <f>1/1000000*100*9.4</f>
        <v>9.3999999999999997E-4</v>
      </c>
      <c r="BU2127" s="314">
        <f>1/1000000*100*7.8</f>
        <v>7.7999999999999988E-4</v>
      </c>
      <c r="BV2127" s="314" t="s">
        <v>2291</v>
      </c>
      <c r="BW2127" s="314">
        <v>28</v>
      </c>
      <c r="BX2127" s="314">
        <v>35</v>
      </c>
      <c r="BY2127" s="314">
        <v>1.3</v>
      </c>
      <c r="BZ2127" s="314">
        <v>1.2</v>
      </c>
      <c r="CA2127" s="314" t="s">
        <v>2292</v>
      </c>
      <c r="CB2127" s="314">
        <v>56</v>
      </c>
      <c r="CC2127" s="314">
        <v>82</v>
      </c>
      <c r="CD2127" s="314">
        <v>1.9</v>
      </c>
      <c r="CE2127" s="314">
        <v>1</v>
      </c>
      <c r="CF2127" s="314" t="s">
        <v>2290</v>
      </c>
      <c r="DF2127" s="314">
        <v>1.76</v>
      </c>
      <c r="DG2127" s="314">
        <v>1.88</v>
      </c>
      <c r="DH2127" s="314">
        <v>0.38</v>
      </c>
      <c r="DI2127" s="314">
        <v>0.5</v>
      </c>
      <c r="DJ2127" s="314" t="s">
        <v>2289</v>
      </c>
      <c r="FH2127" s="316"/>
      <c r="FI2127" s="164"/>
      <c r="GW2127" s="314">
        <v>130</v>
      </c>
      <c r="GX2127" s="314">
        <v>167</v>
      </c>
      <c r="GY2127" s="314">
        <v>11.9</v>
      </c>
      <c r="GZ2127" s="314">
        <v>14.4</v>
      </c>
      <c r="HA2127" s="314" t="s">
        <v>2287</v>
      </c>
    </row>
    <row r="2128" spans="1:251" s="314" customFormat="1" x14ac:dyDescent="0.25">
      <c r="A2128" s="314">
        <v>97</v>
      </c>
      <c r="B2128" s="185" t="s">
        <v>2140</v>
      </c>
      <c r="D2128" s="185">
        <v>2000</v>
      </c>
      <c r="E2128" s="314">
        <v>1994</v>
      </c>
      <c r="F2128" s="185" t="s">
        <v>2055</v>
      </c>
      <c r="G2128" s="185" t="s">
        <v>2141</v>
      </c>
      <c r="H2128" s="185" t="s">
        <v>2832</v>
      </c>
      <c r="I2128" s="314">
        <v>46.58</v>
      </c>
      <c r="J2128" s="314">
        <v>-71.23</v>
      </c>
      <c r="K2128" s="185">
        <v>132.1</v>
      </c>
      <c r="L2128" s="185"/>
      <c r="M2128" s="185"/>
      <c r="Q2128" s="314">
        <v>2</v>
      </c>
      <c r="R2128" s="185">
        <v>4</v>
      </c>
      <c r="T2128" s="314" t="s">
        <v>2284</v>
      </c>
      <c r="U2128" s="185" t="s">
        <v>1383</v>
      </c>
      <c r="V2128" s="164">
        <v>20</v>
      </c>
      <c r="W2128" s="185" t="s">
        <v>1383</v>
      </c>
      <c r="X2128" s="185" t="s">
        <v>1383</v>
      </c>
      <c r="Y2128" s="317">
        <v>1.6087</v>
      </c>
      <c r="Z2128" s="380">
        <v>27</v>
      </c>
      <c r="AA2128" s="380">
        <v>49</v>
      </c>
      <c r="AB2128" s="314" t="s">
        <v>140</v>
      </c>
      <c r="AF2128" s="185" t="s">
        <v>2142</v>
      </c>
      <c r="AG2128" s="185" t="s">
        <v>2146</v>
      </c>
      <c r="AH2128" s="314" t="s">
        <v>1585</v>
      </c>
      <c r="AI2128" s="185" t="s">
        <v>2144</v>
      </c>
      <c r="AJ2128" s="314" t="s">
        <v>117</v>
      </c>
      <c r="AN2128" s="185" t="s">
        <v>2028</v>
      </c>
      <c r="AO2128" s="185" t="s">
        <v>2028</v>
      </c>
      <c r="AP2128" s="314" t="s">
        <v>178</v>
      </c>
      <c r="AQ2128" s="185" t="s">
        <v>2033</v>
      </c>
      <c r="AR2128" s="185" t="s">
        <v>2033</v>
      </c>
      <c r="AS2128" s="314" t="s">
        <v>178</v>
      </c>
      <c r="AT2128" s="185" t="s">
        <v>161</v>
      </c>
      <c r="AU2128" s="314">
        <v>3</v>
      </c>
      <c r="AV2128" s="185">
        <v>10</v>
      </c>
      <c r="AW2128" s="314" t="s">
        <v>142</v>
      </c>
      <c r="AY2128" s="314">
        <v>11187</v>
      </c>
      <c r="AZ2128" s="314">
        <v>37</v>
      </c>
      <c r="BH2128" s="185">
        <v>930.4</v>
      </c>
      <c r="BI2128" s="314">
        <v>2176</v>
      </c>
      <c r="BK2128" s="315"/>
      <c r="BL2128" s="314" t="s">
        <v>570</v>
      </c>
      <c r="BM2128" s="433"/>
      <c r="BN2128" s="433"/>
      <c r="BR2128" s="465">
        <f t="shared" ref="BR2128:BR2131" si="296">1/1000000*100*285</f>
        <v>2.8499999999999998E-2</v>
      </c>
      <c r="BS2128" s="465">
        <f>1/1000000*100*267</f>
        <v>2.6699999999999998E-2</v>
      </c>
      <c r="BT2128" s="314">
        <f>1/1000000*100*9.4</f>
        <v>9.3999999999999997E-4</v>
      </c>
      <c r="BU2128" s="314">
        <f>1/1000000*100*9.2</f>
        <v>9.1999999999999981E-4</v>
      </c>
      <c r="BV2128" s="314" t="s">
        <v>2291</v>
      </c>
      <c r="BW2128" s="314">
        <v>28</v>
      </c>
      <c r="BX2128" s="314">
        <v>48</v>
      </c>
      <c r="BY2128" s="314">
        <v>1.3</v>
      </c>
      <c r="BZ2128" s="314">
        <v>0.9</v>
      </c>
      <c r="CA2128" s="314" t="s">
        <v>2292</v>
      </c>
      <c r="CB2128" s="314">
        <v>56</v>
      </c>
      <c r="CC2128" s="314">
        <v>85</v>
      </c>
      <c r="CD2128" s="314">
        <v>1.9</v>
      </c>
      <c r="CE2128" s="314">
        <v>2.4</v>
      </c>
      <c r="CF2128" s="314" t="s">
        <v>2290</v>
      </c>
      <c r="DF2128" s="314">
        <v>1.76</v>
      </c>
      <c r="DG2128" s="314">
        <v>2.14</v>
      </c>
      <c r="DH2128" s="314">
        <v>0.38</v>
      </c>
      <c r="DI2128" s="314">
        <v>0.77</v>
      </c>
      <c r="DJ2128" s="314" t="s">
        <v>2289</v>
      </c>
      <c r="FH2128" s="316"/>
      <c r="FI2128" s="164"/>
      <c r="GW2128" s="314">
        <v>130</v>
      </c>
      <c r="GX2128" s="314">
        <v>172</v>
      </c>
      <c r="GY2128" s="314">
        <v>11.9</v>
      </c>
      <c r="GZ2128" s="314">
        <v>18.7</v>
      </c>
      <c r="HA2128" s="314" t="s">
        <v>2287</v>
      </c>
    </row>
    <row r="2129" spans="1:209" s="314" customFormat="1" x14ac:dyDescent="0.25">
      <c r="A2129" s="314">
        <v>97</v>
      </c>
      <c r="B2129" s="185" t="s">
        <v>2140</v>
      </c>
      <c r="D2129" s="185">
        <v>2000</v>
      </c>
      <c r="E2129" s="314">
        <v>1994</v>
      </c>
      <c r="F2129" s="185" t="s">
        <v>2055</v>
      </c>
      <c r="G2129" s="185" t="s">
        <v>2141</v>
      </c>
      <c r="H2129" s="185" t="s">
        <v>2832</v>
      </c>
      <c r="I2129" s="314">
        <v>46.58</v>
      </c>
      <c r="J2129" s="314">
        <v>-71.23</v>
      </c>
      <c r="K2129" s="185">
        <v>132.1</v>
      </c>
      <c r="L2129" s="185"/>
      <c r="M2129" s="185"/>
      <c r="Q2129" s="314">
        <v>2</v>
      </c>
      <c r="R2129" s="185">
        <v>4</v>
      </c>
      <c r="T2129" s="314" t="s">
        <v>2284</v>
      </c>
      <c r="U2129" s="185" t="s">
        <v>1383</v>
      </c>
      <c r="V2129" s="164">
        <v>20</v>
      </c>
      <c r="W2129" s="185" t="s">
        <v>1383</v>
      </c>
      <c r="X2129" s="185" t="s">
        <v>1383</v>
      </c>
      <c r="Y2129" s="317">
        <v>1.6087</v>
      </c>
      <c r="Z2129" s="380">
        <v>27</v>
      </c>
      <c r="AA2129" s="380">
        <v>49</v>
      </c>
      <c r="AB2129" s="314" t="s">
        <v>140</v>
      </c>
      <c r="AF2129" s="185" t="s">
        <v>2142</v>
      </c>
      <c r="AG2129" s="185" t="s">
        <v>2147</v>
      </c>
      <c r="AH2129" s="314" t="s">
        <v>1585</v>
      </c>
      <c r="AI2129" s="185" t="s">
        <v>2144</v>
      </c>
      <c r="AJ2129" s="314" t="s">
        <v>117</v>
      </c>
      <c r="AN2129" s="185" t="s">
        <v>2028</v>
      </c>
      <c r="AO2129" s="185" t="s">
        <v>2028</v>
      </c>
      <c r="AP2129" s="314" t="s">
        <v>178</v>
      </c>
      <c r="AQ2129" s="185" t="s">
        <v>2033</v>
      </c>
      <c r="AR2129" s="185" t="s">
        <v>2033</v>
      </c>
      <c r="AS2129" s="314" t="s">
        <v>178</v>
      </c>
      <c r="AT2129" s="185" t="s">
        <v>161</v>
      </c>
      <c r="AU2129" s="314">
        <v>3</v>
      </c>
      <c r="AV2129" s="185">
        <v>10</v>
      </c>
      <c r="AW2129" s="314" t="s">
        <v>142</v>
      </c>
      <c r="AY2129" s="314">
        <v>3681</v>
      </c>
      <c r="AZ2129" s="314">
        <v>30</v>
      </c>
      <c r="BH2129" s="185">
        <v>930.4</v>
      </c>
      <c r="BI2129" s="314">
        <v>1689</v>
      </c>
      <c r="BK2129" s="315"/>
      <c r="BL2129" s="314" t="s">
        <v>570</v>
      </c>
      <c r="BM2129" s="433"/>
      <c r="BN2129" s="433"/>
      <c r="BR2129" s="465">
        <f t="shared" si="296"/>
        <v>2.8499999999999998E-2</v>
      </c>
      <c r="BS2129" s="465">
        <f>1/1000000*100*308</f>
        <v>3.0799999999999998E-2</v>
      </c>
      <c r="BT2129" s="314">
        <f>1/1000000*100*9.4</f>
        <v>9.3999999999999997E-4</v>
      </c>
      <c r="BU2129" s="314">
        <f>1/1000000*100*6.2</f>
        <v>6.2E-4</v>
      </c>
      <c r="BV2129" s="314" t="s">
        <v>2291</v>
      </c>
      <c r="BW2129" s="314">
        <v>28</v>
      </c>
      <c r="BX2129" s="314">
        <v>37</v>
      </c>
      <c r="BY2129" s="314">
        <v>1.3</v>
      </c>
      <c r="BZ2129" s="314">
        <v>1</v>
      </c>
      <c r="CA2129" s="314" t="s">
        <v>2292</v>
      </c>
      <c r="CB2129" s="314">
        <v>56</v>
      </c>
      <c r="CC2129" s="314">
        <v>76</v>
      </c>
      <c r="CD2129" s="314">
        <v>1.9</v>
      </c>
      <c r="CE2129" s="314">
        <v>2.2000000000000002</v>
      </c>
      <c r="CF2129" s="314" t="s">
        <v>2290</v>
      </c>
      <c r="DF2129" s="314">
        <v>1.76</v>
      </c>
      <c r="DG2129" s="314">
        <v>2.13</v>
      </c>
      <c r="DH2129" s="314">
        <v>0.38</v>
      </c>
      <c r="DI2129" s="314">
        <v>0.41</v>
      </c>
      <c r="DJ2129" s="314" t="s">
        <v>2289</v>
      </c>
      <c r="FH2129" s="316"/>
      <c r="FI2129" s="164"/>
      <c r="GW2129" s="314">
        <v>130</v>
      </c>
      <c r="GX2129" s="314">
        <v>133</v>
      </c>
      <c r="GY2129" s="314">
        <v>11.9</v>
      </c>
      <c r="GZ2129" s="314">
        <v>15.5</v>
      </c>
      <c r="HA2129" s="314" t="s">
        <v>2287</v>
      </c>
    </row>
    <row r="2130" spans="1:209" s="314" customFormat="1" x14ac:dyDescent="0.25">
      <c r="A2130" s="314">
        <v>97</v>
      </c>
      <c r="B2130" s="185" t="s">
        <v>2140</v>
      </c>
      <c r="D2130" s="185">
        <v>2000</v>
      </c>
      <c r="E2130" s="314">
        <v>1994</v>
      </c>
      <c r="F2130" s="185" t="s">
        <v>2055</v>
      </c>
      <c r="G2130" s="185" t="s">
        <v>2141</v>
      </c>
      <c r="H2130" s="185" t="s">
        <v>2832</v>
      </c>
      <c r="I2130" s="314">
        <v>46.58</v>
      </c>
      <c r="J2130" s="314">
        <v>-71.23</v>
      </c>
      <c r="K2130" s="185">
        <v>132.1</v>
      </c>
      <c r="L2130" s="185"/>
      <c r="M2130" s="185"/>
      <c r="Q2130" s="314">
        <v>2</v>
      </c>
      <c r="R2130" s="185">
        <v>4</v>
      </c>
      <c r="T2130" s="314" t="s">
        <v>2284</v>
      </c>
      <c r="U2130" s="185" t="s">
        <v>1383</v>
      </c>
      <c r="V2130" s="164">
        <v>20</v>
      </c>
      <c r="W2130" s="185" t="s">
        <v>1383</v>
      </c>
      <c r="X2130" s="185" t="s">
        <v>1383</v>
      </c>
      <c r="Y2130" s="317">
        <v>1.6087</v>
      </c>
      <c r="Z2130" s="380">
        <v>27</v>
      </c>
      <c r="AA2130" s="380">
        <v>49</v>
      </c>
      <c r="AB2130" s="314" t="s">
        <v>140</v>
      </c>
      <c r="AF2130" s="185" t="s">
        <v>2142</v>
      </c>
      <c r="AG2130" s="185" t="s">
        <v>2149</v>
      </c>
      <c r="AH2130" s="314" t="s">
        <v>1131</v>
      </c>
      <c r="AI2130" s="185" t="s">
        <v>2144</v>
      </c>
      <c r="AJ2130" s="314" t="s">
        <v>117</v>
      </c>
      <c r="AN2130" s="185" t="s">
        <v>2028</v>
      </c>
      <c r="AO2130" s="185" t="s">
        <v>2028</v>
      </c>
      <c r="AP2130" s="314" t="s">
        <v>178</v>
      </c>
      <c r="AQ2130" s="185" t="s">
        <v>2033</v>
      </c>
      <c r="AR2130" s="185" t="s">
        <v>2033</v>
      </c>
      <c r="AS2130" s="314" t="s">
        <v>178</v>
      </c>
      <c r="AT2130" s="185" t="s">
        <v>161</v>
      </c>
      <c r="AU2130" s="314">
        <v>3</v>
      </c>
      <c r="AV2130" s="185">
        <v>10</v>
      </c>
      <c r="AW2130" s="314" t="s">
        <v>142</v>
      </c>
      <c r="AY2130" s="314">
        <v>4617</v>
      </c>
      <c r="AZ2130" s="314">
        <v>25</v>
      </c>
      <c r="BH2130" s="185">
        <v>930.4</v>
      </c>
      <c r="BI2130" s="314">
        <v>2720</v>
      </c>
      <c r="BK2130" s="315"/>
      <c r="BL2130" s="314" t="s">
        <v>570</v>
      </c>
      <c r="BM2130" s="433"/>
      <c r="BN2130" s="433"/>
      <c r="BR2130" s="465">
        <f t="shared" si="296"/>
        <v>2.8499999999999998E-2</v>
      </c>
      <c r="BS2130" s="465">
        <f>1/1000000*100*248</f>
        <v>2.4799999999999999E-2</v>
      </c>
      <c r="BT2130" s="314">
        <f>1/1000000*100*9.4</f>
        <v>9.3999999999999997E-4</v>
      </c>
      <c r="BU2130" s="314">
        <f>1/1000000*100*10.6</f>
        <v>1.06E-3</v>
      </c>
      <c r="BV2130" s="314" t="s">
        <v>2291</v>
      </c>
      <c r="BW2130" s="314">
        <v>28</v>
      </c>
      <c r="BX2130" s="314">
        <v>38</v>
      </c>
      <c r="BY2130" s="314">
        <v>1.3</v>
      </c>
      <c r="BZ2130" s="314">
        <v>1.4</v>
      </c>
      <c r="CA2130" s="314" t="s">
        <v>2292</v>
      </c>
      <c r="CB2130" s="314">
        <v>56</v>
      </c>
      <c r="CC2130" s="314">
        <v>98</v>
      </c>
      <c r="CD2130" s="314">
        <v>1.9</v>
      </c>
      <c r="CE2130" s="314">
        <v>2.9</v>
      </c>
      <c r="CF2130" s="314" t="s">
        <v>2290</v>
      </c>
      <c r="DF2130" s="314">
        <v>1.76</v>
      </c>
      <c r="DG2130" s="314">
        <v>1.29</v>
      </c>
      <c r="DH2130" s="314">
        <v>0.38</v>
      </c>
      <c r="DI2130" s="314">
        <v>0.69</v>
      </c>
      <c r="DJ2130" s="314" t="s">
        <v>2289</v>
      </c>
      <c r="FH2130" s="316"/>
      <c r="FI2130" s="164"/>
      <c r="GW2130" s="314">
        <v>130</v>
      </c>
      <c r="GX2130" s="314">
        <v>173</v>
      </c>
      <c r="GY2130" s="314">
        <v>11.9</v>
      </c>
      <c r="GZ2130" s="314">
        <v>20.8</v>
      </c>
      <c r="HA2130" s="314" t="s">
        <v>2287</v>
      </c>
    </row>
    <row r="2131" spans="1:209" s="314" customFormat="1" x14ac:dyDescent="0.25">
      <c r="A2131" s="314">
        <v>97</v>
      </c>
      <c r="B2131" s="185" t="s">
        <v>2140</v>
      </c>
      <c r="D2131" s="185">
        <v>2000</v>
      </c>
      <c r="E2131" s="314">
        <v>1994</v>
      </c>
      <c r="F2131" s="185" t="s">
        <v>2055</v>
      </c>
      <c r="G2131" s="185" t="s">
        <v>2141</v>
      </c>
      <c r="H2131" s="185" t="s">
        <v>2832</v>
      </c>
      <c r="I2131" s="314">
        <v>46.58</v>
      </c>
      <c r="J2131" s="314">
        <v>-71.23</v>
      </c>
      <c r="K2131" s="185">
        <v>132.1</v>
      </c>
      <c r="L2131" s="185"/>
      <c r="M2131" s="185"/>
      <c r="Q2131" s="314">
        <v>2</v>
      </c>
      <c r="R2131" s="185">
        <v>4</v>
      </c>
      <c r="T2131" s="314" t="s">
        <v>2284</v>
      </c>
      <c r="U2131" s="185" t="s">
        <v>1383</v>
      </c>
      <c r="V2131" s="164">
        <v>20</v>
      </c>
      <c r="W2131" s="185" t="s">
        <v>1383</v>
      </c>
      <c r="X2131" s="185" t="s">
        <v>1383</v>
      </c>
      <c r="Y2131" s="317">
        <v>1.6087</v>
      </c>
      <c r="Z2131" s="380">
        <v>27</v>
      </c>
      <c r="AA2131" s="380">
        <v>49</v>
      </c>
      <c r="AB2131" s="314" t="s">
        <v>140</v>
      </c>
      <c r="AF2131" s="185" t="s">
        <v>2142</v>
      </c>
      <c r="AG2131" s="185" t="s">
        <v>2148</v>
      </c>
      <c r="AH2131" s="314" t="s">
        <v>1131</v>
      </c>
      <c r="AI2131" s="185" t="s">
        <v>2144</v>
      </c>
      <c r="AJ2131" s="314" t="s">
        <v>117</v>
      </c>
      <c r="AN2131" s="185" t="s">
        <v>2028</v>
      </c>
      <c r="AO2131" s="185" t="s">
        <v>2028</v>
      </c>
      <c r="AP2131" s="314" t="s">
        <v>178</v>
      </c>
      <c r="AQ2131" s="185" t="s">
        <v>2033</v>
      </c>
      <c r="AR2131" s="185" t="s">
        <v>2033</v>
      </c>
      <c r="AS2131" s="314" t="s">
        <v>178</v>
      </c>
      <c r="AT2131" s="185" t="s">
        <v>161</v>
      </c>
      <c r="AU2131" s="314">
        <v>3</v>
      </c>
      <c r="AV2131" s="185">
        <v>10</v>
      </c>
      <c r="AW2131" s="314" t="s">
        <v>142</v>
      </c>
      <c r="AY2131" s="314">
        <v>3772</v>
      </c>
      <c r="AZ2131" s="314">
        <v>28</v>
      </c>
      <c r="BH2131" s="185">
        <v>930.4</v>
      </c>
      <c r="BI2131" s="314">
        <v>2256</v>
      </c>
      <c r="BK2131" s="315"/>
      <c r="BL2131" s="314" t="s">
        <v>570</v>
      </c>
      <c r="BM2131" s="433"/>
      <c r="BN2131" s="433"/>
      <c r="BR2131" s="465">
        <f t="shared" si="296"/>
        <v>2.8499999999999998E-2</v>
      </c>
      <c r="BS2131" s="465">
        <f>1/1000000*100*392</f>
        <v>3.9199999999999999E-2</v>
      </c>
      <c r="BT2131" s="314">
        <f>1/1000000*100*9.4</f>
        <v>9.3999999999999997E-4</v>
      </c>
      <c r="BU2131" s="314">
        <f>1/1000000*100*7.2</f>
        <v>7.1999999999999994E-4</v>
      </c>
      <c r="BV2131" s="314" t="s">
        <v>2291</v>
      </c>
      <c r="BW2131" s="314">
        <v>28</v>
      </c>
      <c r="BX2131" s="314">
        <v>30</v>
      </c>
      <c r="BY2131" s="314">
        <v>1.3</v>
      </c>
      <c r="BZ2131" s="314">
        <v>0.8</v>
      </c>
      <c r="CA2131" s="314" t="s">
        <v>2292</v>
      </c>
      <c r="CB2131" s="314">
        <v>56</v>
      </c>
      <c r="CC2131" s="314">
        <v>97</v>
      </c>
      <c r="CD2131" s="314">
        <v>1.9</v>
      </c>
      <c r="CE2131" s="314">
        <v>1.2</v>
      </c>
      <c r="CF2131" s="314" t="s">
        <v>2290</v>
      </c>
      <c r="DF2131" s="314">
        <v>1.76</v>
      </c>
      <c r="DG2131" s="314">
        <v>1.93</v>
      </c>
      <c r="DH2131" s="314">
        <v>0.38</v>
      </c>
      <c r="DI2131" s="314">
        <v>0.4</v>
      </c>
      <c r="DJ2131" s="314" t="s">
        <v>2289</v>
      </c>
      <c r="FH2131" s="316"/>
      <c r="FI2131" s="164"/>
      <c r="GW2131" s="314">
        <v>130</v>
      </c>
      <c r="GX2131" s="314">
        <v>162</v>
      </c>
      <c r="GY2131" s="314">
        <v>11.9</v>
      </c>
      <c r="GZ2131" s="314">
        <v>17.2</v>
      </c>
      <c r="HA2131" s="314" t="s">
        <v>2287</v>
      </c>
    </row>
    <row r="2132" spans="1:209" s="384" customFormat="1" x14ac:dyDescent="0.25">
      <c r="A2132" s="384">
        <v>97</v>
      </c>
      <c r="B2132" s="223" t="s">
        <v>2140</v>
      </c>
      <c r="D2132" s="223">
        <v>2000</v>
      </c>
      <c r="E2132" s="384">
        <v>1994</v>
      </c>
      <c r="F2132" s="223" t="s">
        <v>2055</v>
      </c>
      <c r="G2132" s="223" t="s">
        <v>2141</v>
      </c>
      <c r="H2132" s="185" t="s">
        <v>2832</v>
      </c>
      <c r="I2132" s="384">
        <v>46.58</v>
      </c>
      <c r="J2132" s="384">
        <v>-71.23</v>
      </c>
      <c r="K2132" s="223">
        <v>132.1</v>
      </c>
      <c r="L2132" s="223"/>
      <c r="M2132" s="223"/>
      <c r="Q2132" s="384">
        <v>2</v>
      </c>
      <c r="R2132" s="223">
        <v>4</v>
      </c>
      <c r="T2132" s="384" t="s">
        <v>2284</v>
      </c>
      <c r="U2132" s="223" t="s">
        <v>1383</v>
      </c>
      <c r="V2132" s="224">
        <v>20</v>
      </c>
      <c r="W2132" s="223" t="s">
        <v>1383</v>
      </c>
      <c r="X2132" s="223" t="s">
        <v>1383</v>
      </c>
      <c r="Y2132" s="386">
        <v>1.6087</v>
      </c>
      <c r="Z2132" s="364">
        <v>27</v>
      </c>
      <c r="AA2132" s="364">
        <v>49</v>
      </c>
      <c r="AB2132" s="384" t="s">
        <v>140</v>
      </c>
      <c r="AF2132" s="223" t="s">
        <v>2142</v>
      </c>
      <c r="AG2132" s="223" t="s">
        <v>2143</v>
      </c>
      <c r="AH2132" s="384" t="s">
        <v>578</v>
      </c>
      <c r="AI2132" s="223" t="s">
        <v>2144</v>
      </c>
      <c r="AJ2132" s="384" t="s">
        <v>117</v>
      </c>
      <c r="AN2132" s="223" t="s">
        <v>2028</v>
      </c>
      <c r="AO2132" s="223" t="s">
        <v>2028</v>
      </c>
      <c r="AP2132" s="384" t="s">
        <v>178</v>
      </c>
      <c r="AQ2132" s="223" t="s">
        <v>2285</v>
      </c>
      <c r="AR2132" s="223" t="s">
        <v>2285</v>
      </c>
      <c r="AS2132" s="384" t="s">
        <v>178</v>
      </c>
      <c r="AT2132" s="223" t="s">
        <v>161</v>
      </c>
      <c r="AU2132" s="384">
        <v>3</v>
      </c>
      <c r="AV2132" s="223">
        <v>10</v>
      </c>
      <c r="AW2132" s="384" t="s">
        <v>142</v>
      </c>
      <c r="BH2132" s="223">
        <v>1827</v>
      </c>
      <c r="BI2132" s="384">
        <v>2348</v>
      </c>
      <c r="BK2132" s="385"/>
      <c r="BL2132" s="384" t="s">
        <v>570</v>
      </c>
      <c r="BM2132" s="441"/>
      <c r="BN2132" s="441"/>
      <c r="BR2132" s="440"/>
      <c r="BS2132" s="440"/>
      <c r="FH2132" s="387"/>
      <c r="FI2132" s="224"/>
      <c r="GW2132" s="384">
        <v>142</v>
      </c>
      <c r="GX2132" s="384">
        <v>158</v>
      </c>
      <c r="GY2132" s="384">
        <v>9.4</v>
      </c>
      <c r="GZ2132" s="384">
        <v>10.7</v>
      </c>
      <c r="HA2132" s="384" t="s">
        <v>2288</v>
      </c>
    </row>
    <row r="2133" spans="1:209" s="384" customFormat="1" x14ac:dyDescent="0.25">
      <c r="A2133" s="384">
        <v>97</v>
      </c>
      <c r="B2133" s="223" t="s">
        <v>2140</v>
      </c>
      <c r="D2133" s="223">
        <v>2000</v>
      </c>
      <c r="E2133" s="384">
        <v>1994</v>
      </c>
      <c r="F2133" s="223" t="s">
        <v>2055</v>
      </c>
      <c r="G2133" s="223" t="s">
        <v>2141</v>
      </c>
      <c r="H2133" s="185" t="s">
        <v>2832</v>
      </c>
      <c r="I2133" s="384">
        <v>46.58</v>
      </c>
      <c r="J2133" s="384">
        <v>-71.23</v>
      </c>
      <c r="K2133" s="223">
        <v>132.1</v>
      </c>
      <c r="L2133" s="223"/>
      <c r="M2133" s="223"/>
      <c r="Q2133" s="384">
        <v>2</v>
      </c>
      <c r="R2133" s="223">
        <v>4</v>
      </c>
      <c r="T2133" s="384" t="s">
        <v>2284</v>
      </c>
      <c r="U2133" s="223" t="s">
        <v>1383</v>
      </c>
      <c r="V2133" s="224">
        <v>20</v>
      </c>
      <c r="W2133" s="223" t="s">
        <v>1383</v>
      </c>
      <c r="X2133" s="223" t="s">
        <v>1383</v>
      </c>
      <c r="Y2133" s="386">
        <v>1.6087</v>
      </c>
      <c r="Z2133" s="364">
        <v>27</v>
      </c>
      <c r="AA2133" s="364">
        <v>49</v>
      </c>
      <c r="AB2133" s="384" t="s">
        <v>140</v>
      </c>
      <c r="AF2133" s="223" t="s">
        <v>2142</v>
      </c>
      <c r="AG2133" s="223" t="s">
        <v>2146</v>
      </c>
      <c r="AH2133" s="384" t="s">
        <v>1585</v>
      </c>
      <c r="AI2133" s="223" t="s">
        <v>2144</v>
      </c>
      <c r="AJ2133" s="384" t="s">
        <v>117</v>
      </c>
      <c r="AN2133" s="223" t="s">
        <v>2028</v>
      </c>
      <c r="AO2133" s="223" t="s">
        <v>2028</v>
      </c>
      <c r="AP2133" s="384" t="s">
        <v>178</v>
      </c>
      <c r="AQ2133" s="223" t="s">
        <v>2285</v>
      </c>
      <c r="AR2133" s="223" t="s">
        <v>2285</v>
      </c>
      <c r="AS2133" s="384" t="s">
        <v>178</v>
      </c>
      <c r="AT2133" s="223" t="s">
        <v>161</v>
      </c>
      <c r="AU2133" s="384">
        <v>3</v>
      </c>
      <c r="AV2133" s="223">
        <v>10</v>
      </c>
      <c r="AW2133" s="384" t="s">
        <v>142</v>
      </c>
      <c r="BH2133" s="223">
        <v>1827</v>
      </c>
      <c r="BI2133" s="384">
        <v>3050</v>
      </c>
      <c r="BK2133" s="385"/>
      <c r="BL2133" s="384" t="s">
        <v>570</v>
      </c>
      <c r="BM2133" s="441"/>
      <c r="BN2133" s="441"/>
      <c r="BR2133" s="440"/>
      <c r="BS2133" s="440"/>
      <c r="FH2133" s="387"/>
      <c r="FI2133" s="224"/>
      <c r="GW2133" s="384">
        <v>142</v>
      </c>
      <c r="GX2133" s="384">
        <v>170</v>
      </c>
      <c r="GY2133" s="384">
        <v>9.4</v>
      </c>
      <c r="GZ2133" s="384">
        <v>13.9</v>
      </c>
      <c r="HA2133" s="384" t="s">
        <v>2288</v>
      </c>
    </row>
    <row r="2134" spans="1:209" s="384" customFormat="1" x14ac:dyDescent="0.25">
      <c r="A2134" s="384">
        <v>97</v>
      </c>
      <c r="B2134" s="223" t="s">
        <v>2140</v>
      </c>
      <c r="D2134" s="223">
        <v>2000</v>
      </c>
      <c r="E2134" s="384">
        <v>1994</v>
      </c>
      <c r="F2134" s="223" t="s">
        <v>2055</v>
      </c>
      <c r="G2134" s="223" t="s">
        <v>2141</v>
      </c>
      <c r="H2134" s="185" t="s">
        <v>2832</v>
      </c>
      <c r="I2134" s="384">
        <v>46.58</v>
      </c>
      <c r="J2134" s="384">
        <v>-71.23</v>
      </c>
      <c r="K2134" s="223">
        <v>132.1</v>
      </c>
      <c r="L2134" s="223"/>
      <c r="M2134" s="223"/>
      <c r="Q2134" s="384">
        <v>2</v>
      </c>
      <c r="R2134" s="223">
        <v>4</v>
      </c>
      <c r="T2134" s="384" t="s">
        <v>2284</v>
      </c>
      <c r="U2134" s="223" t="s">
        <v>1383</v>
      </c>
      <c r="V2134" s="224">
        <v>20</v>
      </c>
      <c r="W2134" s="223" t="s">
        <v>1383</v>
      </c>
      <c r="X2134" s="223" t="s">
        <v>1383</v>
      </c>
      <c r="Y2134" s="386">
        <v>1.6087</v>
      </c>
      <c r="Z2134" s="364">
        <v>27</v>
      </c>
      <c r="AA2134" s="364">
        <v>49</v>
      </c>
      <c r="AB2134" s="384" t="s">
        <v>140</v>
      </c>
      <c r="AF2134" s="223" t="s">
        <v>2142</v>
      </c>
      <c r="AG2134" s="223" t="s">
        <v>2147</v>
      </c>
      <c r="AH2134" s="384" t="s">
        <v>1585</v>
      </c>
      <c r="AI2134" s="223" t="s">
        <v>2144</v>
      </c>
      <c r="AJ2134" s="384" t="s">
        <v>117</v>
      </c>
      <c r="AN2134" s="223" t="s">
        <v>2028</v>
      </c>
      <c r="AO2134" s="223" t="s">
        <v>2028</v>
      </c>
      <c r="AP2134" s="384" t="s">
        <v>178</v>
      </c>
      <c r="AQ2134" s="223" t="s">
        <v>2285</v>
      </c>
      <c r="AR2134" s="223" t="s">
        <v>2285</v>
      </c>
      <c r="AS2134" s="384" t="s">
        <v>178</v>
      </c>
      <c r="AT2134" s="223" t="s">
        <v>161</v>
      </c>
      <c r="AU2134" s="384">
        <v>3</v>
      </c>
      <c r="AV2134" s="223">
        <v>10</v>
      </c>
      <c r="AW2134" s="384" t="s">
        <v>142</v>
      </c>
      <c r="BH2134" s="223">
        <v>1827</v>
      </c>
      <c r="BI2134" s="384">
        <v>3062</v>
      </c>
      <c r="BK2134" s="385"/>
      <c r="BL2134" s="384" t="s">
        <v>570</v>
      </c>
      <c r="BM2134" s="441"/>
      <c r="BN2134" s="441"/>
      <c r="BR2134" s="440"/>
      <c r="BS2134" s="440"/>
      <c r="FH2134" s="387"/>
      <c r="FI2134" s="224"/>
      <c r="GW2134" s="384">
        <v>142</v>
      </c>
      <c r="GX2134" s="384">
        <v>134</v>
      </c>
      <c r="GY2134" s="384">
        <v>9.4</v>
      </c>
      <c r="GZ2134" s="384">
        <v>10.6</v>
      </c>
      <c r="HA2134" s="384" t="s">
        <v>2288</v>
      </c>
    </row>
    <row r="2135" spans="1:209" s="384" customFormat="1" x14ac:dyDescent="0.25">
      <c r="A2135" s="384">
        <v>97</v>
      </c>
      <c r="B2135" s="223" t="s">
        <v>2140</v>
      </c>
      <c r="D2135" s="223">
        <v>2000</v>
      </c>
      <c r="E2135" s="384">
        <v>1994</v>
      </c>
      <c r="F2135" s="223" t="s">
        <v>2055</v>
      </c>
      <c r="G2135" s="223" t="s">
        <v>2141</v>
      </c>
      <c r="H2135" s="185" t="s">
        <v>2832</v>
      </c>
      <c r="I2135" s="384">
        <v>46.58</v>
      </c>
      <c r="J2135" s="384">
        <v>-71.23</v>
      </c>
      <c r="K2135" s="223">
        <v>132.1</v>
      </c>
      <c r="L2135" s="223"/>
      <c r="M2135" s="223"/>
      <c r="Q2135" s="384">
        <v>2</v>
      </c>
      <c r="R2135" s="223">
        <v>4</v>
      </c>
      <c r="T2135" s="384" t="s">
        <v>2284</v>
      </c>
      <c r="U2135" s="223" t="s">
        <v>1383</v>
      </c>
      <c r="V2135" s="224">
        <v>20</v>
      </c>
      <c r="W2135" s="223" t="s">
        <v>1383</v>
      </c>
      <c r="X2135" s="223" t="s">
        <v>1383</v>
      </c>
      <c r="Y2135" s="386">
        <v>1.6087</v>
      </c>
      <c r="Z2135" s="364">
        <v>27</v>
      </c>
      <c r="AA2135" s="364">
        <v>49</v>
      </c>
      <c r="AB2135" s="384" t="s">
        <v>140</v>
      </c>
      <c r="AF2135" s="223" t="s">
        <v>2142</v>
      </c>
      <c r="AG2135" s="223" t="s">
        <v>2149</v>
      </c>
      <c r="AH2135" s="384" t="s">
        <v>1131</v>
      </c>
      <c r="AI2135" s="223" t="s">
        <v>2144</v>
      </c>
      <c r="AJ2135" s="384" t="s">
        <v>117</v>
      </c>
      <c r="AN2135" s="223" t="s">
        <v>2028</v>
      </c>
      <c r="AO2135" s="223" t="s">
        <v>2028</v>
      </c>
      <c r="AP2135" s="384" t="s">
        <v>178</v>
      </c>
      <c r="AQ2135" s="223" t="s">
        <v>2285</v>
      </c>
      <c r="AR2135" s="223" t="s">
        <v>2285</v>
      </c>
      <c r="AS2135" s="384" t="s">
        <v>178</v>
      </c>
      <c r="AT2135" s="223" t="s">
        <v>161</v>
      </c>
      <c r="AU2135" s="384">
        <v>3</v>
      </c>
      <c r="AV2135" s="223">
        <v>10</v>
      </c>
      <c r="AW2135" s="384" t="s">
        <v>142</v>
      </c>
      <c r="BH2135" s="223">
        <v>1827</v>
      </c>
      <c r="BI2135" s="384">
        <v>3163</v>
      </c>
      <c r="BK2135" s="385"/>
      <c r="BL2135" s="384" t="s">
        <v>570</v>
      </c>
      <c r="BM2135" s="441"/>
      <c r="BN2135" s="441"/>
      <c r="BR2135" s="440"/>
      <c r="BS2135" s="440"/>
      <c r="FH2135" s="387"/>
      <c r="FI2135" s="224"/>
      <c r="GW2135" s="384">
        <v>142</v>
      </c>
      <c r="GX2135" s="384">
        <v>178</v>
      </c>
      <c r="GY2135" s="384">
        <v>9.4</v>
      </c>
      <c r="GZ2135" s="384">
        <v>14.1</v>
      </c>
      <c r="HA2135" s="384" t="s">
        <v>2288</v>
      </c>
    </row>
    <row r="2136" spans="1:209" s="384" customFormat="1" x14ac:dyDescent="0.25">
      <c r="A2136" s="384">
        <v>97</v>
      </c>
      <c r="B2136" s="223" t="s">
        <v>2140</v>
      </c>
      <c r="D2136" s="223">
        <v>2000</v>
      </c>
      <c r="E2136" s="384">
        <v>1994</v>
      </c>
      <c r="F2136" s="223" t="s">
        <v>2055</v>
      </c>
      <c r="G2136" s="223" t="s">
        <v>2141</v>
      </c>
      <c r="H2136" s="185" t="s">
        <v>2832</v>
      </c>
      <c r="I2136" s="384">
        <v>46.58</v>
      </c>
      <c r="J2136" s="384">
        <v>-71.23</v>
      </c>
      <c r="K2136" s="223">
        <v>132.1</v>
      </c>
      <c r="L2136" s="223"/>
      <c r="M2136" s="223"/>
      <c r="Q2136" s="384">
        <v>2</v>
      </c>
      <c r="R2136" s="223">
        <v>4</v>
      </c>
      <c r="T2136" s="384" t="s">
        <v>2284</v>
      </c>
      <c r="U2136" s="223" t="s">
        <v>1383</v>
      </c>
      <c r="V2136" s="224">
        <v>20</v>
      </c>
      <c r="W2136" s="223" t="s">
        <v>1383</v>
      </c>
      <c r="X2136" s="223" t="s">
        <v>1383</v>
      </c>
      <c r="Y2136" s="386">
        <v>1.6087</v>
      </c>
      <c r="Z2136" s="364">
        <v>27</v>
      </c>
      <c r="AA2136" s="364">
        <v>49</v>
      </c>
      <c r="AB2136" s="384" t="s">
        <v>140</v>
      </c>
      <c r="AF2136" s="223" t="s">
        <v>2142</v>
      </c>
      <c r="AG2136" s="223" t="s">
        <v>2148</v>
      </c>
      <c r="AH2136" s="384" t="s">
        <v>1131</v>
      </c>
      <c r="AI2136" s="223" t="s">
        <v>2144</v>
      </c>
      <c r="AJ2136" s="384" t="s">
        <v>117</v>
      </c>
      <c r="AN2136" s="223" t="s">
        <v>2028</v>
      </c>
      <c r="AO2136" s="223" t="s">
        <v>2028</v>
      </c>
      <c r="AP2136" s="384" t="s">
        <v>178</v>
      </c>
      <c r="AQ2136" s="223" t="s">
        <v>2285</v>
      </c>
      <c r="AR2136" s="223" t="s">
        <v>2285</v>
      </c>
      <c r="AS2136" s="384" t="s">
        <v>178</v>
      </c>
      <c r="AT2136" s="223" t="s">
        <v>161</v>
      </c>
      <c r="AU2136" s="384">
        <v>3</v>
      </c>
      <c r="AV2136" s="223">
        <v>10</v>
      </c>
      <c r="AW2136" s="384" t="s">
        <v>142</v>
      </c>
      <c r="BH2136" s="223">
        <v>1827</v>
      </c>
      <c r="BI2136" s="384">
        <v>2472</v>
      </c>
      <c r="BK2136" s="385"/>
      <c r="BL2136" s="384" t="s">
        <v>570</v>
      </c>
      <c r="BM2136" s="441"/>
      <c r="BN2136" s="441"/>
      <c r="BR2136" s="440"/>
      <c r="BS2136" s="440"/>
      <c r="FH2136" s="387"/>
      <c r="FI2136" s="224"/>
      <c r="GW2136" s="384">
        <v>142</v>
      </c>
      <c r="GX2136" s="384">
        <v>159</v>
      </c>
      <c r="GY2136" s="384">
        <v>9.4</v>
      </c>
      <c r="GZ2136" s="384">
        <v>13.9</v>
      </c>
      <c r="HA2136" s="384" t="s">
        <v>2288</v>
      </c>
    </row>
    <row r="2137" spans="1:209" s="314" customFormat="1" x14ac:dyDescent="0.25">
      <c r="A2137" s="314">
        <v>97</v>
      </c>
      <c r="B2137" s="185" t="s">
        <v>2140</v>
      </c>
      <c r="D2137" s="185">
        <v>2000</v>
      </c>
      <c r="E2137" s="314">
        <v>1994</v>
      </c>
      <c r="F2137" s="185" t="s">
        <v>2055</v>
      </c>
      <c r="G2137" s="185" t="s">
        <v>2141</v>
      </c>
      <c r="H2137" s="185" t="s">
        <v>2832</v>
      </c>
      <c r="I2137" s="314">
        <v>46.58</v>
      </c>
      <c r="J2137" s="314">
        <v>-71.23</v>
      </c>
      <c r="K2137" s="185">
        <v>132.1</v>
      </c>
      <c r="L2137" s="185"/>
      <c r="M2137" s="185"/>
      <c r="Q2137" s="314">
        <v>2</v>
      </c>
      <c r="R2137" s="185">
        <v>4</v>
      </c>
      <c r="T2137" s="314" t="s">
        <v>2284</v>
      </c>
      <c r="U2137" s="185" t="s">
        <v>1383</v>
      </c>
      <c r="V2137" s="164">
        <v>20</v>
      </c>
      <c r="W2137" s="185" t="s">
        <v>1383</v>
      </c>
      <c r="X2137" s="185" t="s">
        <v>1383</v>
      </c>
      <c r="Y2137" s="317">
        <v>1.6087</v>
      </c>
      <c r="Z2137" s="380">
        <v>27</v>
      </c>
      <c r="AA2137" s="380">
        <v>49</v>
      </c>
      <c r="AB2137" s="314" t="s">
        <v>140</v>
      </c>
      <c r="AF2137" s="185" t="s">
        <v>2142</v>
      </c>
      <c r="AG2137" s="185" t="s">
        <v>2143</v>
      </c>
      <c r="AH2137" s="314" t="s">
        <v>578</v>
      </c>
      <c r="AI2137" s="185" t="s">
        <v>2144</v>
      </c>
      <c r="AJ2137" s="314" t="s">
        <v>117</v>
      </c>
      <c r="AN2137" s="185" t="s">
        <v>2028</v>
      </c>
      <c r="AO2137" s="185" t="s">
        <v>2028</v>
      </c>
      <c r="AP2137" s="314" t="s">
        <v>178</v>
      </c>
      <c r="AQ2137" s="185" t="s">
        <v>2160</v>
      </c>
      <c r="AR2137" s="185" t="s">
        <v>2160</v>
      </c>
      <c r="AS2137" s="314" t="s">
        <v>178</v>
      </c>
      <c r="AT2137" s="185" t="s">
        <v>161</v>
      </c>
      <c r="AU2137" s="314">
        <v>3</v>
      </c>
      <c r="AV2137" s="185">
        <v>10</v>
      </c>
      <c r="AW2137" s="314" t="s">
        <v>142</v>
      </c>
      <c r="BH2137" s="185">
        <v>2712.4</v>
      </c>
      <c r="BI2137" s="314">
        <v>2747</v>
      </c>
      <c r="BK2137" s="315"/>
      <c r="BL2137" s="314" t="s">
        <v>570</v>
      </c>
      <c r="BM2137" s="433"/>
      <c r="BN2137" s="433"/>
      <c r="BR2137" s="465"/>
      <c r="BS2137" s="465"/>
      <c r="FH2137" s="316"/>
      <c r="FI2137" s="164"/>
    </row>
    <row r="2138" spans="1:209" s="314" customFormat="1" x14ac:dyDescent="0.25">
      <c r="A2138" s="314">
        <v>97</v>
      </c>
      <c r="B2138" s="185" t="s">
        <v>2140</v>
      </c>
      <c r="D2138" s="185">
        <v>2000</v>
      </c>
      <c r="E2138" s="314">
        <v>1994</v>
      </c>
      <c r="F2138" s="185" t="s">
        <v>2055</v>
      </c>
      <c r="G2138" s="185" t="s">
        <v>2141</v>
      </c>
      <c r="H2138" s="185" t="s">
        <v>2832</v>
      </c>
      <c r="I2138" s="314">
        <v>46.58</v>
      </c>
      <c r="J2138" s="314">
        <v>-71.23</v>
      </c>
      <c r="K2138" s="185">
        <v>132.1</v>
      </c>
      <c r="L2138" s="185"/>
      <c r="M2138" s="185"/>
      <c r="Q2138" s="314">
        <v>2</v>
      </c>
      <c r="R2138" s="185">
        <v>4</v>
      </c>
      <c r="T2138" s="314" t="s">
        <v>2284</v>
      </c>
      <c r="U2138" s="185" t="s">
        <v>1383</v>
      </c>
      <c r="V2138" s="164">
        <v>20</v>
      </c>
      <c r="W2138" s="185" t="s">
        <v>1383</v>
      </c>
      <c r="X2138" s="185" t="s">
        <v>1383</v>
      </c>
      <c r="Y2138" s="317">
        <v>1.6087</v>
      </c>
      <c r="Z2138" s="380">
        <v>27</v>
      </c>
      <c r="AA2138" s="380">
        <v>49</v>
      </c>
      <c r="AB2138" s="314" t="s">
        <v>140</v>
      </c>
      <c r="AF2138" s="185" t="s">
        <v>2142</v>
      </c>
      <c r="AG2138" s="185" t="s">
        <v>2146</v>
      </c>
      <c r="AH2138" s="314" t="s">
        <v>1585</v>
      </c>
      <c r="AI2138" s="185" t="s">
        <v>2144</v>
      </c>
      <c r="AJ2138" s="314" t="s">
        <v>117</v>
      </c>
      <c r="AN2138" s="185" t="s">
        <v>2028</v>
      </c>
      <c r="AO2138" s="185" t="s">
        <v>2028</v>
      </c>
      <c r="AP2138" s="314" t="s">
        <v>178</v>
      </c>
      <c r="AQ2138" s="185" t="s">
        <v>2160</v>
      </c>
      <c r="AR2138" s="185" t="s">
        <v>2160</v>
      </c>
      <c r="AS2138" s="314" t="s">
        <v>178</v>
      </c>
      <c r="AT2138" s="185" t="s">
        <v>161</v>
      </c>
      <c r="AU2138" s="314">
        <v>3</v>
      </c>
      <c r="AV2138" s="185">
        <v>10</v>
      </c>
      <c r="AW2138" s="314" t="s">
        <v>142</v>
      </c>
      <c r="BH2138" s="185">
        <v>2712.4</v>
      </c>
      <c r="BI2138" s="314">
        <v>3517</v>
      </c>
      <c r="BK2138" s="315"/>
      <c r="BL2138" s="314" t="s">
        <v>570</v>
      </c>
      <c r="BM2138" s="433"/>
      <c r="BN2138" s="433"/>
      <c r="BR2138" s="465"/>
      <c r="BS2138" s="465"/>
      <c r="FH2138" s="316"/>
      <c r="FI2138" s="164"/>
    </row>
    <row r="2139" spans="1:209" s="314" customFormat="1" x14ac:dyDescent="0.25">
      <c r="A2139" s="314">
        <v>97</v>
      </c>
      <c r="B2139" s="185" t="s">
        <v>2140</v>
      </c>
      <c r="D2139" s="185">
        <v>2000</v>
      </c>
      <c r="E2139" s="314">
        <v>1994</v>
      </c>
      <c r="F2139" s="185" t="s">
        <v>2055</v>
      </c>
      <c r="G2139" s="185" t="s">
        <v>2141</v>
      </c>
      <c r="H2139" s="185" t="s">
        <v>2832</v>
      </c>
      <c r="I2139" s="314">
        <v>46.58</v>
      </c>
      <c r="J2139" s="314">
        <v>-71.23</v>
      </c>
      <c r="K2139" s="185">
        <v>132.1</v>
      </c>
      <c r="L2139" s="185"/>
      <c r="M2139" s="185"/>
      <c r="Q2139" s="314">
        <v>2</v>
      </c>
      <c r="R2139" s="185">
        <v>4</v>
      </c>
      <c r="T2139" s="314" t="s">
        <v>2284</v>
      </c>
      <c r="U2139" s="185" t="s">
        <v>1383</v>
      </c>
      <c r="V2139" s="164">
        <v>20</v>
      </c>
      <c r="W2139" s="185" t="s">
        <v>1383</v>
      </c>
      <c r="X2139" s="185" t="s">
        <v>1383</v>
      </c>
      <c r="Y2139" s="317">
        <v>1.6087</v>
      </c>
      <c r="Z2139" s="380">
        <v>27</v>
      </c>
      <c r="AA2139" s="380">
        <v>49</v>
      </c>
      <c r="AB2139" s="314" t="s">
        <v>140</v>
      </c>
      <c r="AF2139" s="185" t="s">
        <v>2142</v>
      </c>
      <c r="AG2139" s="185" t="s">
        <v>2147</v>
      </c>
      <c r="AH2139" s="314" t="s">
        <v>1585</v>
      </c>
      <c r="AI2139" s="185" t="s">
        <v>2144</v>
      </c>
      <c r="AJ2139" s="314" t="s">
        <v>117</v>
      </c>
      <c r="AN2139" s="185" t="s">
        <v>2028</v>
      </c>
      <c r="AO2139" s="185" t="s">
        <v>2028</v>
      </c>
      <c r="AP2139" s="314" t="s">
        <v>178</v>
      </c>
      <c r="AQ2139" s="185" t="s">
        <v>2160</v>
      </c>
      <c r="AR2139" s="185" t="s">
        <v>2160</v>
      </c>
      <c r="AS2139" s="314" t="s">
        <v>178</v>
      </c>
      <c r="AT2139" s="185" t="s">
        <v>161</v>
      </c>
      <c r="AU2139" s="314">
        <v>3</v>
      </c>
      <c r="AV2139" s="185">
        <v>10</v>
      </c>
      <c r="AW2139" s="314" t="s">
        <v>142</v>
      </c>
      <c r="BH2139" s="185">
        <v>2712.4</v>
      </c>
      <c r="BI2139" s="314">
        <v>3517</v>
      </c>
      <c r="BK2139" s="315"/>
      <c r="BL2139" s="314" t="s">
        <v>570</v>
      </c>
      <c r="BM2139" s="433"/>
      <c r="BN2139" s="433"/>
      <c r="BR2139" s="465"/>
      <c r="BS2139" s="465"/>
      <c r="FH2139" s="316"/>
      <c r="FI2139" s="164"/>
    </row>
    <row r="2140" spans="1:209" s="314" customFormat="1" x14ac:dyDescent="0.25">
      <c r="A2140" s="314">
        <v>97</v>
      </c>
      <c r="B2140" s="185" t="s">
        <v>2140</v>
      </c>
      <c r="D2140" s="185">
        <v>2000</v>
      </c>
      <c r="E2140" s="314">
        <v>1994</v>
      </c>
      <c r="F2140" s="185" t="s">
        <v>2055</v>
      </c>
      <c r="G2140" s="185" t="s">
        <v>2141</v>
      </c>
      <c r="H2140" s="185" t="s">
        <v>2832</v>
      </c>
      <c r="I2140" s="314">
        <v>46.58</v>
      </c>
      <c r="J2140" s="314">
        <v>-71.23</v>
      </c>
      <c r="K2140" s="185">
        <v>132.1</v>
      </c>
      <c r="L2140" s="185"/>
      <c r="M2140" s="185"/>
      <c r="Q2140" s="314">
        <v>2</v>
      </c>
      <c r="R2140" s="185">
        <v>4</v>
      </c>
      <c r="T2140" s="314" t="s">
        <v>2284</v>
      </c>
      <c r="U2140" s="185" t="s">
        <v>1383</v>
      </c>
      <c r="V2140" s="164">
        <v>20</v>
      </c>
      <c r="W2140" s="185" t="s">
        <v>1383</v>
      </c>
      <c r="X2140" s="185" t="s">
        <v>1383</v>
      </c>
      <c r="Y2140" s="317">
        <v>1.6087</v>
      </c>
      <c r="Z2140" s="380">
        <v>27</v>
      </c>
      <c r="AA2140" s="380">
        <v>49</v>
      </c>
      <c r="AB2140" s="314" t="s">
        <v>140</v>
      </c>
      <c r="AF2140" s="185" t="s">
        <v>2142</v>
      </c>
      <c r="AG2140" s="185" t="s">
        <v>2149</v>
      </c>
      <c r="AH2140" s="314" t="s">
        <v>1131</v>
      </c>
      <c r="AI2140" s="185" t="s">
        <v>2144</v>
      </c>
      <c r="AJ2140" s="314" t="s">
        <v>117</v>
      </c>
      <c r="AN2140" s="185" t="s">
        <v>2028</v>
      </c>
      <c r="AO2140" s="185" t="s">
        <v>2028</v>
      </c>
      <c r="AP2140" s="314" t="s">
        <v>178</v>
      </c>
      <c r="AQ2140" s="185" t="s">
        <v>2160</v>
      </c>
      <c r="AR2140" s="185" t="s">
        <v>2160</v>
      </c>
      <c r="AS2140" s="314" t="s">
        <v>178</v>
      </c>
      <c r="AT2140" s="185" t="s">
        <v>161</v>
      </c>
      <c r="AU2140" s="314">
        <v>3</v>
      </c>
      <c r="AV2140" s="185">
        <v>10</v>
      </c>
      <c r="AW2140" s="314" t="s">
        <v>142</v>
      </c>
      <c r="BH2140" s="185">
        <v>2712.4</v>
      </c>
      <c r="BI2140" s="314">
        <v>3856</v>
      </c>
      <c r="BK2140" s="315"/>
      <c r="BL2140" s="314" t="s">
        <v>570</v>
      </c>
      <c r="BM2140" s="433"/>
      <c r="BN2140" s="433"/>
      <c r="BR2140" s="465"/>
      <c r="BS2140" s="465"/>
      <c r="FH2140" s="316"/>
      <c r="FI2140" s="164"/>
    </row>
    <row r="2141" spans="1:209" s="314" customFormat="1" x14ac:dyDescent="0.25">
      <c r="A2141" s="314">
        <v>97</v>
      </c>
      <c r="B2141" s="185" t="s">
        <v>2140</v>
      </c>
      <c r="D2141" s="185">
        <v>2000</v>
      </c>
      <c r="E2141" s="314">
        <v>1994</v>
      </c>
      <c r="F2141" s="185" t="s">
        <v>2055</v>
      </c>
      <c r="G2141" s="185" t="s">
        <v>2141</v>
      </c>
      <c r="H2141" s="185" t="s">
        <v>2832</v>
      </c>
      <c r="I2141" s="314">
        <v>46.58</v>
      </c>
      <c r="J2141" s="314">
        <v>-71.23</v>
      </c>
      <c r="K2141" s="185">
        <v>132.1</v>
      </c>
      <c r="L2141" s="185"/>
      <c r="M2141" s="185"/>
      <c r="Q2141" s="314">
        <v>2</v>
      </c>
      <c r="R2141" s="185">
        <v>4</v>
      </c>
      <c r="T2141" s="314" t="s">
        <v>2284</v>
      </c>
      <c r="U2141" s="185" t="s">
        <v>1383</v>
      </c>
      <c r="V2141" s="164">
        <v>20</v>
      </c>
      <c r="W2141" s="185" t="s">
        <v>1383</v>
      </c>
      <c r="X2141" s="185" t="s">
        <v>1383</v>
      </c>
      <c r="Y2141" s="317">
        <v>1.6087</v>
      </c>
      <c r="Z2141" s="380">
        <v>27</v>
      </c>
      <c r="AA2141" s="380">
        <v>49</v>
      </c>
      <c r="AB2141" s="314" t="s">
        <v>140</v>
      </c>
      <c r="AF2141" s="185" t="s">
        <v>2142</v>
      </c>
      <c r="AG2141" s="185" t="s">
        <v>2148</v>
      </c>
      <c r="AH2141" s="314" t="s">
        <v>1131</v>
      </c>
      <c r="AI2141" s="185" t="s">
        <v>2144</v>
      </c>
      <c r="AJ2141" s="314" t="s">
        <v>117</v>
      </c>
      <c r="AN2141" s="185" t="s">
        <v>2028</v>
      </c>
      <c r="AO2141" s="185" t="s">
        <v>2028</v>
      </c>
      <c r="AP2141" s="314" t="s">
        <v>178</v>
      </c>
      <c r="AQ2141" s="185" t="s">
        <v>2160</v>
      </c>
      <c r="AR2141" s="185" t="s">
        <v>2160</v>
      </c>
      <c r="AS2141" s="314" t="s">
        <v>178</v>
      </c>
      <c r="AT2141" s="185" t="s">
        <v>161</v>
      </c>
      <c r="AU2141" s="314">
        <v>3</v>
      </c>
      <c r="AV2141" s="185">
        <v>10</v>
      </c>
      <c r="AW2141" s="314" t="s">
        <v>142</v>
      </c>
      <c r="BH2141" s="185">
        <v>2712.4</v>
      </c>
      <c r="BI2141" s="314">
        <v>3777</v>
      </c>
      <c r="BK2141" s="315"/>
      <c r="BL2141" s="314" t="s">
        <v>570</v>
      </c>
      <c r="BM2141" s="433"/>
      <c r="BN2141" s="433"/>
      <c r="BR2141" s="465"/>
      <c r="BS2141" s="465"/>
      <c r="FH2141" s="316"/>
      <c r="FI2141" s="164"/>
    </row>
    <row r="2142" spans="1:209" s="384" customFormat="1" x14ac:dyDescent="0.25">
      <c r="A2142" s="384">
        <v>97</v>
      </c>
      <c r="B2142" s="223" t="s">
        <v>2140</v>
      </c>
      <c r="D2142" s="223">
        <v>2000</v>
      </c>
      <c r="E2142" s="384">
        <v>1994</v>
      </c>
      <c r="F2142" s="223" t="s">
        <v>2055</v>
      </c>
      <c r="G2142" s="223" t="s">
        <v>2141</v>
      </c>
      <c r="H2142" s="185" t="s">
        <v>2832</v>
      </c>
      <c r="I2142" s="384">
        <v>46.58</v>
      </c>
      <c r="J2142" s="384">
        <v>-71.23</v>
      </c>
      <c r="K2142" s="223">
        <v>132.1</v>
      </c>
      <c r="L2142" s="223"/>
      <c r="M2142" s="223"/>
      <c r="Q2142" s="384">
        <v>2</v>
      </c>
      <c r="R2142" s="223">
        <v>4</v>
      </c>
      <c r="T2142" s="384" t="s">
        <v>2284</v>
      </c>
      <c r="U2142" s="223" t="s">
        <v>1383</v>
      </c>
      <c r="V2142" s="224">
        <v>20</v>
      </c>
      <c r="W2142" s="223" t="s">
        <v>1383</v>
      </c>
      <c r="X2142" s="223" t="s">
        <v>1383</v>
      </c>
      <c r="Y2142" s="386">
        <v>1.6087</v>
      </c>
      <c r="Z2142" s="364">
        <v>27</v>
      </c>
      <c r="AA2142" s="364">
        <v>49</v>
      </c>
      <c r="AB2142" s="384" t="s">
        <v>140</v>
      </c>
      <c r="AF2142" s="223" t="s">
        <v>2142</v>
      </c>
      <c r="AG2142" s="223" t="s">
        <v>2143</v>
      </c>
      <c r="AH2142" s="384" t="s">
        <v>578</v>
      </c>
      <c r="AI2142" s="223" t="s">
        <v>2144</v>
      </c>
      <c r="AJ2142" s="384" t="s">
        <v>117</v>
      </c>
      <c r="AN2142" s="223" t="s">
        <v>2028</v>
      </c>
      <c r="AO2142" s="223" t="s">
        <v>2028</v>
      </c>
      <c r="AP2142" s="384" t="s">
        <v>178</v>
      </c>
      <c r="AQ2142" s="223" t="s">
        <v>2286</v>
      </c>
      <c r="AR2142" s="223" t="s">
        <v>2286</v>
      </c>
      <c r="AS2142" s="384" t="s">
        <v>178</v>
      </c>
      <c r="AT2142" s="223" t="s">
        <v>161</v>
      </c>
      <c r="AU2142" s="384">
        <v>3</v>
      </c>
      <c r="AV2142" s="223">
        <v>10</v>
      </c>
      <c r="AW2142" s="384" t="s">
        <v>142</v>
      </c>
      <c r="BH2142" s="223">
        <v>2420</v>
      </c>
      <c r="BI2142" s="384">
        <v>2816</v>
      </c>
      <c r="BK2142" s="385"/>
      <c r="BL2142" s="384" t="s">
        <v>570</v>
      </c>
      <c r="BM2142" s="441"/>
      <c r="BN2142" s="441"/>
      <c r="BR2142" s="440"/>
      <c r="BS2142" s="440"/>
      <c r="FH2142" s="387"/>
      <c r="FI2142" s="224"/>
    </row>
    <row r="2143" spans="1:209" s="384" customFormat="1" x14ac:dyDescent="0.25">
      <c r="A2143" s="384">
        <v>97</v>
      </c>
      <c r="B2143" s="223" t="s">
        <v>2140</v>
      </c>
      <c r="D2143" s="223">
        <v>2000</v>
      </c>
      <c r="E2143" s="384">
        <v>1994</v>
      </c>
      <c r="F2143" s="223" t="s">
        <v>2055</v>
      </c>
      <c r="G2143" s="223" t="s">
        <v>2141</v>
      </c>
      <c r="H2143" s="185" t="s">
        <v>2832</v>
      </c>
      <c r="I2143" s="384">
        <v>46.58</v>
      </c>
      <c r="J2143" s="384">
        <v>-71.23</v>
      </c>
      <c r="K2143" s="223">
        <v>132.1</v>
      </c>
      <c r="L2143" s="223"/>
      <c r="M2143" s="223"/>
      <c r="Q2143" s="384">
        <v>2</v>
      </c>
      <c r="R2143" s="223">
        <v>4</v>
      </c>
      <c r="T2143" s="384" t="s">
        <v>2284</v>
      </c>
      <c r="U2143" s="223" t="s">
        <v>1383</v>
      </c>
      <c r="V2143" s="224">
        <v>20</v>
      </c>
      <c r="W2143" s="223" t="s">
        <v>1383</v>
      </c>
      <c r="X2143" s="223" t="s">
        <v>1383</v>
      </c>
      <c r="Y2143" s="386">
        <v>1.6087</v>
      </c>
      <c r="Z2143" s="364">
        <v>27</v>
      </c>
      <c r="AA2143" s="364">
        <v>49</v>
      </c>
      <c r="AB2143" s="384" t="s">
        <v>140</v>
      </c>
      <c r="AF2143" s="223" t="s">
        <v>2142</v>
      </c>
      <c r="AG2143" s="223" t="s">
        <v>2146</v>
      </c>
      <c r="AH2143" s="384" t="s">
        <v>1585</v>
      </c>
      <c r="AI2143" s="223" t="s">
        <v>2144</v>
      </c>
      <c r="AJ2143" s="384" t="s">
        <v>117</v>
      </c>
      <c r="AN2143" s="223" t="s">
        <v>2028</v>
      </c>
      <c r="AO2143" s="223" t="s">
        <v>2028</v>
      </c>
      <c r="AP2143" s="384" t="s">
        <v>178</v>
      </c>
      <c r="AQ2143" s="223" t="s">
        <v>2286</v>
      </c>
      <c r="AR2143" s="223" t="s">
        <v>2286</v>
      </c>
      <c r="AS2143" s="384" t="s">
        <v>178</v>
      </c>
      <c r="AT2143" s="223" t="s">
        <v>161</v>
      </c>
      <c r="AU2143" s="384">
        <v>3</v>
      </c>
      <c r="AV2143" s="223">
        <v>10</v>
      </c>
      <c r="AW2143" s="384" t="s">
        <v>142</v>
      </c>
      <c r="BH2143" s="223">
        <v>2420</v>
      </c>
      <c r="BI2143" s="384">
        <v>3043</v>
      </c>
      <c r="BK2143" s="385"/>
      <c r="BL2143" s="384" t="s">
        <v>570</v>
      </c>
      <c r="BM2143" s="441"/>
      <c r="BN2143" s="441"/>
      <c r="BR2143" s="440"/>
      <c r="BS2143" s="440"/>
      <c r="FH2143" s="387"/>
      <c r="FI2143" s="224"/>
    </row>
    <row r="2144" spans="1:209" s="384" customFormat="1" x14ac:dyDescent="0.25">
      <c r="A2144" s="384">
        <v>97</v>
      </c>
      <c r="B2144" s="223" t="s">
        <v>2140</v>
      </c>
      <c r="D2144" s="223">
        <v>2000</v>
      </c>
      <c r="E2144" s="384">
        <v>1994</v>
      </c>
      <c r="F2144" s="223" t="s">
        <v>2055</v>
      </c>
      <c r="G2144" s="223" t="s">
        <v>2141</v>
      </c>
      <c r="H2144" s="185" t="s">
        <v>2832</v>
      </c>
      <c r="I2144" s="384">
        <v>46.58</v>
      </c>
      <c r="J2144" s="384">
        <v>-71.23</v>
      </c>
      <c r="K2144" s="223">
        <v>132.1</v>
      </c>
      <c r="L2144" s="223"/>
      <c r="M2144" s="223"/>
      <c r="Q2144" s="384">
        <v>2</v>
      </c>
      <c r="R2144" s="223">
        <v>4</v>
      </c>
      <c r="T2144" s="384" t="s">
        <v>2284</v>
      </c>
      <c r="U2144" s="223" t="s">
        <v>1383</v>
      </c>
      <c r="V2144" s="224">
        <v>20</v>
      </c>
      <c r="W2144" s="223" t="s">
        <v>1383</v>
      </c>
      <c r="X2144" s="223" t="s">
        <v>1383</v>
      </c>
      <c r="Y2144" s="386">
        <v>1.6087</v>
      </c>
      <c r="Z2144" s="364">
        <v>27</v>
      </c>
      <c r="AA2144" s="364">
        <v>49</v>
      </c>
      <c r="AB2144" s="384" t="s">
        <v>140</v>
      </c>
      <c r="AF2144" s="223" t="s">
        <v>2142</v>
      </c>
      <c r="AG2144" s="223" t="s">
        <v>2147</v>
      </c>
      <c r="AH2144" s="384" t="s">
        <v>1585</v>
      </c>
      <c r="AI2144" s="223" t="s">
        <v>2144</v>
      </c>
      <c r="AJ2144" s="384" t="s">
        <v>117</v>
      </c>
      <c r="AN2144" s="223" t="s">
        <v>2028</v>
      </c>
      <c r="AO2144" s="223" t="s">
        <v>2028</v>
      </c>
      <c r="AP2144" s="384" t="s">
        <v>178</v>
      </c>
      <c r="AQ2144" s="223" t="s">
        <v>2286</v>
      </c>
      <c r="AR2144" s="223" t="s">
        <v>2286</v>
      </c>
      <c r="AS2144" s="384" t="s">
        <v>178</v>
      </c>
      <c r="AT2144" s="223" t="s">
        <v>161</v>
      </c>
      <c r="AU2144" s="384">
        <v>3</v>
      </c>
      <c r="AV2144" s="223">
        <v>10</v>
      </c>
      <c r="AW2144" s="384" t="s">
        <v>142</v>
      </c>
      <c r="BH2144" s="223">
        <v>2420</v>
      </c>
      <c r="BI2144" s="384">
        <v>3564</v>
      </c>
      <c r="BK2144" s="385"/>
      <c r="BL2144" s="384" t="s">
        <v>570</v>
      </c>
      <c r="BM2144" s="441"/>
      <c r="BN2144" s="441"/>
      <c r="BR2144" s="440"/>
      <c r="BS2144" s="440"/>
      <c r="FH2144" s="387"/>
      <c r="FI2144" s="224"/>
    </row>
    <row r="2145" spans="1:165" s="384" customFormat="1" x14ac:dyDescent="0.25">
      <c r="A2145" s="384">
        <v>97</v>
      </c>
      <c r="B2145" s="223" t="s">
        <v>2140</v>
      </c>
      <c r="D2145" s="223">
        <v>2000</v>
      </c>
      <c r="E2145" s="384">
        <v>1994</v>
      </c>
      <c r="F2145" s="223" t="s">
        <v>2055</v>
      </c>
      <c r="G2145" s="223" t="s">
        <v>2141</v>
      </c>
      <c r="H2145" s="185" t="s">
        <v>2832</v>
      </c>
      <c r="I2145" s="384">
        <v>46.58</v>
      </c>
      <c r="J2145" s="384">
        <v>-71.23</v>
      </c>
      <c r="K2145" s="223">
        <v>132.1</v>
      </c>
      <c r="L2145" s="223"/>
      <c r="M2145" s="223"/>
      <c r="Q2145" s="384">
        <v>2</v>
      </c>
      <c r="R2145" s="223">
        <v>4</v>
      </c>
      <c r="T2145" s="384" t="s">
        <v>2284</v>
      </c>
      <c r="U2145" s="223" t="s">
        <v>1383</v>
      </c>
      <c r="V2145" s="224">
        <v>20</v>
      </c>
      <c r="W2145" s="223" t="s">
        <v>1383</v>
      </c>
      <c r="X2145" s="223" t="s">
        <v>1383</v>
      </c>
      <c r="Y2145" s="386">
        <v>1.6087</v>
      </c>
      <c r="Z2145" s="364">
        <v>27</v>
      </c>
      <c r="AA2145" s="364">
        <v>49</v>
      </c>
      <c r="AB2145" s="384" t="s">
        <v>140</v>
      </c>
      <c r="AF2145" s="223" t="s">
        <v>2142</v>
      </c>
      <c r="AG2145" s="223" t="s">
        <v>2149</v>
      </c>
      <c r="AH2145" s="384" t="s">
        <v>1131</v>
      </c>
      <c r="AI2145" s="223" t="s">
        <v>2144</v>
      </c>
      <c r="AJ2145" s="384" t="s">
        <v>117</v>
      </c>
      <c r="AN2145" s="223" t="s">
        <v>2028</v>
      </c>
      <c r="AO2145" s="223" t="s">
        <v>2028</v>
      </c>
      <c r="AP2145" s="384" t="s">
        <v>178</v>
      </c>
      <c r="AQ2145" s="223" t="s">
        <v>2286</v>
      </c>
      <c r="AR2145" s="223" t="s">
        <v>2286</v>
      </c>
      <c r="AS2145" s="384" t="s">
        <v>178</v>
      </c>
      <c r="AT2145" s="223" t="s">
        <v>161</v>
      </c>
      <c r="AU2145" s="384">
        <v>3</v>
      </c>
      <c r="AV2145" s="223">
        <v>10</v>
      </c>
      <c r="AW2145" s="384" t="s">
        <v>142</v>
      </c>
      <c r="BH2145" s="223">
        <v>2420</v>
      </c>
      <c r="BI2145" s="384">
        <v>3541</v>
      </c>
      <c r="BK2145" s="385"/>
      <c r="BL2145" s="384" t="s">
        <v>570</v>
      </c>
      <c r="BM2145" s="441"/>
      <c r="BN2145" s="441"/>
      <c r="BR2145" s="440"/>
      <c r="BS2145" s="440"/>
      <c r="FH2145" s="387"/>
      <c r="FI2145" s="224"/>
    </row>
    <row r="2146" spans="1:165" s="384" customFormat="1" x14ac:dyDescent="0.25">
      <c r="A2146" s="384">
        <v>97</v>
      </c>
      <c r="B2146" s="223" t="s">
        <v>2140</v>
      </c>
      <c r="D2146" s="223">
        <v>2000</v>
      </c>
      <c r="E2146" s="384">
        <v>1994</v>
      </c>
      <c r="F2146" s="223" t="s">
        <v>2055</v>
      </c>
      <c r="G2146" s="223" t="s">
        <v>2141</v>
      </c>
      <c r="H2146" s="185" t="s">
        <v>2832</v>
      </c>
      <c r="I2146" s="384">
        <v>46.58</v>
      </c>
      <c r="J2146" s="384">
        <v>-71.23</v>
      </c>
      <c r="K2146" s="223">
        <v>132.1</v>
      </c>
      <c r="L2146" s="223"/>
      <c r="M2146" s="223"/>
      <c r="Q2146" s="384">
        <v>2</v>
      </c>
      <c r="R2146" s="223">
        <v>4</v>
      </c>
      <c r="T2146" s="384" t="s">
        <v>2284</v>
      </c>
      <c r="U2146" s="223" t="s">
        <v>1383</v>
      </c>
      <c r="V2146" s="224">
        <v>20</v>
      </c>
      <c r="W2146" s="223" t="s">
        <v>1383</v>
      </c>
      <c r="X2146" s="223" t="s">
        <v>1383</v>
      </c>
      <c r="Y2146" s="386">
        <v>1.6087</v>
      </c>
      <c r="Z2146" s="364">
        <v>27</v>
      </c>
      <c r="AA2146" s="364">
        <v>49</v>
      </c>
      <c r="AB2146" s="384" t="s">
        <v>140</v>
      </c>
      <c r="AF2146" s="223" t="s">
        <v>2142</v>
      </c>
      <c r="AG2146" s="223" t="s">
        <v>2148</v>
      </c>
      <c r="AH2146" s="384" t="s">
        <v>1131</v>
      </c>
      <c r="AI2146" s="223" t="s">
        <v>2144</v>
      </c>
      <c r="AJ2146" s="384" t="s">
        <v>117</v>
      </c>
      <c r="AN2146" s="223" t="s">
        <v>2028</v>
      </c>
      <c r="AO2146" s="223" t="s">
        <v>2028</v>
      </c>
      <c r="AP2146" s="384" t="s">
        <v>178</v>
      </c>
      <c r="AQ2146" s="223" t="s">
        <v>2286</v>
      </c>
      <c r="AR2146" s="223" t="s">
        <v>2286</v>
      </c>
      <c r="AS2146" s="384" t="s">
        <v>178</v>
      </c>
      <c r="AT2146" s="223" t="s">
        <v>161</v>
      </c>
      <c r="AU2146" s="384">
        <v>3</v>
      </c>
      <c r="AV2146" s="223">
        <v>10</v>
      </c>
      <c r="AW2146" s="384" t="s">
        <v>142</v>
      </c>
      <c r="BH2146" s="223">
        <v>2420</v>
      </c>
      <c r="BI2146" s="384">
        <v>3088</v>
      </c>
      <c r="BK2146" s="385"/>
      <c r="BL2146" s="384" t="s">
        <v>570</v>
      </c>
      <c r="BM2146" s="441"/>
      <c r="BN2146" s="441"/>
      <c r="BR2146" s="440"/>
      <c r="BS2146" s="440"/>
      <c r="FH2146" s="387"/>
      <c r="FI2146" s="224"/>
    </row>
    <row r="2147" spans="1:165" s="239" customFormat="1" x14ac:dyDescent="0.25">
      <c r="A2147" s="239">
        <v>98</v>
      </c>
      <c r="B2147" s="304" t="s">
        <v>2150</v>
      </c>
      <c r="D2147" s="304">
        <v>2006</v>
      </c>
      <c r="E2147" s="239">
        <v>1996</v>
      </c>
      <c r="F2147" s="304" t="s">
        <v>948</v>
      </c>
      <c r="G2147" s="304" t="s">
        <v>2151</v>
      </c>
      <c r="H2147" s="304" t="s">
        <v>2834</v>
      </c>
      <c r="I2147" s="239">
        <f>-29-45/60</f>
        <v>-29.75</v>
      </c>
      <c r="J2147" s="239">
        <f>-53-42/60</f>
        <v>-53.7</v>
      </c>
      <c r="K2147" s="304">
        <v>96</v>
      </c>
      <c r="L2147" s="304">
        <v>19.7</v>
      </c>
      <c r="N2147" s="304">
        <v>1769</v>
      </c>
      <c r="Q2147" s="239">
        <v>5</v>
      </c>
      <c r="R2147" s="304">
        <v>10</v>
      </c>
      <c r="T2147" s="239" t="s">
        <v>2241</v>
      </c>
      <c r="U2147" s="238" t="s">
        <v>1398</v>
      </c>
      <c r="V2147" s="304">
        <v>5</v>
      </c>
      <c r="W2147" s="238" t="s">
        <v>1398</v>
      </c>
      <c r="X2147" s="238" t="s">
        <v>1398</v>
      </c>
      <c r="Z2147" s="374">
        <v>66</v>
      </c>
      <c r="AA2147" s="374">
        <v>25.3</v>
      </c>
      <c r="AB2147" s="239" t="s">
        <v>241</v>
      </c>
      <c r="AC2147" s="239">
        <v>4.5</v>
      </c>
      <c r="AF2147" s="304" t="s">
        <v>2152</v>
      </c>
      <c r="AG2147" s="304" t="s">
        <v>116</v>
      </c>
      <c r="AH2147" s="239" t="s">
        <v>578</v>
      </c>
      <c r="AI2147" s="304" t="s">
        <v>2153</v>
      </c>
      <c r="AJ2147" s="239" t="s">
        <v>133</v>
      </c>
      <c r="AN2147" s="304" t="s">
        <v>157</v>
      </c>
      <c r="AO2147" s="304" t="s">
        <v>157</v>
      </c>
      <c r="AP2147" s="239" t="s">
        <v>178</v>
      </c>
      <c r="AQ2147" s="304" t="s">
        <v>2252</v>
      </c>
      <c r="AR2147" s="304" t="s">
        <v>2252</v>
      </c>
      <c r="AS2147" s="239" t="s">
        <v>178</v>
      </c>
      <c r="AT2147" s="304" t="s">
        <v>161</v>
      </c>
      <c r="AU2147" s="239">
        <v>5</v>
      </c>
      <c r="AV2147" s="304">
        <v>3</v>
      </c>
      <c r="AW2147" s="239" t="s">
        <v>142</v>
      </c>
      <c r="BH2147" s="304"/>
      <c r="BK2147" s="242"/>
      <c r="BM2147" s="451"/>
      <c r="BN2147" s="451"/>
      <c r="BR2147" s="449">
        <v>6.76</v>
      </c>
      <c r="BS2147" s="449">
        <v>8.2200000000000006</v>
      </c>
      <c r="BV2147" s="239" t="s">
        <v>2105</v>
      </c>
      <c r="FH2147" s="240"/>
    </row>
    <row r="2148" spans="1:165" s="239" customFormat="1" x14ac:dyDescent="0.25">
      <c r="A2148" s="239">
        <v>98</v>
      </c>
      <c r="B2148" s="304" t="s">
        <v>2150</v>
      </c>
      <c r="D2148" s="304">
        <v>2006</v>
      </c>
      <c r="E2148" s="239">
        <v>1996</v>
      </c>
      <c r="F2148" s="304" t="s">
        <v>948</v>
      </c>
      <c r="G2148" s="304" t="s">
        <v>2151</v>
      </c>
      <c r="H2148" s="304" t="s">
        <v>2834</v>
      </c>
      <c r="I2148" s="239">
        <f>-29-45/60</f>
        <v>-29.75</v>
      </c>
      <c r="J2148" s="239">
        <f>-53-42/60</f>
        <v>-53.7</v>
      </c>
      <c r="K2148" s="304">
        <v>96</v>
      </c>
      <c r="L2148" s="304">
        <v>19.7</v>
      </c>
      <c r="N2148" s="304">
        <v>1769</v>
      </c>
      <c r="Q2148" s="239">
        <v>5</v>
      </c>
      <c r="R2148" s="304">
        <v>10</v>
      </c>
      <c r="T2148" s="239" t="s">
        <v>2241</v>
      </c>
      <c r="U2148" s="238" t="s">
        <v>1398</v>
      </c>
      <c r="V2148" s="304">
        <v>5</v>
      </c>
      <c r="W2148" s="238" t="s">
        <v>1398</v>
      </c>
      <c r="X2148" s="238" t="s">
        <v>1398</v>
      </c>
      <c r="Z2148" s="374">
        <v>66</v>
      </c>
      <c r="AA2148" s="374">
        <v>25.3</v>
      </c>
      <c r="AB2148" s="239" t="s">
        <v>241</v>
      </c>
      <c r="AC2148" s="239">
        <v>4.5</v>
      </c>
      <c r="AF2148" s="304" t="s">
        <v>2152</v>
      </c>
      <c r="AG2148" s="304" t="s">
        <v>2246</v>
      </c>
      <c r="AH2148" s="239" t="s">
        <v>578</v>
      </c>
      <c r="AI2148" s="304" t="s">
        <v>2153</v>
      </c>
      <c r="AJ2148" s="239" t="s">
        <v>133</v>
      </c>
      <c r="AN2148" s="304" t="s">
        <v>157</v>
      </c>
      <c r="AO2148" s="304" t="s">
        <v>157</v>
      </c>
      <c r="AP2148" s="239" t="s">
        <v>178</v>
      </c>
      <c r="AQ2148" s="304" t="s">
        <v>2252</v>
      </c>
      <c r="AR2148" s="304" t="s">
        <v>2252</v>
      </c>
      <c r="AS2148" s="239" t="s">
        <v>178</v>
      </c>
      <c r="AT2148" s="304" t="s">
        <v>161</v>
      </c>
      <c r="AU2148" s="239">
        <v>5</v>
      </c>
      <c r="AV2148" s="304">
        <v>3</v>
      </c>
      <c r="AW2148" s="239" t="s">
        <v>142</v>
      </c>
      <c r="BH2148" s="304"/>
      <c r="BK2148" s="242"/>
      <c r="BM2148" s="451"/>
      <c r="BN2148" s="451"/>
      <c r="BR2148" s="449">
        <v>6.76</v>
      </c>
      <c r="BS2148" s="449">
        <v>9.42</v>
      </c>
      <c r="BV2148" s="239" t="s">
        <v>2105</v>
      </c>
      <c r="FH2148" s="240"/>
    </row>
    <row r="2149" spans="1:165" s="239" customFormat="1" x14ac:dyDescent="0.25">
      <c r="A2149" s="239">
        <v>98</v>
      </c>
      <c r="B2149" s="304" t="s">
        <v>2150</v>
      </c>
      <c r="D2149" s="304">
        <v>2006</v>
      </c>
      <c r="E2149" s="239">
        <v>1996</v>
      </c>
      <c r="F2149" s="304" t="s">
        <v>948</v>
      </c>
      <c r="G2149" s="304" t="s">
        <v>2151</v>
      </c>
      <c r="H2149" s="304" t="s">
        <v>2834</v>
      </c>
      <c r="I2149" s="239">
        <f>-29-45/60</f>
        <v>-29.75</v>
      </c>
      <c r="J2149" s="239">
        <f>-53-42/60</f>
        <v>-53.7</v>
      </c>
      <c r="K2149" s="304">
        <v>96</v>
      </c>
      <c r="L2149" s="304">
        <v>19.7</v>
      </c>
      <c r="N2149" s="304">
        <v>1769</v>
      </c>
      <c r="Q2149" s="239">
        <v>5</v>
      </c>
      <c r="R2149" s="304">
        <v>10</v>
      </c>
      <c r="T2149" s="239" t="s">
        <v>2241</v>
      </c>
      <c r="U2149" s="238" t="s">
        <v>1383</v>
      </c>
      <c r="V2149" s="304">
        <v>20</v>
      </c>
      <c r="W2149" s="238" t="s">
        <v>1398</v>
      </c>
      <c r="X2149" s="238" t="s">
        <v>1398</v>
      </c>
      <c r="Z2149" s="374">
        <v>66</v>
      </c>
      <c r="AA2149" s="374">
        <v>25.3</v>
      </c>
      <c r="AB2149" s="239" t="s">
        <v>241</v>
      </c>
      <c r="AC2149" s="239">
        <v>4.5</v>
      </c>
      <c r="AF2149" s="304" t="s">
        <v>2152</v>
      </c>
      <c r="AG2149" s="304" t="s">
        <v>116</v>
      </c>
      <c r="AH2149" s="239" t="s">
        <v>578</v>
      </c>
      <c r="AI2149" s="304" t="s">
        <v>2153</v>
      </c>
      <c r="AJ2149" s="239" t="s">
        <v>133</v>
      </c>
      <c r="AN2149" s="304" t="s">
        <v>157</v>
      </c>
      <c r="AO2149" s="304" t="s">
        <v>157</v>
      </c>
      <c r="AP2149" s="239" t="s">
        <v>178</v>
      </c>
      <c r="AQ2149" s="304" t="s">
        <v>2252</v>
      </c>
      <c r="AR2149" s="304" t="s">
        <v>2252</v>
      </c>
      <c r="AS2149" s="239" t="s">
        <v>178</v>
      </c>
      <c r="AT2149" s="304" t="s">
        <v>161</v>
      </c>
      <c r="AU2149" s="239">
        <v>5</v>
      </c>
      <c r="AV2149" s="304">
        <v>3</v>
      </c>
      <c r="AW2149" s="239" t="s">
        <v>142</v>
      </c>
      <c r="BH2149" s="304"/>
      <c r="BK2149" s="242"/>
      <c r="BM2149" s="451">
        <v>1.2746200000000001</v>
      </c>
      <c r="BN2149" s="451">
        <v>1.1719599999999999</v>
      </c>
      <c r="BR2149" s="449">
        <v>19.2</v>
      </c>
      <c r="BS2149" s="449">
        <v>20.8</v>
      </c>
      <c r="BV2149" s="239" t="s">
        <v>2105</v>
      </c>
      <c r="FH2149" s="240"/>
    </row>
    <row r="2150" spans="1:165" s="239" customFormat="1" x14ac:dyDescent="0.25">
      <c r="A2150" s="239">
        <v>98</v>
      </c>
      <c r="B2150" s="304" t="s">
        <v>2150</v>
      </c>
      <c r="D2150" s="304">
        <v>2006</v>
      </c>
      <c r="E2150" s="239">
        <v>1996</v>
      </c>
      <c r="F2150" s="304" t="s">
        <v>948</v>
      </c>
      <c r="G2150" s="304" t="s">
        <v>2151</v>
      </c>
      <c r="H2150" s="304" t="s">
        <v>2834</v>
      </c>
      <c r="I2150" s="239">
        <f>-29-45/60</f>
        <v>-29.75</v>
      </c>
      <c r="J2150" s="239">
        <f>-53-42/60</f>
        <v>-53.7</v>
      </c>
      <c r="K2150" s="304">
        <v>96</v>
      </c>
      <c r="L2150" s="304">
        <v>19.7</v>
      </c>
      <c r="N2150" s="304">
        <v>1769</v>
      </c>
      <c r="Q2150" s="239">
        <v>5</v>
      </c>
      <c r="R2150" s="304">
        <v>10</v>
      </c>
      <c r="T2150" s="239" t="s">
        <v>2241</v>
      </c>
      <c r="U2150" s="238" t="s">
        <v>1383</v>
      </c>
      <c r="V2150" s="304">
        <v>20</v>
      </c>
      <c r="W2150" s="238" t="s">
        <v>1398</v>
      </c>
      <c r="X2150" s="238" t="s">
        <v>1398</v>
      </c>
      <c r="Z2150" s="374">
        <v>66</v>
      </c>
      <c r="AA2150" s="374">
        <v>25.3</v>
      </c>
      <c r="AB2150" s="239" t="s">
        <v>241</v>
      </c>
      <c r="AC2150" s="239">
        <v>4.5</v>
      </c>
      <c r="AF2150" s="304" t="s">
        <v>2152</v>
      </c>
      <c r="AG2150" s="304" t="s">
        <v>2246</v>
      </c>
      <c r="AH2150" s="239" t="s">
        <v>578</v>
      </c>
      <c r="AI2150" s="304" t="s">
        <v>2153</v>
      </c>
      <c r="AJ2150" s="239" t="s">
        <v>133</v>
      </c>
      <c r="AN2150" s="304" t="s">
        <v>157</v>
      </c>
      <c r="AO2150" s="304" t="s">
        <v>157</v>
      </c>
      <c r="AP2150" s="239" t="s">
        <v>178</v>
      </c>
      <c r="AQ2150" s="304" t="s">
        <v>2252</v>
      </c>
      <c r="AR2150" s="304" t="s">
        <v>2252</v>
      </c>
      <c r="AS2150" s="239" t="s">
        <v>178</v>
      </c>
      <c r="AT2150" s="304" t="s">
        <v>161</v>
      </c>
      <c r="AU2150" s="239">
        <v>5</v>
      </c>
      <c r="AV2150" s="304">
        <v>3</v>
      </c>
      <c r="AW2150" s="239" t="s">
        <v>142</v>
      </c>
      <c r="BH2150" s="304"/>
      <c r="BK2150" s="242"/>
      <c r="BM2150" s="451">
        <v>1.2746200000000001</v>
      </c>
      <c r="BN2150" s="451">
        <v>1.1719599999999999</v>
      </c>
      <c r="BR2150" s="449">
        <v>19.2</v>
      </c>
      <c r="BS2150" s="449">
        <v>25.1</v>
      </c>
      <c r="BV2150" s="239" t="s">
        <v>2105</v>
      </c>
      <c r="FH2150" s="240"/>
    </row>
    <row r="2151" spans="1:165" s="245" customFormat="1" x14ac:dyDescent="0.25">
      <c r="A2151" s="245">
        <v>98</v>
      </c>
      <c r="B2151" s="307" t="s">
        <v>2150</v>
      </c>
      <c r="D2151" s="247">
        <v>2006</v>
      </c>
      <c r="E2151" s="245">
        <v>1996</v>
      </c>
      <c r="F2151" s="307" t="s">
        <v>948</v>
      </c>
      <c r="G2151" s="247" t="s">
        <v>2243</v>
      </c>
      <c r="H2151" s="304" t="s">
        <v>2834</v>
      </c>
      <c r="I2151" s="245">
        <f>-30-50/60</f>
        <v>-30.833333333333332</v>
      </c>
      <c r="J2151" s="245">
        <f>-51-38/60</f>
        <v>-51.633333333333333</v>
      </c>
      <c r="K2151" s="247">
        <v>96</v>
      </c>
      <c r="L2151" s="247">
        <v>19.399999999999999</v>
      </c>
      <c r="N2151" s="247">
        <v>1440</v>
      </c>
      <c r="Q2151" s="245">
        <v>8</v>
      </c>
      <c r="R2151" s="247">
        <v>15</v>
      </c>
      <c r="T2151" s="245" t="s">
        <v>2242</v>
      </c>
      <c r="U2151" s="244" t="s">
        <v>1398</v>
      </c>
      <c r="V2151" s="247">
        <v>5</v>
      </c>
      <c r="W2151" s="244" t="s">
        <v>1398</v>
      </c>
      <c r="X2151" s="244" t="s">
        <v>1398</v>
      </c>
      <c r="Z2151" s="367">
        <v>54</v>
      </c>
      <c r="AA2151" s="367">
        <v>24</v>
      </c>
      <c r="AB2151" s="245" t="s">
        <v>519</v>
      </c>
      <c r="AC2151" s="245">
        <v>4.5</v>
      </c>
      <c r="AF2151" s="247" t="s">
        <v>2155</v>
      </c>
      <c r="AG2151" s="245" t="s">
        <v>2248</v>
      </c>
      <c r="AH2151" s="245" t="s">
        <v>578</v>
      </c>
      <c r="AI2151" s="245" t="s">
        <v>2249</v>
      </c>
      <c r="AJ2151" s="245" t="s">
        <v>1625</v>
      </c>
      <c r="AN2151" s="245" t="s">
        <v>157</v>
      </c>
      <c r="AO2151" s="245" t="s">
        <v>157</v>
      </c>
      <c r="AP2151" s="245" t="s">
        <v>178</v>
      </c>
      <c r="AQ2151" s="245" t="s">
        <v>2154</v>
      </c>
      <c r="AR2151" s="245" t="s">
        <v>2154</v>
      </c>
      <c r="AS2151" s="245" t="s">
        <v>178</v>
      </c>
      <c r="AT2151" s="307" t="s">
        <v>161</v>
      </c>
      <c r="AU2151" s="245">
        <v>5</v>
      </c>
      <c r="AV2151" s="247">
        <v>3</v>
      </c>
      <c r="AW2151" s="245" t="s">
        <v>142</v>
      </c>
      <c r="BK2151" s="248"/>
      <c r="BM2151" s="437"/>
      <c r="BN2151" s="437"/>
      <c r="BR2151" s="437">
        <v>10.47</v>
      </c>
      <c r="BS2151" s="437">
        <v>14.17</v>
      </c>
      <c r="BV2151" s="245" t="s">
        <v>2105</v>
      </c>
      <c r="FH2151" s="246"/>
    </row>
    <row r="2152" spans="1:165" s="245" customFormat="1" x14ac:dyDescent="0.25">
      <c r="A2152" s="245">
        <v>98</v>
      </c>
      <c r="B2152" s="307" t="s">
        <v>2150</v>
      </c>
      <c r="D2152" s="247">
        <v>2006</v>
      </c>
      <c r="E2152" s="245">
        <v>1996</v>
      </c>
      <c r="F2152" s="307" t="s">
        <v>948</v>
      </c>
      <c r="G2152" s="247" t="s">
        <v>2243</v>
      </c>
      <c r="H2152" s="304" t="s">
        <v>2834</v>
      </c>
      <c r="I2152" s="245">
        <f>-30-50/60</f>
        <v>-30.833333333333332</v>
      </c>
      <c r="J2152" s="245">
        <f>-51-38/60</f>
        <v>-51.633333333333333</v>
      </c>
      <c r="K2152" s="247">
        <v>96</v>
      </c>
      <c r="L2152" s="247">
        <v>19.399999999999999</v>
      </c>
      <c r="N2152" s="247">
        <v>1440</v>
      </c>
      <c r="Q2152" s="245">
        <v>8</v>
      </c>
      <c r="R2152" s="247">
        <v>15</v>
      </c>
      <c r="T2152" s="245" t="s">
        <v>2242</v>
      </c>
      <c r="U2152" s="244" t="s">
        <v>1398</v>
      </c>
      <c r="V2152" s="247">
        <v>5</v>
      </c>
      <c r="W2152" s="244" t="s">
        <v>1398</v>
      </c>
      <c r="X2152" s="244" t="s">
        <v>1398</v>
      </c>
      <c r="Z2152" s="367">
        <v>54</v>
      </c>
      <c r="AA2152" s="367">
        <v>24</v>
      </c>
      <c r="AB2152" s="245" t="s">
        <v>519</v>
      </c>
      <c r="AC2152" s="245">
        <v>4.5</v>
      </c>
      <c r="AF2152" s="247" t="s">
        <v>2155</v>
      </c>
      <c r="AG2152" s="245" t="s">
        <v>2247</v>
      </c>
      <c r="AH2152" s="245" t="s">
        <v>578</v>
      </c>
      <c r="AI2152" s="245" t="s">
        <v>2249</v>
      </c>
      <c r="AJ2152" s="245" t="s">
        <v>1625</v>
      </c>
      <c r="AN2152" s="245" t="s">
        <v>157</v>
      </c>
      <c r="AO2152" s="245" t="s">
        <v>157</v>
      </c>
      <c r="AP2152" s="245" t="s">
        <v>178</v>
      </c>
      <c r="AQ2152" s="245" t="s">
        <v>2154</v>
      </c>
      <c r="AR2152" s="245" t="s">
        <v>2154</v>
      </c>
      <c r="AS2152" s="245" t="s">
        <v>178</v>
      </c>
      <c r="AT2152" s="307" t="s">
        <v>161</v>
      </c>
      <c r="AU2152" s="245">
        <v>5</v>
      </c>
      <c r="AV2152" s="247">
        <v>3</v>
      </c>
      <c r="AW2152" s="245" t="s">
        <v>142</v>
      </c>
      <c r="BK2152" s="248"/>
      <c r="BM2152" s="437"/>
      <c r="BN2152" s="437"/>
      <c r="BR2152" s="437">
        <v>10.47</v>
      </c>
      <c r="BS2152" s="437">
        <v>16.5</v>
      </c>
      <c r="BV2152" s="245" t="s">
        <v>2105</v>
      </c>
      <c r="FH2152" s="246"/>
    </row>
    <row r="2153" spans="1:165" s="245" customFormat="1" x14ac:dyDescent="0.25">
      <c r="A2153" s="245">
        <v>98</v>
      </c>
      <c r="B2153" s="307" t="s">
        <v>2150</v>
      </c>
      <c r="D2153" s="247">
        <v>2006</v>
      </c>
      <c r="E2153" s="245">
        <v>1996</v>
      </c>
      <c r="F2153" s="307" t="s">
        <v>948</v>
      </c>
      <c r="G2153" s="247" t="s">
        <v>2243</v>
      </c>
      <c r="H2153" s="304" t="s">
        <v>2834</v>
      </c>
      <c r="I2153" s="245">
        <f>-30-50/60</f>
        <v>-30.833333333333332</v>
      </c>
      <c r="J2153" s="245">
        <f>-51-38/60</f>
        <v>-51.633333333333333</v>
      </c>
      <c r="K2153" s="247">
        <v>96</v>
      </c>
      <c r="L2153" s="247">
        <v>19.399999999999999</v>
      </c>
      <c r="N2153" s="247">
        <v>1440</v>
      </c>
      <c r="Q2153" s="245">
        <v>8</v>
      </c>
      <c r="R2153" s="247">
        <v>15</v>
      </c>
      <c r="T2153" s="245" t="s">
        <v>2242</v>
      </c>
      <c r="U2153" s="244" t="s">
        <v>1383</v>
      </c>
      <c r="V2153" s="247">
        <v>20</v>
      </c>
      <c r="W2153" s="244" t="s">
        <v>1398</v>
      </c>
      <c r="X2153" s="244" t="s">
        <v>1398</v>
      </c>
      <c r="Z2153" s="367">
        <v>54</v>
      </c>
      <c r="AA2153" s="367">
        <v>24</v>
      </c>
      <c r="AB2153" s="245" t="s">
        <v>519</v>
      </c>
      <c r="AC2153" s="245">
        <v>4.5</v>
      </c>
      <c r="AF2153" s="247" t="s">
        <v>2155</v>
      </c>
      <c r="AG2153" s="245" t="s">
        <v>2248</v>
      </c>
      <c r="AH2153" s="245" t="s">
        <v>578</v>
      </c>
      <c r="AI2153" s="245" t="s">
        <v>2249</v>
      </c>
      <c r="AJ2153" s="245" t="s">
        <v>1625</v>
      </c>
      <c r="AN2153" s="245" t="s">
        <v>157</v>
      </c>
      <c r="AO2153" s="245" t="s">
        <v>157</v>
      </c>
      <c r="AP2153" s="245" t="s">
        <v>178</v>
      </c>
      <c r="AQ2153" s="245" t="s">
        <v>2154</v>
      </c>
      <c r="AR2153" s="245" t="s">
        <v>2154</v>
      </c>
      <c r="AS2153" s="245" t="s">
        <v>178</v>
      </c>
      <c r="AT2153" s="307" t="s">
        <v>161</v>
      </c>
      <c r="AU2153" s="245">
        <v>5</v>
      </c>
      <c r="AV2153" s="247">
        <v>3</v>
      </c>
      <c r="AW2153" s="245" t="s">
        <v>142</v>
      </c>
      <c r="BK2153" s="248"/>
      <c r="BM2153" s="437">
        <v>0.98926000000000003</v>
      </c>
      <c r="BN2153" s="437">
        <v>0.89008000000000009</v>
      </c>
      <c r="BR2153" s="437">
        <v>35.6</v>
      </c>
      <c r="BS2153" s="437">
        <v>39.4</v>
      </c>
      <c r="BV2153" s="245" t="s">
        <v>2105</v>
      </c>
      <c r="FH2153" s="246"/>
    </row>
    <row r="2154" spans="1:165" s="245" customFormat="1" x14ac:dyDescent="0.25">
      <c r="A2154" s="245">
        <v>98</v>
      </c>
      <c r="B2154" s="307" t="s">
        <v>2150</v>
      </c>
      <c r="D2154" s="247">
        <v>2006</v>
      </c>
      <c r="E2154" s="245">
        <v>1996</v>
      </c>
      <c r="F2154" s="307" t="s">
        <v>948</v>
      </c>
      <c r="G2154" s="247" t="s">
        <v>2243</v>
      </c>
      <c r="H2154" s="304" t="s">
        <v>2834</v>
      </c>
      <c r="I2154" s="245">
        <f>-30-50/60</f>
        <v>-30.833333333333332</v>
      </c>
      <c r="J2154" s="245">
        <f>-51-38/60</f>
        <v>-51.633333333333333</v>
      </c>
      <c r="K2154" s="247">
        <v>96</v>
      </c>
      <c r="L2154" s="247">
        <v>19.399999999999999</v>
      </c>
      <c r="N2154" s="247">
        <v>1440</v>
      </c>
      <c r="Q2154" s="245">
        <v>8</v>
      </c>
      <c r="R2154" s="247">
        <v>15</v>
      </c>
      <c r="T2154" s="245" t="s">
        <v>2242</v>
      </c>
      <c r="U2154" s="244" t="s">
        <v>1383</v>
      </c>
      <c r="V2154" s="247">
        <v>20</v>
      </c>
      <c r="W2154" s="244" t="s">
        <v>1398</v>
      </c>
      <c r="X2154" s="244" t="s">
        <v>1398</v>
      </c>
      <c r="Z2154" s="367">
        <v>54</v>
      </c>
      <c r="AA2154" s="367">
        <v>24</v>
      </c>
      <c r="AB2154" s="245" t="s">
        <v>519</v>
      </c>
      <c r="AC2154" s="245">
        <v>4.5</v>
      </c>
      <c r="AF2154" s="247" t="s">
        <v>2155</v>
      </c>
      <c r="AG2154" s="245" t="s">
        <v>2247</v>
      </c>
      <c r="AH2154" s="245" t="s">
        <v>578</v>
      </c>
      <c r="AI2154" s="245" t="s">
        <v>2249</v>
      </c>
      <c r="AJ2154" s="245" t="s">
        <v>1625</v>
      </c>
      <c r="AN2154" s="245" t="s">
        <v>157</v>
      </c>
      <c r="AO2154" s="245" t="s">
        <v>157</v>
      </c>
      <c r="AP2154" s="245" t="s">
        <v>178</v>
      </c>
      <c r="AQ2154" s="245" t="s">
        <v>2154</v>
      </c>
      <c r="AR2154" s="245" t="s">
        <v>2154</v>
      </c>
      <c r="AS2154" s="245" t="s">
        <v>178</v>
      </c>
      <c r="AT2154" s="307" t="s">
        <v>161</v>
      </c>
      <c r="AU2154" s="245">
        <v>5</v>
      </c>
      <c r="AV2154" s="247">
        <v>3</v>
      </c>
      <c r="AW2154" s="245" t="s">
        <v>142</v>
      </c>
      <c r="BK2154" s="248"/>
      <c r="BM2154" s="437">
        <v>0.98926000000000003</v>
      </c>
      <c r="BN2154" s="437">
        <v>0.89008000000000009</v>
      </c>
      <c r="BR2154" s="437">
        <v>35.6</v>
      </c>
      <c r="BS2154" s="437">
        <v>41.3</v>
      </c>
      <c r="BV2154" s="245" t="s">
        <v>2105</v>
      </c>
      <c r="FH2154" s="246"/>
    </row>
    <row r="2155" spans="1:165" s="239" customFormat="1" x14ac:dyDescent="0.25">
      <c r="A2155" s="239">
        <v>98</v>
      </c>
      <c r="B2155" s="304" t="s">
        <v>2150</v>
      </c>
      <c r="D2155" s="304">
        <v>2006</v>
      </c>
      <c r="E2155" s="239">
        <v>1996</v>
      </c>
      <c r="F2155" s="304" t="s">
        <v>948</v>
      </c>
      <c r="G2155" s="304" t="s">
        <v>2244</v>
      </c>
      <c r="H2155" s="304" t="s">
        <v>2834</v>
      </c>
      <c r="I2155" s="239">
        <f>-28-36/60</f>
        <v>-28.6</v>
      </c>
      <c r="J2155" s="239">
        <f>-53-40/60</f>
        <v>-53.666666666666664</v>
      </c>
      <c r="K2155" s="304">
        <v>435</v>
      </c>
      <c r="L2155" s="304">
        <v>19.2</v>
      </c>
      <c r="N2155" s="304">
        <v>1727</v>
      </c>
      <c r="Q2155" s="239">
        <v>9</v>
      </c>
      <c r="R2155" s="304">
        <v>18</v>
      </c>
      <c r="T2155" s="239" t="s">
        <v>2245</v>
      </c>
      <c r="U2155" s="238" t="s">
        <v>1398</v>
      </c>
      <c r="V2155" s="304">
        <v>5</v>
      </c>
      <c r="W2155" s="238" t="s">
        <v>1398</v>
      </c>
      <c r="X2155" s="238" t="s">
        <v>1398</v>
      </c>
      <c r="Z2155" s="374">
        <v>31</v>
      </c>
      <c r="AA2155" s="374">
        <v>12</v>
      </c>
      <c r="AB2155" s="239" t="s">
        <v>797</v>
      </c>
      <c r="AC2155" s="239">
        <v>4.5</v>
      </c>
      <c r="AF2155" s="304" t="s">
        <v>2152</v>
      </c>
      <c r="AG2155" s="304" t="s">
        <v>2251</v>
      </c>
      <c r="AH2155" s="239" t="s">
        <v>636</v>
      </c>
      <c r="AI2155" s="304" t="s">
        <v>2250</v>
      </c>
      <c r="AJ2155" s="239" t="s">
        <v>1615</v>
      </c>
      <c r="AN2155" s="304" t="s">
        <v>2135</v>
      </c>
      <c r="AO2155" s="304" t="s">
        <v>2135</v>
      </c>
      <c r="AP2155" s="239" t="s">
        <v>178</v>
      </c>
      <c r="AQ2155" s="304" t="s">
        <v>2253</v>
      </c>
      <c r="AR2155" s="304" t="s">
        <v>2254</v>
      </c>
      <c r="AS2155" s="239" t="s">
        <v>503</v>
      </c>
      <c r="AT2155" s="304" t="s">
        <v>161</v>
      </c>
      <c r="AU2155" s="239">
        <v>5</v>
      </c>
      <c r="AV2155" s="304">
        <v>3</v>
      </c>
      <c r="AW2155" s="239" t="s">
        <v>142</v>
      </c>
      <c r="BH2155" s="304"/>
      <c r="BK2155" s="242"/>
      <c r="BM2155" s="451"/>
      <c r="BN2155" s="451"/>
      <c r="BR2155" s="449">
        <v>12.5</v>
      </c>
      <c r="BS2155" s="449">
        <v>13.4</v>
      </c>
      <c r="BV2155" s="239" t="s">
        <v>2105</v>
      </c>
      <c r="FH2155" s="240"/>
    </row>
    <row r="2156" spans="1:165" s="239" customFormat="1" x14ac:dyDescent="0.25">
      <c r="A2156" s="239">
        <v>98</v>
      </c>
      <c r="B2156" s="304" t="s">
        <v>2150</v>
      </c>
      <c r="D2156" s="304">
        <v>2006</v>
      </c>
      <c r="E2156" s="239">
        <v>1996</v>
      </c>
      <c r="F2156" s="304" t="s">
        <v>948</v>
      </c>
      <c r="G2156" s="304" t="s">
        <v>2244</v>
      </c>
      <c r="H2156" s="304" t="s">
        <v>2834</v>
      </c>
      <c r="I2156" s="239">
        <f>-28-36/60</f>
        <v>-28.6</v>
      </c>
      <c r="J2156" s="239">
        <f>-53-40/60</f>
        <v>-53.666666666666664</v>
      </c>
      <c r="K2156" s="304">
        <v>435</v>
      </c>
      <c r="L2156" s="304">
        <v>19.2</v>
      </c>
      <c r="N2156" s="304">
        <v>1727</v>
      </c>
      <c r="Q2156" s="239">
        <v>9</v>
      </c>
      <c r="R2156" s="304">
        <v>18</v>
      </c>
      <c r="T2156" s="239" t="s">
        <v>2245</v>
      </c>
      <c r="U2156" s="238" t="s">
        <v>1398</v>
      </c>
      <c r="V2156" s="304">
        <v>5</v>
      </c>
      <c r="W2156" s="238" t="s">
        <v>1398</v>
      </c>
      <c r="X2156" s="238" t="s">
        <v>1398</v>
      </c>
      <c r="Z2156" s="374">
        <v>31</v>
      </c>
      <c r="AA2156" s="374">
        <v>12</v>
      </c>
      <c r="AB2156" s="239" t="s">
        <v>797</v>
      </c>
      <c r="AC2156" s="239">
        <v>4.5</v>
      </c>
      <c r="AF2156" s="304" t="s">
        <v>2152</v>
      </c>
      <c r="AG2156" s="304" t="s">
        <v>2251</v>
      </c>
      <c r="AH2156" s="239" t="s">
        <v>636</v>
      </c>
      <c r="AI2156" s="304" t="s">
        <v>2250</v>
      </c>
      <c r="AJ2156" s="239" t="s">
        <v>1615</v>
      </c>
      <c r="AN2156" s="304" t="s">
        <v>2135</v>
      </c>
      <c r="AO2156" s="304" t="s">
        <v>2135</v>
      </c>
      <c r="AP2156" s="239" t="s">
        <v>178</v>
      </c>
      <c r="AQ2156" s="304" t="s">
        <v>2253</v>
      </c>
      <c r="AR2156" s="304" t="s">
        <v>2254</v>
      </c>
      <c r="AS2156" s="239" t="s">
        <v>503</v>
      </c>
      <c r="AT2156" s="304" t="s">
        <v>161</v>
      </c>
      <c r="AU2156" s="239">
        <v>5</v>
      </c>
      <c r="AV2156" s="304">
        <v>3</v>
      </c>
      <c r="AW2156" s="239" t="s">
        <v>142</v>
      </c>
      <c r="BH2156" s="304"/>
      <c r="BK2156" s="242"/>
      <c r="BM2156" s="451"/>
      <c r="BN2156" s="451"/>
      <c r="BR2156" s="449">
        <v>16.2</v>
      </c>
      <c r="BS2156" s="449">
        <v>18</v>
      </c>
      <c r="BV2156" s="239" t="s">
        <v>2105</v>
      </c>
      <c r="FH2156" s="240"/>
    </row>
    <row r="2157" spans="1:165" s="239" customFormat="1" x14ac:dyDescent="0.25">
      <c r="A2157" s="239">
        <v>98</v>
      </c>
      <c r="B2157" s="304" t="s">
        <v>2150</v>
      </c>
      <c r="D2157" s="304">
        <v>2006</v>
      </c>
      <c r="E2157" s="239">
        <v>1996</v>
      </c>
      <c r="F2157" s="304" t="s">
        <v>948</v>
      </c>
      <c r="G2157" s="304" t="s">
        <v>2244</v>
      </c>
      <c r="H2157" s="304" t="s">
        <v>2834</v>
      </c>
      <c r="I2157" s="239">
        <f>-28-36/60</f>
        <v>-28.6</v>
      </c>
      <c r="J2157" s="239">
        <f>-53-40/60</f>
        <v>-53.666666666666664</v>
      </c>
      <c r="K2157" s="304">
        <v>435</v>
      </c>
      <c r="L2157" s="304">
        <v>19.2</v>
      </c>
      <c r="N2157" s="304">
        <v>1727</v>
      </c>
      <c r="Q2157" s="239">
        <v>9</v>
      </c>
      <c r="R2157" s="304">
        <v>18</v>
      </c>
      <c r="T2157" s="239" t="s">
        <v>2245</v>
      </c>
      <c r="U2157" s="238" t="s">
        <v>1383</v>
      </c>
      <c r="V2157" s="304">
        <v>20</v>
      </c>
      <c r="W2157" s="238" t="s">
        <v>1398</v>
      </c>
      <c r="X2157" s="238" t="s">
        <v>1398</v>
      </c>
      <c r="Z2157" s="374">
        <v>31</v>
      </c>
      <c r="AA2157" s="374">
        <v>12</v>
      </c>
      <c r="AB2157" s="239" t="s">
        <v>797</v>
      </c>
      <c r="AC2157" s="239">
        <v>4.5</v>
      </c>
      <c r="AF2157" s="304" t="s">
        <v>2152</v>
      </c>
      <c r="AG2157" s="304" t="s">
        <v>2251</v>
      </c>
      <c r="AH2157" s="239" t="s">
        <v>636</v>
      </c>
      <c r="AI2157" s="304" t="s">
        <v>2250</v>
      </c>
      <c r="AJ2157" s="239" t="s">
        <v>1615</v>
      </c>
      <c r="AN2157" s="304" t="s">
        <v>157</v>
      </c>
      <c r="AO2157" s="304" t="s">
        <v>157</v>
      </c>
      <c r="AP2157" s="239" t="s">
        <v>178</v>
      </c>
      <c r="AQ2157" s="304" t="s">
        <v>2253</v>
      </c>
      <c r="AR2157" s="304" t="s">
        <v>2254</v>
      </c>
      <c r="AS2157" s="239" t="s">
        <v>503</v>
      </c>
      <c r="AT2157" s="304" t="s">
        <v>161</v>
      </c>
      <c r="AU2157" s="239">
        <v>5</v>
      </c>
      <c r="AV2157" s="304">
        <v>3</v>
      </c>
      <c r="AW2157" s="239" t="s">
        <v>142</v>
      </c>
      <c r="BH2157" s="304"/>
      <c r="BK2157" s="242"/>
      <c r="BM2157" s="451"/>
      <c r="BN2157" s="451"/>
      <c r="BR2157" s="449">
        <v>48.7</v>
      </c>
      <c r="BS2157" s="449">
        <v>53.6</v>
      </c>
      <c r="BV2157" s="239" t="s">
        <v>2105</v>
      </c>
      <c r="FH2157" s="240"/>
    </row>
    <row r="2158" spans="1:165" s="239" customFormat="1" x14ac:dyDescent="0.25">
      <c r="A2158" s="239">
        <v>98</v>
      </c>
      <c r="B2158" s="304" t="s">
        <v>2150</v>
      </c>
      <c r="D2158" s="304">
        <v>2006</v>
      </c>
      <c r="E2158" s="239">
        <v>1996</v>
      </c>
      <c r="F2158" s="304" t="s">
        <v>948</v>
      </c>
      <c r="G2158" s="304" t="s">
        <v>2244</v>
      </c>
      <c r="H2158" s="304" t="s">
        <v>2834</v>
      </c>
      <c r="I2158" s="239">
        <f>-28-36/60</f>
        <v>-28.6</v>
      </c>
      <c r="J2158" s="239">
        <f>-53-40/60</f>
        <v>-53.666666666666664</v>
      </c>
      <c r="K2158" s="304">
        <v>435</v>
      </c>
      <c r="L2158" s="304">
        <v>19.2</v>
      </c>
      <c r="N2158" s="304">
        <v>1727</v>
      </c>
      <c r="Q2158" s="239">
        <v>9</v>
      </c>
      <c r="R2158" s="304">
        <v>18</v>
      </c>
      <c r="T2158" s="239" t="s">
        <v>2245</v>
      </c>
      <c r="U2158" s="238" t="s">
        <v>1383</v>
      </c>
      <c r="V2158" s="304">
        <v>20</v>
      </c>
      <c r="W2158" s="238" t="s">
        <v>1398</v>
      </c>
      <c r="X2158" s="238" t="s">
        <v>1398</v>
      </c>
      <c r="Z2158" s="374">
        <v>31</v>
      </c>
      <c r="AA2158" s="374">
        <v>12</v>
      </c>
      <c r="AB2158" s="239" t="s">
        <v>797</v>
      </c>
      <c r="AC2158" s="239">
        <v>4.5</v>
      </c>
      <c r="AF2158" s="304" t="s">
        <v>2152</v>
      </c>
      <c r="AG2158" s="304" t="s">
        <v>2251</v>
      </c>
      <c r="AH2158" s="239" t="s">
        <v>636</v>
      </c>
      <c r="AI2158" s="304" t="s">
        <v>2250</v>
      </c>
      <c r="AJ2158" s="239" t="s">
        <v>1615</v>
      </c>
      <c r="AN2158" s="304" t="s">
        <v>157</v>
      </c>
      <c r="AO2158" s="304" t="s">
        <v>157</v>
      </c>
      <c r="AP2158" s="239" t="s">
        <v>178</v>
      </c>
      <c r="AQ2158" s="304" t="s">
        <v>2253</v>
      </c>
      <c r="AR2158" s="304" t="s">
        <v>2254</v>
      </c>
      <c r="AS2158" s="239" t="s">
        <v>503</v>
      </c>
      <c r="AT2158" s="304" t="s">
        <v>161</v>
      </c>
      <c r="AU2158" s="239">
        <v>5</v>
      </c>
      <c r="AV2158" s="304">
        <v>3</v>
      </c>
      <c r="AW2158" s="239" t="s">
        <v>142</v>
      </c>
      <c r="BH2158" s="304"/>
      <c r="BK2158" s="242"/>
      <c r="BM2158" s="451"/>
      <c r="BN2158" s="451"/>
      <c r="BR2158" s="449">
        <v>51.8</v>
      </c>
      <c r="BS2158" s="449">
        <v>58.3</v>
      </c>
      <c r="BV2158" s="239" t="s">
        <v>2105</v>
      </c>
      <c r="FH2158" s="240"/>
    </row>
    <row r="2159" spans="1:165" s="314" customFormat="1" x14ac:dyDescent="0.25">
      <c r="A2159" s="314">
        <v>99</v>
      </c>
      <c r="B2159" s="164" t="s">
        <v>2156</v>
      </c>
      <c r="D2159" s="164">
        <v>2008</v>
      </c>
      <c r="F2159" s="164" t="s">
        <v>2157</v>
      </c>
      <c r="G2159" s="164" t="s">
        <v>2158</v>
      </c>
      <c r="H2159" s="164" t="s">
        <v>1111</v>
      </c>
      <c r="I2159" s="314">
        <v>53.25</v>
      </c>
      <c r="J2159" s="314">
        <v>13.25</v>
      </c>
      <c r="K2159" s="164">
        <v>44</v>
      </c>
      <c r="L2159" s="164">
        <v>8.9</v>
      </c>
      <c r="N2159" s="164">
        <v>495</v>
      </c>
      <c r="Q2159" s="314">
        <v>5</v>
      </c>
      <c r="R2159" s="164">
        <v>10</v>
      </c>
      <c r="U2159" s="185" t="s">
        <v>1383</v>
      </c>
      <c r="V2159" s="164">
        <v>20</v>
      </c>
      <c r="W2159" s="185" t="s">
        <v>1383</v>
      </c>
      <c r="X2159" s="185" t="s">
        <v>1383</v>
      </c>
      <c r="Z2159" s="358">
        <f>(72+87)/2</f>
        <v>79.5</v>
      </c>
      <c r="AA2159" s="358">
        <f>(10+25)/2</f>
        <v>17.5</v>
      </c>
      <c r="AB2159" s="314" t="s">
        <v>176</v>
      </c>
      <c r="AF2159" s="164" t="s">
        <v>2159</v>
      </c>
      <c r="AG2159" s="164" t="s">
        <v>2255</v>
      </c>
      <c r="AH2159" s="314" t="s">
        <v>1131</v>
      </c>
      <c r="AI2159" s="164" t="s">
        <v>2256</v>
      </c>
      <c r="AJ2159" s="314" t="s">
        <v>1625</v>
      </c>
      <c r="AN2159" s="185" t="s">
        <v>2145</v>
      </c>
      <c r="AO2159" s="185" t="s">
        <v>2145</v>
      </c>
      <c r="AQ2159" s="164" t="s">
        <v>2072</v>
      </c>
      <c r="AT2159" s="164" t="s">
        <v>161</v>
      </c>
      <c r="AV2159" s="164"/>
      <c r="BH2159" s="164"/>
      <c r="BK2159" s="315"/>
      <c r="BM2159" s="433">
        <v>1.5478000000000001</v>
      </c>
      <c r="BN2159" s="433">
        <v>1.5350980000000001</v>
      </c>
      <c r="BR2159" s="433">
        <v>10.745686000000001</v>
      </c>
      <c r="BS2159" s="433">
        <v>12.986929080000001</v>
      </c>
      <c r="BV2159" s="314" t="s">
        <v>2105</v>
      </c>
      <c r="FH2159" s="316"/>
      <c r="FI2159" s="164"/>
    </row>
    <row r="2160" spans="1:165" s="314" customFormat="1" x14ac:dyDescent="0.25">
      <c r="A2160" s="314">
        <v>99</v>
      </c>
      <c r="B2160" s="164" t="s">
        <v>2156</v>
      </c>
      <c r="D2160" s="164">
        <v>2008</v>
      </c>
      <c r="F2160" s="164" t="s">
        <v>2157</v>
      </c>
      <c r="G2160" s="164" t="s">
        <v>2158</v>
      </c>
      <c r="H2160" s="164" t="s">
        <v>1111</v>
      </c>
      <c r="I2160" s="314">
        <v>53.25</v>
      </c>
      <c r="J2160" s="314">
        <v>13.25</v>
      </c>
      <c r="K2160" s="164">
        <v>44</v>
      </c>
      <c r="L2160" s="164">
        <v>8.9</v>
      </c>
      <c r="N2160" s="164">
        <v>495</v>
      </c>
      <c r="Q2160" s="314">
        <v>5</v>
      </c>
      <c r="R2160" s="164">
        <v>10</v>
      </c>
      <c r="U2160" s="185" t="s">
        <v>1383</v>
      </c>
      <c r="V2160" s="164">
        <v>20</v>
      </c>
      <c r="W2160" s="185" t="s">
        <v>1383</v>
      </c>
      <c r="X2160" s="185" t="s">
        <v>1383</v>
      </c>
      <c r="Z2160" s="358">
        <f t="shared" ref="Z2160:Z2164" si="297">(72+87)/2</f>
        <v>79.5</v>
      </c>
      <c r="AA2160" s="358">
        <f t="shared" ref="AA2160:AA2164" si="298">(10+25)/2</f>
        <v>17.5</v>
      </c>
      <c r="AB2160" s="314" t="s">
        <v>176</v>
      </c>
      <c r="AF2160" s="164" t="s">
        <v>2159</v>
      </c>
      <c r="AG2160" s="164" t="s">
        <v>2255</v>
      </c>
      <c r="AH2160" s="314" t="s">
        <v>1131</v>
      </c>
      <c r="AI2160" s="164" t="s">
        <v>2256</v>
      </c>
      <c r="AJ2160" s="314" t="s">
        <v>1625</v>
      </c>
      <c r="AN2160" s="185" t="s">
        <v>2145</v>
      </c>
      <c r="AO2160" s="185" t="s">
        <v>2145</v>
      </c>
      <c r="AQ2160" s="164" t="s">
        <v>2072</v>
      </c>
      <c r="AT2160" s="164" t="s">
        <v>161</v>
      </c>
      <c r="AV2160" s="164"/>
      <c r="BH2160" s="164"/>
      <c r="BK2160" s="315"/>
      <c r="BM2160" s="433">
        <v>1.5166539999999999</v>
      </c>
      <c r="BN2160" s="433">
        <v>1.502734</v>
      </c>
      <c r="BR2160" s="433">
        <v>15.898925719999999</v>
      </c>
      <c r="BS2160" s="433">
        <v>18.303300119999999</v>
      </c>
      <c r="BV2160" s="314" t="s">
        <v>2105</v>
      </c>
      <c r="FH2160" s="316"/>
      <c r="FI2160" s="164"/>
    </row>
    <row r="2161" spans="1:165" s="314" customFormat="1" x14ac:dyDescent="0.25">
      <c r="A2161" s="314">
        <v>99</v>
      </c>
      <c r="B2161" s="164" t="s">
        <v>2156</v>
      </c>
      <c r="D2161" s="164">
        <v>2008</v>
      </c>
      <c r="F2161" s="164" t="s">
        <v>2157</v>
      </c>
      <c r="G2161" s="164" t="s">
        <v>2158</v>
      </c>
      <c r="H2161" s="164" t="s">
        <v>1111</v>
      </c>
      <c r="I2161" s="314">
        <v>53.25</v>
      </c>
      <c r="J2161" s="314">
        <v>13.25</v>
      </c>
      <c r="K2161" s="164">
        <v>44</v>
      </c>
      <c r="L2161" s="164">
        <v>8.9</v>
      </c>
      <c r="N2161" s="164">
        <v>495</v>
      </c>
      <c r="Q2161" s="314">
        <v>5</v>
      </c>
      <c r="R2161" s="164">
        <v>10</v>
      </c>
      <c r="U2161" s="185" t="s">
        <v>1383</v>
      </c>
      <c r="V2161" s="164">
        <v>20</v>
      </c>
      <c r="W2161" s="185" t="s">
        <v>1383</v>
      </c>
      <c r="X2161" s="185" t="s">
        <v>1383</v>
      </c>
      <c r="Z2161" s="358">
        <f t="shared" si="297"/>
        <v>79.5</v>
      </c>
      <c r="AA2161" s="358">
        <f t="shared" si="298"/>
        <v>17.5</v>
      </c>
      <c r="AB2161" s="314" t="s">
        <v>176</v>
      </c>
      <c r="AF2161" s="164" t="s">
        <v>2159</v>
      </c>
      <c r="AG2161" s="164" t="s">
        <v>2255</v>
      </c>
      <c r="AH2161" s="314" t="s">
        <v>1131</v>
      </c>
      <c r="AI2161" s="164" t="s">
        <v>2256</v>
      </c>
      <c r="AJ2161" s="314" t="s">
        <v>1625</v>
      </c>
      <c r="AN2161" s="185" t="s">
        <v>2145</v>
      </c>
      <c r="AO2161" s="185" t="s">
        <v>2145</v>
      </c>
      <c r="AQ2161" s="164" t="s">
        <v>2160</v>
      </c>
      <c r="AT2161" s="164" t="s">
        <v>161</v>
      </c>
      <c r="AV2161" s="164"/>
      <c r="BH2161" s="164"/>
      <c r="BK2161" s="315"/>
      <c r="BM2161" s="433">
        <v>1.540144</v>
      </c>
      <c r="BN2161" s="433">
        <v>1.52257</v>
      </c>
      <c r="BR2161" s="433">
        <v>11.997851600000001</v>
      </c>
      <c r="BS2161" s="433">
        <v>15.073443000000001</v>
      </c>
      <c r="BV2161" s="314" t="s">
        <v>2105</v>
      </c>
      <c r="FH2161" s="316"/>
      <c r="FI2161" s="164"/>
    </row>
    <row r="2162" spans="1:165" s="314" customFormat="1" x14ac:dyDescent="0.25">
      <c r="A2162" s="314">
        <v>99</v>
      </c>
      <c r="B2162" s="164" t="s">
        <v>2156</v>
      </c>
      <c r="D2162" s="164">
        <v>2008</v>
      </c>
      <c r="F2162" s="164" t="s">
        <v>2157</v>
      </c>
      <c r="G2162" s="164" t="s">
        <v>2158</v>
      </c>
      <c r="H2162" s="164" t="s">
        <v>1111</v>
      </c>
      <c r="I2162" s="314">
        <v>53.25</v>
      </c>
      <c r="J2162" s="314">
        <v>13.25</v>
      </c>
      <c r="K2162" s="164">
        <v>44</v>
      </c>
      <c r="L2162" s="164">
        <v>8.9</v>
      </c>
      <c r="N2162" s="164">
        <v>495</v>
      </c>
      <c r="Q2162" s="314">
        <v>5</v>
      </c>
      <c r="R2162" s="164">
        <v>10</v>
      </c>
      <c r="U2162" s="185" t="s">
        <v>1383</v>
      </c>
      <c r="V2162" s="164">
        <v>20</v>
      </c>
      <c r="W2162" s="185" t="s">
        <v>1383</v>
      </c>
      <c r="X2162" s="185" t="s">
        <v>1383</v>
      </c>
      <c r="Z2162" s="358">
        <f t="shared" si="297"/>
        <v>79.5</v>
      </c>
      <c r="AA2162" s="358">
        <f t="shared" si="298"/>
        <v>17.5</v>
      </c>
      <c r="AB2162" s="314" t="s">
        <v>176</v>
      </c>
      <c r="AF2162" s="164" t="s">
        <v>2159</v>
      </c>
      <c r="AG2162" s="164" t="s">
        <v>2255</v>
      </c>
      <c r="AH2162" s="314" t="s">
        <v>1131</v>
      </c>
      <c r="AI2162" s="164" t="s">
        <v>2256</v>
      </c>
      <c r="AJ2162" s="314" t="s">
        <v>1625</v>
      </c>
      <c r="AN2162" s="185" t="s">
        <v>2145</v>
      </c>
      <c r="AO2162" s="185" t="s">
        <v>2145</v>
      </c>
      <c r="AQ2162" s="164" t="s">
        <v>2160</v>
      </c>
      <c r="AT2162" s="164" t="s">
        <v>161</v>
      </c>
      <c r="AV2162" s="164"/>
      <c r="BH2162" s="164"/>
      <c r="BK2162" s="315"/>
      <c r="BM2162" s="433">
        <v>1.50169</v>
      </c>
      <c r="BN2162" s="433">
        <v>1.4888140000000001</v>
      </c>
      <c r="BR2162" s="433">
        <v>18.312412200000001</v>
      </c>
      <c r="BS2162" s="433">
        <v>20.515856919999997</v>
      </c>
      <c r="BV2162" s="314" t="s">
        <v>2105</v>
      </c>
      <c r="FH2162" s="316"/>
      <c r="FI2162" s="164"/>
    </row>
    <row r="2163" spans="1:165" s="314" customFormat="1" x14ac:dyDescent="0.25">
      <c r="A2163" s="314">
        <v>99</v>
      </c>
      <c r="B2163" s="164" t="s">
        <v>2156</v>
      </c>
      <c r="D2163" s="164">
        <v>2008</v>
      </c>
      <c r="F2163" s="164" t="s">
        <v>2157</v>
      </c>
      <c r="G2163" s="164" t="s">
        <v>2158</v>
      </c>
      <c r="H2163" s="164" t="s">
        <v>1111</v>
      </c>
      <c r="I2163" s="314">
        <v>53.25</v>
      </c>
      <c r="J2163" s="314">
        <v>13.25</v>
      </c>
      <c r="K2163" s="164">
        <v>44</v>
      </c>
      <c r="L2163" s="164">
        <v>8.9</v>
      </c>
      <c r="N2163" s="164">
        <v>495</v>
      </c>
      <c r="Q2163" s="314">
        <v>5</v>
      </c>
      <c r="R2163" s="164">
        <v>10</v>
      </c>
      <c r="U2163" s="185" t="s">
        <v>1383</v>
      </c>
      <c r="V2163" s="164">
        <v>20</v>
      </c>
      <c r="W2163" s="185" t="s">
        <v>1383</v>
      </c>
      <c r="X2163" s="185" t="s">
        <v>1383</v>
      </c>
      <c r="Z2163" s="358">
        <f t="shared" si="297"/>
        <v>79.5</v>
      </c>
      <c r="AA2163" s="358">
        <f t="shared" si="298"/>
        <v>17.5</v>
      </c>
      <c r="AB2163" s="314" t="s">
        <v>176</v>
      </c>
      <c r="AF2163" s="164" t="s">
        <v>2159</v>
      </c>
      <c r="AG2163" s="164" t="s">
        <v>2255</v>
      </c>
      <c r="AH2163" s="314" t="s">
        <v>1131</v>
      </c>
      <c r="AI2163" s="164" t="s">
        <v>2256</v>
      </c>
      <c r="AJ2163" s="314" t="s">
        <v>1625</v>
      </c>
      <c r="AN2163" s="185" t="s">
        <v>2145</v>
      </c>
      <c r="AO2163" s="185" t="s">
        <v>2145</v>
      </c>
      <c r="AQ2163" s="164" t="s">
        <v>2161</v>
      </c>
      <c r="AT2163" s="164" t="s">
        <v>161</v>
      </c>
      <c r="AV2163" s="164"/>
      <c r="BH2163" s="164"/>
      <c r="BK2163" s="315"/>
      <c r="BM2163" s="433">
        <v>1.533358</v>
      </c>
      <c r="BN2163" s="433">
        <v>1.517698</v>
      </c>
      <c r="BR2163" s="433">
        <v>13.143264679999998</v>
      </c>
      <c r="BS2163" s="433">
        <v>15.875121080000003</v>
      </c>
      <c r="BV2163" s="314" t="s">
        <v>2105</v>
      </c>
      <c r="FH2163" s="316"/>
      <c r="FI2163" s="164"/>
    </row>
    <row r="2164" spans="1:165" s="314" customFormat="1" x14ac:dyDescent="0.25">
      <c r="A2164" s="314">
        <v>99</v>
      </c>
      <c r="B2164" s="164" t="s">
        <v>2156</v>
      </c>
      <c r="D2164" s="164">
        <v>2008</v>
      </c>
      <c r="F2164" s="164" t="s">
        <v>2157</v>
      </c>
      <c r="G2164" s="164" t="s">
        <v>2158</v>
      </c>
      <c r="H2164" s="164" t="s">
        <v>1111</v>
      </c>
      <c r="I2164" s="314">
        <v>53.25</v>
      </c>
      <c r="J2164" s="314">
        <v>13.25</v>
      </c>
      <c r="K2164" s="164">
        <v>44</v>
      </c>
      <c r="L2164" s="164">
        <v>8.9</v>
      </c>
      <c r="N2164" s="164">
        <v>495</v>
      </c>
      <c r="Q2164" s="314">
        <v>5</v>
      </c>
      <c r="R2164" s="164">
        <v>10</v>
      </c>
      <c r="U2164" s="185" t="s">
        <v>1383</v>
      </c>
      <c r="V2164" s="164">
        <v>20</v>
      </c>
      <c r="W2164" s="185" t="s">
        <v>1383</v>
      </c>
      <c r="X2164" s="185" t="s">
        <v>1383</v>
      </c>
      <c r="Z2164" s="358">
        <f t="shared" si="297"/>
        <v>79.5</v>
      </c>
      <c r="AA2164" s="358">
        <f t="shared" si="298"/>
        <v>17.5</v>
      </c>
      <c r="AB2164" s="314" t="s">
        <v>176</v>
      </c>
      <c r="AF2164" s="164" t="s">
        <v>2159</v>
      </c>
      <c r="AG2164" s="164" t="s">
        <v>2255</v>
      </c>
      <c r="AH2164" s="314" t="s">
        <v>1131</v>
      </c>
      <c r="AI2164" s="164" t="s">
        <v>2256</v>
      </c>
      <c r="AJ2164" s="314" t="s">
        <v>1625</v>
      </c>
      <c r="AN2164" s="185" t="s">
        <v>2145</v>
      </c>
      <c r="AO2164" s="185" t="s">
        <v>2145</v>
      </c>
      <c r="AQ2164" s="164" t="s">
        <v>2161</v>
      </c>
      <c r="AT2164" s="164" t="s">
        <v>161</v>
      </c>
      <c r="AV2164" s="164"/>
      <c r="BH2164" s="164"/>
      <c r="BK2164" s="315"/>
      <c r="BM2164" s="433">
        <v>1.499776</v>
      </c>
      <c r="BN2164" s="433">
        <v>1.4928159999999999</v>
      </c>
      <c r="BR2164" s="433">
        <v>18.690056319999997</v>
      </c>
      <c r="BS2164" s="433">
        <v>19.884309119999998</v>
      </c>
      <c r="BV2164" s="314" t="s">
        <v>2105</v>
      </c>
      <c r="FH2164" s="316"/>
      <c r="FI2164" s="164"/>
    </row>
    <row r="2165" spans="1:165" s="245" customFormat="1" x14ac:dyDescent="0.25">
      <c r="A2165" s="245">
        <v>100</v>
      </c>
      <c r="B2165" s="245" t="s">
        <v>2162</v>
      </c>
      <c r="C2165" s="245" t="s">
        <v>2257</v>
      </c>
      <c r="D2165" s="245">
        <v>2000</v>
      </c>
      <c r="E2165" s="245">
        <v>1994</v>
      </c>
      <c r="F2165" s="245" t="s">
        <v>1756</v>
      </c>
      <c r="G2165" s="245" t="s">
        <v>2163</v>
      </c>
      <c r="H2165" s="245" t="s">
        <v>2834</v>
      </c>
      <c r="I2165" s="245">
        <f t="shared" ref="I2165:I2178" si="299">-30-51/60</f>
        <v>-30.85</v>
      </c>
      <c r="J2165" s="245">
        <f t="shared" ref="J2165:J2178" si="300">-38-8/60</f>
        <v>-38.133333333333333</v>
      </c>
      <c r="K2165" s="245">
        <v>96</v>
      </c>
      <c r="L2165" s="245">
        <v>19.399999999999999</v>
      </c>
      <c r="N2165" s="245">
        <v>1440</v>
      </c>
      <c r="Q2165" s="245">
        <v>10</v>
      </c>
      <c r="R2165" s="245">
        <v>10</v>
      </c>
      <c r="T2165" s="245" t="s">
        <v>2260</v>
      </c>
      <c r="U2165" s="244" t="s">
        <v>1393</v>
      </c>
      <c r="V2165" s="245">
        <v>30</v>
      </c>
      <c r="W2165" s="244" t="s">
        <v>1393</v>
      </c>
      <c r="X2165" s="244" t="s">
        <v>1393</v>
      </c>
      <c r="Y2165" s="245">
        <v>1.5</v>
      </c>
      <c r="Z2165" s="367">
        <v>54</v>
      </c>
      <c r="AA2165" s="367">
        <v>24</v>
      </c>
      <c r="AB2165" s="245" t="s">
        <v>519</v>
      </c>
      <c r="AD2165" s="319">
        <f>44.6/(100*100*0.3*Y2165)*100</f>
        <v>0.99111111111111116</v>
      </c>
      <c r="AF2165" s="245" t="s">
        <v>2164</v>
      </c>
      <c r="AG2165" s="245" t="s">
        <v>2165</v>
      </c>
      <c r="AH2165" s="245" t="s">
        <v>1587</v>
      </c>
      <c r="AI2165" s="245" t="s">
        <v>2259</v>
      </c>
      <c r="AJ2165" s="245" t="s">
        <v>1625</v>
      </c>
      <c r="AK2165" s="245" t="s">
        <v>2258</v>
      </c>
      <c r="AL2165" s="245" t="s">
        <v>2166</v>
      </c>
      <c r="AM2165" s="245" t="s">
        <v>178</v>
      </c>
      <c r="AN2165" s="245" t="s">
        <v>2028</v>
      </c>
      <c r="AO2165" s="245" t="s">
        <v>2028</v>
      </c>
      <c r="AP2165" s="245" t="s">
        <v>178</v>
      </c>
      <c r="AT2165" s="245" t="s">
        <v>161</v>
      </c>
      <c r="AU2165" s="245">
        <v>3</v>
      </c>
      <c r="AW2165" s="245" t="s">
        <v>142</v>
      </c>
      <c r="BK2165" s="248"/>
      <c r="BM2165" s="453">
        <v>1.5</v>
      </c>
      <c r="BN2165" s="437"/>
      <c r="BR2165" s="437">
        <v>44.6</v>
      </c>
      <c r="BS2165" s="437">
        <v>50.2</v>
      </c>
      <c r="BV2165" s="245" t="s">
        <v>2105</v>
      </c>
      <c r="BW2165" s="245">
        <v>3765</v>
      </c>
      <c r="BX2165" s="245">
        <v>4262</v>
      </c>
      <c r="CA2165" s="245" t="s">
        <v>2261</v>
      </c>
      <c r="FH2165" s="246"/>
    </row>
    <row r="2166" spans="1:165" s="245" customFormat="1" x14ac:dyDescent="0.25">
      <c r="A2166" s="245">
        <v>100</v>
      </c>
      <c r="B2166" s="245" t="s">
        <v>2162</v>
      </c>
      <c r="C2166" s="245" t="s">
        <v>2257</v>
      </c>
      <c r="D2166" s="245">
        <v>2000</v>
      </c>
      <c r="E2166" s="245">
        <v>1994</v>
      </c>
      <c r="F2166" s="245" t="s">
        <v>1756</v>
      </c>
      <c r="G2166" s="245" t="s">
        <v>2163</v>
      </c>
      <c r="H2166" s="245" t="s">
        <v>2834</v>
      </c>
      <c r="I2166" s="245">
        <f t="shared" si="299"/>
        <v>-30.85</v>
      </c>
      <c r="J2166" s="245">
        <f t="shared" si="300"/>
        <v>-38.133333333333333</v>
      </c>
      <c r="K2166" s="245">
        <v>96</v>
      </c>
      <c r="L2166" s="245">
        <v>19.399999999999999</v>
      </c>
      <c r="N2166" s="245">
        <v>1440</v>
      </c>
      <c r="Q2166" s="245">
        <v>10</v>
      </c>
      <c r="R2166" s="245">
        <v>10</v>
      </c>
      <c r="T2166" s="245" t="s">
        <v>2260</v>
      </c>
      <c r="U2166" s="244" t="s">
        <v>1393</v>
      </c>
      <c r="V2166" s="245">
        <v>30</v>
      </c>
      <c r="W2166" s="244" t="s">
        <v>1393</v>
      </c>
      <c r="X2166" s="244" t="s">
        <v>1393</v>
      </c>
      <c r="Y2166" s="245">
        <v>1.45</v>
      </c>
      <c r="Z2166" s="367">
        <v>54</v>
      </c>
      <c r="AA2166" s="367">
        <v>24</v>
      </c>
      <c r="AB2166" s="245" t="s">
        <v>519</v>
      </c>
      <c r="AD2166" s="319">
        <f>44.6/(100*100*0.3*Y2166)*100</f>
        <v>1.0252873563218392</v>
      </c>
      <c r="AF2166" s="245" t="s">
        <v>2164</v>
      </c>
      <c r="AG2166" s="245" t="s">
        <v>2165</v>
      </c>
      <c r="AH2166" s="245" t="s">
        <v>1587</v>
      </c>
      <c r="AI2166" s="245" t="s">
        <v>2259</v>
      </c>
      <c r="AJ2166" s="245" t="s">
        <v>1625</v>
      </c>
      <c r="AK2166" s="245" t="s">
        <v>2258</v>
      </c>
      <c r="AL2166" s="245" t="s">
        <v>2166</v>
      </c>
      <c r="AM2166" s="245" t="s">
        <v>178</v>
      </c>
      <c r="AN2166" s="245" t="s">
        <v>1048</v>
      </c>
      <c r="AO2166" s="245" t="s">
        <v>1048</v>
      </c>
      <c r="AP2166" s="245" t="s">
        <v>178</v>
      </c>
      <c r="AT2166" s="245" t="s">
        <v>161</v>
      </c>
      <c r="AU2166" s="245">
        <v>3</v>
      </c>
      <c r="AW2166" s="245" t="s">
        <v>142</v>
      </c>
      <c r="BK2166" s="248"/>
      <c r="BM2166" s="453">
        <v>1.45</v>
      </c>
      <c r="BN2166" s="437"/>
      <c r="BR2166" s="437">
        <v>49.2</v>
      </c>
      <c r="BS2166" s="437">
        <v>56.6</v>
      </c>
      <c r="BV2166" s="245" t="s">
        <v>2105</v>
      </c>
      <c r="BW2166" s="245">
        <v>3805</v>
      </c>
      <c r="BX2166" s="245">
        <v>4665</v>
      </c>
      <c r="CA2166" s="245" t="s">
        <v>2261</v>
      </c>
      <c r="FH2166" s="246"/>
    </row>
    <row r="2167" spans="1:165" s="239" customFormat="1" x14ac:dyDescent="0.25">
      <c r="A2167" s="239">
        <v>100</v>
      </c>
      <c r="B2167" s="239" t="s">
        <v>2162</v>
      </c>
      <c r="C2167" s="239" t="s">
        <v>2257</v>
      </c>
      <c r="D2167" s="239">
        <v>2000</v>
      </c>
      <c r="E2167" s="239">
        <v>1994</v>
      </c>
      <c r="F2167" s="239" t="s">
        <v>1756</v>
      </c>
      <c r="G2167" s="239" t="s">
        <v>2163</v>
      </c>
      <c r="H2167" s="245" t="s">
        <v>2834</v>
      </c>
      <c r="I2167" s="239">
        <f t="shared" si="299"/>
        <v>-30.85</v>
      </c>
      <c r="J2167" s="239">
        <f t="shared" si="300"/>
        <v>-38.133333333333333</v>
      </c>
      <c r="K2167" s="239">
        <v>96</v>
      </c>
      <c r="L2167" s="239">
        <v>19.399999999999999</v>
      </c>
      <c r="N2167" s="239">
        <v>1440</v>
      </c>
      <c r="Q2167" s="239">
        <v>10</v>
      </c>
      <c r="R2167" s="239">
        <v>10</v>
      </c>
      <c r="T2167" s="239" t="s">
        <v>2260</v>
      </c>
      <c r="U2167" s="238" t="s">
        <v>2262</v>
      </c>
      <c r="V2167" s="239">
        <v>2.5</v>
      </c>
      <c r="W2167" s="238" t="s">
        <v>2262</v>
      </c>
      <c r="X2167" s="238" t="s">
        <v>1393</v>
      </c>
      <c r="Z2167" s="383">
        <v>54</v>
      </c>
      <c r="AA2167" s="383">
        <v>24</v>
      </c>
      <c r="AB2167" s="239" t="s">
        <v>519</v>
      </c>
      <c r="AF2167" s="239" t="s">
        <v>2164</v>
      </c>
      <c r="AG2167" s="239" t="s">
        <v>2165</v>
      </c>
      <c r="AH2167" s="239" t="s">
        <v>1587</v>
      </c>
      <c r="AI2167" s="239" t="s">
        <v>2259</v>
      </c>
      <c r="AJ2167" s="239" t="s">
        <v>1625</v>
      </c>
      <c r="AK2167" s="239" t="s">
        <v>2258</v>
      </c>
      <c r="AL2167" s="239" t="s">
        <v>2166</v>
      </c>
      <c r="AM2167" s="239" t="s">
        <v>178</v>
      </c>
      <c r="AN2167" s="239" t="s">
        <v>2028</v>
      </c>
      <c r="AO2167" s="239" t="s">
        <v>2028</v>
      </c>
      <c r="AP2167" s="239" t="s">
        <v>178</v>
      </c>
      <c r="AT2167" s="239" t="s">
        <v>161</v>
      </c>
      <c r="AU2167" s="239">
        <v>3</v>
      </c>
      <c r="AW2167" s="239" t="s">
        <v>142</v>
      </c>
      <c r="BK2167" s="242"/>
      <c r="BM2167" s="454"/>
      <c r="BN2167" s="451"/>
      <c r="BR2167" s="451">
        <v>16.37</v>
      </c>
      <c r="BS2167" s="451">
        <v>18.16</v>
      </c>
      <c r="BV2167" s="239" t="s">
        <v>2266</v>
      </c>
      <c r="BW2167" s="239">
        <v>1.3</v>
      </c>
      <c r="BX2167" s="239">
        <v>1.47</v>
      </c>
      <c r="CA2167" s="239" t="s">
        <v>2266</v>
      </c>
      <c r="FH2167" s="240"/>
    </row>
    <row r="2168" spans="1:165" s="239" customFormat="1" x14ac:dyDescent="0.25">
      <c r="A2168" s="239">
        <v>100</v>
      </c>
      <c r="B2168" s="239" t="s">
        <v>2162</v>
      </c>
      <c r="C2168" s="239" t="s">
        <v>2257</v>
      </c>
      <c r="D2168" s="239">
        <v>2000</v>
      </c>
      <c r="E2168" s="239">
        <v>1994</v>
      </c>
      <c r="F2168" s="239" t="s">
        <v>1756</v>
      </c>
      <c r="G2168" s="239" t="s">
        <v>2163</v>
      </c>
      <c r="H2168" s="245" t="s">
        <v>2834</v>
      </c>
      <c r="I2168" s="239">
        <f t="shared" si="299"/>
        <v>-30.85</v>
      </c>
      <c r="J2168" s="239">
        <f t="shared" si="300"/>
        <v>-38.133333333333333</v>
      </c>
      <c r="K2168" s="239">
        <v>96</v>
      </c>
      <c r="L2168" s="239">
        <v>19.399999999999999</v>
      </c>
      <c r="N2168" s="239">
        <v>1440</v>
      </c>
      <c r="Q2168" s="239">
        <v>10</v>
      </c>
      <c r="R2168" s="239">
        <v>10</v>
      </c>
      <c r="T2168" s="239" t="s">
        <v>2260</v>
      </c>
      <c r="U2168" s="238" t="s">
        <v>2263</v>
      </c>
      <c r="V2168" s="239">
        <v>2.5</v>
      </c>
      <c r="W2168" s="238" t="s">
        <v>2262</v>
      </c>
      <c r="X2168" s="238" t="s">
        <v>1393</v>
      </c>
      <c r="Z2168" s="383">
        <v>54</v>
      </c>
      <c r="AA2168" s="383">
        <v>24</v>
      </c>
      <c r="AB2168" s="239" t="s">
        <v>519</v>
      </c>
      <c r="AF2168" s="239" t="s">
        <v>2164</v>
      </c>
      <c r="AG2168" s="239" t="s">
        <v>2165</v>
      </c>
      <c r="AH2168" s="239" t="s">
        <v>1587</v>
      </c>
      <c r="AI2168" s="239" t="s">
        <v>2259</v>
      </c>
      <c r="AJ2168" s="239" t="s">
        <v>1625</v>
      </c>
      <c r="AK2168" s="239" t="s">
        <v>2258</v>
      </c>
      <c r="AL2168" s="239" t="s">
        <v>2166</v>
      </c>
      <c r="AM2168" s="239" t="s">
        <v>178</v>
      </c>
      <c r="AN2168" s="239" t="s">
        <v>2028</v>
      </c>
      <c r="AO2168" s="239" t="s">
        <v>2028</v>
      </c>
      <c r="AP2168" s="239" t="s">
        <v>178</v>
      </c>
      <c r="AT2168" s="239" t="s">
        <v>161</v>
      </c>
      <c r="AU2168" s="239">
        <v>3</v>
      </c>
      <c r="AW2168" s="239" t="s">
        <v>142</v>
      </c>
      <c r="BK2168" s="242"/>
      <c r="BM2168" s="454"/>
      <c r="BN2168" s="451"/>
      <c r="BR2168" s="451">
        <v>15.41</v>
      </c>
      <c r="BS2168" s="451">
        <v>18.57</v>
      </c>
      <c r="BV2168" s="239" t="s">
        <v>2266</v>
      </c>
      <c r="BW2168" s="239">
        <v>1.2669999999999999</v>
      </c>
      <c r="BX2168" s="239">
        <v>1.54</v>
      </c>
      <c r="CA2168" s="239" t="s">
        <v>2266</v>
      </c>
      <c r="FH2168" s="240"/>
    </row>
    <row r="2169" spans="1:165" s="239" customFormat="1" x14ac:dyDescent="0.25">
      <c r="A2169" s="239">
        <v>100</v>
      </c>
      <c r="B2169" s="239" t="s">
        <v>2162</v>
      </c>
      <c r="C2169" s="239" t="s">
        <v>2257</v>
      </c>
      <c r="D2169" s="239">
        <v>2000</v>
      </c>
      <c r="E2169" s="239">
        <v>1994</v>
      </c>
      <c r="F2169" s="239" t="s">
        <v>1756</v>
      </c>
      <c r="G2169" s="239" t="s">
        <v>2163</v>
      </c>
      <c r="H2169" s="245" t="s">
        <v>2834</v>
      </c>
      <c r="I2169" s="239">
        <f t="shared" si="299"/>
        <v>-30.85</v>
      </c>
      <c r="J2169" s="239">
        <f t="shared" si="300"/>
        <v>-38.133333333333333</v>
      </c>
      <c r="K2169" s="239">
        <v>96</v>
      </c>
      <c r="L2169" s="239">
        <v>19.399999999999999</v>
      </c>
      <c r="N2169" s="239">
        <v>1440</v>
      </c>
      <c r="Q2169" s="239">
        <v>10</v>
      </c>
      <c r="R2169" s="239">
        <v>10</v>
      </c>
      <c r="T2169" s="239" t="s">
        <v>2260</v>
      </c>
      <c r="U2169" s="238" t="s">
        <v>2264</v>
      </c>
      <c r="V2169" s="239">
        <v>2.5</v>
      </c>
      <c r="W2169" s="238" t="s">
        <v>2262</v>
      </c>
      <c r="X2169" s="238" t="s">
        <v>1393</v>
      </c>
      <c r="Z2169" s="383">
        <v>54</v>
      </c>
      <c r="AA2169" s="383">
        <v>24</v>
      </c>
      <c r="AB2169" s="239" t="s">
        <v>519</v>
      </c>
      <c r="AF2169" s="239" t="s">
        <v>2164</v>
      </c>
      <c r="AG2169" s="239" t="s">
        <v>2165</v>
      </c>
      <c r="AH2169" s="239" t="s">
        <v>1587</v>
      </c>
      <c r="AI2169" s="239" t="s">
        <v>2259</v>
      </c>
      <c r="AJ2169" s="239" t="s">
        <v>1625</v>
      </c>
      <c r="AK2169" s="239" t="s">
        <v>2258</v>
      </c>
      <c r="AL2169" s="239" t="s">
        <v>2166</v>
      </c>
      <c r="AM2169" s="239" t="s">
        <v>178</v>
      </c>
      <c r="AN2169" s="239" t="s">
        <v>2028</v>
      </c>
      <c r="AO2169" s="239" t="s">
        <v>2028</v>
      </c>
      <c r="AP2169" s="239" t="s">
        <v>178</v>
      </c>
      <c r="AT2169" s="239" t="s">
        <v>161</v>
      </c>
      <c r="AU2169" s="239">
        <v>3</v>
      </c>
      <c r="AW2169" s="239" t="s">
        <v>142</v>
      </c>
      <c r="BK2169" s="242"/>
      <c r="BM2169" s="454"/>
      <c r="BN2169" s="451"/>
      <c r="BR2169" s="451">
        <v>15.41</v>
      </c>
      <c r="BS2169" s="451">
        <v>17.2</v>
      </c>
      <c r="BV2169" s="239" t="s">
        <v>2266</v>
      </c>
      <c r="BW2169" s="239">
        <v>1.2549999999999999</v>
      </c>
      <c r="BX2169" s="239">
        <v>1.47</v>
      </c>
      <c r="CA2169" s="239" t="s">
        <v>2266</v>
      </c>
      <c r="FH2169" s="240"/>
    </row>
    <row r="2170" spans="1:165" s="239" customFormat="1" x14ac:dyDescent="0.25">
      <c r="A2170" s="239">
        <v>100</v>
      </c>
      <c r="B2170" s="239" t="s">
        <v>2162</v>
      </c>
      <c r="C2170" s="239" t="s">
        <v>2257</v>
      </c>
      <c r="D2170" s="239">
        <v>2000</v>
      </c>
      <c r="E2170" s="239">
        <v>1994</v>
      </c>
      <c r="F2170" s="239" t="s">
        <v>1756</v>
      </c>
      <c r="G2170" s="239" t="s">
        <v>2163</v>
      </c>
      <c r="H2170" s="245" t="s">
        <v>2834</v>
      </c>
      <c r="I2170" s="239">
        <f t="shared" si="299"/>
        <v>-30.85</v>
      </c>
      <c r="J2170" s="239">
        <f t="shared" si="300"/>
        <v>-38.133333333333333</v>
      </c>
      <c r="K2170" s="239">
        <v>96</v>
      </c>
      <c r="L2170" s="239">
        <v>19.399999999999999</v>
      </c>
      <c r="N2170" s="239">
        <v>1440</v>
      </c>
      <c r="Q2170" s="239">
        <v>10</v>
      </c>
      <c r="R2170" s="239">
        <v>10</v>
      </c>
      <c r="T2170" s="239" t="s">
        <v>2260</v>
      </c>
      <c r="U2170" s="238" t="s">
        <v>2265</v>
      </c>
      <c r="V2170" s="239">
        <v>2.5</v>
      </c>
      <c r="W2170" s="238" t="s">
        <v>2262</v>
      </c>
      <c r="X2170" s="238" t="s">
        <v>1393</v>
      </c>
      <c r="Z2170" s="383">
        <v>54</v>
      </c>
      <c r="AA2170" s="383">
        <v>24</v>
      </c>
      <c r="AB2170" s="239" t="s">
        <v>519</v>
      </c>
      <c r="AF2170" s="239" t="s">
        <v>2164</v>
      </c>
      <c r="AG2170" s="239" t="s">
        <v>2165</v>
      </c>
      <c r="AH2170" s="239" t="s">
        <v>1587</v>
      </c>
      <c r="AI2170" s="239" t="s">
        <v>2259</v>
      </c>
      <c r="AJ2170" s="239" t="s">
        <v>1625</v>
      </c>
      <c r="AK2170" s="239" t="s">
        <v>2258</v>
      </c>
      <c r="AL2170" s="239" t="s">
        <v>2166</v>
      </c>
      <c r="AM2170" s="239" t="s">
        <v>178</v>
      </c>
      <c r="AN2170" s="239" t="s">
        <v>2028</v>
      </c>
      <c r="AO2170" s="239" t="s">
        <v>2028</v>
      </c>
      <c r="AP2170" s="239" t="s">
        <v>178</v>
      </c>
      <c r="AT2170" s="239" t="s">
        <v>161</v>
      </c>
      <c r="AU2170" s="239">
        <v>3</v>
      </c>
      <c r="AW2170" s="239" t="s">
        <v>142</v>
      </c>
      <c r="BK2170" s="242"/>
      <c r="BM2170" s="454"/>
      <c r="BN2170" s="451"/>
      <c r="BR2170" s="451">
        <v>14.59</v>
      </c>
      <c r="BS2170" s="451">
        <v>17.2</v>
      </c>
      <c r="BV2170" s="239" t="s">
        <v>2266</v>
      </c>
      <c r="BW2170" s="239">
        <v>1.33</v>
      </c>
      <c r="BX2170" s="239">
        <v>1.51</v>
      </c>
      <c r="CA2170" s="239" t="s">
        <v>2266</v>
      </c>
      <c r="FH2170" s="240"/>
    </row>
    <row r="2171" spans="1:165" s="239" customFormat="1" x14ac:dyDescent="0.25">
      <c r="A2171" s="239">
        <v>100</v>
      </c>
      <c r="B2171" s="239" t="s">
        <v>2162</v>
      </c>
      <c r="C2171" s="239" t="s">
        <v>2257</v>
      </c>
      <c r="D2171" s="239">
        <v>2000</v>
      </c>
      <c r="E2171" s="239">
        <v>1994</v>
      </c>
      <c r="F2171" s="239" t="s">
        <v>1756</v>
      </c>
      <c r="G2171" s="239" t="s">
        <v>2163</v>
      </c>
      <c r="H2171" s="245" t="s">
        <v>2834</v>
      </c>
      <c r="I2171" s="239">
        <f t="shared" si="299"/>
        <v>-30.85</v>
      </c>
      <c r="J2171" s="239">
        <f t="shared" si="300"/>
        <v>-38.133333333333333</v>
      </c>
      <c r="K2171" s="239">
        <v>96</v>
      </c>
      <c r="L2171" s="239">
        <v>19.399999999999999</v>
      </c>
      <c r="N2171" s="239">
        <v>1440</v>
      </c>
      <c r="Q2171" s="239">
        <v>10</v>
      </c>
      <c r="R2171" s="239">
        <v>10</v>
      </c>
      <c r="T2171" s="239" t="s">
        <v>2260</v>
      </c>
      <c r="U2171" s="238" t="s">
        <v>1413</v>
      </c>
      <c r="V2171" s="239">
        <v>15</v>
      </c>
      <c r="W2171" s="238" t="s">
        <v>2262</v>
      </c>
      <c r="X2171" s="238" t="s">
        <v>1393</v>
      </c>
      <c r="Z2171" s="383">
        <v>54</v>
      </c>
      <c r="AA2171" s="383">
        <v>24</v>
      </c>
      <c r="AB2171" s="239" t="s">
        <v>519</v>
      </c>
      <c r="AF2171" s="239" t="s">
        <v>2164</v>
      </c>
      <c r="AG2171" s="239" t="s">
        <v>2165</v>
      </c>
      <c r="AH2171" s="239" t="s">
        <v>1587</v>
      </c>
      <c r="AI2171" s="239" t="s">
        <v>2259</v>
      </c>
      <c r="AJ2171" s="239" t="s">
        <v>1625</v>
      </c>
      <c r="AK2171" s="239" t="s">
        <v>2258</v>
      </c>
      <c r="AL2171" s="239" t="s">
        <v>2166</v>
      </c>
      <c r="AM2171" s="239" t="s">
        <v>178</v>
      </c>
      <c r="AN2171" s="239" t="s">
        <v>2028</v>
      </c>
      <c r="AO2171" s="239" t="s">
        <v>2028</v>
      </c>
      <c r="AP2171" s="239" t="s">
        <v>178</v>
      </c>
      <c r="AT2171" s="239" t="s">
        <v>161</v>
      </c>
      <c r="AU2171" s="239">
        <v>3</v>
      </c>
      <c r="AW2171" s="239" t="s">
        <v>142</v>
      </c>
      <c r="BK2171" s="242"/>
      <c r="BM2171" s="454"/>
      <c r="BN2171" s="451"/>
      <c r="BR2171" s="451">
        <v>15</v>
      </c>
      <c r="BS2171" s="451">
        <v>16.239999999999998</v>
      </c>
      <c r="BV2171" s="239" t="s">
        <v>2266</v>
      </c>
      <c r="BW2171" s="239">
        <v>1.3</v>
      </c>
      <c r="BX2171" s="239">
        <v>1.3</v>
      </c>
      <c r="CA2171" s="239" t="s">
        <v>2266</v>
      </c>
      <c r="FH2171" s="240"/>
    </row>
    <row r="2172" spans="1:165" s="239" customFormat="1" x14ac:dyDescent="0.25">
      <c r="A2172" s="239">
        <v>100</v>
      </c>
      <c r="B2172" s="239" t="s">
        <v>2162</v>
      </c>
      <c r="C2172" s="239" t="s">
        <v>2257</v>
      </c>
      <c r="D2172" s="239">
        <v>2000</v>
      </c>
      <c r="E2172" s="239">
        <v>1994</v>
      </c>
      <c r="F2172" s="239" t="s">
        <v>1756</v>
      </c>
      <c r="G2172" s="239" t="s">
        <v>2163</v>
      </c>
      <c r="H2172" s="245" t="s">
        <v>2834</v>
      </c>
      <c r="I2172" s="239">
        <f t="shared" si="299"/>
        <v>-30.85</v>
      </c>
      <c r="J2172" s="239">
        <f t="shared" si="300"/>
        <v>-38.133333333333333</v>
      </c>
      <c r="K2172" s="239">
        <v>96</v>
      </c>
      <c r="L2172" s="239">
        <v>19.399999999999999</v>
      </c>
      <c r="N2172" s="239">
        <v>1440</v>
      </c>
      <c r="Q2172" s="239">
        <v>10</v>
      </c>
      <c r="R2172" s="239">
        <v>10</v>
      </c>
      <c r="T2172" s="239" t="s">
        <v>2260</v>
      </c>
      <c r="U2172" s="238" t="s">
        <v>1394</v>
      </c>
      <c r="V2172" s="239">
        <v>15</v>
      </c>
      <c r="W2172" s="238" t="s">
        <v>2262</v>
      </c>
      <c r="X2172" s="238" t="s">
        <v>1393</v>
      </c>
      <c r="Z2172" s="383">
        <v>54</v>
      </c>
      <c r="AA2172" s="383">
        <v>24</v>
      </c>
      <c r="AB2172" s="239" t="s">
        <v>519</v>
      </c>
      <c r="AF2172" s="239" t="s">
        <v>2164</v>
      </c>
      <c r="AG2172" s="239" t="s">
        <v>2165</v>
      </c>
      <c r="AH2172" s="239" t="s">
        <v>1587</v>
      </c>
      <c r="AI2172" s="239" t="s">
        <v>2259</v>
      </c>
      <c r="AJ2172" s="239" t="s">
        <v>1625</v>
      </c>
      <c r="AK2172" s="239" t="s">
        <v>2258</v>
      </c>
      <c r="AL2172" s="239" t="s">
        <v>2166</v>
      </c>
      <c r="AM2172" s="239" t="s">
        <v>178</v>
      </c>
      <c r="AN2172" s="239" t="s">
        <v>2028</v>
      </c>
      <c r="AO2172" s="239" t="s">
        <v>2028</v>
      </c>
      <c r="AP2172" s="239" t="s">
        <v>178</v>
      </c>
      <c r="AT2172" s="239" t="s">
        <v>161</v>
      </c>
      <c r="AU2172" s="239">
        <v>3</v>
      </c>
      <c r="AW2172" s="239" t="s">
        <v>142</v>
      </c>
      <c r="BK2172" s="242"/>
      <c r="BM2172" s="454"/>
      <c r="BN2172" s="451"/>
      <c r="BR2172" s="451">
        <v>14.31</v>
      </c>
      <c r="BS2172" s="451">
        <v>15.96</v>
      </c>
      <c r="BV2172" s="239" t="s">
        <v>2266</v>
      </c>
      <c r="BW2172" s="239">
        <v>1.19</v>
      </c>
      <c r="BX2172" s="239">
        <v>1.39</v>
      </c>
      <c r="CA2172" s="239" t="s">
        <v>2266</v>
      </c>
      <c r="FH2172" s="240"/>
    </row>
    <row r="2173" spans="1:165" s="245" customFormat="1" x14ac:dyDescent="0.25">
      <c r="A2173" s="245">
        <v>100</v>
      </c>
      <c r="B2173" s="245" t="s">
        <v>2162</v>
      </c>
      <c r="C2173" s="245" t="s">
        <v>2257</v>
      </c>
      <c r="D2173" s="245">
        <v>2000</v>
      </c>
      <c r="E2173" s="245">
        <v>1994</v>
      </c>
      <c r="F2173" s="245" t="s">
        <v>1756</v>
      </c>
      <c r="G2173" s="245" t="s">
        <v>2163</v>
      </c>
      <c r="H2173" s="245" t="s">
        <v>2834</v>
      </c>
      <c r="I2173" s="245">
        <f t="shared" si="299"/>
        <v>-30.85</v>
      </c>
      <c r="J2173" s="245">
        <f t="shared" si="300"/>
        <v>-38.133333333333333</v>
      </c>
      <c r="K2173" s="245">
        <v>96</v>
      </c>
      <c r="L2173" s="245">
        <v>19.399999999999999</v>
      </c>
      <c r="N2173" s="245">
        <v>1440</v>
      </c>
      <c r="Q2173" s="245">
        <v>10</v>
      </c>
      <c r="R2173" s="245">
        <v>10</v>
      </c>
      <c r="T2173" s="245" t="s">
        <v>2260</v>
      </c>
      <c r="U2173" s="244" t="s">
        <v>2262</v>
      </c>
      <c r="V2173" s="245">
        <v>2.5</v>
      </c>
      <c r="W2173" s="244" t="s">
        <v>2262</v>
      </c>
      <c r="X2173" s="244" t="s">
        <v>1393</v>
      </c>
      <c r="Z2173" s="367">
        <v>54</v>
      </c>
      <c r="AA2173" s="367">
        <v>24</v>
      </c>
      <c r="AB2173" s="245" t="s">
        <v>519</v>
      </c>
      <c r="AF2173" s="245" t="s">
        <v>2164</v>
      </c>
      <c r="AG2173" s="245" t="s">
        <v>2165</v>
      </c>
      <c r="AH2173" s="245" t="s">
        <v>1587</v>
      </c>
      <c r="AI2173" s="245" t="s">
        <v>2259</v>
      </c>
      <c r="AJ2173" s="245" t="s">
        <v>1625</v>
      </c>
      <c r="AK2173" s="245" t="s">
        <v>2258</v>
      </c>
      <c r="AL2173" s="245" t="s">
        <v>2166</v>
      </c>
      <c r="AM2173" s="245" t="s">
        <v>178</v>
      </c>
      <c r="AN2173" s="245" t="s">
        <v>1048</v>
      </c>
      <c r="AO2173" s="245" t="s">
        <v>1048</v>
      </c>
      <c r="AP2173" s="245" t="s">
        <v>178</v>
      </c>
      <c r="AT2173" s="245" t="s">
        <v>161</v>
      </c>
      <c r="AU2173" s="245">
        <v>3</v>
      </c>
      <c r="AW2173" s="245" t="s">
        <v>142</v>
      </c>
      <c r="BK2173" s="248"/>
      <c r="BM2173" s="453"/>
      <c r="BN2173" s="437"/>
      <c r="BR2173" s="437">
        <v>23.18</v>
      </c>
      <c r="BS2173" s="437">
        <v>35.39</v>
      </c>
      <c r="BV2173" s="245" t="s">
        <v>2266</v>
      </c>
      <c r="BW2173" s="245">
        <v>1.65</v>
      </c>
      <c r="BX2173" s="245">
        <v>2.93</v>
      </c>
      <c r="CA2173" s="245" t="s">
        <v>2266</v>
      </c>
      <c r="FH2173" s="246"/>
    </row>
    <row r="2174" spans="1:165" s="245" customFormat="1" x14ac:dyDescent="0.25">
      <c r="A2174" s="245">
        <v>100</v>
      </c>
      <c r="B2174" s="245" t="s">
        <v>2162</v>
      </c>
      <c r="C2174" s="245" t="s">
        <v>2257</v>
      </c>
      <c r="D2174" s="245">
        <v>2000</v>
      </c>
      <c r="E2174" s="245">
        <v>1994</v>
      </c>
      <c r="F2174" s="245" t="s">
        <v>1756</v>
      </c>
      <c r="G2174" s="245" t="s">
        <v>2163</v>
      </c>
      <c r="H2174" s="245" t="s">
        <v>2834</v>
      </c>
      <c r="I2174" s="245">
        <f t="shared" si="299"/>
        <v>-30.85</v>
      </c>
      <c r="J2174" s="245">
        <f t="shared" si="300"/>
        <v>-38.133333333333333</v>
      </c>
      <c r="K2174" s="245">
        <v>96</v>
      </c>
      <c r="L2174" s="245">
        <v>19.399999999999999</v>
      </c>
      <c r="N2174" s="245">
        <v>1440</v>
      </c>
      <c r="Q2174" s="245">
        <v>10</v>
      </c>
      <c r="R2174" s="245">
        <v>10</v>
      </c>
      <c r="T2174" s="245" t="s">
        <v>2260</v>
      </c>
      <c r="U2174" s="244" t="s">
        <v>2263</v>
      </c>
      <c r="V2174" s="245">
        <v>2.5</v>
      </c>
      <c r="W2174" s="244" t="s">
        <v>2262</v>
      </c>
      <c r="X2174" s="244" t="s">
        <v>1393</v>
      </c>
      <c r="Z2174" s="367">
        <v>54</v>
      </c>
      <c r="AA2174" s="367">
        <v>24</v>
      </c>
      <c r="AB2174" s="245" t="s">
        <v>519</v>
      </c>
      <c r="AF2174" s="245" t="s">
        <v>2164</v>
      </c>
      <c r="AG2174" s="245" t="s">
        <v>2165</v>
      </c>
      <c r="AH2174" s="245" t="s">
        <v>1587</v>
      </c>
      <c r="AI2174" s="245" t="s">
        <v>2259</v>
      </c>
      <c r="AJ2174" s="245" t="s">
        <v>1625</v>
      </c>
      <c r="AK2174" s="245" t="s">
        <v>2258</v>
      </c>
      <c r="AL2174" s="245" t="s">
        <v>2166</v>
      </c>
      <c r="AM2174" s="245" t="s">
        <v>178</v>
      </c>
      <c r="AN2174" s="245" t="s">
        <v>1048</v>
      </c>
      <c r="AO2174" s="245" t="s">
        <v>1048</v>
      </c>
      <c r="AP2174" s="245" t="s">
        <v>178</v>
      </c>
      <c r="AT2174" s="245" t="s">
        <v>161</v>
      </c>
      <c r="AU2174" s="245">
        <v>3</v>
      </c>
      <c r="AW2174" s="245" t="s">
        <v>142</v>
      </c>
      <c r="BK2174" s="248"/>
      <c r="BM2174" s="453"/>
      <c r="BN2174" s="437"/>
      <c r="BR2174" s="437">
        <v>19</v>
      </c>
      <c r="BS2174" s="437">
        <v>26.31</v>
      </c>
      <c r="BV2174" s="245" t="s">
        <v>2266</v>
      </c>
      <c r="BW2174" s="245">
        <v>1.59</v>
      </c>
      <c r="BX2174" s="245">
        <v>2.2999999999999998</v>
      </c>
      <c r="CA2174" s="245" t="s">
        <v>2266</v>
      </c>
      <c r="FH2174" s="246"/>
    </row>
    <row r="2175" spans="1:165" s="245" customFormat="1" x14ac:dyDescent="0.25">
      <c r="A2175" s="245">
        <v>100</v>
      </c>
      <c r="B2175" s="245" t="s">
        <v>2162</v>
      </c>
      <c r="C2175" s="245" t="s">
        <v>2257</v>
      </c>
      <c r="D2175" s="245">
        <v>2000</v>
      </c>
      <c r="E2175" s="245">
        <v>1994</v>
      </c>
      <c r="F2175" s="245" t="s">
        <v>1756</v>
      </c>
      <c r="G2175" s="245" t="s">
        <v>2163</v>
      </c>
      <c r="H2175" s="245" t="s">
        <v>2834</v>
      </c>
      <c r="I2175" s="245">
        <f t="shared" si="299"/>
        <v>-30.85</v>
      </c>
      <c r="J2175" s="245">
        <f t="shared" si="300"/>
        <v>-38.133333333333333</v>
      </c>
      <c r="K2175" s="245">
        <v>96</v>
      </c>
      <c r="L2175" s="245">
        <v>19.399999999999999</v>
      </c>
      <c r="N2175" s="245">
        <v>1440</v>
      </c>
      <c r="Q2175" s="245">
        <v>10</v>
      </c>
      <c r="R2175" s="245">
        <v>10</v>
      </c>
      <c r="T2175" s="245" t="s">
        <v>2260</v>
      </c>
      <c r="U2175" s="244" t="s">
        <v>2264</v>
      </c>
      <c r="V2175" s="245">
        <v>2.5</v>
      </c>
      <c r="W2175" s="244" t="s">
        <v>2262</v>
      </c>
      <c r="X2175" s="244" t="s">
        <v>1393</v>
      </c>
      <c r="Z2175" s="367">
        <v>54</v>
      </c>
      <c r="AA2175" s="367">
        <v>24</v>
      </c>
      <c r="AB2175" s="245" t="s">
        <v>519</v>
      </c>
      <c r="AF2175" s="245" t="s">
        <v>2164</v>
      </c>
      <c r="AG2175" s="245" t="s">
        <v>2165</v>
      </c>
      <c r="AH2175" s="245" t="s">
        <v>1587</v>
      </c>
      <c r="AI2175" s="245" t="s">
        <v>2259</v>
      </c>
      <c r="AJ2175" s="245" t="s">
        <v>1625</v>
      </c>
      <c r="AK2175" s="245" t="s">
        <v>2258</v>
      </c>
      <c r="AL2175" s="245" t="s">
        <v>2166</v>
      </c>
      <c r="AM2175" s="245" t="s">
        <v>178</v>
      </c>
      <c r="AN2175" s="245" t="s">
        <v>1048</v>
      </c>
      <c r="AO2175" s="245" t="s">
        <v>1048</v>
      </c>
      <c r="AP2175" s="245" t="s">
        <v>178</v>
      </c>
      <c r="AT2175" s="245" t="s">
        <v>161</v>
      </c>
      <c r="AU2175" s="245">
        <v>3</v>
      </c>
      <c r="AW2175" s="245" t="s">
        <v>142</v>
      </c>
      <c r="BK2175" s="248"/>
      <c r="BM2175" s="453"/>
      <c r="BN2175" s="437"/>
      <c r="BR2175" s="437">
        <v>16.29</v>
      </c>
      <c r="BS2175" s="437">
        <v>20.36</v>
      </c>
      <c r="BV2175" s="245" t="s">
        <v>2266</v>
      </c>
      <c r="BW2175" s="245">
        <v>1.29</v>
      </c>
      <c r="BX2175" s="245">
        <v>1.75</v>
      </c>
      <c r="CA2175" s="245" t="s">
        <v>2266</v>
      </c>
      <c r="FH2175" s="246"/>
    </row>
    <row r="2176" spans="1:165" s="245" customFormat="1" x14ac:dyDescent="0.25">
      <c r="A2176" s="245">
        <v>100</v>
      </c>
      <c r="B2176" s="245" t="s">
        <v>2162</v>
      </c>
      <c r="C2176" s="245" t="s">
        <v>2257</v>
      </c>
      <c r="D2176" s="245">
        <v>2000</v>
      </c>
      <c r="E2176" s="245">
        <v>1994</v>
      </c>
      <c r="F2176" s="245" t="s">
        <v>1756</v>
      </c>
      <c r="G2176" s="245" t="s">
        <v>2163</v>
      </c>
      <c r="H2176" s="245" t="s">
        <v>2834</v>
      </c>
      <c r="I2176" s="245">
        <f t="shared" si="299"/>
        <v>-30.85</v>
      </c>
      <c r="J2176" s="245">
        <f t="shared" si="300"/>
        <v>-38.133333333333333</v>
      </c>
      <c r="K2176" s="245">
        <v>96</v>
      </c>
      <c r="L2176" s="245">
        <v>19.399999999999999</v>
      </c>
      <c r="N2176" s="245">
        <v>1440</v>
      </c>
      <c r="Q2176" s="245">
        <v>10</v>
      </c>
      <c r="R2176" s="245">
        <v>10</v>
      </c>
      <c r="T2176" s="245" t="s">
        <v>2260</v>
      </c>
      <c r="U2176" s="244" t="s">
        <v>2265</v>
      </c>
      <c r="V2176" s="245">
        <v>2.5</v>
      </c>
      <c r="W2176" s="244" t="s">
        <v>2262</v>
      </c>
      <c r="X2176" s="244" t="s">
        <v>1393</v>
      </c>
      <c r="Z2176" s="367">
        <v>54</v>
      </c>
      <c r="AA2176" s="367">
        <v>24</v>
      </c>
      <c r="AB2176" s="245" t="s">
        <v>519</v>
      </c>
      <c r="AF2176" s="245" t="s">
        <v>2164</v>
      </c>
      <c r="AG2176" s="245" t="s">
        <v>2165</v>
      </c>
      <c r="AH2176" s="245" t="s">
        <v>1587</v>
      </c>
      <c r="AI2176" s="245" t="s">
        <v>2259</v>
      </c>
      <c r="AJ2176" s="245" t="s">
        <v>1625</v>
      </c>
      <c r="AK2176" s="245" t="s">
        <v>2258</v>
      </c>
      <c r="AL2176" s="245" t="s">
        <v>2166</v>
      </c>
      <c r="AM2176" s="245" t="s">
        <v>178</v>
      </c>
      <c r="AN2176" s="245" t="s">
        <v>1048</v>
      </c>
      <c r="AO2176" s="245" t="s">
        <v>1048</v>
      </c>
      <c r="AP2176" s="245" t="s">
        <v>178</v>
      </c>
      <c r="AT2176" s="245" t="s">
        <v>161</v>
      </c>
      <c r="AU2176" s="245">
        <v>3</v>
      </c>
      <c r="AW2176" s="245" t="s">
        <v>142</v>
      </c>
      <c r="BK2176" s="248"/>
      <c r="BM2176" s="453"/>
      <c r="BN2176" s="437"/>
      <c r="BR2176" s="437">
        <v>15.63</v>
      </c>
      <c r="BS2176" s="437">
        <v>18.61</v>
      </c>
      <c r="BV2176" s="245" t="s">
        <v>2266</v>
      </c>
      <c r="BW2176" s="245">
        <v>1.33</v>
      </c>
      <c r="BX2176" s="245">
        <v>1.58</v>
      </c>
      <c r="CA2176" s="245" t="s">
        <v>2266</v>
      </c>
      <c r="FH2176" s="246"/>
    </row>
    <row r="2177" spans="1:164" s="245" customFormat="1" x14ac:dyDescent="0.25">
      <c r="A2177" s="245">
        <v>100</v>
      </c>
      <c r="B2177" s="245" t="s">
        <v>2162</v>
      </c>
      <c r="C2177" s="245" t="s">
        <v>2257</v>
      </c>
      <c r="D2177" s="245">
        <v>2000</v>
      </c>
      <c r="E2177" s="245">
        <v>1994</v>
      </c>
      <c r="F2177" s="245" t="s">
        <v>1756</v>
      </c>
      <c r="G2177" s="245" t="s">
        <v>2163</v>
      </c>
      <c r="H2177" s="245" t="s">
        <v>2834</v>
      </c>
      <c r="I2177" s="245">
        <f t="shared" si="299"/>
        <v>-30.85</v>
      </c>
      <c r="J2177" s="245">
        <f t="shared" si="300"/>
        <v>-38.133333333333333</v>
      </c>
      <c r="K2177" s="245">
        <v>96</v>
      </c>
      <c r="L2177" s="245">
        <v>19.399999999999999</v>
      </c>
      <c r="N2177" s="245">
        <v>1440</v>
      </c>
      <c r="Q2177" s="245">
        <v>10</v>
      </c>
      <c r="R2177" s="245">
        <v>10</v>
      </c>
      <c r="T2177" s="245" t="s">
        <v>2260</v>
      </c>
      <c r="U2177" s="244" t="s">
        <v>1413</v>
      </c>
      <c r="V2177" s="245">
        <v>15</v>
      </c>
      <c r="W2177" s="244" t="s">
        <v>2262</v>
      </c>
      <c r="X2177" s="244" t="s">
        <v>1393</v>
      </c>
      <c r="Z2177" s="367">
        <v>54</v>
      </c>
      <c r="AA2177" s="367">
        <v>24</v>
      </c>
      <c r="AB2177" s="245" t="s">
        <v>519</v>
      </c>
      <c r="AF2177" s="245" t="s">
        <v>2164</v>
      </c>
      <c r="AG2177" s="245" t="s">
        <v>2165</v>
      </c>
      <c r="AH2177" s="245" t="s">
        <v>1587</v>
      </c>
      <c r="AI2177" s="245" t="s">
        <v>2259</v>
      </c>
      <c r="AJ2177" s="245" t="s">
        <v>1625</v>
      </c>
      <c r="AK2177" s="245" t="s">
        <v>2258</v>
      </c>
      <c r="AL2177" s="245" t="s">
        <v>2166</v>
      </c>
      <c r="AM2177" s="245" t="s">
        <v>178</v>
      </c>
      <c r="AN2177" s="245" t="s">
        <v>1048</v>
      </c>
      <c r="AO2177" s="245" t="s">
        <v>1048</v>
      </c>
      <c r="AP2177" s="245" t="s">
        <v>178</v>
      </c>
      <c r="AT2177" s="245" t="s">
        <v>161</v>
      </c>
      <c r="AU2177" s="245">
        <v>3</v>
      </c>
      <c r="AW2177" s="245" t="s">
        <v>142</v>
      </c>
      <c r="BK2177" s="248"/>
      <c r="BM2177" s="453"/>
      <c r="BN2177" s="437"/>
      <c r="BR2177" s="437">
        <v>14.84</v>
      </c>
      <c r="BS2177" s="437">
        <v>16.739999999999998</v>
      </c>
      <c r="BV2177" s="245" t="s">
        <v>2266</v>
      </c>
      <c r="BW2177" s="245">
        <v>1.28</v>
      </c>
      <c r="BX2177" s="245">
        <v>1.43</v>
      </c>
      <c r="CA2177" s="245" t="s">
        <v>2266</v>
      </c>
      <c r="FH2177" s="246"/>
    </row>
    <row r="2178" spans="1:164" s="245" customFormat="1" x14ac:dyDescent="0.25">
      <c r="A2178" s="245">
        <v>100</v>
      </c>
      <c r="B2178" s="245" t="s">
        <v>2162</v>
      </c>
      <c r="C2178" s="245" t="s">
        <v>2257</v>
      </c>
      <c r="D2178" s="245">
        <v>2000</v>
      </c>
      <c r="E2178" s="245">
        <v>1994</v>
      </c>
      <c r="F2178" s="245" t="s">
        <v>1756</v>
      </c>
      <c r="G2178" s="245" t="s">
        <v>2163</v>
      </c>
      <c r="H2178" s="245" t="s">
        <v>2834</v>
      </c>
      <c r="I2178" s="245">
        <f t="shared" si="299"/>
        <v>-30.85</v>
      </c>
      <c r="J2178" s="245">
        <f t="shared" si="300"/>
        <v>-38.133333333333333</v>
      </c>
      <c r="K2178" s="245">
        <v>96</v>
      </c>
      <c r="L2178" s="245">
        <v>19.399999999999999</v>
      </c>
      <c r="N2178" s="245">
        <v>1440</v>
      </c>
      <c r="Q2178" s="245">
        <v>10</v>
      </c>
      <c r="R2178" s="245">
        <v>10</v>
      </c>
      <c r="T2178" s="245" t="s">
        <v>2260</v>
      </c>
      <c r="U2178" s="244" t="s">
        <v>1394</v>
      </c>
      <c r="V2178" s="245">
        <v>15</v>
      </c>
      <c r="W2178" s="244" t="s">
        <v>2262</v>
      </c>
      <c r="X2178" s="244" t="s">
        <v>1393</v>
      </c>
      <c r="Z2178" s="367">
        <v>54</v>
      </c>
      <c r="AA2178" s="367">
        <v>24</v>
      </c>
      <c r="AB2178" s="245" t="s">
        <v>519</v>
      </c>
      <c r="AF2178" s="245" t="s">
        <v>2164</v>
      </c>
      <c r="AG2178" s="245" t="s">
        <v>2165</v>
      </c>
      <c r="AH2178" s="245" t="s">
        <v>1587</v>
      </c>
      <c r="AI2178" s="245" t="s">
        <v>2259</v>
      </c>
      <c r="AJ2178" s="245" t="s">
        <v>1625</v>
      </c>
      <c r="AK2178" s="245" t="s">
        <v>2258</v>
      </c>
      <c r="AL2178" s="245" t="s">
        <v>2166</v>
      </c>
      <c r="AM2178" s="245" t="s">
        <v>178</v>
      </c>
      <c r="AN2178" s="245" t="s">
        <v>1048</v>
      </c>
      <c r="AO2178" s="245" t="s">
        <v>1048</v>
      </c>
      <c r="AP2178" s="245" t="s">
        <v>178</v>
      </c>
      <c r="AT2178" s="245" t="s">
        <v>161</v>
      </c>
      <c r="AU2178" s="245">
        <v>3</v>
      </c>
      <c r="AW2178" s="245" t="s">
        <v>142</v>
      </c>
      <c r="BK2178" s="248"/>
      <c r="BM2178" s="453"/>
      <c r="BN2178" s="437"/>
      <c r="BR2178" s="437">
        <v>16.100000000000001</v>
      </c>
      <c r="BS2178" s="437">
        <v>15.01</v>
      </c>
      <c r="BV2178" s="245" t="s">
        <v>2266</v>
      </c>
      <c r="BW2178" s="245">
        <v>1.0900000000000001</v>
      </c>
      <c r="BX2178" s="245">
        <v>1.1200000000000001</v>
      </c>
      <c r="CA2178" s="245" t="s">
        <v>2266</v>
      </c>
      <c r="FH2178" s="246"/>
    </row>
    <row r="2179" spans="1:164" s="164" customFormat="1" x14ac:dyDescent="0.25">
      <c r="A2179" s="164">
        <v>101</v>
      </c>
      <c r="B2179" s="164" t="s">
        <v>2167</v>
      </c>
      <c r="D2179" s="164">
        <v>2010</v>
      </c>
      <c r="E2179" s="164">
        <v>1997</v>
      </c>
      <c r="F2179" s="164" t="s">
        <v>2168</v>
      </c>
      <c r="G2179" s="164" t="s">
        <v>2169</v>
      </c>
      <c r="H2179" s="164" t="s">
        <v>2835</v>
      </c>
      <c r="I2179" s="164">
        <f>48+19/60</f>
        <v>48.31666666666667</v>
      </c>
      <c r="J2179" s="164">
        <f>2+23/60</f>
        <v>2.3833333333333333</v>
      </c>
      <c r="K2179" s="164">
        <v>512</v>
      </c>
      <c r="L2179" s="164">
        <v>11.5</v>
      </c>
      <c r="N2179" s="164">
        <v>604</v>
      </c>
      <c r="Q2179" s="164">
        <v>7</v>
      </c>
      <c r="R2179" s="164">
        <v>16</v>
      </c>
      <c r="T2179" s="164" t="s">
        <v>2017</v>
      </c>
      <c r="U2179" s="185" t="s">
        <v>1393</v>
      </c>
      <c r="V2179" s="164">
        <v>30</v>
      </c>
      <c r="Y2179" s="317">
        <v>1.42</v>
      </c>
      <c r="Z2179" s="381"/>
      <c r="AA2179" s="381"/>
      <c r="AF2179" s="164" t="s">
        <v>2170</v>
      </c>
      <c r="AG2179" s="164" t="s">
        <v>2171</v>
      </c>
      <c r="AH2179" s="164" t="s">
        <v>1131</v>
      </c>
      <c r="AI2179" s="164" t="s">
        <v>2274</v>
      </c>
      <c r="AJ2179" s="164" t="s">
        <v>1658</v>
      </c>
      <c r="AK2179" s="164" t="s">
        <v>2172</v>
      </c>
      <c r="AL2179" s="164" t="s">
        <v>2172</v>
      </c>
      <c r="AM2179" s="164" t="s">
        <v>178</v>
      </c>
      <c r="AN2179" s="164" t="s">
        <v>2028</v>
      </c>
      <c r="AQ2179" s="164" t="s">
        <v>2173</v>
      </c>
      <c r="AT2179" s="185" t="s">
        <v>161</v>
      </c>
      <c r="AU2179" s="164">
        <v>3</v>
      </c>
      <c r="AV2179" s="164">
        <v>6</v>
      </c>
      <c r="AW2179" s="164" t="s">
        <v>142</v>
      </c>
      <c r="BH2179" s="164">
        <f>(15.4+12+9)/3*1000</f>
        <v>12133.333333333332</v>
      </c>
      <c r="BI2179" s="164">
        <f>(15.9+12.6+9.1)/3*1000</f>
        <v>12533.333333333334</v>
      </c>
      <c r="BK2179" s="166"/>
      <c r="BL2179" s="164" t="s">
        <v>2281</v>
      </c>
      <c r="BM2179" s="433"/>
      <c r="BN2179" s="433"/>
      <c r="BR2179" s="433">
        <v>44.7</v>
      </c>
      <c r="BS2179" s="433">
        <v>45.7</v>
      </c>
      <c r="BT2179" s="164">
        <f>SQRT(3)*1.4</f>
        <v>2.4248711305964279</v>
      </c>
      <c r="BU2179" s="164">
        <f>SQRT(3)*1.1</f>
        <v>1.9052558883257651</v>
      </c>
      <c r="BV2179" s="164" t="s">
        <v>2105</v>
      </c>
      <c r="BW2179" s="164">
        <v>4.8499999999999996</v>
      </c>
      <c r="BX2179" s="164">
        <v>5.07</v>
      </c>
      <c r="BY2179" s="164">
        <f>SQRT(3)*0.06</f>
        <v>0.10392304845413262</v>
      </c>
      <c r="BZ2179" s="164">
        <f>SQRT(3)*0.1</f>
        <v>0.17320508075688773</v>
      </c>
      <c r="CA2179" s="164" t="s">
        <v>2269</v>
      </c>
      <c r="EJ2179" s="164">
        <v>143</v>
      </c>
      <c r="EK2179" s="164">
        <v>140</v>
      </c>
      <c r="EN2179" s="164" t="s">
        <v>2282</v>
      </c>
      <c r="EO2179" s="164">
        <v>29</v>
      </c>
      <c r="EP2179" s="164">
        <v>18</v>
      </c>
      <c r="ES2179" s="164" t="s">
        <v>2283</v>
      </c>
      <c r="FH2179" s="165"/>
    </row>
    <row r="2180" spans="1:164" s="164" customFormat="1" x14ac:dyDescent="0.25">
      <c r="A2180" s="164">
        <v>101</v>
      </c>
      <c r="B2180" s="164" t="s">
        <v>2167</v>
      </c>
      <c r="D2180" s="164">
        <v>2010</v>
      </c>
      <c r="E2180" s="164">
        <v>1997</v>
      </c>
      <c r="F2180" s="164" t="s">
        <v>2168</v>
      </c>
      <c r="G2180" s="164" t="s">
        <v>2169</v>
      </c>
      <c r="H2180" s="164" t="s">
        <v>2835</v>
      </c>
      <c r="I2180" s="164">
        <f>48+19/60</f>
        <v>48.31666666666667</v>
      </c>
      <c r="J2180" s="164">
        <f>2+23/60</f>
        <v>2.3833333333333333</v>
      </c>
      <c r="K2180" s="164">
        <v>512</v>
      </c>
      <c r="L2180" s="164">
        <v>11.5</v>
      </c>
      <c r="N2180" s="164">
        <v>604</v>
      </c>
      <c r="Q2180" s="164">
        <v>7</v>
      </c>
      <c r="R2180" s="164">
        <v>16</v>
      </c>
      <c r="T2180" s="164" t="s">
        <v>2017</v>
      </c>
      <c r="U2180" s="185" t="s">
        <v>2174</v>
      </c>
      <c r="V2180" s="164">
        <v>28</v>
      </c>
      <c r="Y2180" s="317">
        <v>1.52</v>
      </c>
      <c r="Z2180" s="381"/>
      <c r="AA2180" s="381"/>
      <c r="AF2180" s="164" t="s">
        <v>2170</v>
      </c>
      <c r="AG2180" s="164" t="s">
        <v>2171</v>
      </c>
      <c r="AH2180" s="164" t="s">
        <v>1131</v>
      </c>
      <c r="AI2180" s="164" t="s">
        <v>2274</v>
      </c>
      <c r="AJ2180" s="164" t="s">
        <v>1658</v>
      </c>
      <c r="AK2180" s="164" t="s">
        <v>2172</v>
      </c>
      <c r="AL2180" s="164" t="s">
        <v>2172</v>
      </c>
      <c r="AM2180" s="164" t="s">
        <v>178</v>
      </c>
      <c r="AN2180" s="164" t="s">
        <v>1048</v>
      </c>
      <c r="AQ2180" s="164" t="s">
        <v>2173</v>
      </c>
      <c r="AT2180" s="185" t="s">
        <v>161</v>
      </c>
      <c r="AU2180" s="164">
        <v>3</v>
      </c>
      <c r="AV2180" s="164">
        <v>6</v>
      </c>
      <c r="AW2180" s="164" t="s">
        <v>142</v>
      </c>
      <c r="BH2180" s="164">
        <f>(15.1+12.4+7.2)/3*1000</f>
        <v>11566.666666666668</v>
      </c>
      <c r="BI2180" s="164">
        <f>(15.6+12.4+6.9)/3*1000</f>
        <v>11633.333333333332</v>
      </c>
      <c r="BK2180" s="166"/>
      <c r="BL2180" s="164" t="s">
        <v>2281</v>
      </c>
      <c r="BM2180" s="433"/>
      <c r="BN2180" s="433"/>
      <c r="BR2180" s="433">
        <v>44.2</v>
      </c>
      <c r="BS2180" s="433">
        <v>45.1</v>
      </c>
      <c r="BT2180" s="164">
        <f>SQRT(3)*1.2</f>
        <v>2.0784609690826525</v>
      </c>
      <c r="BU2180" s="164">
        <f>SQRT(3)*1.7</f>
        <v>2.9444863728670914</v>
      </c>
      <c r="BV2180" s="164" t="s">
        <v>2105</v>
      </c>
      <c r="BW2180" s="164">
        <v>4.8600000000000003</v>
      </c>
      <c r="BX2180" s="164">
        <v>5.0199999999999996</v>
      </c>
      <c r="BY2180" s="164">
        <f>SQRT(3)*0.15</f>
        <v>0.25980762113533157</v>
      </c>
      <c r="BZ2180" s="164">
        <f>SQRT(3)*0.13</f>
        <v>0.22516660498395405</v>
      </c>
      <c r="CA2180" s="164" t="s">
        <v>2269</v>
      </c>
      <c r="EJ2180" s="164">
        <v>143</v>
      </c>
      <c r="EK2180" s="164">
        <v>140</v>
      </c>
      <c r="EN2180" s="164" t="s">
        <v>2282</v>
      </c>
      <c r="EO2180" s="164">
        <v>21</v>
      </c>
      <c r="EP2180" s="164">
        <v>14</v>
      </c>
      <c r="ES2180" s="164" t="s">
        <v>2283</v>
      </c>
      <c r="FH2180" s="165"/>
    </row>
    <row r="2181" spans="1:164" s="224" customFormat="1" x14ac:dyDescent="0.25">
      <c r="A2181" s="224">
        <v>101</v>
      </c>
      <c r="B2181" s="224" t="s">
        <v>2167</v>
      </c>
      <c r="D2181" s="224">
        <v>2010</v>
      </c>
      <c r="E2181" s="224">
        <v>1997</v>
      </c>
      <c r="F2181" s="224" t="s">
        <v>2168</v>
      </c>
      <c r="G2181" s="224" t="s">
        <v>2175</v>
      </c>
      <c r="H2181" s="164" t="s">
        <v>2835</v>
      </c>
      <c r="I2181" s="224">
        <f>48+3/60</f>
        <v>48.05</v>
      </c>
      <c r="J2181" s="224">
        <f>-4-4/60</f>
        <v>-4.0666666666666664</v>
      </c>
      <c r="K2181" s="224">
        <v>105</v>
      </c>
      <c r="L2181" s="224">
        <v>12.1</v>
      </c>
      <c r="N2181" s="224">
        <v>1213</v>
      </c>
      <c r="Q2181" s="224">
        <v>7</v>
      </c>
      <c r="R2181" s="224">
        <v>13</v>
      </c>
      <c r="T2181" s="224" t="s">
        <v>2268</v>
      </c>
      <c r="U2181" s="223" t="s">
        <v>1393</v>
      </c>
      <c r="V2181" s="224">
        <v>30</v>
      </c>
      <c r="Y2181" s="386">
        <v>1.26</v>
      </c>
      <c r="Z2181" s="377"/>
      <c r="AA2181" s="377"/>
      <c r="AF2181" s="224" t="s">
        <v>2176</v>
      </c>
      <c r="AG2181" s="224" t="s">
        <v>2177</v>
      </c>
      <c r="AH2181" s="224" t="s">
        <v>132</v>
      </c>
      <c r="AI2181" s="224" t="s">
        <v>2271</v>
      </c>
      <c r="AJ2181" s="224" t="s">
        <v>1616</v>
      </c>
      <c r="AK2181" s="224" t="s">
        <v>2270</v>
      </c>
      <c r="AL2181" s="224" t="s">
        <v>2270</v>
      </c>
      <c r="AM2181" s="224" t="s">
        <v>178</v>
      </c>
      <c r="AN2181" s="224" t="s">
        <v>2028</v>
      </c>
      <c r="AQ2181" s="224" t="s">
        <v>2178</v>
      </c>
      <c r="AT2181" s="223" t="s">
        <v>161</v>
      </c>
      <c r="AU2181" s="224">
        <v>3</v>
      </c>
      <c r="AV2181" s="224">
        <v>6</v>
      </c>
      <c r="AW2181" s="224" t="s">
        <v>142</v>
      </c>
      <c r="BH2181" s="224">
        <f>(11.9+14.4)/2*1000</f>
        <v>13150</v>
      </c>
      <c r="BI2181" s="224">
        <f>(12.2+14.7)/2*1000</f>
        <v>13450</v>
      </c>
      <c r="BK2181" s="228"/>
      <c r="BL2181" s="224" t="s">
        <v>2281</v>
      </c>
      <c r="BM2181" s="441"/>
      <c r="BN2181" s="441"/>
      <c r="BR2181" s="441">
        <v>98.6</v>
      </c>
      <c r="BS2181" s="441">
        <v>102.9</v>
      </c>
      <c r="BT2181" s="224">
        <f>SQRT(3)*2.6</f>
        <v>4.5033320996790804</v>
      </c>
      <c r="BU2181" s="224">
        <f>SQRT(3)*2.8</f>
        <v>4.8497422611928558</v>
      </c>
      <c r="BV2181" s="224" t="s">
        <v>2105</v>
      </c>
      <c r="BW2181" s="224">
        <v>9.1999999999999993</v>
      </c>
      <c r="BX2181" s="224">
        <v>9.52</v>
      </c>
      <c r="BY2181" s="224">
        <f>SQRT(3)*0.23</f>
        <v>0.39837168574084175</v>
      </c>
      <c r="BZ2181" s="224">
        <f>SQRT(3)*0.25</f>
        <v>0.4330127018922193</v>
      </c>
      <c r="CA2181" s="224" t="s">
        <v>2269</v>
      </c>
      <c r="EJ2181" s="224">
        <v>593</v>
      </c>
      <c r="EK2181" s="224">
        <v>563</v>
      </c>
      <c r="EN2181" s="224" t="s">
        <v>2282</v>
      </c>
      <c r="EO2181" s="224">
        <v>71</v>
      </c>
      <c r="EP2181" s="224">
        <v>39</v>
      </c>
      <c r="ES2181" s="224" t="s">
        <v>2283</v>
      </c>
      <c r="FH2181" s="226"/>
    </row>
    <row r="2182" spans="1:164" s="164" customFormat="1" x14ac:dyDescent="0.25">
      <c r="A2182" s="164">
        <v>101</v>
      </c>
      <c r="B2182" s="164" t="s">
        <v>2167</v>
      </c>
      <c r="D2182" s="164">
        <v>2010</v>
      </c>
      <c r="E2182" s="164">
        <v>1997</v>
      </c>
      <c r="F2182" s="164" t="s">
        <v>2168</v>
      </c>
      <c r="G2182" s="164" t="s">
        <v>2179</v>
      </c>
      <c r="H2182" s="164" t="s">
        <v>2835</v>
      </c>
      <c r="I2182" s="164">
        <v>48.93</v>
      </c>
      <c r="J2182" s="164">
        <f>4+14/60</f>
        <v>4.2333333333333334</v>
      </c>
      <c r="K2182" s="164">
        <v>203</v>
      </c>
      <c r="L2182" s="164">
        <v>10.8</v>
      </c>
      <c r="N2182" s="164">
        <v>605</v>
      </c>
      <c r="Q2182" s="164">
        <v>7</v>
      </c>
      <c r="R2182" s="164">
        <v>17</v>
      </c>
      <c r="T2182" s="164" t="s">
        <v>2267</v>
      </c>
      <c r="U2182" s="185" t="s">
        <v>1393</v>
      </c>
      <c r="V2182" s="164">
        <v>30</v>
      </c>
      <c r="Y2182" s="317">
        <v>1.4</v>
      </c>
      <c r="Z2182" s="381"/>
      <c r="AA2182" s="381"/>
      <c r="AB2182" s="164" t="s">
        <v>140</v>
      </c>
      <c r="AF2182" s="164" t="s">
        <v>2180</v>
      </c>
      <c r="AG2182" s="164" t="s">
        <v>2181</v>
      </c>
      <c r="AH2182" s="164" t="s">
        <v>2272</v>
      </c>
      <c r="AI2182" s="164" t="s">
        <v>2275</v>
      </c>
      <c r="AJ2182" s="164" t="s">
        <v>1658</v>
      </c>
      <c r="AK2182" s="164" t="s">
        <v>2182</v>
      </c>
      <c r="AL2182" s="164" t="s">
        <v>2182</v>
      </c>
      <c r="AM2182" s="164" t="s">
        <v>178</v>
      </c>
      <c r="AN2182" s="164" t="s">
        <v>2028</v>
      </c>
      <c r="AQ2182" s="164" t="s">
        <v>2183</v>
      </c>
      <c r="AT2182" s="185" t="s">
        <v>161</v>
      </c>
      <c r="AU2182" s="164">
        <v>3</v>
      </c>
      <c r="AV2182" s="164">
        <v>6</v>
      </c>
      <c r="AW2182" s="164" t="s">
        <v>142</v>
      </c>
      <c r="BH2182" s="164">
        <f>(22.8+14.7+8.1)/3*1000</f>
        <v>15200.000000000002</v>
      </c>
      <c r="BI2182" s="164">
        <f>(21.8+13.8+8.5)/3*1000</f>
        <v>14700.000000000002</v>
      </c>
      <c r="BK2182" s="166"/>
      <c r="BL2182" s="164" t="s">
        <v>2281</v>
      </c>
      <c r="BM2182" s="433"/>
      <c r="BN2182" s="433"/>
      <c r="BR2182" s="433">
        <v>59.7</v>
      </c>
      <c r="BS2182" s="433">
        <v>61.7</v>
      </c>
      <c r="BT2182" s="164">
        <f>SQRT(3)*6</f>
        <v>10.392304845413264</v>
      </c>
      <c r="BU2182" s="164">
        <f>SQRT(3)*3.9</f>
        <v>6.7549981495186211</v>
      </c>
      <c r="BV2182" s="164" t="s">
        <v>2105</v>
      </c>
      <c r="BW2182" s="164">
        <v>6.34</v>
      </c>
      <c r="BX2182" s="164">
        <v>6.72</v>
      </c>
      <c r="BY2182" s="164">
        <f>SQRT(3)*0.37</f>
        <v>0.64085879880048457</v>
      </c>
      <c r="BZ2182" s="164">
        <f>SQRT(3)*0.26</f>
        <v>0.4503332099679081</v>
      </c>
      <c r="CA2182" s="164" t="s">
        <v>2269</v>
      </c>
      <c r="EJ2182" s="164">
        <v>120</v>
      </c>
      <c r="EK2182" s="164">
        <v>94</v>
      </c>
      <c r="EN2182" s="164" t="s">
        <v>2282</v>
      </c>
      <c r="EO2182" s="164">
        <v>29</v>
      </c>
      <c r="EP2182" s="164">
        <v>11</v>
      </c>
      <c r="ES2182" s="164" t="s">
        <v>2283</v>
      </c>
      <c r="FH2182" s="165"/>
    </row>
    <row r="2183" spans="1:164" s="164" customFormat="1" x14ac:dyDescent="0.25">
      <c r="A2183" s="164">
        <v>101</v>
      </c>
      <c r="B2183" s="164" t="s">
        <v>2167</v>
      </c>
      <c r="D2183" s="164">
        <v>2010</v>
      </c>
      <c r="E2183" s="164">
        <v>1997</v>
      </c>
      <c r="F2183" s="164" t="s">
        <v>2168</v>
      </c>
      <c r="G2183" s="164" t="s">
        <v>2179</v>
      </c>
      <c r="H2183" s="164" t="s">
        <v>2835</v>
      </c>
      <c r="I2183" s="164">
        <v>48.93</v>
      </c>
      <c r="J2183" s="164">
        <f t="shared" ref="J2183:J2184" si="301">4+14/60</f>
        <v>4.2333333333333334</v>
      </c>
      <c r="K2183" s="164">
        <v>203</v>
      </c>
      <c r="L2183" s="164">
        <v>10.8</v>
      </c>
      <c r="N2183" s="164">
        <v>605</v>
      </c>
      <c r="Q2183" s="164">
        <v>7</v>
      </c>
      <c r="R2183" s="164">
        <v>17</v>
      </c>
      <c r="T2183" s="164" t="s">
        <v>2267</v>
      </c>
      <c r="U2183" s="185" t="s">
        <v>2184</v>
      </c>
      <c r="V2183" s="164">
        <v>23.5</v>
      </c>
      <c r="Y2183" s="317">
        <v>1.36</v>
      </c>
      <c r="Z2183" s="381"/>
      <c r="AA2183" s="381"/>
      <c r="AB2183" s="164" t="s">
        <v>140</v>
      </c>
      <c r="AF2183" s="164" t="s">
        <v>2180</v>
      </c>
      <c r="AG2183" s="164" t="s">
        <v>2181</v>
      </c>
      <c r="AH2183" s="164" t="s">
        <v>2272</v>
      </c>
      <c r="AI2183" s="164" t="s">
        <v>2275</v>
      </c>
      <c r="AJ2183" s="164" t="s">
        <v>1658</v>
      </c>
      <c r="AK2183" s="164" t="s">
        <v>2185</v>
      </c>
      <c r="AL2183" s="164" t="s">
        <v>2185</v>
      </c>
      <c r="AM2183" s="164" t="s">
        <v>178</v>
      </c>
      <c r="AN2183" s="164" t="s">
        <v>2028</v>
      </c>
      <c r="AQ2183" s="164" t="s">
        <v>2183</v>
      </c>
      <c r="AT2183" s="185" t="s">
        <v>161</v>
      </c>
      <c r="AU2183" s="164">
        <v>3</v>
      </c>
      <c r="AV2183" s="164">
        <v>6</v>
      </c>
      <c r="AW2183" s="164" t="s">
        <v>142</v>
      </c>
      <c r="BH2183" s="164">
        <f>(20.5+11.8+7.6)/3*1000</f>
        <v>13299.999999999998</v>
      </c>
      <c r="BI2183" s="164">
        <f>(21.1+11.7+7.6)/3*1000</f>
        <v>13466.666666666666</v>
      </c>
      <c r="BK2183" s="166"/>
      <c r="BL2183" s="164" t="s">
        <v>2281</v>
      </c>
      <c r="BM2183" s="433"/>
      <c r="BN2183" s="433"/>
      <c r="BR2183" s="433">
        <v>50.5</v>
      </c>
      <c r="BS2183" s="433">
        <v>52.5</v>
      </c>
      <c r="BT2183" s="164">
        <f>SQRT(3)*3.9</f>
        <v>6.7549981495186211</v>
      </c>
      <c r="BU2183" s="164">
        <f>SQRT(3)*2.6</f>
        <v>4.5033320996790804</v>
      </c>
      <c r="BV2183" s="164" t="s">
        <v>2105</v>
      </c>
      <c r="BW2183" s="164">
        <v>5.55</v>
      </c>
      <c r="BX2183" s="164">
        <v>5.77</v>
      </c>
      <c r="BY2183" s="164">
        <f>SQRT(3)*0.29</f>
        <v>0.50229473419497439</v>
      </c>
      <c r="BZ2183" s="164">
        <f>SQRT(3)*0.11</f>
        <v>0.1905255888325765</v>
      </c>
      <c r="CA2183" s="164" t="s">
        <v>2269</v>
      </c>
      <c r="EJ2183" s="164">
        <v>144</v>
      </c>
      <c r="EK2183" s="164">
        <v>123</v>
      </c>
      <c r="EN2183" s="164" t="s">
        <v>2282</v>
      </c>
      <c r="EO2183" s="164">
        <v>36</v>
      </c>
      <c r="EP2183" s="164">
        <v>15</v>
      </c>
      <c r="ES2183" s="164" t="s">
        <v>2283</v>
      </c>
      <c r="FH2183" s="165"/>
    </row>
    <row r="2184" spans="1:164" s="164" customFormat="1" x14ac:dyDescent="0.25">
      <c r="A2184" s="164">
        <v>101</v>
      </c>
      <c r="B2184" s="164" t="s">
        <v>2167</v>
      </c>
      <c r="D2184" s="164">
        <v>2010</v>
      </c>
      <c r="E2184" s="164">
        <v>1997</v>
      </c>
      <c r="F2184" s="164" t="s">
        <v>2168</v>
      </c>
      <c r="G2184" s="164" t="s">
        <v>2179</v>
      </c>
      <c r="H2184" s="164" t="s">
        <v>2835</v>
      </c>
      <c r="I2184" s="164">
        <v>48.93</v>
      </c>
      <c r="J2184" s="164">
        <f t="shared" si="301"/>
        <v>4.2333333333333334</v>
      </c>
      <c r="K2184" s="164">
        <v>203</v>
      </c>
      <c r="L2184" s="164">
        <v>10.8</v>
      </c>
      <c r="N2184" s="164">
        <v>605</v>
      </c>
      <c r="Q2184" s="164">
        <v>7</v>
      </c>
      <c r="R2184" s="164">
        <v>13</v>
      </c>
      <c r="T2184" s="164" t="s">
        <v>2268</v>
      </c>
      <c r="U2184" s="185" t="s">
        <v>2184</v>
      </c>
      <c r="V2184" s="164">
        <v>23.5</v>
      </c>
      <c r="Y2184" s="317">
        <v>1.36</v>
      </c>
      <c r="Z2184" s="381"/>
      <c r="AA2184" s="381"/>
      <c r="AB2184" s="164" t="s">
        <v>140</v>
      </c>
      <c r="AF2184" s="164" t="s">
        <v>2180</v>
      </c>
      <c r="AG2184" s="164" t="s">
        <v>2181</v>
      </c>
      <c r="AH2184" s="164" t="s">
        <v>2272</v>
      </c>
      <c r="AI2184" s="164" t="s">
        <v>2275</v>
      </c>
      <c r="AJ2184" s="164" t="s">
        <v>1658</v>
      </c>
      <c r="AK2184" s="164" t="s">
        <v>2185</v>
      </c>
      <c r="AL2184" s="164" t="s">
        <v>2185</v>
      </c>
      <c r="AM2184" s="164" t="s">
        <v>178</v>
      </c>
      <c r="AN2184" s="164" t="s">
        <v>2028</v>
      </c>
      <c r="AQ2184" s="164" t="s">
        <v>2186</v>
      </c>
      <c r="AT2184" s="185" t="s">
        <v>161</v>
      </c>
      <c r="AU2184" s="164">
        <v>3</v>
      </c>
      <c r="AV2184" s="164">
        <v>6</v>
      </c>
      <c r="AW2184" s="164" t="s">
        <v>142</v>
      </c>
      <c r="BH2184" s="164">
        <f>20.5*1000</f>
        <v>20500</v>
      </c>
      <c r="BI2184" s="164">
        <f>21.1*1000</f>
        <v>21100</v>
      </c>
      <c r="BK2184" s="166"/>
      <c r="BL2184" s="164" t="s">
        <v>2281</v>
      </c>
      <c r="BM2184" s="433"/>
      <c r="BN2184" s="433"/>
      <c r="BR2184" s="433">
        <v>50.2</v>
      </c>
      <c r="BS2184" s="433">
        <v>51.8</v>
      </c>
      <c r="BT2184" s="164">
        <f>SQRT(3)*3.2</f>
        <v>5.5425625842204074</v>
      </c>
      <c r="BU2184" s="164">
        <f>SQRT(3)*1.9</f>
        <v>3.2908965343808667</v>
      </c>
      <c r="BV2184" s="164" t="s">
        <v>2105</v>
      </c>
      <c r="BW2184" s="164">
        <v>5.44</v>
      </c>
      <c r="BX2184" s="164">
        <v>5.69</v>
      </c>
      <c r="BY2184" s="164">
        <f>SQRT(3)*0.18</f>
        <v>0.31176914536239786</v>
      </c>
      <c r="BZ2184" s="164">
        <f>SQRT(3)*0.14</f>
        <v>0.24248711305964282</v>
      </c>
      <c r="CA2184" s="164" t="s">
        <v>2269</v>
      </c>
      <c r="EJ2184" s="164">
        <v>144</v>
      </c>
      <c r="EK2184" s="164">
        <v>123</v>
      </c>
      <c r="EN2184" s="164" t="s">
        <v>2282</v>
      </c>
      <c r="EO2184" s="164">
        <v>31</v>
      </c>
      <c r="EP2184" s="164">
        <v>13</v>
      </c>
      <c r="ES2184" s="164" t="s">
        <v>2283</v>
      </c>
      <c r="FH2184" s="165"/>
    </row>
    <row r="2185" spans="1:164" s="388" customFormat="1" x14ac:dyDescent="0.25">
      <c r="A2185" s="388">
        <v>101</v>
      </c>
      <c r="B2185" s="388" t="s">
        <v>2167</v>
      </c>
      <c r="D2185" s="388">
        <v>2010</v>
      </c>
      <c r="E2185" s="388">
        <v>2005</v>
      </c>
      <c r="F2185" s="388" t="s">
        <v>2168</v>
      </c>
      <c r="G2185" s="388" t="s">
        <v>2169</v>
      </c>
      <c r="H2185" s="164" t="s">
        <v>2835</v>
      </c>
      <c r="I2185" s="388">
        <f t="shared" ref="I2185:I2190" si="302">48+19/60</f>
        <v>48.31666666666667</v>
      </c>
      <c r="J2185" s="388">
        <f t="shared" ref="J2185:J2190" si="303">2+23/60</f>
        <v>2.3833333333333333</v>
      </c>
      <c r="K2185" s="388">
        <v>512</v>
      </c>
      <c r="L2185" s="388">
        <v>11.5</v>
      </c>
      <c r="N2185" s="388">
        <v>604</v>
      </c>
      <c r="Q2185" s="388">
        <v>13</v>
      </c>
      <c r="R2185" s="388">
        <v>16</v>
      </c>
      <c r="T2185" s="388" t="s">
        <v>2017</v>
      </c>
      <c r="U2185" s="389" t="s">
        <v>1393</v>
      </c>
      <c r="V2185" s="388">
        <v>30</v>
      </c>
      <c r="Z2185" s="390"/>
      <c r="AA2185" s="390"/>
      <c r="AF2185" s="388" t="s">
        <v>2170</v>
      </c>
      <c r="AG2185" s="388" t="s">
        <v>2171</v>
      </c>
      <c r="AH2185" s="388" t="s">
        <v>1131</v>
      </c>
      <c r="AI2185" s="388" t="s">
        <v>2276</v>
      </c>
      <c r="AJ2185" s="388" t="s">
        <v>117</v>
      </c>
      <c r="AK2185" s="388" t="s">
        <v>2172</v>
      </c>
      <c r="AL2185" s="388" t="s">
        <v>2172</v>
      </c>
      <c r="AM2185" s="388" t="s">
        <v>178</v>
      </c>
      <c r="AN2185" s="388" t="s">
        <v>2028</v>
      </c>
      <c r="AQ2185" s="388" t="s">
        <v>2173</v>
      </c>
      <c r="AT2185" s="389" t="s">
        <v>161</v>
      </c>
      <c r="AU2185" s="388">
        <v>3</v>
      </c>
      <c r="AV2185" s="388">
        <v>6</v>
      </c>
      <c r="AW2185" s="388" t="s">
        <v>142</v>
      </c>
      <c r="BH2185" s="388">
        <f>1000*15.7</f>
        <v>15700</v>
      </c>
      <c r="BI2185" s="388">
        <f>1000*15.6</f>
        <v>15600</v>
      </c>
      <c r="BK2185" s="391"/>
      <c r="BL2185" s="388" t="s">
        <v>2281</v>
      </c>
      <c r="BM2185" s="455"/>
      <c r="BN2185" s="455"/>
      <c r="BR2185" s="455"/>
      <c r="BS2185" s="455"/>
      <c r="FH2185" s="392"/>
    </row>
    <row r="2186" spans="1:164" s="388" customFormat="1" x14ac:dyDescent="0.25">
      <c r="A2186" s="388">
        <v>101</v>
      </c>
      <c r="B2186" s="388" t="s">
        <v>2167</v>
      </c>
      <c r="D2186" s="388">
        <v>2010</v>
      </c>
      <c r="E2186" s="388">
        <v>2005</v>
      </c>
      <c r="F2186" s="388" t="s">
        <v>2168</v>
      </c>
      <c r="G2186" s="388" t="s">
        <v>2169</v>
      </c>
      <c r="H2186" s="164" t="s">
        <v>2835</v>
      </c>
      <c r="I2186" s="388">
        <f t="shared" si="302"/>
        <v>48.31666666666667</v>
      </c>
      <c r="J2186" s="388">
        <f t="shared" si="303"/>
        <v>2.3833333333333333</v>
      </c>
      <c r="K2186" s="388">
        <v>512</v>
      </c>
      <c r="L2186" s="388">
        <v>11.5</v>
      </c>
      <c r="N2186" s="388">
        <v>604</v>
      </c>
      <c r="Q2186" s="388">
        <v>13</v>
      </c>
      <c r="R2186" s="388">
        <v>16</v>
      </c>
      <c r="T2186" s="388" t="s">
        <v>2017</v>
      </c>
      <c r="U2186" s="389" t="s">
        <v>1393</v>
      </c>
      <c r="V2186" s="388">
        <v>30</v>
      </c>
      <c r="Z2186" s="390"/>
      <c r="AA2186" s="390"/>
      <c r="AF2186" s="388" t="s">
        <v>2170</v>
      </c>
      <c r="AG2186" s="388" t="s">
        <v>2171</v>
      </c>
      <c r="AH2186" s="388" t="s">
        <v>1131</v>
      </c>
      <c r="AI2186" s="388" t="s">
        <v>2277</v>
      </c>
      <c r="AJ2186" s="388" t="s">
        <v>1621</v>
      </c>
      <c r="AK2186" s="388" t="s">
        <v>2172</v>
      </c>
      <c r="AL2186" s="388" t="s">
        <v>2172</v>
      </c>
      <c r="AM2186" s="388" t="s">
        <v>178</v>
      </c>
      <c r="AN2186" s="388" t="s">
        <v>2028</v>
      </c>
      <c r="AQ2186" s="388" t="s">
        <v>2173</v>
      </c>
      <c r="AT2186" s="389" t="s">
        <v>161</v>
      </c>
      <c r="AU2186" s="388">
        <v>3</v>
      </c>
      <c r="AV2186" s="388">
        <v>6</v>
      </c>
      <c r="AW2186" s="388" t="s">
        <v>142</v>
      </c>
      <c r="BH2186" s="388">
        <f>1000*11.9</f>
        <v>11900</v>
      </c>
      <c r="BI2186" s="388">
        <f>1000*12.7</f>
        <v>12700</v>
      </c>
      <c r="BK2186" s="391"/>
      <c r="BL2186" s="388" t="s">
        <v>2281</v>
      </c>
      <c r="BM2186" s="455"/>
      <c r="BN2186" s="455"/>
      <c r="BR2186" s="455"/>
      <c r="BS2186" s="455"/>
      <c r="FH2186" s="392"/>
    </row>
    <row r="2187" spans="1:164" s="388" customFormat="1" x14ac:dyDescent="0.25">
      <c r="A2187" s="388">
        <v>101</v>
      </c>
      <c r="B2187" s="388" t="s">
        <v>2167</v>
      </c>
      <c r="D2187" s="388">
        <v>2010</v>
      </c>
      <c r="E2187" s="388">
        <v>2005</v>
      </c>
      <c r="F2187" s="388" t="s">
        <v>2168</v>
      </c>
      <c r="G2187" s="388" t="s">
        <v>2169</v>
      </c>
      <c r="H2187" s="164" t="s">
        <v>2835</v>
      </c>
      <c r="I2187" s="388">
        <f t="shared" si="302"/>
        <v>48.31666666666667</v>
      </c>
      <c r="J2187" s="388">
        <f t="shared" si="303"/>
        <v>2.3833333333333333</v>
      </c>
      <c r="K2187" s="388">
        <v>512</v>
      </c>
      <c r="L2187" s="388">
        <v>11.5</v>
      </c>
      <c r="N2187" s="388">
        <v>604</v>
      </c>
      <c r="Q2187" s="388">
        <v>13</v>
      </c>
      <c r="R2187" s="388">
        <v>16</v>
      </c>
      <c r="T2187" s="388" t="s">
        <v>2017</v>
      </c>
      <c r="U2187" s="389" t="s">
        <v>1393</v>
      </c>
      <c r="V2187" s="388">
        <v>30</v>
      </c>
      <c r="Z2187" s="390"/>
      <c r="AA2187" s="390"/>
      <c r="AF2187" s="388" t="s">
        <v>2170</v>
      </c>
      <c r="AG2187" s="388" t="s">
        <v>2171</v>
      </c>
      <c r="AH2187" s="388" t="s">
        <v>1131</v>
      </c>
      <c r="AI2187" s="388" t="s">
        <v>2278</v>
      </c>
      <c r="AJ2187" s="388" t="s">
        <v>1621</v>
      </c>
      <c r="AK2187" s="388" t="s">
        <v>2172</v>
      </c>
      <c r="AL2187" s="388" t="s">
        <v>2172</v>
      </c>
      <c r="AM2187" s="388" t="s">
        <v>178</v>
      </c>
      <c r="AN2187" s="388" t="s">
        <v>2028</v>
      </c>
      <c r="AQ2187" s="388" t="s">
        <v>2173</v>
      </c>
      <c r="AT2187" s="389" t="s">
        <v>161</v>
      </c>
      <c r="AU2187" s="388">
        <v>3</v>
      </c>
      <c r="AV2187" s="388">
        <v>6</v>
      </c>
      <c r="AW2187" s="388" t="s">
        <v>142</v>
      </c>
      <c r="BH2187" s="388">
        <f>1000*6.2</f>
        <v>6200</v>
      </c>
      <c r="BI2187" s="388">
        <f>1000*6.2</f>
        <v>6200</v>
      </c>
      <c r="BK2187" s="391"/>
      <c r="BL2187" s="388" t="s">
        <v>2281</v>
      </c>
      <c r="BM2187" s="455"/>
      <c r="BN2187" s="455"/>
      <c r="BR2187" s="455"/>
      <c r="BS2187" s="455"/>
      <c r="FH2187" s="392"/>
    </row>
    <row r="2188" spans="1:164" s="388" customFormat="1" x14ac:dyDescent="0.25">
      <c r="A2188" s="388">
        <v>101</v>
      </c>
      <c r="B2188" s="388" t="s">
        <v>2167</v>
      </c>
      <c r="D2188" s="388">
        <v>2010</v>
      </c>
      <c r="E2188" s="388">
        <v>2005</v>
      </c>
      <c r="F2188" s="388" t="s">
        <v>2168</v>
      </c>
      <c r="G2188" s="388" t="s">
        <v>2169</v>
      </c>
      <c r="H2188" s="164" t="s">
        <v>2835</v>
      </c>
      <c r="I2188" s="388">
        <f t="shared" si="302"/>
        <v>48.31666666666667</v>
      </c>
      <c r="J2188" s="388">
        <f t="shared" si="303"/>
        <v>2.3833333333333333</v>
      </c>
      <c r="K2188" s="388">
        <v>512</v>
      </c>
      <c r="L2188" s="388">
        <v>11.5</v>
      </c>
      <c r="N2188" s="388">
        <v>604</v>
      </c>
      <c r="Q2188" s="388">
        <v>13</v>
      </c>
      <c r="R2188" s="388">
        <v>16</v>
      </c>
      <c r="T2188" s="388" t="s">
        <v>2017</v>
      </c>
      <c r="U2188" s="389" t="s">
        <v>2174</v>
      </c>
      <c r="V2188" s="388">
        <v>28</v>
      </c>
      <c r="Z2188" s="390"/>
      <c r="AA2188" s="390"/>
      <c r="AF2188" s="388" t="s">
        <v>2170</v>
      </c>
      <c r="AG2188" s="388" t="s">
        <v>2171</v>
      </c>
      <c r="AH2188" s="388" t="s">
        <v>1131</v>
      </c>
      <c r="AI2188" s="388" t="s">
        <v>2276</v>
      </c>
      <c r="AJ2188" s="388" t="s">
        <v>117</v>
      </c>
      <c r="AK2188" s="388" t="s">
        <v>2172</v>
      </c>
      <c r="AL2188" s="388" t="s">
        <v>2172</v>
      </c>
      <c r="AM2188" s="388" t="s">
        <v>178</v>
      </c>
      <c r="AN2188" s="388" t="s">
        <v>1048</v>
      </c>
      <c r="AQ2188" s="388" t="s">
        <v>2173</v>
      </c>
      <c r="AT2188" s="389" t="s">
        <v>161</v>
      </c>
      <c r="AU2188" s="388">
        <v>3</v>
      </c>
      <c r="AV2188" s="388">
        <v>6</v>
      </c>
      <c r="AW2188" s="388" t="s">
        <v>142</v>
      </c>
      <c r="BH2188" s="388">
        <f>1000*15.4</f>
        <v>15400</v>
      </c>
      <c r="BI2188" s="388">
        <f>1000*15</f>
        <v>15000</v>
      </c>
      <c r="BK2188" s="391"/>
      <c r="BL2188" s="388" t="s">
        <v>2281</v>
      </c>
      <c r="BM2188" s="455"/>
      <c r="BN2188" s="455"/>
      <c r="BR2188" s="455"/>
      <c r="BS2188" s="455"/>
      <c r="FH2188" s="392"/>
    </row>
    <row r="2189" spans="1:164" s="388" customFormat="1" x14ac:dyDescent="0.25">
      <c r="A2189" s="388">
        <v>101</v>
      </c>
      <c r="B2189" s="388" t="s">
        <v>2167</v>
      </c>
      <c r="D2189" s="388">
        <v>2010</v>
      </c>
      <c r="E2189" s="388">
        <v>2005</v>
      </c>
      <c r="F2189" s="388" t="s">
        <v>2168</v>
      </c>
      <c r="G2189" s="388" t="s">
        <v>2169</v>
      </c>
      <c r="H2189" s="164" t="s">
        <v>2835</v>
      </c>
      <c r="I2189" s="388">
        <f t="shared" si="302"/>
        <v>48.31666666666667</v>
      </c>
      <c r="J2189" s="388">
        <f t="shared" si="303"/>
        <v>2.3833333333333333</v>
      </c>
      <c r="K2189" s="388">
        <v>512</v>
      </c>
      <c r="L2189" s="388">
        <v>11.5</v>
      </c>
      <c r="N2189" s="388">
        <v>604</v>
      </c>
      <c r="Q2189" s="388">
        <v>13</v>
      </c>
      <c r="R2189" s="388">
        <v>16</v>
      </c>
      <c r="T2189" s="388" t="s">
        <v>2017</v>
      </c>
      <c r="U2189" s="389" t="s">
        <v>2174</v>
      </c>
      <c r="V2189" s="388">
        <v>28</v>
      </c>
      <c r="Z2189" s="390"/>
      <c r="AA2189" s="390"/>
      <c r="AF2189" s="388" t="s">
        <v>2170</v>
      </c>
      <c r="AG2189" s="388" t="s">
        <v>2171</v>
      </c>
      <c r="AH2189" s="388" t="s">
        <v>1131</v>
      </c>
      <c r="AI2189" s="388" t="s">
        <v>2277</v>
      </c>
      <c r="AJ2189" s="388" t="s">
        <v>1621</v>
      </c>
      <c r="AK2189" s="388" t="s">
        <v>2172</v>
      </c>
      <c r="AL2189" s="388" t="s">
        <v>2172</v>
      </c>
      <c r="AM2189" s="388" t="s">
        <v>178</v>
      </c>
      <c r="AN2189" s="388" t="s">
        <v>1048</v>
      </c>
      <c r="AQ2189" s="388" t="s">
        <v>2173</v>
      </c>
      <c r="AT2189" s="389" t="s">
        <v>161</v>
      </c>
      <c r="AU2189" s="388">
        <v>3</v>
      </c>
      <c r="AV2189" s="388">
        <v>6</v>
      </c>
      <c r="AW2189" s="388" t="s">
        <v>142</v>
      </c>
      <c r="BH2189" s="388">
        <f>1000*12</f>
        <v>12000</v>
      </c>
      <c r="BI2189" s="388">
        <f>1000*12.2</f>
        <v>12200</v>
      </c>
      <c r="BK2189" s="391"/>
      <c r="BL2189" s="388" t="s">
        <v>2281</v>
      </c>
      <c r="BM2189" s="455"/>
      <c r="BN2189" s="455"/>
      <c r="BR2189" s="455"/>
      <c r="BS2189" s="455"/>
      <c r="FH2189" s="392"/>
    </row>
    <row r="2190" spans="1:164" s="388" customFormat="1" x14ac:dyDescent="0.25">
      <c r="A2190" s="388">
        <v>101</v>
      </c>
      <c r="B2190" s="388" t="s">
        <v>2167</v>
      </c>
      <c r="D2190" s="388">
        <v>2010</v>
      </c>
      <c r="E2190" s="388">
        <v>2005</v>
      </c>
      <c r="F2190" s="388" t="s">
        <v>2168</v>
      </c>
      <c r="G2190" s="388" t="s">
        <v>2169</v>
      </c>
      <c r="H2190" s="164" t="s">
        <v>2835</v>
      </c>
      <c r="I2190" s="388">
        <f t="shared" si="302"/>
        <v>48.31666666666667</v>
      </c>
      <c r="J2190" s="388">
        <f t="shared" si="303"/>
        <v>2.3833333333333333</v>
      </c>
      <c r="K2190" s="388">
        <v>512</v>
      </c>
      <c r="L2190" s="388">
        <v>11.5</v>
      </c>
      <c r="N2190" s="388">
        <v>604</v>
      </c>
      <c r="Q2190" s="388">
        <v>13</v>
      </c>
      <c r="R2190" s="388">
        <v>16</v>
      </c>
      <c r="T2190" s="388" t="s">
        <v>2017</v>
      </c>
      <c r="U2190" s="389" t="s">
        <v>2174</v>
      </c>
      <c r="V2190" s="388">
        <v>28</v>
      </c>
      <c r="Z2190" s="390"/>
      <c r="AA2190" s="390"/>
      <c r="AF2190" s="388" t="s">
        <v>2170</v>
      </c>
      <c r="AG2190" s="388" t="s">
        <v>2171</v>
      </c>
      <c r="AH2190" s="388" t="s">
        <v>1131</v>
      </c>
      <c r="AI2190" s="388" t="s">
        <v>2278</v>
      </c>
      <c r="AJ2190" s="388" t="s">
        <v>1621</v>
      </c>
      <c r="AK2190" s="388" t="s">
        <v>2172</v>
      </c>
      <c r="AL2190" s="388" t="s">
        <v>2172</v>
      </c>
      <c r="AM2190" s="388" t="s">
        <v>178</v>
      </c>
      <c r="AN2190" s="388" t="s">
        <v>1048</v>
      </c>
      <c r="AQ2190" s="388" t="s">
        <v>2173</v>
      </c>
      <c r="AT2190" s="389" t="s">
        <v>161</v>
      </c>
      <c r="AU2190" s="388">
        <v>3</v>
      </c>
      <c r="AV2190" s="388">
        <v>6</v>
      </c>
      <c r="AW2190" s="388" t="s">
        <v>142</v>
      </c>
      <c r="BH2190" s="388">
        <f>1000*4.8</f>
        <v>4800</v>
      </c>
      <c r="BI2190" s="388">
        <f>1000*4.9</f>
        <v>4900</v>
      </c>
      <c r="BK2190" s="391"/>
      <c r="BL2190" s="388" t="s">
        <v>2281</v>
      </c>
      <c r="BM2190" s="455"/>
      <c r="BN2190" s="455"/>
      <c r="BR2190" s="455"/>
      <c r="BS2190" s="455"/>
      <c r="FH2190" s="392"/>
    </row>
    <row r="2191" spans="1:164" s="224" customFormat="1" x14ac:dyDescent="0.25">
      <c r="A2191" s="224">
        <v>101</v>
      </c>
      <c r="B2191" s="224" t="s">
        <v>2167</v>
      </c>
      <c r="D2191" s="224">
        <v>2010</v>
      </c>
      <c r="E2191" s="224">
        <v>2005</v>
      </c>
      <c r="F2191" s="224" t="s">
        <v>2168</v>
      </c>
      <c r="G2191" s="224" t="s">
        <v>2175</v>
      </c>
      <c r="H2191" s="164" t="s">
        <v>2835</v>
      </c>
      <c r="I2191" s="224">
        <f>48+3/60</f>
        <v>48.05</v>
      </c>
      <c r="J2191" s="224">
        <f>-4-4/60</f>
        <v>-4.0666666666666664</v>
      </c>
      <c r="K2191" s="224">
        <v>105</v>
      </c>
      <c r="L2191" s="224">
        <v>12.1</v>
      </c>
      <c r="N2191" s="224">
        <v>1213</v>
      </c>
      <c r="Q2191" s="224">
        <v>10</v>
      </c>
      <c r="R2191" s="224">
        <v>13</v>
      </c>
      <c r="T2191" s="224" t="s">
        <v>2268</v>
      </c>
      <c r="U2191" s="223" t="s">
        <v>1393</v>
      </c>
      <c r="V2191" s="224">
        <v>30</v>
      </c>
      <c r="Z2191" s="377"/>
      <c r="AA2191" s="377"/>
      <c r="AF2191" s="224" t="s">
        <v>2176</v>
      </c>
      <c r="AG2191" s="224" t="s">
        <v>2177</v>
      </c>
      <c r="AH2191" s="224" t="s">
        <v>132</v>
      </c>
      <c r="AI2191" s="224" t="s">
        <v>2276</v>
      </c>
      <c r="AJ2191" s="224" t="s">
        <v>117</v>
      </c>
      <c r="AK2191" s="224" t="s">
        <v>2270</v>
      </c>
      <c r="AL2191" s="224" t="s">
        <v>2270</v>
      </c>
      <c r="AM2191" s="224" t="s">
        <v>178</v>
      </c>
      <c r="AN2191" s="224" t="s">
        <v>2028</v>
      </c>
      <c r="AQ2191" s="224" t="s">
        <v>2178</v>
      </c>
      <c r="AT2191" s="223" t="s">
        <v>161</v>
      </c>
      <c r="AU2191" s="224">
        <v>3</v>
      </c>
      <c r="AV2191" s="224">
        <v>6</v>
      </c>
      <c r="AW2191" s="224" t="s">
        <v>142</v>
      </c>
      <c r="BH2191" s="224">
        <f>1000*10.2</f>
        <v>10200</v>
      </c>
      <c r="BI2191" s="224">
        <f>1000*10.2</f>
        <v>10200</v>
      </c>
      <c r="BK2191" s="228"/>
      <c r="BL2191" s="224" t="s">
        <v>2281</v>
      </c>
      <c r="BM2191" s="441"/>
      <c r="BN2191" s="441"/>
      <c r="BR2191" s="441"/>
      <c r="BS2191" s="441"/>
      <c r="FH2191" s="226"/>
    </row>
    <row r="2192" spans="1:164" s="224" customFormat="1" x14ac:dyDescent="0.25">
      <c r="A2192" s="224">
        <v>101</v>
      </c>
      <c r="B2192" s="224" t="s">
        <v>2167</v>
      </c>
      <c r="D2192" s="224">
        <v>2010</v>
      </c>
      <c r="E2192" s="224">
        <v>2005</v>
      </c>
      <c r="F2192" s="224" t="s">
        <v>2168</v>
      </c>
      <c r="G2192" s="224" t="s">
        <v>2175</v>
      </c>
      <c r="H2192" s="164" t="s">
        <v>2835</v>
      </c>
      <c r="I2192" s="224">
        <f>48+3/60</f>
        <v>48.05</v>
      </c>
      <c r="J2192" s="224">
        <f>-4-4/60</f>
        <v>-4.0666666666666664</v>
      </c>
      <c r="K2192" s="224">
        <v>105</v>
      </c>
      <c r="L2192" s="224">
        <v>12.1</v>
      </c>
      <c r="N2192" s="224">
        <v>1213</v>
      </c>
      <c r="Q2192" s="224">
        <v>10</v>
      </c>
      <c r="R2192" s="224">
        <v>13</v>
      </c>
      <c r="T2192" s="224" t="s">
        <v>2268</v>
      </c>
      <c r="U2192" s="223" t="s">
        <v>1393</v>
      </c>
      <c r="V2192" s="224">
        <v>30</v>
      </c>
      <c r="Z2192" s="377"/>
      <c r="AA2192" s="377"/>
      <c r="AF2192" s="224" t="s">
        <v>2176</v>
      </c>
      <c r="AG2192" s="224" t="s">
        <v>2177</v>
      </c>
      <c r="AH2192" s="224" t="s">
        <v>132</v>
      </c>
      <c r="AI2192" s="224" t="s">
        <v>2279</v>
      </c>
      <c r="AJ2192" s="224" t="s">
        <v>133</v>
      </c>
      <c r="AK2192" s="224" t="s">
        <v>2270</v>
      </c>
      <c r="AL2192" s="224" t="s">
        <v>2270</v>
      </c>
      <c r="AM2192" s="224" t="s">
        <v>178</v>
      </c>
      <c r="AN2192" s="224" t="s">
        <v>2028</v>
      </c>
      <c r="AQ2192" s="224" t="s">
        <v>2178</v>
      </c>
      <c r="AT2192" s="223" t="s">
        <v>161</v>
      </c>
      <c r="AU2192" s="224">
        <v>3</v>
      </c>
      <c r="AV2192" s="224">
        <v>6</v>
      </c>
      <c r="AW2192" s="224" t="s">
        <v>142</v>
      </c>
      <c r="BH2192" s="224">
        <f>1000*11.8</f>
        <v>11800</v>
      </c>
      <c r="BI2192" s="224">
        <f>1000*12.7</f>
        <v>12700</v>
      </c>
      <c r="BK2192" s="228"/>
      <c r="BL2192" s="224" t="s">
        <v>2281</v>
      </c>
      <c r="BM2192" s="441"/>
      <c r="BN2192" s="441"/>
      <c r="BR2192" s="441"/>
      <c r="BS2192" s="441"/>
      <c r="FH2192" s="226"/>
    </row>
    <row r="2193" spans="1:229" s="164" customFormat="1" x14ac:dyDescent="0.25">
      <c r="A2193" s="164">
        <v>101</v>
      </c>
      <c r="B2193" s="164" t="s">
        <v>2167</v>
      </c>
      <c r="D2193" s="164">
        <v>2010</v>
      </c>
      <c r="E2193" s="164">
        <v>2005</v>
      </c>
      <c r="F2193" s="164" t="s">
        <v>2168</v>
      </c>
      <c r="G2193" s="164" t="s">
        <v>2179</v>
      </c>
      <c r="H2193" s="164" t="s">
        <v>2835</v>
      </c>
      <c r="I2193" s="164">
        <v>48.93</v>
      </c>
      <c r="J2193" s="164">
        <f t="shared" ref="J2193:J2198" si="304">4+14/60</f>
        <v>4.2333333333333334</v>
      </c>
      <c r="K2193" s="164">
        <v>203</v>
      </c>
      <c r="L2193" s="164">
        <v>10.8</v>
      </c>
      <c r="N2193" s="164">
        <v>605</v>
      </c>
      <c r="Q2193" s="164">
        <v>14</v>
      </c>
      <c r="R2193" s="164">
        <v>17</v>
      </c>
      <c r="T2193" s="164" t="s">
        <v>2267</v>
      </c>
      <c r="U2193" s="185" t="s">
        <v>2184</v>
      </c>
      <c r="V2193" s="164">
        <v>23.5</v>
      </c>
      <c r="Z2193" s="381"/>
      <c r="AA2193" s="381"/>
      <c r="AB2193" s="164" t="s">
        <v>140</v>
      </c>
      <c r="AF2193" s="164" t="s">
        <v>2180</v>
      </c>
      <c r="AG2193" s="164" t="s">
        <v>2181</v>
      </c>
      <c r="AH2193" s="164" t="s">
        <v>2272</v>
      </c>
      <c r="AI2193" s="164" t="s">
        <v>2280</v>
      </c>
      <c r="AJ2193" s="164" t="s">
        <v>1621</v>
      </c>
      <c r="AK2193" s="164" t="s">
        <v>2185</v>
      </c>
      <c r="AL2193" s="164" t="s">
        <v>2185</v>
      </c>
      <c r="AM2193" s="164" t="s">
        <v>178</v>
      </c>
      <c r="AN2193" s="164" t="s">
        <v>2028</v>
      </c>
      <c r="AQ2193" s="164" t="s">
        <v>2183</v>
      </c>
      <c r="AT2193" s="185" t="s">
        <v>161</v>
      </c>
      <c r="AU2193" s="164">
        <v>3</v>
      </c>
      <c r="AV2193" s="164">
        <v>6</v>
      </c>
      <c r="AW2193" s="164" t="s">
        <v>142</v>
      </c>
      <c r="BH2193" s="164">
        <f>1000*22.2</f>
        <v>22200</v>
      </c>
      <c r="BI2193" s="164">
        <f>1000*23.6</f>
        <v>23600</v>
      </c>
      <c r="BK2193" s="166"/>
      <c r="BL2193" s="164" t="s">
        <v>2281</v>
      </c>
      <c r="BM2193" s="433"/>
      <c r="BN2193" s="433"/>
      <c r="BR2193" s="433"/>
      <c r="BS2193" s="433"/>
      <c r="FH2193" s="165"/>
    </row>
    <row r="2194" spans="1:229" s="164" customFormat="1" x14ac:dyDescent="0.25">
      <c r="A2194" s="164">
        <v>101</v>
      </c>
      <c r="B2194" s="164" t="s">
        <v>2167</v>
      </c>
      <c r="D2194" s="164">
        <v>2010</v>
      </c>
      <c r="E2194" s="164">
        <v>2005</v>
      </c>
      <c r="F2194" s="164" t="s">
        <v>2168</v>
      </c>
      <c r="G2194" s="164" t="s">
        <v>2179</v>
      </c>
      <c r="H2194" s="164" t="s">
        <v>2835</v>
      </c>
      <c r="I2194" s="164">
        <v>48.93</v>
      </c>
      <c r="J2194" s="164">
        <f t="shared" si="304"/>
        <v>4.2333333333333334</v>
      </c>
      <c r="K2194" s="164">
        <v>203</v>
      </c>
      <c r="L2194" s="164">
        <v>10.8</v>
      </c>
      <c r="N2194" s="164">
        <v>605</v>
      </c>
      <c r="Q2194" s="164">
        <v>14</v>
      </c>
      <c r="R2194" s="164">
        <v>17</v>
      </c>
      <c r="T2194" s="164" t="s">
        <v>2267</v>
      </c>
      <c r="U2194" s="185" t="s">
        <v>2184</v>
      </c>
      <c r="V2194" s="164">
        <v>23.5</v>
      </c>
      <c r="Z2194" s="381"/>
      <c r="AA2194" s="381"/>
      <c r="AB2194" s="164" t="s">
        <v>140</v>
      </c>
      <c r="AF2194" s="164" t="s">
        <v>2180</v>
      </c>
      <c r="AG2194" s="164" t="s">
        <v>2181</v>
      </c>
      <c r="AH2194" s="164" t="s">
        <v>2272</v>
      </c>
      <c r="AI2194" s="164" t="s">
        <v>2276</v>
      </c>
      <c r="AJ2194" s="164" t="s">
        <v>117</v>
      </c>
      <c r="AK2194" s="164" t="s">
        <v>2185</v>
      </c>
      <c r="AL2194" s="164" t="s">
        <v>2185</v>
      </c>
      <c r="AM2194" s="164" t="s">
        <v>178</v>
      </c>
      <c r="AN2194" s="164" t="s">
        <v>2028</v>
      </c>
      <c r="AQ2194" s="164" t="s">
        <v>2183</v>
      </c>
      <c r="AT2194" s="185" t="s">
        <v>161</v>
      </c>
      <c r="AU2194" s="164">
        <v>3</v>
      </c>
      <c r="AV2194" s="164">
        <v>6</v>
      </c>
      <c r="AW2194" s="164" t="s">
        <v>142</v>
      </c>
      <c r="BH2194" s="164">
        <f>1000*14.2</f>
        <v>14200</v>
      </c>
      <c r="BI2194" s="164">
        <f>1000*14.3</f>
        <v>14300</v>
      </c>
      <c r="BK2194" s="166"/>
      <c r="BL2194" s="164" t="s">
        <v>2281</v>
      </c>
      <c r="BM2194" s="433"/>
      <c r="BN2194" s="433"/>
      <c r="BR2194" s="433"/>
      <c r="BS2194" s="433"/>
      <c r="FH2194" s="165"/>
    </row>
    <row r="2195" spans="1:229" s="164" customFormat="1" x14ac:dyDescent="0.25">
      <c r="A2195" s="164">
        <v>101</v>
      </c>
      <c r="B2195" s="164" t="s">
        <v>2167</v>
      </c>
      <c r="D2195" s="164">
        <v>2010</v>
      </c>
      <c r="E2195" s="164">
        <v>2005</v>
      </c>
      <c r="F2195" s="164" t="s">
        <v>2168</v>
      </c>
      <c r="G2195" s="164" t="s">
        <v>2179</v>
      </c>
      <c r="H2195" s="164" t="s">
        <v>2835</v>
      </c>
      <c r="I2195" s="164">
        <v>48.93</v>
      </c>
      <c r="J2195" s="164">
        <f t="shared" si="304"/>
        <v>4.2333333333333334</v>
      </c>
      <c r="K2195" s="164">
        <v>203</v>
      </c>
      <c r="L2195" s="164">
        <v>10.8</v>
      </c>
      <c r="N2195" s="164">
        <v>605</v>
      </c>
      <c r="Q2195" s="164">
        <v>14</v>
      </c>
      <c r="R2195" s="164">
        <v>17</v>
      </c>
      <c r="T2195" s="164" t="s">
        <v>2267</v>
      </c>
      <c r="U2195" s="185" t="s">
        <v>2184</v>
      </c>
      <c r="V2195" s="164">
        <v>23.5</v>
      </c>
      <c r="Z2195" s="381"/>
      <c r="AA2195" s="381"/>
      <c r="AB2195" s="164" t="s">
        <v>140</v>
      </c>
      <c r="AF2195" s="164" t="s">
        <v>2180</v>
      </c>
      <c r="AG2195" s="164" t="s">
        <v>2181</v>
      </c>
      <c r="AH2195" s="164" t="s">
        <v>2272</v>
      </c>
      <c r="AI2195" s="164" t="s">
        <v>2278</v>
      </c>
      <c r="AJ2195" s="164" t="s">
        <v>1621</v>
      </c>
      <c r="AK2195" s="164" t="s">
        <v>2185</v>
      </c>
      <c r="AL2195" s="164" t="s">
        <v>2185</v>
      </c>
      <c r="AM2195" s="164" t="s">
        <v>178</v>
      </c>
      <c r="AN2195" s="164" t="s">
        <v>2028</v>
      </c>
      <c r="AQ2195" s="164" t="s">
        <v>2183</v>
      </c>
      <c r="AT2195" s="185" t="s">
        <v>161</v>
      </c>
      <c r="AU2195" s="164">
        <v>3</v>
      </c>
      <c r="AV2195" s="164">
        <v>6</v>
      </c>
      <c r="AW2195" s="164" t="s">
        <v>142</v>
      </c>
      <c r="BH2195" s="164">
        <f>1000*7.7</f>
        <v>7700</v>
      </c>
      <c r="BI2195" s="164">
        <f>1000*8.2</f>
        <v>8200</v>
      </c>
      <c r="BK2195" s="166"/>
      <c r="BL2195" s="164" t="s">
        <v>2281</v>
      </c>
      <c r="BM2195" s="433"/>
      <c r="BN2195" s="433"/>
      <c r="BR2195" s="433"/>
      <c r="BS2195" s="433"/>
      <c r="FH2195" s="165"/>
    </row>
    <row r="2196" spans="1:229" s="164" customFormat="1" x14ac:dyDescent="0.25">
      <c r="A2196" s="164">
        <v>101</v>
      </c>
      <c r="B2196" s="164" t="s">
        <v>2167</v>
      </c>
      <c r="D2196" s="164">
        <v>2010</v>
      </c>
      <c r="E2196" s="164">
        <v>2005</v>
      </c>
      <c r="F2196" s="164" t="s">
        <v>2168</v>
      </c>
      <c r="G2196" s="164" t="s">
        <v>2179</v>
      </c>
      <c r="H2196" s="164" t="s">
        <v>2835</v>
      </c>
      <c r="I2196" s="164">
        <v>48.93</v>
      </c>
      <c r="J2196" s="164">
        <f t="shared" si="304"/>
        <v>4.2333333333333334</v>
      </c>
      <c r="K2196" s="164">
        <v>203</v>
      </c>
      <c r="L2196" s="164">
        <v>10.8</v>
      </c>
      <c r="N2196" s="164">
        <v>605</v>
      </c>
      <c r="Q2196" s="164">
        <v>10</v>
      </c>
      <c r="R2196" s="164">
        <v>13</v>
      </c>
      <c r="T2196" s="164" t="s">
        <v>2268</v>
      </c>
      <c r="U2196" s="185" t="s">
        <v>2184</v>
      </c>
      <c r="V2196" s="164">
        <v>23.5</v>
      </c>
      <c r="Z2196" s="381"/>
      <c r="AA2196" s="381"/>
      <c r="AB2196" s="164" t="s">
        <v>140</v>
      </c>
      <c r="AF2196" s="164" t="s">
        <v>2180</v>
      </c>
      <c r="AG2196" s="164" t="s">
        <v>2181</v>
      </c>
      <c r="AH2196" s="164" t="s">
        <v>2272</v>
      </c>
      <c r="AI2196" s="164" t="s">
        <v>2280</v>
      </c>
      <c r="AJ2196" s="164" t="s">
        <v>1621</v>
      </c>
      <c r="AK2196" s="164" t="s">
        <v>2185</v>
      </c>
      <c r="AL2196" s="164" t="s">
        <v>2185</v>
      </c>
      <c r="AM2196" s="164" t="s">
        <v>178</v>
      </c>
      <c r="AN2196" s="164" t="s">
        <v>2028</v>
      </c>
      <c r="AQ2196" s="164" t="s">
        <v>2186</v>
      </c>
      <c r="AT2196" s="185" t="s">
        <v>161</v>
      </c>
      <c r="AU2196" s="164">
        <v>3</v>
      </c>
      <c r="AV2196" s="164">
        <v>6</v>
      </c>
      <c r="AW2196" s="164" t="s">
        <v>142</v>
      </c>
      <c r="BH2196" s="164">
        <f>1000*18.5</f>
        <v>18500</v>
      </c>
      <c r="BI2196" s="164">
        <f>1000*21.8</f>
        <v>21800</v>
      </c>
      <c r="BK2196" s="166"/>
      <c r="BL2196" s="164" t="s">
        <v>2281</v>
      </c>
      <c r="BM2196" s="433"/>
      <c r="BN2196" s="433"/>
      <c r="BR2196" s="433"/>
      <c r="BS2196" s="433"/>
      <c r="FH2196" s="165"/>
    </row>
    <row r="2197" spans="1:229" s="164" customFormat="1" x14ac:dyDescent="0.25">
      <c r="A2197" s="164">
        <v>101</v>
      </c>
      <c r="B2197" s="164" t="s">
        <v>2167</v>
      </c>
      <c r="D2197" s="164">
        <v>2010</v>
      </c>
      <c r="E2197" s="164">
        <v>2005</v>
      </c>
      <c r="F2197" s="164" t="s">
        <v>2168</v>
      </c>
      <c r="G2197" s="164" t="s">
        <v>2179</v>
      </c>
      <c r="H2197" s="164" t="s">
        <v>2835</v>
      </c>
      <c r="I2197" s="164">
        <v>48.93</v>
      </c>
      <c r="J2197" s="164">
        <f t="shared" si="304"/>
        <v>4.2333333333333334</v>
      </c>
      <c r="K2197" s="164">
        <v>203</v>
      </c>
      <c r="L2197" s="164">
        <v>10.8</v>
      </c>
      <c r="N2197" s="164">
        <v>605</v>
      </c>
      <c r="Q2197" s="164">
        <v>10</v>
      </c>
      <c r="R2197" s="164">
        <v>13</v>
      </c>
      <c r="T2197" s="164" t="s">
        <v>2268</v>
      </c>
      <c r="U2197" s="185" t="s">
        <v>2184</v>
      </c>
      <c r="V2197" s="164">
        <v>23.5</v>
      </c>
      <c r="Z2197" s="381"/>
      <c r="AA2197" s="381"/>
      <c r="AB2197" s="164" t="s">
        <v>140</v>
      </c>
      <c r="AF2197" s="164" t="s">
        <v>2180</v>
      </c>
      <c r="AG2197" s="164" t="s">
        <v>2181</v>
      </c>
      <c r="AH2197" s="164" t="s">
        <v>2272</v>
      </c>
      <c r="AI2197" s="164" t="s">
        <v>2276</v>
      </c>
      <c r="AJ2197" s="164" t="s">
        <v>117</v>
      </c>
      <c r="AK2197" s="164" t="s">
        <v>2185</v>
      </c>
      <c r="AL2197" s="164" t="s">
        <v>2185</v>
      </c>
      <c r="AM2197" s="164" t="s">
        <v>178</v>
      </c>
      <c r="AN2197" s="164" t="s">
        <v>2028</v>
      </c>
      <c r="AQ2197" s="164" t="s">
        <v>2186</v>
      </c>
      <c r="AT2197" s="185" t="s">
        <v>161</v>
      </c>
      <c r="AU2197" s="164">
        <v>3</v>
      </c>
      <c r="AV2197" s="164">
        <v>6</v>
      </c>
      <c r="AW2197" s="164" t="s">
        <v>142</v>
      </c>
      <c r="BH2197" s="164">
        <f>1000*12.5</f>
        <v>12500</v>
      </c>
      <c r="BI2197" s="164">
        <f>1000*13.9</f>
        <v>13900</v>
      </c>
      <c r="BK2197" s="166"/>
      <c r="BL2197" s="164" t="s">
        <v>2281</v>
      </c>
      <c r="BM2197" s="433"/>
      <c r="BN2197" s="433"/>
      <c r="BR2197" s="433"/>
      <c r="BS2197" s="433"/>
      <c r="FH2197" s="165"/>
    </row>
    <row r="2198" spans="1:229" s="164" customFormat="1" x14ac:dyDescent="0.25">
      <c r="A2198" s="164">
        <v>101</v>
      </c>
      <c r="B2198" s="164" t="s">
        <v>2167</v>
      </c>
      <c r="D2198" s="164">
        <v>2010</v>
      </c>
      <c r="E2198" s="164">
        <v>2005</v>
      </c>
      <c r="F2198" s="164" t="s">
        <v>2168</v>
      </c>
      <c r="G2198" s="164" t="s">
        <v>2179</v>
      </c>
      <c r="H2198" s="164" t="s">
        <v>2835</v>
      </c>
      <c r="I2198" s="164">
        <v>48.93</v>
      </c>
      <c r="J2198" s="164">
        <f t="shared" si="304"/>
        <v>4.2333333333333334</v>
      </c>
      <c r="K2198" s="164">
        <v>203</v>
      </c>
      <c r="L2198" s="164">
        <v>10.8</v>
      </c>
      <c r="N2198" s="164">
        <v>605</v>
      </c>
      <c r="Q2198" s="164">
        <v>10</v>
      </c>
      <c r="R2198" s="164">
        <v>13</v>
      </c>
      <c r="T2198" s="164" t="s">
        <v>2268</v>
      </c>
      <c r="U2198" s="185" t="s">
        <v>2184</v>
      </c>
      <c r="V2198" s="164">
        <v>23.5</v>
      </c>
      <c r="Z2198" s="381"/>
      <c r="AA2198" s="381"/>
      <c r="AB2198" s="164" t="s">
        <v>140</v>
      </c>
      <c r="AF2198" s="164" t="s">
        <v>2180</v>
      </c>
      <c r="AG2198" s="164" t="s">
        <v>2181</v>
      </c>
      <c r="AH2198" s="164" t="s">
        <v>2272</v>
      </c>
      <c r="AI2198" s="164" t="s">
        <v>2278</v>
      </c>
      <c r="AJ2198" s="164" t="s">
        <v>1621</v>
      </c>
      <c r="AK2198" s="164" t="s">
        <v>2185</v>
      </c>
      <c r="AL2198" s="164" t="s">
        <v>2185</v>
      </c>
      <c r="AM2198" s="164" t="s">
        <v>178</v>
      </c>
      <c r="AN2198" s="164" t="s">
        <v>2028</v>
      </c>
      <c r="AQ2198" s="164" t="s">
        <v>2186</v>
      </c>
      <c r="AT2198" s="185" t="s">
        <v>161</v>
      </c>
      <c r="AU2198" s="164">
        <v>3</v>
      </c>
      <c r="AV2198" s="164">
        <v>6</v>
      </c>
      <c r="AW2198" s="164" t="s">
        <v>142</v>
      </c>
      <c r="BH2198" s="164">
        <f>1000*7.2</f>
        <v>7200</v>
      </c>
      <c r="BI2198" s="164">
        <f>1000*7.1</f>
        <v>7100</v>
      </c>
      <c r="BK2198" s="166"/>
      <c r="BL2198" s="164" t="s">
        <v>2281</v>
      </c>
      <c r="BM2198" s="433"/>
      <c r="BN2198" s="433"/>
      <c r="BR2198" s="433"/>
      <c r="BS2198" s="433"/>
      <c r="FH2198" s="165"/>
    </row>
    <row r="2199" spans="1:229" s="245" customFormat="1" x14ac:dyDescent="0.25">
      <c r="A2199" s="245">
        <v>102</v>
      </c>
      <c r="B2199" s="245" t="s">
        <v>2187</v>
      </c>
      <c r="D2199" s="245">
        <v>2000</v>
      </c>
      <c r="E2199" s="245">
        <v>1995</v>
      </c>
      <c r="F2199" s="245" t="s">
        <v>2055</v>
      </c>
      <c r="G2199" s="245" t="s">
        <v>2188</v>
      </c>
      <c r="H2199" s="245" t="s">
        <v>2832</v>
      </c>
      <c r="I2199" s="245">
        <v>50.29</v>
      </c>
      <c r="J2199" s="245">
        <v>-107.8</v>
      </c>
      <c r="K2199" s="245">
        <v>817</v>
      </c>
      <c r="L2199" s="245">
        <v>3.3</v>
      </c>
      <c r="N2199" s="245">
        <v>350</v>
      </c>
      <c r="Q2199" s="245">
        <v>9</v>
      </c>
      <c r="R2199" s="245">
        <v>9</v>
      </c>
      <c r="T2199" s="245" t="s">
        <v>2293</v>
      </c>
      <c r="U2199" s="244" t="s">
        <v>1384</v>
      </c>
      <c r="V2199" s="245">
        <v>7.5</v>
      </c>
      <c r="W2199" s="244" t="s">
        <v>1384</v>
      </c>
      <c r="X2199" s="244" t="s">
        <v>1386</v>
      </c>
      <c r="Z2199" s="367" t="s">
        <v>2145</v>
      </c>
      <c r="AA2199" s="367" t="s">
        <v>2145</v>
      </c>
      <c r="AB2199" s="245" t="s">
        <v>140</v>
      </c>
      <c r="AD2199" s="245">
        <v>1.8</v>
      </c>
      <c r="AF2199" s="245" t="s">
        <v>2189</v>
      </c>
      <c r="AG2199" s="245" t="s">
        <v>2190</v>
      </c>
      <c r="AH2199" s="245" t="s">
        <v>578</v>
      </c>
      <c r="AI2199" s="245" t="s">
        <v>2191</v>
      </c>
      <c r="AJ2199" s="245" t="s">
        <v>117</v>
      </c>
      <c r="AN2199" s="245" t="s">
        <v>1048</v>
      </c>
      <c r="AQ2199" s="245" t="s">
        <v>2192</v>
      </c>
      <c r="AT2199" s="245" t="s">
        <v>161</v>
      </c>
      <c r="AU2199" s="245">
        <v>3</v>
      </c>
      <c r="AW2199" s="245" t="s">
        <v>142</v>
      </c>
      <c r="BH2199" s="245">
        <f>1000*5.47</f>
        <v>5470</v>
      </c>
      <c r="BK2199" s="248"/>
      <c r="BM2199" s="437">
        <v>1.289758</v>
      </c>
      <c r="BN2199" s="437">
        <v>1.2781</v>
      </c>
      <c r="BR2199" s="437">
        <v>1.79</v>
      </c>
      <c r="BS2199" s="437">
        <v>1.84</v>
      </c>
      <c r="BV2199" s="245" t="s">
        <v>2294</v>
      </c>
      <c r="BW2199" s="245">
        <v>1780</v>
      </c>
      <c r="BX2199" s="245">
        <v>1900</v>
      </c>
      <c r="CA2199" s="245" t="s">
        <v>2295</v>
      </c>
      <c r="FH2199" s="246"/>
      <c r="GR2199" s="245">
        <v>192</v>
      </c>
      <c r="GS2199" s="245">
        <v>256</v>
      </c>
      <c r="GV2199" s="245" t="s">
        <v>2296</v>
      </c>
      <c r="HQ2199" s="245">
        <v>2872</v>
      </c>
      <c r="HR2199" s="245">
        <v>6222</v>
      </c>
      <c r="HU2199" s="245" t="s">
        <v>2297</v>
      </c>
    </row>
    <row r="2200" spans="1:229" s="245" customFormat="1" x14ac:dyDescent="0.25">
      <c r="A2200" s="245">
        <v>102</v>
      </c>
      <c r="B2200" s="245" t="s">
        <v>2187</v>
      </c>
      <c r="D2200" s="245">
        <v>2000</v>
      </c>
      <c r="E2200" s="245">
        <v>1995</v>
      </c>
      <c r="F2200" s="245" t="s">
        <v>2055</v>
      </c>
      <c r="G2200" s="245" t="s">
        <v>2188</v>
      </c>
      <c r="H2200" s="245" t="s">
        <v>2832</v>
      </c>
      <c r="I2200" s="245">
        <v>50.29</v>
      </c>
      <c r="J2200" s="245">
        <v>-107.8</v>
      </c>
      <c r="K2200" s="245">
        <v>817</v>
      </c>
      <c r="L2200" s="245">
        <v>3.3</v>
      </c>
      <c r="N2200" s="245">
        <v>350</v>
      </c>
      <c r="Q2200" s="245">
        <v>9</v>
      </c>
      <c r="R2200" s="245">
        <v>9</v>
      </c>
      <c r="T2200" s="245" t="s">
        <v>2293</v>
      </c>
      <c r="U2200" s="244" t="s">
        <v>1384</v>
      </c>
      <c r="V2200" s="245">
        <v>7.5</v>
      </c>
      <c r="W2200" s="244" t="s">
        <v>1384</v>
      </c>
      <c r="X2200" s="244" t="s">
        <v>1386</v>
      </c>
      <c r="Z2200" s="367" t="s">
        <v>2145</v>
      </c>
      <c r="AA2200" s="367" t="s">
        <v>2145</v>
      </c>
      <c r="AB2200" s="245" t="s">
        <v>140</v>
      </c>
      <c r="AD2200" s="245">
        <v>1.8</v>
      </c>
      <c r="AF2200" s="245" t="s">
        <v>2189</v>
      </c>
      <c r="AG2200" s="245" t="s">
        <v>2190</v>
      </c>
      <c r="AH2200" s="245" t="s">
        <v>578</v>
      </c>
      <c r="AI2200" s="245" t="s">
        <v>2191</v>
      </c>
      <c r="AJ2200" s="245" t="s">
        <v>117</v>
      </c>
      <c r="AN2200" s="245" t="s">
        <v>1048</v>
      </c>
      <c r="AQ2200" s="245" t="s">
        <v>2192</v>
      </c>
      <c r="AT2200" s="245" t="s">
        <v>161</v>
      </c>
      <c r="AU2200" s="245">
        <v>3</v>
      </c>
      <c r="AW2200" s="245" t="s">
        <v>142</v>
      </c>
      <c r="BH2200" s="245">
        <f>1000*5.47</f>
        <v>5470</v>
      </c>
      <c r="BK2200" s="248"/>
      <c r="BM2200" s="437">
        <v>1.289758</v>
      </c>
      <c r="BN2200" s="437">
        <v>1.2781</v>
      </c>
      <c r="BR2200" s="437">
        <v>1.87</v>
      </c>
      <c r="BS2200" s="437">
        <v>2.06</v>
      </c>
      <c r="BV2200" s="245" t="s">
        <v>2294</v>
      </c>
      <c r="BW2200" s="245">
        <v>1840</v>
      </c>
      <c r="BX2200" s="245">
        <v>1990</v>
      </c>
      <c r="CA2200" s="245" t="s">
        <v>2295</v>
      </c>
      <c r="FH2200" s="246"/>
      <c r="GV2200" s="245" t="s">
        <v>2296</v>
      </c>
      <c r="HQ2200" s="245">
        <v>2171</v>
      </c>
      <c r="HR2200" s="245">
        <v>4150</v>
      </c>
      <c r="HU2200" s="245" t="s">
        <v>2298</v>
      </c>
    </row>
    <row r="2201" spans="1:229" s="245" customFormat="1" x14ac:dyDescent="0.25">
      <c r="A2201" s="245">
        <v>102</v>
      </c>
      <c r="B2201" s="245" t="s">
        <v>2187</v>
      </c>
      <c r="D2201" s="245">
        <v>2000</v>
      </c>
      <c r="E2201" s="245">
        <v>1995</v>
      </c>
      <c r="F2201" s="245" t="s">
        <v>2055</v>
      </c>
      <c r="G2201" s="245" t="s">
        <v>2188</v>
      </c>
      <c r="H2201" s="245" t="s">
        <v>2832</v>
      </c>
      <c r="I2201" s="245">
        <v>50.29</v>
      </c>
      <c r="J2201" s="245">
        <v>-107.8</v>
      </c>
      <c r="K2201" s="245">
        <v>817</v>
      </c>
      <c r="L2201" s="245">
        <v>3.3</v>
      </c>
      <c r="N2201" s="245">
        <v>350</v>
      </c>
      <c r="Q2201" s="245">
        <v>9</v>
      </c>
      <c r="R2201" s="245">
        <v>9</v>
      </c>
      <c r="T2201" s="245" t="s">
        <v>2293</v>
      </c>
      <c r="U2201" s="244" t="s">
        <v>1384</v>
      </c>
      <c r="V2201" s="245">
        <v>7.5</v>
      </c>
      <c r="W2201" s="244" t="s">
        <v>1384</v>
      </c>
      <c r="X2201" s="244" t="s">
        <v>1386</v>
      </c>
      <c r="Z2201" s="367" t="s">
        <v>2145</v>
      </c>
      <c r="AA2201" s="367" t="s">
        <v>2145</v>
      </c>
      <c r="AB2201" s="245" t="s">
        <v>140</v>
      </c>
      <c r="AD2201" s="245">
        <v>1.8</v>
      </c>
      <c r="AF2201" s="245" t="s">
        <v>2189</v>
      </c>
      <c r="AG2201" s="245" t="s">
        <v>2190</v>
      </c>
      <c r="AH2201" s="245" t="s">
        <v>578</v>
      </c>
      <c r="AI2201" s="245" t="s">
        <v>2191</v>
      </c>
      <c r="AJ2201" s="245" t="s">
        <v>117</v>
      </c>
      <c r="AN2201" s="245" t="s">
        <v>1048</v>
      </c>
      <c r="AQ2201" s="245" t="s">
        <v>2192</v>
      </c>
      <c r="AT2201" s="245" t="s">
        <v>161</v>
      </c>
      <c r="AU2201" s="245">
        <v>3</v>
      </c>
      <c r="AW2201" s="245" t="s">
        <v>142</v>
      </c>
      <c r="BH2201" s="245">
        <f>1000*5.47</f>
        <v>5470</v>
      </c>
      <c r="BK2201" s="248"/>
      <c r="BM2201" s="437">
        <v>1.289758</v>
      </c>
      <c r="BN2201" s="437">
        <v>1.2781</v>
      </c>
      <c r="BR2201" s="437">
        <v>1.85</v>
      </c>
      <c r="BS2201" s="437">
        <v>1.8</v>
      </c>
      <c r="BV2201" s="245" t="s">
        <v>2294</v>
      </c>
      <c r="BW2201" s="245">
        <v>1840</v>
      </c>
      <c r="BX2201" s="245">
        <v>1790</v>
      </c>
      <c r="CA2201" s="245" t="s">
        <v>2295</v>
      </c>
      <c r="FH2201" s="246"/>
      <c r="GR2201" s="245">
        <v>210</v>
      </c>
      <c r="GS2201" s="245">
        <v>206</v>
      </c>
      <c r="GV2201" s="245" t="s">
        <v>2296</v>
      </c>
    </row>
    <row r="2202" spans="1:229" s="239" customFormat="1" x14ac:dyDescent="0.25">
      <c r="A2202" s="239">
        <v>102</v>
      </c>
      <c r="B2202" s="239" t="s">
        <v>2187</v>
      </c>
      <c r="D2202" s="239">
        <v>2000</v>
      </c>
      <c r="E2202" s="239">
        <v>1995</v>
      </c>
      <c r="F2202" s="239" t="s">
        <v>2055</v>
      </c>
      <c r="G2202" s="239" t="s">
        <v>2188</v>
      </c>
      <c r="H2202" s="245" t="s">
        <v>2832</v>
      </c>
      <c r="I2202" s="239">
        <v>50.29</v>
      </c>
      <c r="J2202" s="239">
        <v>-107.8</v>
      </c>
      <c r="K2202" s="239">
        <v>817</v>
      </c>
      <c r="L2202" s="239">
        <v>3.3</v>
      </c>
      <c r="N2202" s="239">
        <v>350</v>
      </c>
      <c r="Q2202" s="239">
        <v>9</v>
      </c>
      <c r="R2202" s="239">
        <v>9</v>
      </c>
      <c r="T2202" s="239" t="s">
        <v>2293</v>
      </c>
      <c r="U2202" s="238" t="s">
        <v>1385</v>
      </c>
      <c r="V2202" s="239">
        <v>7.5</v>
      </c>
      <c r="W2202" s="238" t="s">
        <v>1384</v>
      </c>
      <c r="X2202" s="238" t="s">
        <v>1386</v>
      </c>
      <c r="Z2202" s="383" t="s">
        <v>2145</v>
      </c>
      <c r="AA2202" s="383" t="s">
        <v>2145</v>
      </c>
      <c r="AB2202" s="239" t="s">
        <v>140</v>
      </c>
      <c r="AD2202" s="239">
        <v>1.8</v>
      </c>
      <c r="AF2202" s="239" t="s">
        <v>2189</v>
      </c>
      <c r="AG2202" s="239" t="s">
        <v>2190</v>
      </c>
      <c r="AH2202" s="239" t="s">
        <v>578</v>
      </c>
      <c r="AI2202" s="239" t="s">
        <v>2191</v>
      </c>
      <c r="AJ2202" s="239" t="s">
        <v>117</v>
      </c>
      <c r="AN2202" s="239" t="s">
        <v>1048</v>
      </c>
      <c r="AQ2202" s="239" t="s">
        <v>2192</v>
      </c>
      <c r="AT2202" s="239" t="s">
        <v>161</v>
      </c>
      <c r="AU2202" s="239">
        <v>3</v>
      </c>
      <c r="AW2202" s="239" t="s">
        <v>142</v>
      </c>
      <c r="BH2202" s="239">
        <f>1000*5.845</f>
        <v>5845</v>
      </c>
      <c r="BK2202" s="242"/>
      <c r="BM2202" s="451">
        <v>1.34596</v>
      </c>
      <c r="BN2202" s="451">
        <v>1.3477000000000001</v>
      </c>
      <c r="BR2202" s="451">
        <v>1.27</v>
      </c>
      <c r="BS2202" s="451">
        <v>1.1499999999999999</v>
      </c>
      <c r="BV2202" s="239" t="s">
        <v>2294</v>
      </c>
      <c r="BW2202" s="239">
        <v>1330</v>
      </c>
      <c r="BX2202" s="239">
        <v>1280</v>
      </c>
      <c r="CA2202" s="239" t="s">
        <v>2295</v>
      </c>
      <c r="FH2202" s="240"/>
      <c r="GR2202" s="239">
        <v>37</v>
      </c>
      <c r="GS2202" s="239">
        <v>67</v>
      </c>
      <c r="GV2202" s="239" t="s">
        <v>2296</v>
      </c>
    </row>
    <row r="2203" spans="1:229" s="239" customFormat="1" x14ac:dyDescent="0.25">
      <c r="A2203" s="239">
        <v>102</v>
      </c>
      <c r="B2203" s="239" t="s">
        <v>2187</v>
      </c>
      <c r="D2203" s="239">
        <v>2000</v>
      </c>
      <c r="E2203" s="239">
        <v>1995</v>
      </c>
      <c r="F2203" s="239" t="s">
        <v>2055</v>
      </c>
      <c r="G2203" s="239" t="s">
        <v>2188</v>
      </c>
      <c r="H2203" s="245" t="s">
        <v>2832</v>
      </c>
      <c r="I2203" s="239">
        <v>50.29</v>
      </c>
      <c r="J2203" s="239">
        <v>-107.8</v>
      </c>
      <c r="K2203" s="239">
        <v>817</v>
      </c>
      <c r="L2203" s="239">
        <v>3.3</v>
      </c>
      <c r="N2203" s="239">
        <v>350</v>
      </c>
      <c r="Q2203" s="239">
        <v>9</v>
      </c>
      <c r="R2203" s="239">
        <v>9</v>
      </c>
      <c r="T2203" s="239" t="s">
        <v>2293</v>
      </c>
      <c r="U2203" s="238" t="s">
        <v>1385</v>
      </c>
      <c r="V2203" s="239">
        <v>7.5</v>
      </c>
      <c r="W2203" s="238" t="s">
        <v>1384</v>
      </c>
      <c r="X2203" s="238" t="s">
        <v>1386</v>
      </c>
      <c r="Z2203" s="383" t="s">
        <v>2145</v>
      </c>
      <c r="AA2203" s="383" t="s">
        <v>2145</v>
      </c>
      <c r="AB2203" s="239" t="s">
        <v>140</v>
      </c>
      <c r="AD2203" s="239">
        <v>1.8</v>
      </c>
      <c r="AF2203" s="239" t="s">
        <v>2189</v>
      </c>
      <c r="AG2203" s="239" t="s">
        <v>2190</v>
      </c>
      <c r="AH2203" s="239" t="s">
        <v>578</v>
      </c>
      <c r="AI2203" s="239" t="s">
        <v>2191</v>
      </c>
      <c r="AJ2203" s="239" t="s">
        <v>117</v>
      </c>
      <c r="AN2203" s="239" t="s">
        <v>1048</v>
      </c>
      <c r="AQ2203" s="239" t="s">
        <v>2192</v>
      </c>
      <c r="AT2203" s="239" t="s">
        <v>161</v>
      </c>
      <c r="AU2203" s="239">
        <v>3</v>
      </c>
      <c r="AW2203" s="239" t="s">
        <v>142</v>
      </c>
      <c r="BH2203" s="239">
        <f>1000*5.845</f>
        <v>5845</v>
      </c>
      <c r="BK2203" s="242"/>
      <c r="BM2203" s="451">
        <v>1.34596</v>
      </c>
      <c r="BN2203" s="451">
        <v>1.3477000000000001</v>
      </c>
      <c r="BR2203" s="451">
        <v>1.65</v>
      </c>
      <c r="BS2203" s="451">
        <v>1.65</v>
      </c>
      <c r="BV2203" s="239" t="s">
        <v>2294</v>
      </c>
      <c r="BW2203" s="239">
        <v>1670</v>
      </c>
      <c r="BX2203" s="239">
        <v>1690</v>
      </c>
      <c r="CA2203" s="239" t="s">
        <v>2295</v>
      </c>
      <c r="FH2203" s="240"/>
      <c r="GV2203" s="239" t="s">
        <v>2296</v>
      </c>
    </row>
    <row r="2204" spans="1:229" s="239" customFormat="1" x14ac:dyDescent="0.25">
      <c r="A2204" s="239">
        <v>102</v>
      </c>
      <c r="B2204" s="239" t="s">
        <v>2187</v>
      </c>
      <c r="D2204" s="239">
        <v>2000</v>
      </c>
      <c r="E2204" s="239">
        <v>1995</v>
      </c>
      <c r="F2204" s="239" t="s">
        <v>2055</v>
      </c>
      <c r="G2204" s="239" t="s">
        <v>2188</v>
      </c>
      <c r="H2204" s="245" t="s">
        <v>2832</v>
      </c>
      <c r="I2204" s="239">
        <v>50.29</v>
      </c>
      <c r="J2204" s="239">
        <v>-107.8</v>
      </c>
      <c r="K2204" s="239">
        <v>817</v>
      </c>
      <c r="L2204" s="239">
        <v>3.3</v>
      </c>
      <c r="N2204" s="239">
        <v>350</v>
      </c>
      <c r="Q2204" s="239">
        <v>9</v>
      </c>
      <c r="R2204" s="239">
        <v>9</v>
      </c>
      <c r="T2204" s="239" t="s">
        <v>2293</v>
      </c>
      <c r="U2204" s="238" t="s">
        <v>1385</v>
      </c>
      <c r="V2204" s="239">
        <v>7.5</v>
      </c>
      <c r="W2204" s="238" t="s">
        <v>1384</v>
      </c>
      <c r="X2204" s="238" t="s">
        <v>1386</v>
      </c>
      <c r="Z2204" s="383" t="s">
        <v>2145</v>
      </c>
      <c r="AA2204" s="383" t="s">
        <v>2145</v>
      </c>
      <c r="AB2204" s="239" t="s">
        <v>140</v>
      </c>
      <c r="AD2204" s="239">
        <v>1.8</v>
      </c>
      <c r="AF2204" s="239" t="s">
        <v>2189</v>
      </c>
      <c r="AG2204" s="239" t="s">
        <v>2190</v>
      </c>
      <c r="AH2204" s="239" t="s">
        <v>578</v>
      </c>
      <c r="AI2204" s="239" t="s">
        <v>2191</v>
      </c>
      <c r="AJ2204" s="239" t="s">
        <v>117</v>
      </c>
      <c r="AN2204" s="239" t="s">
        <v>1048</v>
      </c>
      <c r="AQ2204" s="239" t="s">
        <v>2192</v>
      </c>
      <c r="AT2204" s="239" t="s">
        <v>161</v>
      </c>
      <c r="AU2204" s="239">
        <v>3</v>
      </c>
      <c r="AW2204" s="239" t="s">
        <v>142</v>
      </c>
      <c r="BH2204" s="239">
        <f>1000*5.845</f>
        <v>5845</v>
      </c>
      <c r="BK2204" s="242"/>
      <c r="BM2204" s="451">
        <v>1.34596</v>
      </c>
      <c r="BN2204" s="451">
        <v>1.3477000000000001</v>
      </c>
      <c r="BR2204" s="451">
        <v>1.61</v>
      </c>
      <c r="BS2204" s="451">
        <v>1.7</v>
      </c>
      <c r="BV2204" s="239" t="s">
        <v>2294</v>
      </c>
      <c r="BW2204" s="239">
        <v>1670</v>
      </c>
      <c r="BX2204" s="239">
        <v>1330</v>
      </c>
      <c r="CA2204" s="239" t="s">
        <v>2295</v>
      </c>
      <c r="FH2204" s="240"/>
      <c r="GR2204" s="239">
        <v>49</v>
      </c>
      <c r="GS2204" s="239">
        <v>39</v>
      </c>
      <c r="GV2204" s="239" t="s">
        <v>2296</v>
      </c>
    </row>
    <row r="2205" spans="1:229" s="164" customFormat="1" x14ac:dyDescent="0.25">
      <c r="A2205" s="164">
        <v>103</v>
      </c>
      <c r="B2205" s="164" t="s">
        <v>2234</v>
      </c>
      <c r="D2205" s="164">
        <v>2009</v>
      </c>
      <c r="F2205" s="164" t="s">
        <v>2235</v>
      </c>
      <c r="G2205" s="164" t="s">
        <v>2236</v>
      </c>
      <c r="H2205" s="164" t="s">
        <v>1111</v>
      </c>
      <c r="I2205" s="164">
        <v>52.13</v>
      </c>
      <c r="J2205" s="164">
        <v>13.22</v>
      </c>
      <c r="K2205" s="164">
        <v>32</v>
      </c>
      <c r="L2205" s="164">
        <v>8</v>
      </c>
      <c r="N2205" s="164">
        <v>586</v>
      </c>
      <c r="Q2205" s="164">
        <v>44</v>
      </c>
      <c r="R2205" s="164">
        <v>44</v>
      </c>
      <c r="U2205" s="164" t="s">
        <v>1393</v>
      </c>
      <c r="V2205" s="164">
        <v>30</v>
      </c>
      <c r="W2205" s="164" t="s">
        <v>1393</v>
      </c>
      <c r="X2205" s="164" t="s">
        <v>1393</v>
      </c>
      <c r="Y2205" s="164">
        <v>1.61</v>
      </c>
      <c r="Z2205" s="381" t="s">
        <v>2145</v>
      </c>
      <c r="AA2205" s="381" t="s">
        <v>2145</v>
      </c>
      <c r="AF2205" s="164" t="s">
        <v>2237</v>
      </c>
      <c r="AG2205" s="164" t="s">
        <v>132</v>
      </c>
      <c r="AH2205" s="164" t="s">
        <v>132</v>
      </c>
      <c r="AI2205" s="164" t="s">
        <v>1650</v>
      </c>
      <c r="AJ2205" s="164" t="s">
        <v>133</v>
      </c>
      <c r="AK2205" s="164" t="s">
        <v>2238</v>
      </c>
      <c r="AN2205" s="164" t="s">
        <v>2028</v>
      </c>
      <c r="AQ2205" s="164" t="s">
        <v>2239</v>
      </c>
      <c r="AT2205" s="164" t="s">
        <v>161</v>
      </c>
      <c r="AV2205" s="164" t="s">
        <v>2145</v>
      </c>
      <c r="BK2205" s="166"/>
      <c r="BM2205" s="433"/>
      <c r="BN2205" s="433"/>
      <c r="BR2205" s="433">
        <v>22</v>
      </c>
      <c r="BS2205" s="433">
        <v>21</v>
      </c>
      <c r="BV2205" s="164" t="s">
        <v>2105</v>
      </c>
      <c r="FH2205" s="165"/>
    </row>
    <row r="2206" spans="1:229" s="164" customFormat="1" x14ac:dyDescent="0.25">
      <c r="A2206" s="164">
        <v>103</v>
      </c>
      <c r="B2206" s="164" t="s">
        <v>2234</v>
      </c>
      <c r="D2206" s="164">
        <v>2009</v>
      </c>
      <c r="F2206" s="164" t="s">
        <v>2235</v>
      </c>
      <c r="G2206" s="164" t="s">
        <v>2236</v>
      </c>
      <c r="H2206" s="164" t="s">
        <v>1111</v>
      </c>
      <c r="I2206" s="164">
        <v>52.13</v>
      </c>
      <c r="J2206" s="164">
        <v>13.22</v>
      </c>
      <c r="K2206" s="164">
        <v>32</v>
      </c>
      <c r="L2206" s="164">
        <v>8</v>
      </c>
      <c r="N2206" s="164">
        <v>586</v>
      </c>
      <c r="Q2206" s="164">
        <v>44</v>
      </c>
      <c r="R2206" s="164">
        <v>44</v>
      </c>
      <c r="U2206" s="164" t="s">
        <v>1393</v>
      </c>
      <c r="V2206" s="164">
        <v>30</v>
      </c>
      <c r="W2206" s="164" t="s">
        <v>1393</v>
      </c>
      <c r="X2206" s="164" t="s">
        <v>1393</v>
      </c>
      <c r="Y2206" s="164">
        <v>1.61</v>
      </c>
      <c r="Z2206" s="381" t="s">
        <v>2145</v>
      </c>
      <c r="AA2206" s="381" t="s">
        <v>2145</v>
      </c>
      <c r="AF2206" s="164" t="s">
        <v>2237</v>
      </c>
      <c r="AG2206" s="164" t="s">
        <v>132</v>
      </c>
      <c r="AH2206" s="164" t="s">
        <v>132</v>
      </c>
      <c r="AI2206" s="164" t="s">
        <v>1650</v>
      </c>
      <c r="AJ2206" s="164" t="s">
        <v>133</v>
      </c>
      <c r="AK2206" s="164" t="s">
        <v>2238</v>
      </c>
      <c r="AN2206" s="164" t="s">
        <v>2028</v>
      </c>
      <c r="AQ2206" s="164" t="s">
        <v>2239</v>
      </c>
      <c r="AT2206" s="164" t="s">
        <v>161</v>
      </c>
      <c r="AV2206" s="164" t="s">
        <v>2145</v>
      </c>
      <c r="BK2206" s="166"/>
      <c r="BM2206" s="433"/>
      <c r="BN2206" s="433"/>
      <c r="BR2206" s="433">
        <v>23.1</v>
      </c>
      <c r="BS2206" s="433">
        <v>24.3</v>
      </c>
      <c r="BV2206" s="164" t="s">
        <v>2105</v>
      </c>
      <c r="FH2206" s="165"/>
    </row>
    <row r="2207" spans="1:229" s="239" customFormat="1" x14ac:dyDescent="0.25">
      <c r="A2207" s="239">
        <v>104</v>
      </c>
      <c r="B2207" s="239" t="s">
        <v>2193</v>
      </c>
      <c r="D2207" s="239">
        <v>2011</v>
      </c>
      <c r="E2207" s="239">
        <v>1993</v>
      </c>
      <c r="F2207" s="239" t="s">
        <v>1756</v>
      </c>
      <c r="G2207" s="239" t="s">
        <v>2194</v>
      </c>
      <c r="H2207" s="239" t="s">
        <v>2836</v>
      </c>
      <c r="I2207" s="239">
        <v>43.68</v>
      </c>
      <c r="J2207" s="239">
        <v>10.35</v>
      </c>
      <c r="K2207" s="239">
        <v>1.7</v>
      </c>
      <c r="L2207" s="239">
        <v>14.3</v>
      </c>
      <c r="N2207" s="239">
        <v>900</v>
      </c>
      <c r="Q2207" s="239">
        <v>1</v>
      </c>
      <c r="R2207" s="239">
        <v>15</v>
      </c>
      <c r="T2207" s="239" t="s">
        <v>2004</v>
      </c>
      <c r="U2207" s="239" t="s">
        <v>1392</v>
      </c>
      <c r="V2207" s="239">
        <v>10</v>
      </c>
      <c r="W2207" s="239" t="s">
        <v>1392</v>
      </c>
      <c r="X2207" s="239" t="s">
        <v>1393</v>
      </c>
      <c r="Y2207" s="239">
        <v>1.4</v>
      </c>
      <c r="Z2207" s="383">
        <v>44.3</v>
      </c>
      <c r="AA2207" s="383">
        <v>40.200000000000003</v>
      </c>
      <c r="AB2207" s="239" t="s">
        <v>140</v>
      </c>
      <c r="AC2207" s="239">
        <v>8.1999999999999993</v>
      </c>
      <c r="AF2207" s="239" t="s">
        <v>2195</v>
      </c>
      <c r="AG2207" s="239" t="s">
        <v>1761</v>
      </c>
      <c r="AH2207" s="239" t="s">
        <v>132</v>
      </c>
      <c r="AI2207" s="239" t="s">
        <v>2196</v>
      </c>
      <c r="AJ2207" s="239" t="s">
        <v>2299</v>
      </c>
      <c r="AK2207" s="239" t="s">
        <v>2196</v>
      </c>
      <c r="AN2207" s="393" t="s">
        <v>2197</v>
      </c>
      <c r="AQ2207" s="239" t="s">
        <v>2198</v>
      </c>
      <c r="AT2207" s="239" t="s">
        <v>161</v>
      </c>
      <c r="AV2207" s="239">
        <v>2</v>
      </c>
      <c r="BK2207" s="242"/>
      <c r="BM2207" s="451">
        <v>1.4</v>
      </c>
      <c r="BN2207" s="451">
        <v>1.39</v>
      </c>
      <c r="BR2207" s="451">
        <v>1.1200000000000001</v>
      </c>
      <c r="BS2207" s="451">
        <v>1.1299999999999999</v>
      </c>
      <c r="BV2207" s="239" t="s">
        <v>2294</v>
      </c>
      <c r="FH2207" s="240"/>
    </row>
    <row r="2208" spans="1:229" s="239" customFormat="1" x14ac:dyDescent="0.25">
      <c r="A2208" s="239">
        <v>104</v>
      </c>
      <c r="B2208" s="239" t="s">
        <v>2193</v>
      </c>
      <c r="D2208" s="239">
        <v>2011</v>
      </c>
      <c r="E2208" s="239">
        <v>1993</v>
      </c>
      <c r="F2208" s="239" t="s">
        <v>1756</v>
      </c>
      <c r="G2208" s="239" t="s">
        <v>2194</v>
      </c>
      <c r="H2208" s="239" t="s">
        <v>2836</v>
      </c>
      <c r="I2208" s="239">
        <v>43.68</v>
      </c>
      <c r="J2208" s="239">
        <v>10.35</v>
      </c>
      <c r="K2208" s="239">
        <v>1.7</v>
      </c>
      <c r="L2208" s="239">
        <v>14.3</v>
      </c>
      <c r="N2208" s="239">
        <v>900</v>
      </c>
      <c r="Q2208" s="239">
        <v>1</v>
      </c>
      <c r="R2208" s="239">
        <v>15</v>
      </c>
      <c r="T2208" s="239" t="s">
        <v>2004</v>
      </c>
      <c r="U2208" s="239" t="s">
        <v>1392</v>
      </c>
      <c r="V2208" s="239">
        <v>10</v>
      </c>
      <c r="W2208" s="239" t="s">
        <v>1392</v>
      </c>
      <c r="X2208" s="239" t="s">
        <v>1393</v>
      </c>
      <c r="Y2208" s="239">
        <v>1.4</v>
      </c>
      <c r="Z2208" s="383">
        <v>44.3</v>
      </c>
      <c r="AA2208" s="383">
        <v>40.200000000000003</v>
      </c>
      <c r="AB2208" s="239" t="s">
        <v>140</v>
      </c>
      <c r="AC2208" s="239">
        <v>8.1999999999999993</v>
      </c>
      <c r="AF2208" s="239" t="s">
        <v>2195</v>
      </c>
      <c r="AG2208" s="239" t="s">
        <v>1761</v>
      </c>
      <c r="AH2208" s="239" t="s">
        <v>132</v>
      </c>
      <c r="AI2208" s="239" t="s">
        <v>2196</v>
      </c>
      <c r="AJ2208" s="239" t="s">
        <v>2299</v>
      </c>
      <c r="AK2208" s="239" t="s">
        <v>2196</v>
      </c>
      <c r="AN2208" s="393" t="s">
        <v>2197</v>
      </c>
      <c r="AQ2208" s="239" t="s">
        <v>2198</v>
      </c>
      <c r="AT2208" s="239" t="s">
        <v>161</v>
      </c>
      <c r="AV2208" s="239">
        <v>2</v>
      </c>
      <c r="BK2208" s="242"/>
      <c r="BM2208" s="451">
        <v>1.4</v>
      </c>
      <c r="BN2208" s="451">
        <v>1.4</v>
      </c>
      <c r="BR2208" s="451">
        <v>1.1200000000000001</v>
      </c>
      <c r="BS2208" s="451">
        <v>1.08</v>
      </c>
      <c r="BV2208" s="239" t="s">
        <v>2294</v>
      </c>
      <c r="FH2208" s="240"/>
    </row>
    <row r="2209" spans="1:164" s="239" customFormat="1" x14ac:dyDescent="0.25">
      <c r="A2209" s="239">
        <v>104</v>
      </c>
      <c r="B2209" s="239" t="s">
        <v>2193</v>
      </c>
      <c r="D2209" s="239">
        <v>2011</v>
      </c>
      <c r="E2209" s="239">
        <v>1993</v>
      </c>
      <c r="F2209" s="239" t="s">
        <v>1756</v>
      </c>
      <c r="G2209" s="239" t="s">
        <v>2194</v>
      </c>
      <c r="H2209" s="239" t="s">
        <v>2836</v>
      </c>
      <c r="I2209" s="239">
        <v>43.68</v>
      </c>
      <c r="J2209" s="239">
        <v>10.35</v>
      </c>
      <c r="K2209" s="239">
        <v>1.7</v>
      </c>
      <c r="L2209" s="239">
        <v>14.3</v>
      </c>
      <c r="N2209" s="239">
        <v>900</v>
      </c>
      <c r="Q2209" s="239">
        <v>1</v>
      </c>
      <c r="R2209" s="239">
        <v>15</v>
      </c>
      <c r="T2209" s="239" t="s">
        <v>2004</v>
      </c>
      <c r="U2209" s="239" t="s">
        <v>1392</v>
      </c>
      <c r="V2209" s="239">
        <v>10</v>
      </c>
      <c r="W2209" s="239" t="s">
        <v>1392</v>
      </c>
      <c r="X2209" s="239" t="s">
        <v>1393</v>
      </c>
      <c r="Y2209" s="239">
        <v>1.4</v>
      </c>
      <c r="Z2209" s="383">
        <v>44.3</v>
      </c>
      <c r="AA2209" s="383">
        <v>40.200000000000003</v>
      </c>
      <c r="AB2209" s="239" t="s">
        <v>140</v>
      </c>
      <c r="AC2209" s="239">
        <v>8.1999999999999993</v>
      </c>
      <c r="AF2209" s="239" t="s">
        <v>2195</v>
      </c>
      <c r="AG2209" s="239" t="s">
        <v>2199</v>
      </c>
      <c r="AH2209" s="239" t="s">
        <v>132</v>
      </c>
      <c r="AI2209" s="239" t="s">
        <v>2300</v>
      </c>
      <c r="AJ2209" s="239" t="s">
        <v>1616</v>
      </c>
      <c r="AK2209" s="239" t="s">
        <v>2200</v>
      </c>
      <c r="AN2209" s="393" t="s">
        <v>2197</v>
      </c>
      <c r="AQ2209" s="239" t="s">
        <v>2198</v>
      </c>
      <c r="AT2209" s="239" t="s">
        <v>161</v>
      </c>
      <c r="AV2209" s="239">
        <v>2</v>
      </c>
      <c r="BK2209" s="242"/>
      <c r="BM2209" s="451">
        <v>1.4</v>
      </c>
      <c r="BN2209" s="451">
        <v>1.38</v>
      </c>
      <c r="BR2209" s="451">
        <v>1.1200000000000001</v>
      </c>
      <c r="BS2209" s="451">
        <v>1.0900000000000001</v>
      </c>
      <c r="BV2209" s="239" t="s">
        <v>2294</v>
      </c>
      <c r="FH2209" s="240"/>
    </row>
    <row r="2210" spans="1:164" s="456" customFormat="1" x14ac:dyDescent="0.25">
      <c r="A2210" s="456">
        <v>104</v>
      </c>
      <c r="B2210" s="456" t="s">
        <v>2193</v>
      </c>
      <c r="D2210" s="456">
        <v>2011</v>
      </c>
      <c r="E2210" s="456">
        <v>1998</v>
      </c>
      <c r="F2210" s="456" t="s">
        <v>1756</v>
      </c>
      <c r="G2210" s="456" t="s">
        <v>2194</v>
      </c>
      <c r="H2210" s="239" t="s">
        <v>2836</v>
      </c>
      <c r="I2210" s="456">
        <v>43.68</v>
      </c>
      <c r="J2210" s="456">
        <v>10.35</v>
      </c>
      <c r="K2210" s="239">
        <v>1.7</v>
      </c>
      <c r="L2210" s="456">
        <v>14.3</v>
      </c>
      <c r="N2210" s="456">
        <v>900</v>
      </c>
      <c r="Q2210" s="456">
        <v>6</v>
      </c>
      <c r="R2210" s="456">
        <v>15</v>
      </c>
      <c r="T2210" s="456" t="s">
        <v>2004</v>
      </c>
      <c r="U2210" s="456" t="s">
        <v>1392</v>
      </c>
      <c r="V2210" s="456">
        <v>10</v>
      </c>
      <c r="W2210" s="456" t="s">
        <v>1392</v>
      </c>
      <c r="X2210" s="456" t="s">
        <v>1393</v>
      </c>
      <c r="Y2210" s="456">
        <v>1.4</v>
      </c>
      <c r="Z2210" s="457">
        <v>44.3</v>
      </c>
      <c r="AA2210" s="457">
        <v>40.200000000000003</v>
      </c>
      <c r="AB2210" s="456" t="s">
        <v>140</v>
      </c>
      <c r="AC2210" s="456">
        <v>8.1999999999999993</v>
      </c>
      <c r="AF2210" s="456" t="s">
        <v>2195</v>
      </c>
      <c r="AG2210" s="456" t="s">
        <v>2199</v>
      </c>
      <c r="AH2210" s="456" t="s">
        <v>132</v>
      </c>
      <c r="AI2210" s="456" t="s">
        <v>2300</v>
      </c>
      <c r="AJ2210" s="456" t="s">
        <v>1616</v>
      </c>
      <c r="AK2210" s="456" t="s">
        <v>2200</v>
      </c>
      <c r="AN2210" s="458" t="s">
        <v>2197</v>
      </c>
      <c r="AQ2210" s="456" t="s">
        <v>2198</v>
      </c>
      <c r="AT2210" s="456" t="s">
        <v>161</v>
      </c>
      <c r="AV2210" s="456">
        <v>2</v>
      </c>
      <c r="AX2210" s="456">
        <f>43500/15</f>
        <v>2900</v>
      </c>
      <c r="BC2210" s="456">
        <f>1/15*1000*57.9</f>
        <v>3860</v>
      </c>
      <c r="BD2210" s="456">
        <f>1/15*1000*55.8</f>
        <v>3720</v>
      </c>
      <c r="BG2210" s="456" t="s">
        <v>2301</v>
      </c>
      <c r="BK2210" s="459"/>
      <c r="BM2210" s="460">
        <v>1.4</v>
      </c>
      <c r="BN2210" s="460">
        <v>1.39</v>
      </c>
      <c r="BR2210" s="460">
        <v>1.1000000000000001</v>
      </c>
      <c r="BS2210" s="460">
        <v>1.17</v>
      </c>
      <c r="BV2210" s="456" t="s">
        <v>2294</v>
      </c>
      <c r="FH2210" s="461"/>
    </row>
    <row r="2211" spans="1:164" s="456" customFormat="1" x14ac:dyDescent="0.25">
      <c r="A2211" s="456">
        <v>104</v>
      </c>
      <c r="B2211" s="456" t="s">
        <v>2193</v>
      </c>
      <c r="D2211" s="456">
        <v>2011</v>
      </c>
      <c r="E2211" s="456">
        <v>1998</v>
      </c>
      <c r="F2211" s="456" t="s">
        <v>1756</v>
      </c>
      <c r="G2211" s="456" t="s">
        <v>2194</v>
      </c>
      <c r="H2211" s="239" t="s">
        <v>2836</v>
      </c>
      <c r="I2211" s="456">
        <v>43.68</v>
      </c>
      <c r="J2211" s="456">
        <v>10.35</v>
      </c>
      <c r="K2211" s="239">
        <v>1.7</v>
      </c>
      <c r="L2211" s="456">
        <v>14.3</v>
      </c>
      <c r="N2211" s="456">
        <v>900</v>
      </c>
      <c r="Q2211" s="456">
        <v>6</v>
      </c>
      <c r="R2211" s="456">
        <v>15</v>
      </c>
      <c r="T2211" s="456" t="s">
        <v>2004</v>
      </c>
      <c r="U2211" s="456" t="s">
        <v>1392</v>
      </c>
      <c r="V2211" s="456">
        <v>10</v>
      </c>
      <c r="W2211" s="456" t="s">
        <v>1392</v>
      </c>
      <c r="X2211" s="456" t="s">
        <v>1393</v>
      </c>
      <c r="Y2211" s="456">
        <v>1.4</v>
      </c>
      <c r="Z2211" s="457">
        <v>44.3</v>
      </c>
      <c r="AA2211" s="457">
        <v>40.200000000000003</v>
      </c>
      <c r="AB2211" s="456" t="s">
        <v>140</v>
      </c>
      <c r="AC2211" s="456">
        <v>8.1999999999999993</v>
      </c>
      <c r="AF2211" s="456" t="s">
        <v>2195</v>
      </c>
      <c r="AG2211" s="456" t="s">
        <v>2052</v>
      </c>
      <c r="AH2211" s="456" t="s">
        <v>578</v>
      </c>
      <c r="AI2211" s="456" t="s">
        <v>2196</v>
      </c>
      <c r="AJ2211" s="456" t="s">
        <v>2299</v>
      </c>
      <c r="AK2211" s="456" t="s">
        <v>2196</v>
      </c>
      <c r="AN2211" s="458" t="s">
        <v>2197</v>
      </c>
      <c r="AQ2211" s="456" t="s">
        <v>2198</v>
      </c>
      <c r="AT2211" s="456" t="s">
        <v>161</v>
      </c>
      <c r="AV2211" s="456">
        <v>2</v>
      </c>
      <c r="AX2211" s="456">
        <f>36000/15</f>
        <v>2400</v>
      </c>
      <c r="BC2211" s="456">
        <f>1/15*1000*57.9</f>
        <v>3860</v>
      </c>
      <c r="BD2211" s="456">
        <f>1/15*1000*62.5</f>
        <v>4166.666666666667</v>
      </c>
      <c r="BG2211" s="456" t="s">
        <v>2301</v>
      </c>
      <c r="BK2211" s="459"/>
      <c r="BM2211" s="460">
        <v>1.4</v>
      </c>
      <c r="BN2211" s="460">
        <v>1.4</v>
      </c>
      <c r="BR2211" s="460">
        <v>1.1000000000000001</v>
      </c>
      <c r="BS2211" s="460">
        <v>1.1399999999999999</v>
      </c>
      <c r="BV2211" s="456" t="s">
        <v>2294</v>
      </c>
      <c r="FH2211" s="461"/>
    </row>
    <row r="2212" spans="1:164" s="456" customFormat="1" x14ac:dyDescent="0.25">
      <c r="A2212" s="456">
        <v>104</v>
      </c>
      <c r="B2212" s="456" t="s">
        <v>2193</v>
      </c>
      <c r="D2212" s="456">
        <v>2011</v>
      </c>
      <c r="E2212" s="456">
        <v>1998</v>
      </c>
      <c r="F2212" s="456" t="s">
        <v>1756</v>
      </c>
      <c r="G2212" s="456" t="s">
        <v>2194</v>
      </c>
      <c r="H2212" s="239" t="s">
        <v>2836</v>
      </c>
      <c r="I2212" s="456">
        <v>43.68</v>
      </c>
      <c r="J2212" s="456">
        <v>10.35</v>
      </c>
      <c r="K2212" s="239">
        <v>1.7</v>
      </c>
      <c r="L2212" s="456">
        <v>14.3</v>
      </c>
      <c r="N2212" s="456">
        <v>900</v>
      </c>
      <c r="Q2212" s="456">
        <v>6</v>
      </c>
      <c r="R2212" s="456">
        <v>15</v>
      </c>
      <c r="T2212" s="456" t="s">
        <v>2004</v>
      </c>
      <c r="U2212" s="456" t="s">
        <v>1392</v>
      </c>
      <c r="V2212" s="456">
        <v>10</v>
      </c>
      <c r="W2212" s="456" t="s">
        <v>1392</v>
      </c>
      <c r="X2212" s="456" t="s">
        <v>1393</v>
      </c>
      <c r="Y2212" s="456">
        <v>1.4</v>
      </c>
      <c r="Z2212" s="457">
        <v>44.3</v>
      </c>
      <c r="AA2212" s="457">
        <v>40.200000000000003</v>
      </c>
      <c r="AB2212" s="456" t="s">
        <v>140</v>
      </c>
      <c r="AC2212" s="456">
        <v>8.1999999999999993</v>
      </c>
      <c r="AF2212" s="456" t="s">
        <v>2195</v>
      </c>
      <c r="AG2212" s="456" t="s">
        <v>2052</v>
      </c>
      <c r="AH2212" s="456" t="s">
        <v>578</v>
      </c>
      <c r="AI2212" s="456" t="s">
        <v>2196</v>
      </c>
      <c r="AJ2212" s="456" t="s">
        <v>2299</v>
      </c>
      <c r="AK2212" s="456" t="s">
        <v>2196</v>
      </c>
      <c r="AN2212" s="458" t="s">
        <v>2197</v>
      </c>
      <c r="AQ2212" s="456" t="s">
        <v>2198</v>
      </c>
      <c r="AT2212" s="456" t="s">
        <v>161</v>
      </c>
      <c r="AV2212" s="456">
        <v>2</v>
      </c>
      <c r="AX2212" s="456">
        <f>42400/15</f>
        <v>2826.6666666666665</v>
      </c>
      <c r="BC2212" s="456">
        <f>1/15*1000*57.9</f>
        <v>3860</v>
      </c>
      <c r="BD2212" s="456">
        <f>1/15*1000*65.1</f>
        <v>4340</v>
      </c>
      <c r="BG2212" s="456" t="s">
        <v>2301</v>
      </c>
      <c r="BK2212" s="459"/>
      <c r="BM2212" s="460">
        <v>1.4</v>
      </c>
      <c r="BN2212" s="460">
        <v>1.38</v>
      </c>
      <c r="BR2212" s="460">
        <v>1.1000000000000001</v>
      </c>
      <c r="BS2212" s="460">
        <v>1.2</v>
      </c>
      <c r="BV2212" s="456" t="s">
        <v>2294</v>
      </c>
      <c r="FH2212" s="461"/>
    </row>
    <row r="2213" spans="1:164" s="239" customFormat="1" x14ac:dyDescent="0.25">
      <c r="A2213" s="239">
        <v>104</v>
      </c>
      <c r="B2213" s="239" t="s">
        <v>2193</v>
      </c>
      <c r="D2213" s="239">
        <v>2011</v>
      </c>
      <c r="E2213" s="239">
        <v>2008</v>
      </c>
      <c r="F2213" s="239" t="s">
        <v>1756</v>
      </c>
      <c r="G2213" s="239" t="s">
        <v>2194</v>
      </c>
      <c r="H2213" s="239" t="s">
        <v>2836</v>
      </c>
      <c r="I2213" s="239">
        <v>43.68</v>
      </c>
      <c r="J2213" s="239">
        <v>10.35</v>
      </c>
      <c r="K2213" s="239">
        <v>1.7</v>
      </c>
      <c r="L2213" s="239">
        <v>14.3</v>
      </c>
      <c r="N2213" s="239">
        <v>900</v>
      </c>
      <c r="Q2213" s="239">
        <v>15</v>
      </c>
      <c r="R2213" s="239">
        <v>15</v>
      </c>
      <c r="T2213" s="239" t="s">
        <v>2004</v>
      </c>
      <c r="U2213" s="239" t="s">
        <v>1392</v>
      </c>
      <c r="V2213" s="239">
        <v>10</v>
      </c>
      <c r="W2213" s="239" t="s">
        <v>1392</v>
      </c>
      <c r="X2213" s="239" t="s">
        <v>1393</v>
      </c>
      <c r="Y2213" s="239">
        <v>1.4</v>
      </c>
      <c r="Z2213" s="383">
        <v>44.3</v>
      </c>
      <c r="AA2213" s="383">
        <v>40.200000000000003</v>
      </c>
      <c r="AB2213" s="239" t="s">
        <v>140</v>
      </c>
      <c r="AC2213" s="239">
        <v>8.1999999999999993</v>
      </c>
      <c r="AF2213" s="239" t="s">
        <v>2195</v>
      </c>
      <c r="AG2213" s="239" t="s">
        <v>2052</v>
      </c>
      <c r="AH2213" s="239" t="s">
        <v>578</v>
      </c>
      <c r="AI2213" s="239" t="s">
        <v>2200</v>
      </c>
      <c r="AJ2213" s="239" t="s">
        <v>1616</v>
      </c>
      <c r="AK2213" s="239" t="s">
        <v>2200</v>
      </c>
      <c r="AN2213" s="393" t="s">
        <v>2197</v>
      </c>
      <c r="AQ2213" s="239" t="s">
        <v>2198</v>
      </c>
      <c r="AT2213" s="239" t="s">
        <v>161</v>
      </c>
      <c r="AV2213" s="239">
        <v>2</v>
      </c>
      <c r="BK2213" s="242"/>
      <c r="BM2213" s="451">
        <v>1.4</v>
      </c>
      <c r="BN2213" s="451">
        <v>1.39</v>
      </c>
      <c r="BR2213" s="451">
        <v>1.24</v>
      </c>
      <c r="BS2213" s="451">
        <v>1.31</v>
      </c>
      <c r="BV2213" s="239" t="s">
        <v>2294</v>
      </c>
      <c r="FH2213" s="240"/>
    </row>
    <row r="2214" spans="1:164" s="239" customFormat="1" x14ac:dyDescent="0.25">
      <c r="A2214" s="239">
        <v>104</v>
      </c>
      <c r="B2214" s="239" t="s">
        <v>2193</v>
      </c>
      <c r="D2214" s="239">
        <v>2011</v>
      </c>
      <c r="E2214" s="239">
        <v>2008</v>
      </c>
      <c r="F2214" s="239" t="s">
        <v>1756</v>
      </c>
      <c r="G2214" s="239" t="s">
        <v>2194</v>
      </c>
      <c r="H2214" s="239" t="s">
        <v>2836</v>
      </c>
      <c r="I2214" s="239">
        <v>43.68</v>
      </c>
      <c r="J2214" s="239">
        <v>10.35</v>
      </c>
      <c r="K2214" s="239">
        <v>1.7</v>
      </c>
      <c r="L2214" s="239">
        <v>14.3</v>
      </c>
      <c r="N2214" s="239">
        <v>900</v>
      </c>
      <c r="Q2214" s="239">
        <v>15</v>
      </c>
      <c r="R2214" s="239">
        <v>15</v>
      </c>
      <c r="T2214" s="239" t="s">
        <v>2004</v>
      </c>
      <c r="U2214" s="239" t="s">
        <v>1392</v>
      </c>
      <c r="V2214" s="239">
        <v>10</v>
      </c>
      <c r="W2214" s="239" t="s">
        <v>1392</v>
      </c>
      <c r="X2214" s="239" t="s">
        <v>1393</v>
      </c>
      <c r="Y2214" s="239">
        <v>1.4</v>
      </c>
      <c r="Z2214" s="383">
        <v>44.3</v>
      </c>
      <c r="AA2214" s="383">
        <v>40.200000000000003</v>
      </c>
      <c r="AB2214" s="239" t="s">
        <v>140</v>
      </c>
      <c r="AC2214" s="239">
        <v>8.1999999999999993</v>
      </c>
      <c r="AF2214" s="239" t="s">
        <v>2195</v>
      </c>
      <c r="AG2214" s="239" t="s">
        <v>2052</v>
      </c>
      <c r="AH2214" s="239" t="s">
        <v>578</v>
      </c>
      <c r="AI2214" s="239" t="s">
        <v>2200</v>
      </c>
      <c r="AJ2214" s="239" t="s">
        <v>1616</v>
      </c>
      <c r="AK2214" s="239" t="s">
        <v>2200</v>
      </c>
      <c r="AN2214" s="393" t="s">
        <v>2197</v>
      </c>
      <c r="AQ2214" s="239" t="s">
        <v>2198</v>
      </c>
      <c r="AT2214" s="239" t="s">
        <v>161</v>
      </c>
      <c r="AV2214" s="239">
        <v>2</v>
      </c>
      <c r="BK2214" s="242"/>
      <c r="BM2214" s="451">
        <v>1.4</v>
      </c>
      <c r="BN2214" s="451">
        <v>1.4</v>
      </c>
      <c r="BR2214" s="451">
        <v>1.24</v>
      </c>
      <c r="BS2214" s="451">
        <v>1.35</v>
      </c>
      <c r="BV2214" s="239" t="s">
        <v>2294</v>
      </c>
      <c r="FH2214" s="240"/>
    </row>
    <row r="2215" spans="1:164" s="239" customFormat="1" x14ac:dyDescent="0.25">
      <c r="A2215" s="239">
        <v>104</v>
      </c>
      <c r="B2215" s="239" t="s">
        <v>2193</v>
      </c>
      <c r="D2215" s="239">
        <v>2011</v>
      </c>
      <c r="E2215" s="239">
        <v>2008</v>
      </c>
      <c r="F2215" s="239" t="s">
        <v>1756</v>
      </c>
      <c r="G2215" s="239" t="s">
        <v>2194</v>
      </c>
      <c r="H2215" s="239" t="s">
        <v>2836</v>
      </c>
      <c r="I2215" s="239">
        <v>43.68</v>
      </c>
      <c r="J2215" s="239">
        <v>10.35</v>
      </c>
      <c r="K2215" s="239">
        <v>1.7</v>
      </c>
      <c r="L2215" s="239">
        <v>14.3</v>
      </c>
      <c r="N2215" s="239">
        <v>900</v>
      </c>
      <c r="Q2215" s="239">
        <v>15</v>
      </c>
      <c r="R2215" s="239">
        <v>15</v>
      </c>
      <c r="T2215" s="239" t="s">
        <v>2004</v>
      </c>
      <c r="U2215" s="239" t="s">
        <v>1392</v>
      </c>
      <c r="V2215" s="239">
        <v>10</v>
      </c>
      <c r="W2215" s="239" t="s">
        <v>1392</v>
      </c>
      <c r="X2215" s="239" t="s">
        <v>1393</v>
      </c>
      <c r="Y2215" s="239">
        <v>1.4</v>
      </c>
      <c r="Z2215" s="383">
        <v>44.3</v>
      </c>
      <c r="AA2215" s="383">
        <v>40.200000000000003</v>
      </c>
      <c r="AB2215" s="239" t="s">
        <v>140</v>
      </c>
      <c r="AC2215" s="239">
        <v>8.1999999999999993</v>
      </c>
      <c r="AF2215" s="239" t="s">
        <v>2195</v>
      </c>
      <c r="AG2215" s="239" t="s">
        <v>2201</v>
      </c>
      <c r="AH2215" s="239" t="s">
        <v>578</v>
      </c>
      <c r="AI2215" s="239" t="s">
        <v>2196</v>
      </c>
      <c r="AJ2215" s="239" t="s">
        <v>2299</v>
      </c>
      <c r="AK2215" s="239" t="s">
        <v>2196</v>
      </c>
      <c r="AN2215" s="393" t="s">
        <v>2197</v>
      </c>
      <c r="AQ2215" s="239" t="s">
        <v>2198</v>
      </c>
      <c r="AT2215" s="239" t="s">
        <v>161</v>
      </c>
      <c r="AV2215" s="239">
        <v>2</v>
      </c>
      <c r="BK2215" s="242"/>
      <c r="BM2215" s="451">
        <v>1.4</v>
      </c>
      <c r="BN2215" s="451">
        <v>1.38</v>
      </c>
      <c r="BR2215" s="451">
        <v>1.24</v>
      </c>
      <c r="BS2215" s="451">
        <v>1.37</v>
      </c>
      <c r="BV2215" s="239" t="s">
        <v>2294</v>
      </c>
      <c r="FH2215" s="240"/>
    </row>
    <row r="2216" spans="1:164" s="245" customFormat="1" x14ac:dyDescent="0.25">
      <c r="A2216" s="245">
        <v>104</v>
      </c>
      <c r="B2216" s="245" t="s">
        <v>2193</v>
      </c>
      <c r="D2216" s="245">
        <v>2011</v>
      </c>
      <c r="E2216" s="245">
        <v>1993</v>
      </c>
      <c r="F2216" s="245" t="s">
        <v>1756</v>
      </c>
      <c r="G2216" s="245" t="s">
        <v>2194</v>
      </c>
      <c r="H2216" s="239" t="s">
        <v>2836</v>
      </c>
      <c r="I2216" s="245">
        <v>43.68</v>
      </c>
      <c r="J2216" s="245">
        <v>10.35</v>
      </c>
      <c r="K2216" s="245">
        <v>1.7</v>
      </c>
      <c r="L2216" s="245">
        <v>14.3</v>
      </c>
      <c r="N2216" s="245">
        <v>900</v>
      </c>
      <c r="Q2216" s="245">
        <v>1</v>
      </c>
      <c r="R2216" s="245">
        <v>15</v>
      </c>
      <c r="T2216" s="245" t="s">
        <v>2004</v>
      </c>
      <c r="U2216" s="245" t="s">
        <v>1412</v>
      </c>
      <c r="V2216" s="245">
        <v>20</v>
      </c>
      <c r="W2216" s="245" t="s">
        <v>1392</v>
      </c>
      <c r="X2216" s="245" t="s">
        <v>1393</v>
      </c>
      <c r="Y2216" s="245">
        <v>1.48</v>
      </c>
      <c r="Z2216" s="367">
        <v>44.3</v>
      </c>
      <c r="AA2216" s="367">
        <v>40.200000000000003</v>
      </c>
      <c r="AB2216" s="245" t="s">
        <v>140</v>
      </c>
      <c r="AC2216" s="245">
        <v>8.1999999999999993</v>
      </c>
      <c r="AF2216" s="245" t="s">
        <v>2195</v>
      </c>
      <c r="AG2216" s="245" t="s">
        <v>1761</v>
      </c>
      <c r="AH2216" s="245" t="s">
        <v>132</v>
      </c>
      <c r="AI2216" s="245" t="s">
        <v>2196</v>
      </c>
      <c r="AJ2216" s="245" t="s">
        <v>2299</v>
      </c>
      <c r="AK2216" s="245" t="s">
        <v>2196</v>
      </c>
      <c r="AN2216" s="250" t="s">
        <v>2197</v>
      </c>
      <c r="AQ2216" s="245" t="s">
        <v>2198</v>
      </c>
      <c r="AT2216" s="245" t="s">
        <v>161</v>
      </c>
      <c r="AV2216" s="245">
        <v>2</v>
      </c>
      <c r="BK2216" s="248"/>
      <c r="BM2216" s="437">
        <f>(1.47+1.48)/2</f>
        <v>1.4750000000000001</v>
      </c>
      <c r="BN2216" s="437">
        <f>(1.49+1.48)/2</f>
        <v>1.4849999999999999</v>
      </c>
      <c r="BR2216" s="437">
        <v>1.03</v>
      </c>
      <c r="BS2216" s="437">
        <v>1.05</v>
      </c>
      <c r="BV2216" s="245" t="s">
        <v>2294</v>
      </c>
      <c r="FH2216" s="246"/>
    </row>
    <row r="2217" spans="1:164" s="245" customFormat="1" x14ac:dyDescent="0.25">
      <c r="A2217" s="245">
        <v>104</v>
      </c>
      <c r="B2217" s="245" t="s">
        <v>2193</v>
      </c>
      <c r="D2217" s="245">
        <v>2011</v>
      </c>
      <c r="E2217" s="245">
        <v>1993</v>
      </c>
      <c r="F2217" s="245" t="s">
        <v>1756</v>
      </c>
      <c r="G2217" s="245" t="s">
        <v>2194</v>
      </c>
      <c r="H2217" s="239" t="s">
        <v>2836</v>
      </c>
      <c r="I2217" s="245">
        <v>43.68</v>
      </c>
      <c r="J2217" s="245">
        <v>10.35</v>
      </c>
      <c r="K2217" s="245">
        <v>1.7</v>
      </c>
      <c r="L2217" s="245">
        <v>14.3</v>
      </c>
      <c r="N2217" s="245">
        <v>900</v>
      </c>
      <c r="Q2217" s="245">
        <v>1</v>
      </c>
      <c r="R2217" s="245">
        <v>15</v>
      </c>
      <c r="T2217" s="245" t="s">
        <v>2004</v>
      </c>
      <c r="U2217" s="245" t="s">
        <v>1412</v>
      </c>
      <c r="V2217" s="245">
        <v>20</v>
      </c>
      <c r="W2217" s="245" t="s">
        <v>1392</v>
      </c>
      <c r="X2217" s="245" t="s">
        <v>1393</v>
      </c>
      <c r="Y2217" s="245">
        <v>1.48</v>
      </c>
      <c r="Z2217" s="367">
        <v>44.3</v>
      </c>
      <c r="AA2217" s="367">
        <v>40.200000000000003</v>
      </c>
      <c r="AB2217" s="245" t="s">
        <v>140</v>
      </c>
      <c r="AC2217" s="245">
        <v>8.1999999999999993</v>
      </c>
      <c r="AF2217" s="245" t="s">
        <v>2195</v>
      </c>
      <c r="AG2217" s="245" t="s">
        <v>1761</v>
      </c>
      <c r="AH2217" s="245" t="s">
        <v>132</v>
      </c>
      <c r="AI2217" s="245" t="s">
        <v>2196</v>
      </c>
      <c r="AJ2217" s="245" t="s">
        <v>2299</v>
      </c>
      <c r="AK2217" s="245" t="s">
        <v>2196</v>
      </c>
      <c r="AN2217" s="250" t="s">
        <v>2197</v>
      </c>
      <c r="AQ2217" s="245" t="s">
        <v>2198</v>
      </c>
      <c r="AT2217" s="245" t="s">
        <v>161</v>
      </c>
      <c r="AV2217" s="245">
        <v>2</v>
      </c>
      <c r="BK2217" s="248"/>
      <c r="BM2217" s="437">
        <f t="shared" ref="BM2217:BM2224" si="305">(1.47+1.48)/2</f>
        <v>1.4750000000000001</v>
      </c>
      <c r="BN2217" s="437">
        <f>(1.47+1.5)/2</f>
        <v>1.4849999999999999</v>
      </c>
      <c r="BR2217" s="437">
        <v>1.03</v>
      </c>
      <c r="BS2217" s="437">
        <v>1.02</v>
      </c>
      <c r="BV2217" s="245" t="s">
        <v>2294</v>
      </c>
      <c r="FH2217" s="246"/>
    </row>
    <row r="2218" spans="1:164" s="245" customFormat="1" x14ac:dyDescent="0.25">
      <c r="A2218" s="245">
        <v>104</v>
      </c>
      <c r="B2218" s="245" t="s">
        <v>2193</v>
      </c>
      <c r="D2218" s="245">
        <v>2011</v>
      </c>
      <c r="E2218" s="245">
        <v>1993</v>
      </c>
      <c r="F2218" s="245" t="s">
        <v>1756</v>
      </c>
      <c r="G2218" s="245" t="s">
        <v>2194</v>
      </c>
      <c r="H2218" s="239" t="s">
        <v>2836</v>
      </c>
      <c r="I2218" s="245">
        <v>43.68</v>
      </c>
      <c r="J2218" s="245">
        <v>10.35</v>
      </c>
      <c r="K2218" s="245">
        <v>1.7</v>
      </c>
      <c r="L2218" s="245">
        <v>14.3</v>
      </c>
      <c r="N2218" s="245">
        <v>900</v>
      </c>
      <c r="Q2218" s="245">
        <v>1</v>
      </c>
      <c r="R2218" s="245">
        <v>15</v>
      </c>
      <c r="T2218" s="245" t="s">
        <v>2004</v>
      </c>
      <c r="U2218" s="245" t="s">
        <v>1412</v>
      </c>
      <c r="V2218" s="245">
        <v>20</v>
      </c>
      <c r="W2218" s="245" t="s">
        <v>1392</v>
      </c>
      <c r="X2218" s="245" t="s">
        <v>1393</v>
      </c>
      <c r="Y2218" s="245">
        <v>1.48</v>
      </c>
      <c r="Z2218" s="367">
        <v>44.3</v>
      </c>
      <c r="AA2218" s="367">
        <v>40.200000000000003</v>
      </c>
      <c r="AB2218" s="245" t="s">
        <v>140</v>
      </c>
      <c r="AC2218" s="245">
        <v>8.1999999999999993</v>
      </c>
      <c r="AF2218" s="245" t="s">
        <v>2195</v>
      </c>
      <c r="AG2218" s="245" t="s">
        <v>2199</v>
      </c>
      <c r="AH2218" s="245" t="s">
        <v>132</v>
      </c>
      <c r="AI2218" s="245" t="s">
        <v>2300</v>
      </c>
      <c r="AJ2218" s="245" t="s">
        <v>1616</v>
      </c>
      <c r="AK2218" s="245" t="s">
        <v>2200</v>
      </c>
      <c r="AN2218" s="250" t="s">
        <v>2197</v>
      </c>
      <c r="AQ2218" s="245" t="s">
        <v>2198</v>
      </c>
      <c r="AT2218" s="245" t="s">
        <v>161</v>
      </c>
      <c r="AV2218" s="245">
        <v>2</v>
      </c>
      <c r="BK2218" s="248"/>
      <c r="BM2218" s="437">
        <f t="shared" si="305"/>
        <v>1.4750000000000001</v>
      </c>
      <c r="BN2218" s="437">
        <f>(1.46+1.5)/2</f>
        <v>1.48</v>
      </c>
      <c r="BR2218" s="437">
        <v>1.03</v>
      </c>
      <c r="BS2218" s="437">
        <v>1.02</v>
      </c>
      <c r="BV2218" s="245" t="s">
        <v>2294</v>
      </c>
      <c r="FH2218" s="246"/>
    </row>
    <row r="2219" spans="1:164" s="245" customFormat="1" x14ac:dyDescent="0.25">
      <c r="A2219" s="245">
        <v>104</v>
      </c>
      <c r="B2219" s="245" t="s">
        <v>2193</v>
      </c>
      <c r="D2219" s="245">
        <v>2011</v>
      </c>
      <c r="E2219" s="245">
        <v>1998</v>
      </c>
      <c r="F2219" s="245" t="s">
        <v>1756</v>
      </c>
      <c r="G2219" s="245" t="s">
        <v>2194</v>
      </c>
      <c r="H2219" s="239" t="s">
        <v>2836</v>
      </c>
      <c r="I2219" s="245">
        <v>43.68</v>
      </c>
      <c r="J2219" s="245">
        <v>10.35</v>
      </c>
      <c r="K2219" s="245">
        <v>1.7</v>
      </c>
      <c r="L2219" s="245">
        <v>14.3</v>
      </c>
      <c r="N2219" s="245">
        <v>900</v>
      </c>
      <c r="Q2219" s="245">
        <v>6</v>
      </c>
      <c r="R2219" s="245">
        <v>15</v>
      </c>
      <c r="T2219" s="245" t="s">
        <v>2004</v>
      </c>
      <c r="U2219" s="245" t="s">
        <v>1412</v>
      </c>
      <c r="V2219" s="245">
        <v>20</v>
      </c>
      <c r="W2219" s="245" t="s">
        <v>1392</v>
      </c>
      <c r="X2219" s="245" t="s">
        <v>1393</v>
      </c>
      <c r="Y2219" s="245">
        <v>1.48</v>
      </c>
      <c r="Z2219" s="367">
        <v>44.3</v>
      </c>
      <c r="AA2219" s="367">
        <v>40.200000000000003</v>
      </c>
      <c r="AB2219" s="245" t="s">
        <v>140</v>
      </c>
      <c r="AC2219" s="245">
        <v>8.1999999999999993</v>
      </c>
      <c r="AF2219" s="245" t="s">
        <v>2195</v>
      </c>
      <c r="AG2219" s="245" t="s">
        <v>2199</v>
      </c>
      <c r="AH2219" s="245" t="s">
        <v>132</v>
      </c>
      <c r="AI2219" s="245" t="s">
        <v>2300</v>
      </c>
      <c r="AJ2219" s="245" t="s">
        <v>1616</v>
      </c>
      <c r="AK2219" s="245" t="s">
        <v>2200</v>
      </c>
      <c r="AN2219" s="250" t="s">
        <v>2197</v>
      </c>
      <c r="AQ2219" s="245" t="s">
        <v>2198</v>
      </c>
      <c r="AT2219" s="245" t="s">
        <v>161</v>
      </c>
      <c r="AV2219" s="245">
        <v>2</v>
      </c>
      <c r="BK2219" s="248"/>
      <c r="BM2219" s="437">
        <f t="shared" si="305"/>
        <v>1.4750000000000001</v>
      </c>
      <c r="BN2219" s="437">
        <f>(1.49+1.48)/2</f>
        <v>1.4849999999999999</v>
      </c>
      <c r="BR2219" s="437">
        <v>1.02</v>
      </c>
      <c r="BS2219" s="437">
        <v>1.01</v>
      </c>
      <c r="BV2219" s="245" t="s">
        <v>2294</v>
      </c>
      <c r="FH2219" s="246"/>
    </row>
    <row r="2220" spans="1:164" s="245" customFormat="1" x14ac:dyDescent="0.25">
      <c r="A2220" s="245">
        <v>104</v>
      </c>
      <c r="B2220" s="245" t="s">
        <v>2193</v>
      </c>
      <c r="D2220" s="245">
        <v>2011</v>
      </c>
      <c r="E2220" s="245">
        <v>1998</v>
      </c>
      <c r="F2220" s="245" t="s">
        <v>1756</v>
      </c>
      <c r="G2220" s="245" t="s">
        <v>2194</v>
      </c>
      <c r="H2220" s="239" t="s">
        <v>2836</v>
      </c>
      <c r="I2220" s="245">
        <v>43.68</v>
      </c>
      <c r="J2220" s="245">
        <v>10.35</v>
      </c>
      <c r="K2220" s="245">
        <v>1.7</v>
      </c>
      <c r="L2220" s="245">
        <v>14.3</v>
      </c>
      <c r="N2220" s="245">
        <v>900</v>
      </c>
      <c r="Q2220" s="245">
        <v>6</v>
      </c>
      <c r="R2220" s="245">
        <v>15</v>
      </c>
      <c r="T2220" s="245" t="s">
        <v>2004</v>
      </c>
      <c r="U2220" s="245" t="s">
        <v>1412</v>
      </c>
      <c r="V2220" s="245">
        <v>20</v>
      </c>
      <c r="W2220" s="245" t="s">
        <v>1392</v>
      </c>
      <c r="X2220" s="245" t="s">
        <v>1393</v>
      </c>
      <c r="Y2220" s="245">
        <v>1.48</v>
      </c>
      <c r="Z2220" s="367">
        <v>44.3</v>
      </c>
      <c r="AA2220" s="367">
        <v>40.200000000000003</v>
      </c>
      <c r="AB2220" s="245" t="s">
        <v>140</v>
      </c>
      <c r="AC2220" s="245">
        <v>8.1999999999999993</v>
      </c>
      <c r="AF2220" s="245" t="s">
        <v>2195</v>
      </c>
      <c r="AG2220" s="245" t="s">
        <v>2052</v>
      </c>
      <c r="AH2220" s="245" t="s">
        <v>578</v>
      </c>
      <c r="AI2220" s="245" t="s">
        <v>2196</v>
      </c>
      <c r="AJ2220" s="245" t="s">
        <v>2299</v>
      </c>
      <c r="AK2220" s="245" t="s">
        <v>2196</v>
      </c>
      <c r="AN2220" s="250" t="s">
        <v>2197</v>
      </c>
      <c r="AQ2220" s="245" t="s">
        <v>2198</v>
      </c>
      <c r="AT2220" s="245" t="s">
        <v>161</v>
      </c>
      <c r="AV2220" s="245">
        <v>2</v>
      </c>
      <c r="BK2220" s="248"/>
      <c r="BM2220" s="437">
        <f t="shared" si="305"/>
        <v>1.4750000000000001</v>
      </c>
      <c r="BN2220" s="437">
        <f>(1.47+1.5)/2</f>
        <v>1.4849999999999999</v>
      </c>
      <c r="BR2220" s="437">
        <v>1.02</v>
      </c>
      <c r="BS2220" s="437">
        <v>1.01</v>
      </c>
      <c r="BV2220" s="245" t="s">
        <v>2294</v>
      </c>
      <c r="FH2220" s="246"/>
    </row>
    <row r="2221" spans="1:164" s="245" customFormat="1" x14ac:dyDescent="0.25">
      <c r="A2221" s="245">
        <v>104</v>
      </c>
      <c r="B2221" s="245" t="s">
        <v>2193</v>
      </c>
      <c r="D2221" s="245">
        <v>2011</v>
      </c>
      <c r="E2221" s="245">
        <v>1998</v>
      </c>
      <c r="F2221" s="245" t="s">
        <v>1756</v>
      </c>
      <c r="G2221" s="245" t="s">
        <v>2194</v>
      </c>
      <c r="H2221" s="239" t="s">
        <v>2836</v>
      </c>
      <c r="I2221" s="245">
        <v>43.68</v>
      </c>
      <c r="J2221" s="245">
        <v>10.35</v>
      </c>
      <c r="K2221" s="245">
        <v>1.7</v>
      </c>
      <c r="L2221" s="245">
        <v>14.3</v>
      </c>
      <c r="N2221" s="245">
        <v>900</v>
      </c>
      <c r="Q2221" s="245">
        <v>6</v>
      </c>
      <c r="R2221" s="245">
        <v>15</v>
      </c>
      <c r="T2221" s="245" t="s">
        <v>2004</v>
      </c>
      <c r="U2221" s="245" t="s">
        <v>1412</v>
      </c>
      <c r="V2221" s="245">
        <v>20</v>
      </c>
      <c r="W2221" s="245" t="s">
        <v>1392</v>
      </c>
      <c r="X2221" s="245" t="s">
        <v>1393</v>
      </c>
      <c r="Y2221" s="245">
        <v>1.48</v>
      </c>
      <c r="Z2221" s="367">
        <v>44.3</v>
      </c>
      <c r="AA2221" s="367">
        <v>40.200000000000003</v>
      </c>
      <c r="AB2221" s="245" t="s">
        <v>140</v>
      </c>
      <c r="AC2221" s="245">
        <v>8.1999999999999993</v>
      </c>
      <c r="AF2221" s="245" t="s">
        <v>2195</v>
      </c>
      <c r="AG2221" s="245" t="s">
        <v>2052</v>
      </c>
      <c r="AH2221" s="245" t="s">
        <v>578</v>
      </c>
      <c r="AI2221" s="245" t="s">
        <v>2196</v>
      </c>
      <c r="AJ2221" s="245" t="s">
        <v>2299</v>
      </c>
      <c r="AK2221" s="245" t="s">
        <v>2196</v>
      </c>
      <c r="AN2221" s="250" t="s">
        <v>2197</v>
      </c>
      <c r="AQ2221" s="245" t="s">
        <v>2198</v>
      </c>
      <c r="AT2221" s="245" t="s">
        <v>161</v>
      </c>
      <c r="AV2221" s="245">
        <v>2</v>
      </c>
      <c r="BK2221" s="248"/>
      <c r="BM2221" s="437">
        <f t="shared" si="305"/>
        <v>1.4750000000000001</v>
      </c>
      <c r="BN2221" s="437">
        <f>(1.46+1.5)/2</f>
        <v>1.48</v>
      </c>
      <c r="BR2221" s="437">
        <v>1.02</v>
      </c>
      <c r="BS2221" s="437">
        <v>1.02</v>
      </c>
      <c r="BV2221" s="245" t="s">
        <v>2294</v>
      </c>
      <c r="FH2221" s="246"/>
    </row>
    <row r="2222" spans="1:164" s="245" customFormat="1" x14ac:dyDescent="0.25">
      <c r="A2222" s="245">
        <v>104</v>
      </c>
      <c r="B2222" s="245" t="s">
        <v>2193</v>
      </c>
      <c r="D2222" s="245">
        <v>2011</v>
      </c>
      <c r="E2222" s="245">
        <v>2008</v>
      </c>
      <c r="F2222" s="245" t="s">
        <v>1756</v>
      </c>
      <c r="G2222" s="245" t="s">
        <v>2194</v>
      </c>
      <c r="H2222" s="239" t="s">
        <v>2836</v>
      </c>
      <c r="I2222" s="245">
        <v>43.68</v>
      </c>
      <c r="J2222" s="245">
        <v>10.35</v>
      </c>
      <c r="K2222" s="245">
        <v>1.7</v>
      </c>
      <c r="L2222" s="245">
        <v>14.3</v>
      </c>
      <c r="N2222" s="245">
        <v>900</v>
      </c>
      <c r="Q2222" s="245">
        <v>15</v>
      </c>
      <c r="R2222" s="245">
        <v>15</v>
      </c>
      <c r="T2222" s="245" t="s">
        <v>2004</v>
      </c>
      <c r="U2222" s="245" t="s">
        <v>1412</v>
      </c>
      <c r="V2222" s="245">
        <v>20</v>
      </c>
      <c r="W2222" s="245" t="s">
        <v>1392</v>
      </c>
      <c r="X2222" s="245" t="s">
        <v>1393</v>
      </c>
      <c r="Y2222" s="245">
        <v>1.48</v>
      </c>
      <c r="Z2222" s="367">
        <v>44.3</v>
      </c>
      <c r="AA2222" s="367">
        <v>40.200000000000003</v>
      </c>
      <c r="AB2222" s="245" t="s">
        <v>140</v>
      </c>
      <c r="AC2222" s="245">
        <v>8.1999999999999993</v>
      </c>
      <c r="AF2222" s="245" t="s">
        <v>2195</v>
      </c>
      <c r="AG2222" s="245" t="s">
        <v>2052</v>
      </c>
      <c r="AH2222" s="245" t="s">
        <v>578</v>
      </c>
      <c r="AI2222" s="245" t="s">
        <v>2200</v>
      </c>
      <c r="AJ2222" s="245" t="s">
        <v>1616</v>
      </c>
      <c r="AK2222" s="245" t="s">
        <v>2200</v>
      </c>
      <c r="AN2222" s="250" t="s">
        <v>2197</v>
      </c>
      <c r="AQ2222" s="245" t="s">
        <v>2198</v>
      </c>
      <c r="AT2222" s="245" t="s">
        <v>161</v>
      </c>
      <c r="AV2222" s="245">
        <v>2</v>
      </c>
      <c r="BK2222" s="248"/>
      <c r="BM2222" s="437">
        <f t="shared" si="305"/>
        <v>1.4750000000000001</v>
      </c>
      <c r="BN2222" s="437">
        <f>(1.49+1.48)/2</f>
        <v>1.4849999999999999</v>
      </c>
      <c r="BR2222" s="437">
        <v>0.99</v>
      </c>
      <c r="BS2222" s="437">
        <v>1.02</v>
      </c>
      <c r="BV2222" s="245" t="s">
        <v>2294</v>
      </c>
      <c r="FH2222" s="246"/>
    </row>
    <row r="2223" spans="1:164" s="245" customFormat="1" x14ac:dyDescent="0.25">
      <c r="A2223" s="245">
        <v>104</v>
      </c>
      <c r="B2223" s="245" t="s">
        <v>2193</v>
      </c>
      <c r="D2223" s="245">
        <v>2011</v>
      </c>
      <c r="E2223" s="245">
        <v>2008</v>
      </c>
      <c r="F2223" s="245" t="s">
        <v>1756</v>
      </c>
      <c r="G2223" s="245" t="s">
        <v>2194</v>
      </c>
      <c r="H2223" s="239" t="s">
        <v>2836</v>
      </c>
      <c r="I2223" s="245">
        <v>43.68</v>
      </c>
      <c r="J2223" s="245">
        <v>10.35</v>
      </c>
      <c r="K2223" s="245">
        <v>1.7</v>
      </c>
      <c r="L2223" s="245">
        <v>14.3</v>
      </c>
      <c r="N2223" s="245">
        <v>900</v>
      </c>
      <c r="Q2223" s="245">
        <v>15</v>
      </c>
      <c r="R2223" s="245">
        <v>15</v>
      </c>
      <c r="T2223" s="245" t="s">
        <v>2004</v>
      </c>
      <c r="U2223" s="245" t="s">
        <v>1412</v>
      </c>
      <c r="V2223" s="245">
        <v>20</v>
      </c>
      <c r="W2223" s="245" t="s">
        <v>1392</v>
      </c>
      <c r="X2223" s="245" t="s">
        <v>1393</v>
      </c>
      <c r="Y2223" s="245">
        <v>1.48</v>
      </c>
      <c r="Z2223" s="367">
        <v>44.3</v>
      </c>
      <c r="AA2223" s="367">
        <v>40.200000000000003</v>
      </c>
      <c r="AB2223" s="245" t="s">
        <v>140</v>
      </c>
      <c r="AC2223" s="245">
        <v>8.1999999999999993</v>
      </c>
      <c r="AF2223" s="245" t="s">
        <v>2195</v>
      </c>
      <c r="AG2223" s="245" t="s">
        <v>2052</v>
      </c>
      <c r="AH2223" s="245" t="s">
        <v>578</v>
      </c>
      <c r="AI2223" s="245" t="s">
        <v>2200</v>
      </c>
      <c r="AJ2223" s="245" t="s">
        <v>1616</v>
      </c>
      <c r="AK2223" s="245" t="s">
        <v>2200</v>
      </c>
      <c r="AN2223" s="250" t="s">
        <v>2197</v>
      </c>
      <c r="AQ2223" s="245" t="s">
        <v>2198</v>
      </c>
      <c r="AT2223" s="245" t="s">
        <v>161</v>
      </c>
      <c r="AV2223" s="245">
        <v>2</v>
      </c>
      <c r="BK2223" s="248"/>
      <c r="BM2223" s="437">
        <f t="shared" si="305"/>
        <v>1.4750000000000001</v>
      </c>
      <c r="BN2223" s="437">
        <f>(1.47+1.5)/2</f>
        <v>1.4849999999999999</v>
      </c>
      <c r="BR2223" s="437">
        <v>0.99</v>
      </c>
      <c r="BS2223" s="437">
        <v>1.06</v>
      </c>
      <c r="BV2223" s="245" t="s">
        <v>2294</v>
      </c>
      <c r="FH2223" s="246"/>
    </row>
    <row r="2224" spans="1:164" s="245" customFormat="1" x14ac:dyDescent="0.25">
      <c r="A2224" s="245">
        <v>104</v>
      </c>
      <c r="B2224" s="245" t="s">
        <v>2193</v>
      </c>
      <c r="D2224" s="245">
        <v>2011</v>
      </c>
      <c r="E2224" s="245">
        <v>2008</v>
      </c>
      <c r="F2224" s="245" t="s">
        <v>1756</v>
      </c>
      <c r="G2224" s="245" t="s">
        <v>2194</v>
      </c>
      <c r="H2224" s="239" t="s">
        <v>2836</v>
      </c>
      <c r="I2224" s="245">
        <v>43.68</v>
      </c>
      <c r="J2224" s="245">
        <v>10.35</v>
      </c>
      <c r="K2224" s="245">
        <v>1.7</v>
      </c>
      <c r="L2224" s="245">
        <v>14.3</v>
      </c>
      <c r="N2224" s="245">
        <v>900</v>
      </c>
      <c r="Q2224" s="245">
        <v>15</v>
      </c>
      <c r="R2224" s="245">
        <v>15</v>
      </c>
      <c r="T2224" s="245" t="s">
        <v>2004</v>
      </c>
      <c r="U2224" s="245" t="s">
        <v>1412</v>
      </c>
      <c r="V2224" s="245">
        <v>20</v>
      </c>
      <c r="W2224" s="245" t="s">
        <v>1392</v>
      </c>
      <c r="X2224" s="245" t="s">
        <v>1393</v>
      </c>
      <c r="Y2224" s="245">
        <v>1.48</v>
      </c>
      <c r="Z2224" s="367">
        <v>44.3</v>
      </c>
      <c r="AA2224" s="367">
        <v>40.200000000000003</v>
      </c>
      <c r="AB2224" s="245" t="s">
        <v>140</v>
      </c>
      <c r="AC2224" s="245">
        <v>8.1999999999999993</v>
      </c>
      <c r="AF2224" s="245" t="s">
        <v>2195</v>
      </c>
      <c r="AG2224" s="245" t="s">
        <v>2201</v>
      </c>
      <c r="AH2224" s="245" t="s">
        <v>578</v>
      </c>
      <c r="AI2224" s="245" t="s">
        <v>2196</v>
      </c>
      <c r="AJ2224" s="245" t="s">
        <v>2299</v>
      </c>
      <c r="AK2224" s="245" t="s">
        <v>2196</v>
      </c>
      <c r="AN2224" s="250" t="s">
        <v>2197</v>
      </c>
      <c r="AQ2224" s="245" t="s">
        <v>2198</v>
      </c>
      <c r="AT2224" s="245" t="s">
        <v>161</v>
      </c>
      <c r="AV2224" s="245">
        <v>2</v>
      </c>
      <c r="BK2224" s="248"/>
      <c r="BM2224" s="437">
        <f t="shared" si="305"/>
        <v>1.4750000000000001</v>
      </c>
      <c r="BN2224" s="437">
        <f>(1.46+1.5)/2</f>
        <v>1.48</v>
      </c>
      <c r="BR2224" s="437">
        <v>0.99</v>
      </c>
      <c r="BS2224" s="437">
        <v>1.08</v>
      </c>
      <c r="BV2224" s="245" t="s">
        <v>2294</v>
      </c>
      <c r="FH2224" s="246"/>
    </row>
    <row r="2225" spans="1:164" s="239" customFormat="1" x14ac:dyDescent="0.25">
      <c r="A2225" s="239">
        <v>104</v>
      </c>
      <c r="B2225" s="239" t="s">
        <v>2193</v>
      </c>
      <c r="D2225" s="239">
        <v>2011</v>
      </c>
      <c r="E2225" s="239">
        <v>1993</v>
      </c>
      <c r="F2225" s="239" t="s">
        <v>1756</v>
      </c>
      <c r="G2225" s="239" t="s">
        <v>2194</v>
      </c>
      <c r="H2225" s="239" t="s">
        <v>2836</v>
      </c>
      <c r="I2225" s="239">
        <v>43.68</v>
      </c>
      <c r="J2225" s="239">
        <v>10.35</v>
      </c>
      <c r="K2225" s="239">
        <v>1.7</v>
      </c>
      <c r="L2225" s="239">
        <v>14.3</v>
      </c>
      <c r="N2225" s="239">
        <v>900</v>
      </c>
      <c r="Q2225" s="239">
        <v>1</v>
      </c>
      <c r="R2225" s="239">
        <v>15</v>
      </c>
      <c r="T2225" s="239" t="s">
        <v>2004</v>
      </c>
      <c r="U2225" s="239" t="s">
        <v>1393</v>
      </c>
      <c r="V2225" s="239">
        <v>30</v>
      </c>
      <c r="W2225" s="239" t="s">
        <v>1393</v>
      </c>
      <c r="X2225" s="239" t="s">
        <v>1393</v>
      </c>
      <c r="Y2225" s="239">
        <v>1.45</v>
      </c>
      <c r="Z2225" s="383">
        <v>44.3</v>
      </c>
      <c r="AA2225" s="383">
        <v>40.200000000000003</v>
      </c>
      <c r="AB2225" s="239" t="s">
        <v>140</v>
      </c>
      <c r="AC2225" s="239">
        <v>8.1999999999999993</v>
      </c>
      <c r="AF2225" s="239" t="s">
        <v>2195</v>
      </c>
      <c r="AG2225" s="239" t="s">
        <v>2199</v>
      </c>
      <c r="AH2225" s="239" t="s">
        <v>132</v>
      </c>
      <c r="AI2225" s="239" t="s">
        <v>2300</v>
      </c>
      <c r="AJ2225" s="239" t="s">
        <v>1616</v>
      </c>
      <c r="AK2225" s="239" t="s">
        <v>2200</v>
      </c>
      <c r="AN2225" s="393" t="s">
        <v>2197</v>
      </c>
      <c r="AQ2225" s="239" t="s">
        <v>2198</v>
      </c>
      <c r="AT2225" s="239" t="s">
        <v>161</v>
      </c>
      <c r="AV2225" s="239">
        <v>2</v>
      </c>
      <c r="BK2225" s="242"/>
      <c r="BM2225" s="451">
        <v>1.45</v>
      </c>
      <c r="BN2225" s="451">
        <v>1.46</v>
      </c>
      <c r="BR2225" s="451">
        <v>45.21</v>
      </c>
      <c r="BS2225" s="451">
        <v>45.94</v>
      </c>
      <c r="BV2225" s="239" t="s">
        <v>2105</v>
      </c>
      <c r="BW2225" s="239">
        <v>5.43</v>
      </c>
      <c r="BX2225" s="239">
        <v>5.52</v>
      </c>
      <c r="CA2225" s="239" t="s">
        <v>2105</v>
      </c>
      <c r="FH2225" s="240"/>
    </row>
    <row r="2226" spans="1:164" s="239" customFormat="1" x14ac:dyDescent="0.25">
      <c r="A2226" s="239">
        <v>104</v>
      </c>
      <c r="B2226" s="239" t="s">
        <v>2193</v>
      </c>
      <c r="D2226" s="239">
        <v>2011</v>
      </c>
      <c r="E2226" s="239">
        <v>1993</v>
      </c>
      <c r="F2226" s="239" t="s">
        <v>1756</v>
      </c>
      <c r="G2226" s="239" t="s">
        <v>2194</v>
      </c>
      <c r="H2226" s="239" t="s">
        <v>2836</v>
      </c>
      <c r="I2226" s="239">
        <v>43.68</v>
      </c>
      <c r="J2226" s="239">
        <v>10.35</v>
      </c>
      <c r="K2226" s="239">
        <v>1.7</v>
      </c>
      <c r="L2226" s="239">
        <v>14.3</v>
      </c>
      <c r="N2226" s="239">
        <v>900</v>
      </c>
      <c r="Q2226" s="239">
        <v>1</v>
      </c>
      <c r="R2226" s="239">
        <v>15</v>
      </c>
      <c r="T2226" s="239" t="s">
        <v>2004</v>
      </c>
      <c r="U2226" s="239" t="s">
        <v>1393</v>
      </c>
      <c r="V2226" s="239">
        <v>30</v>
      </c>
      <c r="W2226" s="239" t="s">
        <v>1393</v>
      </c>
      <c r="X2226" s="239" t="s">
        <v>1393</v>
      </c>
      <c r="Y2226" s="239">
        <v>1.45</v>
      </c>
      <c r="Z2226" s="383">
        <v>44.3</v>
      </c>
      <c r="AA2226" s="383">
        <v>40.200000000000003</v>
      </c>
      <c r="AB2226" s="239" t="s">
        <v>140</v>
      </c>
      <c r="AC2226" s="239">
        <v>8.1999999999999993</v>
      </c>
      <c r="AF2226" s="239" t="s">
        <v>2195</v>
      </c>
      <c r="AG2226" s="239" t="s">
        <v>2052</v>
      </c>
      <c r="AH2226" s="239" t="s">
        <v>578</v>
      </c>
      <c r="AI2226" s="239" t="s">
        <v>2196</v>
      </c>
      <c r="AJ2226" s="239" t="s">
        <v>2299</v>
      </c>
      <c r="AK2226" s="239" t="s">
        <v>2196</v>
      </c>
      <c r="AN2226" s="393" t="s">
        <v>2197</v>
      </c>
      <c r="AQ2226" s="239" t="s">
        <v>2198</v>
      </c>
      <c r="AT2226" s="239" t="s">
        <v>161</v>
      </c>
      <c r="AV2226" s="239">
        <v>2</v>
      </c>
      <c r="BK2226" s="242"/>
      <c r="BM2226" s="451">
        <v>1.45</v>
      </c>
      <c r="BN2226" s="451">
        <v>1.46</v>
      </c>
      <c r="BR2226" s="451">
        <v>45.21</v>
      </c>
      <c r="BS2226" s="451">
        <v>44.43</v>
      </c>
      <c r="BV2226" s="239" t="s">
        <v>2105</v>
      </c>
      <c r="BW2226" s="239">
        <v>5.43</v>
      </c>
      <c r="BX2226" s="239">
        <v>5.36</v>
      </c>
      <c r="CA2226" s="239" t="s">
        <v>2105</v>
      </c>
      <c r="FH2226" s="240"/>
    </row>
    <row r="2227" spans="1:164" s="239" customFormat="1" x14ac:dyDescent="0.25">
      <c r="A2227" s="239">
        <v>104</v>
      </c>
      <c r="B2227" s="239" t="s">
        <v>2193</v>
      </c>
      <c r="D2227" s="239">
        <v>2011</v>
      </c>
      <c r="E2227" s="239">
        <v>1993</v>
      </c>
      <c r="F2227" s="239" t="s">
        <v>1756</v>
      </c>
      <c r="G2227" s="239" t="s">
        <v>2194</v>
      </c>
      <c r="H2227" s="239" t="s">
        <v>2836</v>
      </c>
      <c r="I2227" s="239">
        <v>43.68</v>
      </c>
      <c r="J2227" s="239">
        <v>10.35</v>
      </c>
      <c r="K2227" s="239">
        <v>1.7</v>
      </c>
      <c r="L2227" s="239">
        <v>14.3</v>
      </c>
      <c r="N2227" s="239">
        <v>900</v>
      </c>
      <c r="Q2227" s="239">
        <v>1</v>
      </c>
      <c r="R2227" s="239">
        <v>15</v>
      </c>
      <c r="T2227" s="239" t="s">
        <v>2004</v>
      </c>
      <c r="U2227" s="239" t="s">
        <v>1393</v>
      </c>
      <c r="V2227" s="239">
        <v>30</v>
      </c>
      <c r="W2227" s="239" t="s">
        <v>1393</v>
      </c>
      <c r="X2227" s="239" t="s">
        <v>1393</v>
      </c>
      <c r="Y2227" s="239">
        <v>1.45</v>
      </c>
      <c r="Z2227" s="383">
        <v>44.3</v>
      </c>
      <c r="AA2227" s="383">
        <v>40.200000000000003</v>
      </c>
      <c r="AB2227" s="239" t="s">
        <v>140</v>
      </c>
      <c r="AC2227" s="239">
        <v>8.1999999999999993</v>
      </c>
      <c r="AF2227" s="239" t="s">
        <v>2195</v>
      </c>
      <c r="AG2227" s="239" t="s">
        <v>2052</v>
      </c>
      <c r="AH2227" s="239" t="s">
        <v>578</v>
      </c>
      <c r="AI2227" s="239" t="s">
        <v>2196</v>
      </c>
      <c r="AJ2227" s="239" t="s">
        <v>2299</v>
      </c>
      <c r="AK2227" s="239" t="s">
        <v>2196</v>
      </c>
      <c r="AN2227" s="393" t="s">
        <v>2197</v>
      </c>
      <c r="AQ2227" s="239" t="s">
        <v>2198</v>
      </c>
      <c r="AT2227" s="239" t="s">
        <v>161</v>
      </c>
      <c r="AV2227" s="239">
        <v>2</v>
      </c>
      <c r="BK2227" s="242"/>
      <c r="BM2227" s="451">
        <v>1.45</v>
      </c>
      <c r="BN2227" s="451">
        <v>1.46</v>
      </c>
      <c r="BR2227" s="451">
        <v>45.21</v>
      </c>
      <c r="BS2227" s="451">
        <v>44.67</v>
      </c>
      <c r="BV2227" s="239" t="s">
        <v>2105</v>
      </c>
      <c r="BW2227" s="239">
        <v>5.43</v>
      </c>
      <c r="BX2227" s="239">
        <v>5.41</v>
      </c>
      <c r="CA2227" s="239" t="s">
        <v>2105</v>
      </c>
      <c r="FH2227" s="240"/>
    </row>
    <row r="2228" spans="1:164" s="239" customFormat="1" x14ac:dyDescent="0.25">
      <c r="A2228" s="239">
        <v>104</v>
      </c>
      <c r="B2228" s="239" t="s">
        <v>2193</v>
      </c>
      <c r="D2228" s="239">
        <v>2011</v>
      </c>
      <c r="E2228" s="239">
        <v>2008</v>
      </c>
      <c r="F2228" s="239" t="s">
        <v>1756</v>
      </c>
      <c r="G2228" s="239" t="s">
        <v>2194</v>
      </c>
      <c r="H2228" s="239" t="s">
        <v>2836</v>
      </c>
      <c r="I2228" s="239">
        <v>43.68</v>
      </c>
      <c r="J2228" s="239">
        <v>10.35</v>
      </c>
      <c r="K2228" s="239">
        <v>1.7</v>
      </c>
      <c r="L2228" s="239">
        <v>14.3</v>
      </c>
      <c r="N2228" s="239">
        <v>900</v>
      </c>
      <c r="Q2228" s="239">
        <v>15</v>
      </c>
      <c r="R2228" s="239">
        <v>15</v>
      </c>
      <c r="T2228" s="239" t="s">
        <v>2004</v>
      </c>
      <c r="U2228" s="239" t="s">
        <v>1393</v>
      </c>
      <c r="V2228" s="239">
        <v>30</v>
      </c>
      <c r="W2228" s="239" t="s">
        <v>1393</v>
      </c>
      <c r="X2228" s="239" t="s">
        <v>1393</v>
      </c>
      <c r="Y2228" s="239">
        <v>1.45</v>
      </c>
      <c r="Z2228" s="383">
        <v>44.3</v>
      </c>
      <c r="AA2228" s="383">
        <v>40.200000000000003</v>
      </c>
      <c r="AB2228" s="239" t="s">
        <v>140</v>
      </c>
      <c r="AC2228" s="239">
        <v>8.1999999999999993</v>
      </c>
      <c r="AF2228" s="239" t="s">
        <v>2195</v>
      </c>
      <c r="AG2228" s="239" t="s">
        <v>2052</v>
      </c>
      <c r="AH2228" s="239" t="s">
        <v>578</v>
      </c>
      <c r="AI2228" s="239" t="s">
        <v>2200</v>
      </c>
      <c r="AJ2228" s="239" t="s">
        <v>1616</v>
      </c>
      <c r="AK2228" s="239" t="s">
        <v>2200</v>
      </c>
      <c r="AN2228" s="393" t="s">
        <v>2197</v>
      </c>
      <c r="AQ2228" s="239" t="s">
        <v>2198</v>
      </c>
      <c r="AT2228" s="239" t="s">
        <v>161</v>
      </c>
      <c r="AV2228" s="239">
        <v>2</v>
      </c>
      <c r="BK2228" s="242"/>
      <c r="BM2228" s="451">
        <v>1.45</v>
      </c>
      <c r="BN2228" s="451">
        <v>1.46</v>
      </c>
      <c r="BR2228" s="451">
        <v>46</v>
      </c>
      <c r="BS2228" s="451">
        <v>48.51</v>
      </c>
      <c r="BV2228" s="239" t="s">
        <v>2105</v>
      </c>
      <c r="BW2228" s="239">
        <v>5.14</v>
      </c>
      <c r="BX2228" s="239">
        <v>5.4</v>
      </c>
      <c r="CA2228" s="239" t="s">
        <v>2105</v>
      </c>
      <c r="FH2228" s="240"/>
    </row>
    <row r="2229" spans="1:164" s="239" customFormat="1" x14ac:dyDescent="0.25">
      <c r="A2229" s="239">
        <v>104</v>
      </c>
      <c r="B2229" s="239" t="s">
        <v>2193</v>
      </c>
      <c r="D2229" s="239">
        <v>2011</v>
      </c>
      <c r="E2229" s="239">
        <v>2008</v>
      </c>
      <c r="F2229" s="239" t="s">
        <v>1756</v>
      </c>
      <c r="G2229" s="239" t="s">
        <v>2194</v>
      </c>
      <c r="H2229" s="239" t="s">
        <v>2836</v>
      </c>
      <c r="I2229" s="239">
        <v>43.68</v>
      </c>
      <c r="J2229" s="239">
        <v>10.35</v>
      </c>
      <c r="K2229" s="239">
        <v>1.7</v>
      </c>
      <c r="L2229" s="239">
        <v>14.3</v>
      </c>
      <c r="N2229" s="239">
        <v>900</v>
      </c>
      <c r="Q2229" s="239">
        <v>15</v>
      </c>
      <c r="R2229" s="239">
        <v>15</v>
      </c>
      <c r="T2229" s="239" t="s">
        <v>2004</v>
      </c>
      <c r="U2229" s="239" t="s">
        <v>1393</v>
      </c>
      <c r="V2229" s="239">
        <v>30</v>
      </c>
      <c r="W2229" s="239" t="s">
        <v>1393</v>
      </c>
      <c r="X2229" s="239" t="s">
        <v>1393</v>
      </c>
      <c r="Y2229" s="239">
        <v>1.45</v>
      </c>
      <c r="Z2229" s="383">
        <v>44.3</v>
      </c>
      <c r="AA2229" s="383">
        <v>40.200000000000003</v>
      </c>
      <c r="AB2229" s="239" t="s">
        <v>140</v>
      </c>
      <c r="AC2229" s="239">
        <v>8.1999999999999993</v>
      </c>
      <c r="AF2229" s="239" t="s">
        <v>2195</v>
      </c>
      <c r="AG2229" s="239" t="s">
        <v>2052</v>
      </c>
      <c r="AH2229" s="239" t="s">
        <v>578</v>
      </c>
      <c r="AI2229" s="239" t="s">
        <v>2200</v>
      </c>
      <c r="AJ2229" s="239" t="s">
        <v>1616</v>
      </c>
      <c r="AK2229" s="239" t="s">
        <v>2200</v>
      </c>
      <c r="AN2229" s="393" t="s">
        <v>2197</v>
      </c>
      <c r="AQ2229" s="239" t="s">
        <v>2198</v>
      </c>
      <c r="AT2229" s="239" t="s">
        <v>161</v>
      </c>
      <c r="AV2229" s="239">
        <v>2</v>
      </c>
      <c r="BK2229" s="242"/>
      <c r="BM2229" s="451">
        <v>1.45</v>
      </c>
      <c r="BN2229" s="451">
        <v>1.46</v>
      </c>
      <c r="BR2229" s="451">
        <v>46</v>
      </c>
      <c r="BS2229" s="451">
        <v>50.51</v>
      </c>
      <c r="BV2229" s="239" t="s">
        <v>2105</v>
      </c>
      <c r="BW2229" s="239">
        <v>5.14</v>
      </c>
      <c r="BX2229" s="239">
        <v>5.5</v>
      </c>
      <c r="CA2229" s="239" t="s">
        <v>2105</v>
      </c>
      <c r="FH2229" s="240"/>
    </row>
    <row r="2230" spans="1:164" s="239" customFormat="1" x14ac:dyDescent="0.25">
      <c r="A2230" s="239">
        <v>104</v>
      </c>
      <c r="B2230" s="239" t="s">
        <v>2193</v>
      </c>
      <c r="D2230" s="239">
        <v>2011</v>
      </c>
      <c r="E2230" s="239">
        <v>2008</v>
      </c>
      <c r="F2230" s="239" t="s">
        <v>1756</v>
      </c>
      <c r="G2230" s="239" t="s">
        <v>2194</v>
      </c>
      <c r="H2230" s="239" t="s">
        <v>2836</v>
      </c>
      <c r="I2230" s="239">
        <v>43.68</v>
      </c>
      <c r="J2230" s="239">
        <v>10.35</v>
      </c>
      <c r="K2230" s="239">
        <v>1.7</v>
      </c>
      <c r="L2230" s="239">
        <v>14.3</v>
      </c>
      <c r="N2230" s="239">
        <v>900</v>
      </c>
      <c r="Q2230" s="239">
        <v>15</v>
      </c>
      <c r="R2230" s="239">
        <v>15</v>
      </c>
      <c r="T2230" s="239" t="s">
        <v>2004</v>
      </c>
      <c r="U2230" s="239" t="s">
        <v>1393</v>
      </c>
      <c r="V2230" s="239">
        <v>30</v>
      </c>
      <c r="W2230" s="239" t="s">
        <v>1393</v>
      </c>
      <c r="X2230" s="239" t="s">
        <v>1393</v>
      </c>
      <c r="Y2230" s="239">
        <v>1.45</v>
      </c>
      <c r="Z2230" s="383">
        <v>44.3</v>
      </c>
      <c r="AA2230" s="383">
        <v>40.200000000000003</v>
      </c>
      <c r="AB2230" s="239" t="s">
        <v>140</v>
      </c>
      <c r="AC2230" s="239">
        <v>8.1999999999999993</v>
      </c>
      <c r="AF2230" s="239" t="s">
        <v>2195</v>
      </c>
      <c r="AG2230" s="239" t="s">
        <v>2201</v>
      </c>
      <c r="AH2230" s="239" t="s">
        <v>578</v>
      </c>
      <c r="AI2230" s="239" t="s">
        <v>2196</v>
      </c>
      <c r="AJ2230" s="239" t="s">
        <v>2299</v>
      </c>
      <c r="AK2230" s="239" t="s">
        <v>2196</v>
      </c>
      <c r="AN2230" s="393" t="s">
        <v>2197</v>
      </c>
      <c r="AQ2230" s="239" t="s">
        <v>2198</v>
      </c>
      <c r="AT2230" s="239" t="s">
        <v>161</v>
      </c>
      <c r="AV2230" s="239">
        <v>2</v>
      </c>
      <c r="BK2230" s="242"/>
      <c r="BM2230" s="451">
        <v>1.45</v>
      </c>
      <c r="BN2230" s="451">
        <v>1.46</v>
      </c>
      <c r="BR2230" s="451">
        <v>46</v>
      </c>
      <c r="BS2230" s="451">
        <v>51.18</v>
      </c>
      <c r="BV2230" s="239" t="s">
        <v>2105</v>
      </c>
      <c r="BW2230" s="239">
        <v>5.14</v>
      </c>
      <c r="BX2230" s="239">
        <v>5.71</v>
      </c>
      <c r="CA2230" s="239" t="s">
        <v>2105</v>
      </c>
      <c r="FH2230" s="240"/>
    </row>
    <row r="2231" spans="1:164" s="156" customFormat="1" x14ac:dyDescent="0.25">
      <c r="A2231" s="164">
        <v>105</v>
      </c>
      <c r="B2231" s="318" t="s">
        <v>2202</v>
      </c>
      <c r="D2231" s="318">
        <v>2007</v>
      </c>
      <c r="E2231" s="156">
        <v>1998</v>
      </c>
      <c r="F2231" s="168" t="s">
        <v>1756</v>
      </c>
      <c r="G2231" s="318" t="s">
        <v>2203</v>
      </c>
      <c r="H2231" s="318" t="s">
        <v>2834</v>
      </c>
      <c r="I2231" s="156">
        <v>-16.690000000000001</v>
      </c>
      <c r="J2231" s="156">
        <v>-49.26</v>
      </c>
      <c r="K2231" s="168">
        <v>789.7</v>
      </c>
      <c r="L2231" s="168">
        <v>22.5</v>
      </c>
      <c r="N2231" s="168">
        <v>1500</v>
      </c>
      <c r="Q2231" s="156">
        <v>1</v>
      </c>
      <c r="R2231" s="168">
        <v>5</v>
      </c>
      <c r="T2231" s="156" t="s">
        <v>2025</v>
      </c>
      <c r="U2231" s="168" t="s">
        <v>1393</v>
      </c>
      <c r="V2231" s="168">
        <v>30</v>
      </c>
      <c r="W2231" s="168" t="s">
        <v>1393</v>
      </c>
      <c r="X2231" s="168" t="s">
        <v>1393</v>
      </c>
      <c r="Y2231" s="156">
        <v>1.23</v>
      </c>
      <c r="Z2231" s="381">
        <v>20</v>
      </c>
      <c r="AA2231" s="381">
        <v>30</v>
      </c>
      <c r="AB2231" s="156" t="s">
        <v>797</v>
      </c>
      <c r="AD2231" s="156">
        <v>1.665</v>
      </c>
      <c r="AF2231" s="168" t="s">
        <v>2204</v>
      </c>
      <c r="AG2231" s="164" t="s">
        <v>2302</v>
      </c>
      <c r="AH2231" s="156" t="s">
        <v>1586</v>
      </c>
      <c r="AI2231" s="164" t="s">
        <v>1130</v>
      </c>
      <c r="AJ2231" s="156" t="s">
        <v>1621</v>
      </c>
      <c r="AN2231" s="164" t="s">
        <v>2303</v>
      </c>
      <c r="AO2231" s="156" t="s">
        <v>2304</v>
      </c>
      <c r="AP2231" s="156" t="s">
        <v>503</v>
      </c>
      <c r="AQ2231" s="164" t="s">
        <v>2205</v>
      </c>
      <c r="AT2231" s="168" t="s">
        <v>161</v>
      </c>
      <c r="AU2231" s="156">
        <v>6</v>
      </c>
      <c r="AV2231" s="168">
        <v>6</v>
      </c>
      <c r="BH2231" s="164"/>
      <c r="BK2231" s="163"/>
      <c r="BM2231" s="433">
        <v>1.23</v>
      </c>
      <c r="BN2231" s="433">
        <v>1.3</v>
      </c>
      <c r="BR2231" s="433">
        <v>2.048</v>
      </c>
      <c r="BS2231" s="433">
        <v>2.145</v>
      </c>
      <c r="BV2231" s="156" t="s">
        <v>2294</v>
      </c>
      <c r="FH2231" s="158"/>
    </row>
    <row r="2232" spans="1:164" s="156" customFormat="1" x14ac:dyDescent="0.25">
      <c r="A2232" s="164">
        <v>105</v>
      </c>
      <c r="B2232" s="318" t="s">
        <v>2202</v>
      </c>
      <c r="D2232" s="318">
        <v>2007</v>
      </c>
      <c r="E2232" s="156">
        <v>2003</v>
      </c>
      <c r="F2232" s="168" t="s">
        <v>1756</v>
      </c>
      <c r="G2232" s="318" t="s">
        <v>2203</v>
      </c>
      <c r="H2232" s="318" t="s">
        <v>2834</v>
      </c>
      <c r="I2232" s="156">
        <v>-16.690000000000001</v>
      </c>
      <c r="J2232" s="156">
        <v>-49.26</v>
      </c>
      <c r="K2232" s="168">
        <v>789.7</v>
      </c>
      <c r="L2232" s="168">
        <v>22.5</v>
      </c>
      <c r="N2232" s="168">
        <v>1500</v>
      </c>
      <c r="Q2232" s="156">
        <v>5</v>
      </c>
      <c r="R2232" s="168">
        <v>5</v>
      </c>
      <c r="T2232" s="156" t="s">
        <v>2025</v>
      </c>
      <c r="U2232" s="168" t="s">
        <v>1393</v>
      </c>
      <c r="V2232" s="168">
        <v>30</v>
      </c>
      <c r="W2232" s="168" t="s">
        <v>1393</v>
      </c>
      <c r="X2232" s="168" t="s">
        <v>1393</v>
      </c>
      <c r="Y2232" s="156">
        <v>1.25</v>
      </c>
      <c r="Z2232" s="381">
        <v>20</v>
      </c>
      <c r="AA2232" s="381">
        <v>30</v>
      </c>
      <c r="AB2232" s="156" t="s">
        <v>797</v>
      </c>
      <c r="AD2232" s="156">
        <v>1.595</v>
      </c>
      <c r="AF2232" s="168" t="s">
        <v>2204</v>
      </c>
      <c r="AG2232" s="164" t="s">
        <v>2302</v>
      </c>
      <c r="AH2232" s="156" t="s">
        <v>1586</v>
      </c>
      <c r="AI2232" s="164" t="s">
        <v>1130</v>
      </c>
      <c r="AJ2232" s="156" t="s">
        <v>1621</v>
      </c>
      <c r="AN2232" s="164" t="s">
        <v>2303</v>
      </c>
      <c r="AO2232" s="156" t="s">
        <v>2304</v>
      </c>
      <c r="AP2232" s="156" t="s">
        <v>503</v>
      </c>
      <c r="AQ2232" s="164" t="s">
        <v>2205</v>
      </c>
      <c r="AT2232" s="168" t="s">
        <v>161</v>
      </c>
      <c r="AU2232" s="156">
        <v>6</v>
      </c>
      <c r="AV2232" s="168">
        <v>6</v>
      </c>
      <c r="BH2232" s="164"/>
      <c r="BK2232" s="163"/>
      <c r="BM2232" s="433">
        <v>1.25</v>
      </c>
      <c r="BN2232" s="433">
        <v>1.27</v>
      </c>
      <c r="BR2232" s="433">
        <v>1.994</v>
      </c>
      <c r="BS2232" s="433">
        <v>2.2290000000000001</v>
      </c>
      <c r="BV2232" s="156" t="s">
        <v>2294</v>
      </c>
      <c r="FH2232" s="158"/>
    </row>
    <row r="2233" spans="1:164" s="245" customFormat="1" x14ac:dyDescent="0.25">
      <c r="A2233" s="245">
        <v>106</v>
      </c>
      <c r="B2233" s="244" t="s">
        <v>2206</v>
      </c>
      <c r="C2233" s="245" t="s">
        <v>2306</v>
      </c>
      <c r="D2233" s="244">
        <v>2013</v>
      </c>
      <c r="E2233" s="245">
        <v>2009</v>
      </c>
      <c r="F2233" s="244" t="s">
        <v>2307</v>
      </c>
      <c r="G2233" s="244" t="s">
        <v>2308</v>
      </c>
      <c r="H2233" s="244" t="s">
        <v>2834</v>
      </c>
      <c r="I2233" s="245">
        <f>-16-27/60</f>
        <v>-16.45</v>
      </c>
      <c r="J2233" s="245">
        <f>-49-17/60</f>
        <v>-49.283333333333331</v>
      </c>
      <c r="K2233" s="244">
        <v>823</v>
      </c>
      <c r="L2233" s="244">
        <v>22.7</v>
      </c>
      <c r="N2233" s="244">
        <v>1500</v>
      </c>
      <c r="Q2233" s="245">
        <v>9</v>
      </c>
      <c r="R2233" s="244">
        <v>10</v>
      </c>
      <c r="T2233" s="245" t="s">
        <v>2305</v>
      </c>
      <c r="U2233" s="244" t="s">
        <v>1383</v>
      </c>
      <c r="V2233" s="245">
        <v>20</v>
      </c>
      <c r="W2233" s="244" t="s">
        <v>1383</v>
      </c>
      <c r="X2233" s="244" t="s">
        <v>1383</v>
      </c>
      <c r="Y2233" s="245">
        <v>1.304</v>
      </c>
      <c r="Z2233" s="376">
        <v>35</v>
      </c>
      <c r="AA2233" s="376">
        <v>11</v>
      </c>
      <c r="AB2233" s="245" t="s">
        <v>797</v>
      </c>
      <c r="AC2233" s="245">
        <v>6.2</v>
      </c>
      <c r="AD2233" s="245">
        <v>2.41</v>
      </c>
      <c r="AF2233" s="244" t="s">
        <v>2309</v>
      </c>
      <c r="AG2233" s="244" t="s">
        <v>2311</v>
      </c>
      <c r="AH2233" s="245" t="s">
        <v>1585</v>
      </c>
      <c r="AI2233" s="244" t="s">
        <v>1130</v>
      </c>
      <c r="AJ2233" s="245" t="s">
        <v>1621</v>
      </c>
      <c r="AN2233" s="244"/>
      <c r="AQ2233" s="244"/>
      <c r="AT2233" s="244"/>
      <c r="AU2233" s="245">
        <v>3</v>
      </c>
      <c r="AV2233" s="244"/>
      <c r="AW2233" s="245" t="s">
        <v>2131</v>
      </c>
      <c r="BH2233" s="244">
        <v>3521</v>
      </c>
      <c r="BI2233" s="245">
        <v>3069</v>
      </c>
      <c r="BK2233" s="248"/>
      <c r="BM2233" s="437">
        <v>1.3042</v>
      </c>
      <c r="BN2233" s="437">
        <v>1.29898</v>
      </c>
      <c r="BR2233" s="437">
        <v>5.6830375000000002</v>
      </c>
      <c r="BS2233" s="437">
        <v>5.7804610000000007</v>
      </c>
      <c r="BV2233" s="245" t="s">
        <v>2105</v>
      </c>
      <c r="FH2233" s="246"/>
    </row>
    <row r="2234" spans="1:164" s="245" customFormat="1" x14ac:dyDescent="0.25">
      <c r="A2234" s="245">
        <v>106</v>
      </c>
      <c r="B2234" s="244" t="s">
        <v>2206</v>
      </c>
      <c r="C2234" s="245" t="s">
        <v>2306</v>
      </c>
      <c r="D2234" s="244">
        <v>2013</v>
      </c>
      <c r="E2234" s="245">
        <v>2009</v>
      </c>
      <c r="F2234" s="244" t="s">
        <v>2307</v>
      </c>
      <c r="G2234" s="244" t="s">
        <v>2308</v>
      </c>
      <c r="H2234" s="244" t="s">
        <v>2834</v>
      </c>
      <c r="I2234" s="245">
        <f t="shared" ref="I2234:I2237" si="306">-16-27/60</f>
        <v>-16.45</v>
      </c>
      <c r="J2234" s="245">
        <f t="shared" ref="J2234:J2237" si="307">-49-17/60</f>
        <v>-49.283333333333331</v>
      </c>
      <c r="K2234" s="244">
        <v>823</v>
      </c>
      <c r="L2234" s="244">
        <v>22.7</v>
      </c>
      <c r="N2234" s="244">
        <v>1500</v>
      </c>
      <c r="Q2234" s="245">
        <v>9</v>
      </c>
      <c r="R2234" s="244">
        <v>10</v>
      </c>
      <c r="T2234" s="245" t="s">
        <v>2305</v>
      </c>
      <c r="U2234" s="244" t="s">
        <v>1383</v>
      </c>
      <c r="V2234" s="245">
        <v>20</v>
      </c>
      <c r="W2234" s="244" t="s">
        <v>1383</v>
      </c>
      <c r="X2234" s="244" t="s">
        <v>1383</v>
      </c>
      <c r="Y2234" s="245">
        <v>1.304</v>
      </c>
      <c r="Z2234" s="376">
        <v>35</v>
      </c>
      <c r="AA2234" s="376">
        <v>11</v>
      </c>
      <c r="AB2234" s="245" t="s">
        <v>797</v>
      </c>
      <c r="AC2234" s="245">
        <v>6.2</v>
      </c>
      <c r="AD2234" s="245">
        <v>2.41</v>
      </c>
      <c r="AF2234" s="244" t="s">
        <v>2309</v>
      </c>
      <c r="AG2234" s="244" t="s">
        <v>2310</v>
      </c>
      <c r="AH2234" s="245" t="s">
        <v>1585</v>
      </c>
      <c r="AI2234" s="244" t="s">
        <v>1130</v>
      </c>
      <c r="AJ2234" s="245" t="s">
        <v>1621</v>
      </c>
      <c r="AN2234" s="244"/>
      <c r="AQ2234" s="244"/>
      <c r="AT2234" s="244"/>
      <c r="AU2234" s="245">
        <v>3</v>
      </c>
      <c r="AV2234" s="244"/>
      <c r="AW2234" s="245" t="s">
        <v>2131</v>
      </c>
      <c r="BH2234" s="244">
        <v>3521</v>
      </c>
      <c r="BI2234" s="245">
        <v>2429</v>
      </c>
      <c r="BK2234" s="248"/>
      <c r="BM2234" s="437">
        <v>1.3042</v>
      </c>
      <c r="BN2234" s="437">
        <v>1.28854</v>
      </c>
      <c r="BR2234" s="437">
        <v>5.6373625000000001</v>
      </c>
      <c r="BS2234" s="437">
        <v>5.9272840000000002</v>
      </c>
      <c r="BV2234" s="245" t="s">
        <v>2105</v>
      </c>
      <c r="FH2234" s="246"/>
    </row>
    <row r="2235" spans="1:164" s="245" customFormat="1" x14ac:dyDescent="0.25">
      <c r="A2235" s="245">
        <v>106</v>
      </c>
      <c r="B2235" s="244" t="s">
        <v>2206</v>
      </c>
      <c r="C2235" s="245" t="s">
        <v>2306</v>
      </c>
      <c r="D2235" s="244">
        <v>2013</v>
      </c>
      <c r="E2235" s="245">
        <v>2009</v>
      </c>
      <c r="F2235" s="244" t="s">
        <v>2307</v>
      </c>
      <c r="G2235" s="244" t="s">
        <v>2308</v>
      </c>
      <c r="H2235" s="244" t="s">
        <v>2834</v>
      </c>
      <c r="I2235" s="245">
        <f t="shared" si="306"/>
        <v>-16.45</v>
      </c>
      <c r="J2235" s="245">
        <f t="shared" si="307"/>
        <v>-49.283333333333331</v>
      </c>
      <c r="K2235" s="244">
        <v>823</v>
      </c>
      <c r="L2235" s="244">
        <v>22.7</v>
      </c>
      <c r="N2235" s="244">
        <v>1500</v>
      </c>
      <c r="Q2235" s="245">
        <v>9</v>
      </c>
      <c r="R2235" s="244">
        <v>10</v>
      </c>
      <c r="T2235" s="245" t="s">
        <v>2305</v>
      </c>
      <c r="U2235" s="244" t="s">
        <v>1383</v>
      </c>
      <c r="V2235" s="245">
        <v>20</v>
      </c>
      <c r="W2235" s="244" t="s">
        <v>1383</v>
      </c>
      <c r="X2235" s="244" t="s">
        <v>1383</v>
      </c>
      <c r="Y2235" s="245">
        <v>1.304</v>
      </c>
      <c r="Z2235" s="376">
        <v>35</v>
      </c>
      <c r="AA2235" s="376">
        <v>11</v>
      </c>
      <c r="AB2235" s="245" t="s">
        <v>797</v>
      </c>
      <c r="AC2235" s="245">
        <v>6.2</v>
      </c>
      <c r="AD2235" s="245">
        <v>2.41</v>
      </c>
      <c r="AF2235" s="244" t="s">
        <v>2309</v>
      </c>
      <c r="AG2235" s="244" t="s">
        <v>2312</v>
      </c>
      <c r="AH2235" s="245" t="s">
        <v>1585</v>
      </c>
      <c r="AI2235" s="244" t="s">
        <v>1130</v>
      </c>
      <c r="AJ2235" s="245" t="s">
        <v>1621</v>
      </c>
      <c r="AN2235" s="244"/>
      <c r="AQ2235" s="244"/>
      <c r="AT2235" s="244"/>
      <c r="AU2235" s="245">
        <v>3</v>
      </c>
      <c r="AV2235" s="244"/>
      <c r="AW2235" s="245" t="s">
        <v>2131</v>
      </c>
      <c r="BH2235" s="244">
        <v>3521</v>
      </c>
      <c r="BI2235" s="245">
        <v>1855</v>
      </c>
      <c r="BK2235" s="248"/>
      <c r="BM2235" s="437">
        <v>1.3042</v>
      </c>
      <c r="BN2235" s="437">
        <v>1.29898</v>
      </c>
      <c r="BR2235" s="437">
        <v>5.6830375000000002</v>
      </c>
      <c r="BS2235" s="437">
        <v>5.7804610000000007</v>
      </c>
      <c r="BV2235" s="245" t="s">
        <v>2105</v>
      </c>
      <c r="FH2235" s="246"/>
    </row>
    <row r="2236" spans="1:164" s="245" customFormat="1" x14ac:dyDescent="0.25">
      <c r="A2236" s="245">
        <v>106</v>
      </c>
      <c r="B2236" s="244" t="s">
        <v>2206</v>
      </c>
      <c r="C2236" s="245" t="s">
        <v>2306</v>
      </c>
      <c r="D2236" s="244">
        <v>2013</v>
      </c>
      <c r="E2236" s="245">
        <v>2009</v>
      </c>
      <c r="F2236" s="244" t="s">
        <v>2307</v>
      </c>
      <c r="G2236" s="244" t="s">
        <v>2308</v>
      </c>
      <c r="H2236" s="244" t="s">
        <v>2834</v>
      </c>
      <c r="I2236" s="245">
        <f t="shared" si="306"/>
        <v>-16.45</v>
      </c>
      <c r="J2236" s="245">
        <f t="shared" si="307"/>
        <v>-49.283333333333331</v>
      </c>
      <c r="K2236" s="244">
        <v>823</v>
      </c>
      <c r="L2236" s="244">
        <v>22.7</v>
      </c>
      <c r="N2236" s="244">
        <v>1500</v>
      </c>
      <c r="Q2236" s="245">
        <v>9</v>
      </c>
      <c r="R2236" s="244">
        <v>10</v>
      </c>
      <c r="T2236" s="245" t="s">
        <v>2305</v>
      </c>
      <c r="U2236" s="244" t="s">
        <v>1383</v>
      </c>
      <c r="V2236" s="245">
        <v>20</v>
      </c>
      <c r="W2236" s="244" t="s">
        <v>1383</v>
      </c>
      <c r="X2236" s="244" t="s">
        <v>1383</v>
      </c>
      <c r="Y2236" s="245">
        <v>1.304</v>
      </c>
      <c r="Z2236" s="376">
        <v>35</v>
      </c>
      <c r="AA2236" s="376">
        <v>11</v>
      </c>
      <c r="AB2236" s="245" t="s">
        <v>797</v>
      </c>
      <c r="AC2236" s="245">
        <v>6.2</v>
      </c>
      <c r="AD2236" s="245">
        <v>2.41</v>
      </c>
      <c r="AF2236" s="244" t="s">
        <v>2309</v>
      </c>
      <c r="AG2236" s="244" t="s">
        <v>2313</v>
      </c>
      <c r="AH2236" s="245" t="s">
        <v>1585</v>
      </c>
      <c r="AI2236" s="244" t="s">
        <v>1130</v>
      </c>
      <c r="AJ2236" s="245" t="s">
        <v>1621</v>
      </c>
      <c r="AN2236" s="244"/>
      <c r="AQ2236" s="244"/>
      <c r="AT2236" s="244"/>
      <c r="AU2236" s="245">
        <v>3</v>
      </c>
      <c r="AV2236" s="244"/>
      <c r="AW2236" s="245" t="s">
        <v>2131</v>
      </c>
      <c r="BH2236" s="244">
        <v>3521</v>
      </c>
      <c r="BI2236" s="245">
        <v>1982</v>
      </c>
      <c r="BK2236" s="248"/>
      <c r="BM2236" s="437">
        <v>1.3042</v>
      </c>
      <c r="BN2236" s="437">
        <v>1.2711399999999999</v>
      </c>
      <c r="BR2236" s="437">
        <v>5.5612374999999998</v>
      </c>
      <c r="BS2236" s="437">
        <v>6.1650289999999996</v>
      </c>
      <c r="BV2236" s="245" t="s">
        <v>2105</v>
      </c>
      <c r="FH2236" s="246"/>
    </row>
    <row r="2237" spans="1:164" s="245" customFormat="1" x14ac:dyDescent="0.25">
      <c r="A2237" s="245">
        <v>106</v>
      </c>
      <c r="B2237" s="244" t="s">
        <v>2206</v>
      </c>
      <c r="C2237" s="245" t="s">
        <v>2306</v>
      </c>
      <c r="D2237" s="244">
        <v>2013</v>
      </c>
      <c r="E2237" s="245">
        <v>2009</v>
      </c>
      <c r="F2237" s="244" t="s">
        <v>2307</v>
      </c>
      <c r="G2237" s="244" t="s">
        <v>2308</v>
      </c>
      <c r="H2237" s="244" t="s">
        <v>2834</v>
      </c>
      <c r="I2237" s="245">
        <f t="shared" si="306"/>
        <v>-16.45</v>
      </c>
      <c r="J2237" s="245">
        <f t="shared" si="307"/>
        <v>-49.283333333333331</v>
      </c>
      <c r="K2237" s="244">
        <v>823</v>
      </c>
      <c r="L2237" s="244">
        <v>22.7</v>
      </c>
      <c r="N2237" s="244">
        <v>1500</v>
      </c>
      <c r="Q2237" s="245">
        <v>9</v>
      </c>
      <c r="R2237" s="244">
        <v>10</v>
      </c>
      <c r="T2237" s="245" t="s">
        <v>2305</v>
      </c>
      <c r="U2237" s="244" t="s">
        <v>1383</v>
      </c>
      <c r="V2237" s="245">
        <v>20</v>
      </c>
      <c r="W2237" s="244" t="s">
        <v>1383</v>
      </c>
      <c r="X2237" s="244" t="s">
        <v>1383</v>
      </c>
      <c r="Y2237" s="245">
        <v>1.304</v>
      </c>
      <c r="Z2237" s="376">
        <v>35</v>
      </c>
      <c r="AA2237" s="376">
        <v>11</v>
      </c>
      <c r="AB2237" s="245" t="s">
        <v>797</v>
      </c>
      <c r="AC2237" s="245">
        <v>6.2</v>
      </c>
      <c r="AD2237" s="245">
        <v>2.41</v>
      </c>
      <c r="AF2237" s="244" t="s">
        <v>2309</v>
      </c>
      <c r="AG2237" s="244" t="s">
        <v>528</v>
      </c>
      <c r="AH2237" s="245" t="s">
        <v>1585</v>
      </c>
      <c r="AI2237" s="244" t="s">
        <v>1130</v>
      </c>
      <c r="AJ2237" s="245" t="s">
        <v>1621</v>
      </c>
      <c r="AN2237" s="244"/>
      <c r="AQ2237" s="244"/>
      <c r="AT2237" s="244"/>
      <c r="AU2237" s="245">
        <v>3</v>
      </c>
      <c r="AV2237" s="244"/>
      <c r="AW2237" s="245" t="s">
        <v>2131</v>
      </c>
      <c r="BH2237" s="244">
        <v>3521</v>
      </c>
      <c r="BI2237" s="245">
        <v>3648</v>
      </c>
      <c r="BK2237" s="248"/>
      <c r="BM2237" s="437">
        <v>1.6087</v>
      </c>
      <c r="BN2237" s="437">
        <v>1.6087</v>
      </c>
      <c r="BR2237" s="437"/>
      <c r="BS2237" s="437"/>
      <c r="BV2237" s="245" t="s">
        <v>2105</v>
      </c>
      <c r="FH2237" s="246"/>
    </row>
    <row r="2238" spans="1:164" s="164" customFormat="1" x14ac:dyDescent="0.25">
      <c r="A2238" s="164">
        <v>107</v>
      </c>
      <c r="B2238" s="164" t="s">
        <v>2207</v>
      </c>
      <c r="D2238" s="164">
        <v>1974</v>
      </c>
      <c r="F2238" s="164" t="s">
        <v>2208</v>
      </c>
      <c r="G2238" s="164" t="s">
        <v>2209</v>
      </c>
      <c r="H2238" s="164" t="s">
        <v>1111</v>
      </c>
      <c r="I2238" s="164">
        <v>50.76</v>
      </c>
      <c r="J2238" s="164">
        <v>8.89</v>
      </c>
      <c r="K2238" s="164">
        <v>152</v>
      </c>
      <c r="L2238" s="164">
        <v>8</v>
      </c>
      <c r="N2238" s="164">
        <v>600</v>
      </c>
      <c r="Q2238" s="164">
        <v>8</v>
      </c>
      <c r="R2238" s="164">
        <v>8</v>
      </c>
      <c r="U2238" s="164" t="s">
        <v>2174</v>
      </c>
      <c r="V2238" s="164">
        <v>28</v>
      </c>
      <c r="W2238" s="164" t="s">
        <v>2174</v>
      </c>
      <c r="X2238" s="164" t="s">
        <v>2174</v>
      </c>
      <c r="Z2238" s="381"/>
      <c r="AA2238" s="381"/>
      <c r="AF2238" s="164" t="s">
        <v>2210</v>
      </c>
      <c r="AG2238" s="164" t="s">
        <v>2211</v>
      </c>
      <c r="AH2238" s="164" t="s">
        <v>1131</v>
      </c>
      <c r="AI2238" s="164" t="s">
        <v>2314</v>
      </c>
      <c r="AJ2238" s="164" t="s">
        <v>1624</v>
      </c>
      <c r="AK2238" s="164" t="s">
        <v>2315</v>
      </c>
      <c r="AN2238" s="164" t="s">
        <v>2316</v>
      </c>
      <c r="AQ2238" s="164" t="s">
        <v>2212</v>
      </c>
      <c r="AT2238" s="164" t="s">
        <v>161</v>
      </c>
      <c r="AV2238" s="164">
        <v>60</v>
      </c>
      <c r="BK2238" s="166"/>
      <c r="BM2238" s="433">
        <v>1.4486635000000001</v>
      </c>
      <c r="BN2238" s="433">
        <v>1.4450965</v>
      </c>
      <c r="BR2238" s="433">
        <v>37.215570164499994</v>
      </c>
      <c r="BS2238" s="433">
        <v>38.045055555499999</v>
      </c>
      <c r="BV2238" s="164" t="s">
        <v>2105</v>
      </c>
      <c r="FH2238" s="165"/>
    </row>
    <row r="2239" spans="1:164" s="164" customFormat="1" x14ac:dyDescent="0.25">
      <c r="A2239" s="164">
        <v>107</v>
      </c>
      <c r="B2239" s="164" t="s">
        <v>2207</v>
      </c>
      <c r="D2239" s="164">
        <v>1974</v>
      </c>
      <c r="F2239" s="164" t="s">
        <v>2208</v>
      </c>
      <c r="G2239" s="164" t="s">
        <v>2209</v>
      </c>
      <c r="H2239" s="164" t="s">
        <v>1111</v>
      </c>
      <c r="I2239" s="164">
        <v>50.76</v>
      </c>
      <c r="J2239" s="164">
        <v>8.89</v>
      </c>
      <c r="K2239" s="164">
        <v>152</v>
      </c>
      <c r="L2239" s="164">
        <v>8</v>
      </c>
      <c r="N2239" s="164">
        <v>600</v>
      </c>
      <c r="Q2239" s="164">
        <v>8</v>
      </c>
      <c r="R2239" s="164">
        <v>8</v>
      </c>
      <c r="U2239" s="164" t="s">
        <v>2174</v>
      </c>
      <c r="V2239" s="164">
        <v>28</v>
      </c>
      <c r="W2239" s="164" t="s">
        <v>2174</v>
      </c>
      <c r="X2239" s="164" t="s">
        <v>2174</v>
      </c>
      <c r="Z2239" s="381"/>
      <c r="AA2239" s="381"/>
      <c r="AF2239" s="164" t="s">
        <v>2210</v>
      </c>
      <c r="AG2239" s="164" t="s">
        <v>2211</v>
      </c>
      <c r="AH2239" s="164" t="s">
        <v>1131</v>
      </c>
      <c r="AI2239" s="164" t="s">
        <v>2314</v>
      </c>
      <c r="AJ2239" s="164" t="s">
        <v>1624</v>
      </c>
      <c r="AK2239" s="164" t="s">
        <v>2315</v>
      </c>
      <c r="AN2239" s="164" t="s">
        <v>2316</v>
      </c>
      <c r="AQ2239" s="164" t="s">
        <v>2213</v>
      </c>
      <c r="AT2239" s="164" t="s">
        <v>161</v>
      </c>
      <c r="AV2239" s="164">
        <v>60</v>
      </c>
      <c r="BK2239" s="166"/>
      <c r="BM2239" s="433">
        <v>1.447924</v>
      </c>
      <c r="BN2239" s="433">
        <v>1.4407682500000001</v>
      </c>
      <c r="BR2239" s="433">
        <v>37.275556164000008</v>
      </c>
      <c r="BS2239" s="433">
        <v>38.934600803875</v>
      </c>
      <c r="BV2239" s="164" t="s">
        <v>2105</v>
      </c>
      <c r="FH2239" s="165"/>
    </row>
    <row r="2240" spans="1:164" s="164" customFormat="1" x14ac:dyDescent="0.25">
      <c r="A2240" s="164">
        <v>107</v>
      </c>
      <c r="B2240" s="164" t="s">
        <v>2207</v>
      </c>
      <c r="D2240" s="164">
        <v>1974</v>
      </c>
      <c r="F2240" s="164" t="s">
        <v>2208</v>
      </c>
      <c r="G2240" s="164" t="s">
        <v>2209</v>
      </c>
      <c r="H2240" s="164" t="s">
        <v>1111</v>
      </c>
      <c r="I2240" s="164">
        <v>50.76</v>
      </c>
      <c r="J2240" s="164">
        <v>8.89</v>
      </c>
      <c r="K2240" s="164">
        <v>152</v>
      </c>
      <c r="L2240" s="164">
        <v>8</v>
      </c>
      <c r="N2240" s="164">
        <v>600</v>
      </c>
      <c r="Q2240" s="164">
        <v>8</v>
      </c>
      <c r="R2240" s="164">
        <v>8</v>
      </c>
      <c r="U2240" s="164" t="s">
        <v>2174</v>
      </c>
      <c r="V2240" s="164">
        <v>28</v>
      </c>
      <c r="W2240" s="164" t="s">
        <v>2174</v>
      </c>
      <c r="X2240" s="164" t="s">
        <v>2174</v>
      </c>
      <c r="Z2240" s="381"/>
      <c r="AA2240" s="381"/>
      <c r="AF2240" s="164" t="s">
        <v>2210</v>
      </c>
      <c r="AG2240" s="164" t="s">
        <v>2211</v>
      </c>
      <c r="AH2240" s="164" t="s">
        <v>1131</v>
      </c>
      <c r="AI2240" s="164" t="s">
        <v>2314</v>
      </c>
      <c r="AJ2240" s="164" t="s">
        <v>1624</v>
      </c>
      <c r="AK2240" s="164" t="s">
        <v>2315</v>
      </c>
      <c r="AN2240" s="164" t="s">
        <v>2316</v>
      </c>
      <c r="AQ2240" s="164" t="s">
        <v>2214</v>
      </c>
      <c r="AT2240" s="164" t="s">
        <v>161</v>
      </c>
      <c r="AV2240" s="164">
        <v>60</v>
      </c>
      <c r="BK2240" s="166"/>
      <c r="BM2240" s="433">
        <v>1.4445527499999999</v>
      </c>
      <c r="BN2240" s="433">
        <v>1.4378755000000001</v>
      </c>
      <c r="BR2240" s="433">
        <v>37.980762394750002</v>
      </c>
      <c r="BS2240" s="433">
        <v>39.525759619500008</v>
      </c>
      <c r="BV2240" s="164" t="s">
        <v>2105</v>
      </c>
      <c r="FH2240" s="165"/>
    </row>
    <row r="2241" spans="1:249" s="164" customFormat="1" x14ac:dyDescent="0.25">
      <c r="A2241" s="164">
        <v>107</v>
      </c>
      <c r="B2241" s="164" t="s">
        <v>2207</v>
      </c>
      <c r="D2241" s="164">
        <v>1974</v>
      </c>
      <c r="F2241" s="164" t="s">
        <v>2208</v>
      </c>
      <c r="G2241" s="164" t="s">
        <v>2209</v>
      </c>
      <c r="H2241" s="164" t="s">
        <v>1111</v>
      </c>
      <c r="I2241" s="164">
        <v>50.76</v>
      </c>
      <c r="J2241" s="164">
        <v>8.89</v>
      </c>
      <c r="K2241" s="164">
        <v>152</v>
      </c>
      <c r="L2241" s="164">
        <v>8</v>
      </c>
      <c r="N2241" s="164">
        <v>600</v>
      </c>
      <c r="Q2241" s="164">
        <v>8</v>
      </c>
      <c r="R2241" s="164">
        <v>8</v>
      </c>
      <c r="U2241" s="164" t="s">
        <v>2174</v>
      </c>
      <c r="V2241" s="164">
        <v>28</v>
      </c>
      <c r="W2241" s="164" t="s">
        <v>2174</v>
      </c>
      <c r="X2241" s="164" t="s">
        <v>2174</v>
      </c>
      <c r="Z2241" s="381"/>
      <c r="AA2241" s="381"/>
      <c r="AF2241" s="164" t="s">
        <v>2210</v>
      </c>
      <c r="AG2241" s="164" t="s">
        <v>2211</v>
      </c>
      <c r="AH2241" s="164" t="s">
        <v>1131</v>
      </c>
      <c r="AI2241" s="164" t="s">
        <v>2314</v>
      </c>
      <c r="AJ2241" s="164" t="s">
        <v>1624</v>
      </c>
      <c r="AK2241" s="164" t="s">
        <v>2315</v>
      </c>
      <c r="AN2241" s="164" t="s">
        <v>2316</v>
      </c>
      <c r="AQ2241" s="164" t="s">
        <v>2215</v>
      </c>
      <c r="AT2241" s="164" t="s">
        <v>161</v>
      </c>
      <c r="AV2241" s="164">
        <v>60</v>
      </c>
      <c r="BK2241" s="166"/>
      <c r="BM2241" s="433">
        <v>1.44298675</v>
      </c>
      <c r="BN2241" s="433">
        <v>1.4377232500000001</v>
      </c>
      <c r="BR2241" s="433">
        <v>38.339047046125003</v>
      </c>
      <c r="BS2241" s="433">
        <v>39.556798638875001</v>
      </c>
      <c r="BV2241" s="164" t="s">
        <v>2105</v>
      </c>
      <c r="FH2241" s="165"/>
    </row>
    <row r="2242" spans="1:249" s="164" customFormat="1" x14ac:dyDescent="0.25">
      <c r="A2242" s="164">
        <v>107</v>
      </c>
      <c r="B2242" s="164" t="s">
        <v>2207</v>
      </c>
      <c r="D2242" s="164">
        <v>1974</v>
      </c>
      <c r="F2242" s="164" t="s">
        <v>2208</v>
      </c>
      <c r="G2242" s="164" t="s">
        <v>2209</v>
      </c>
      <c r="H2242" s="164" t="s">
        <v>1111</v>
      </c>
      <c r="I2242" s="164">
        <v>50.76</v>
      </c>
      <c r="J2242" s="164">
        <v>8.89</v>
      </c>
      <c r="K2242" s="164">
        <v>152</v>
      </c>
      <c r="L2242" s="164">
        <v>8</v>
      </c>
      <c r="N2242" s="164">
        <v>600</v>
      </c>
      <c r="Q2242" s="164">
        <v>8</v>
      </c>
      <c r="R2242" s="164">
        <v>8</v>
      </c>
      <c r="U2242" s="164" t="s">
        <v>2174</v>
      </c>
      <c r="V2242" s="164">
        <v>28</v>
      </c>
      <c r="W2242" s="164" t="s">
        <v>2174</v>
      </c>
      <c r="X2242" s="164" t="s">
        <v>2174</v>
      </c>
      <c r="Z2242" s="381"/>
      <c r="AA2242" s="381"/>
      <c r="AF2242" s="164" t="s">
        <v>2210</v>
      </c>
      <c r="AG2242" s="164" t="s">
        <v>2211</v>
      </c>
      <c r="AH2242" s="164" t="s">
        <v>1131</v>
      </c>
      <c r="AI2242" s="164" t="s">
        <v>2314</v>
      </c>
      <c r="AJ2242" s="164" t="s">
        <v>1624</v>
      </c>
      <c r="AK2242" s="164" t="s">
        <v>2315</v>
      </c>
      <c r="AN2242" s="164" t="s">
        <v>2316</v>
      </c>
      <c r="AQ2242" s="164" t="s">
        <v>2216</v>
      </c>
      <c r="AT2242" s="164" t="s">
        <v>161</v>
      </c>
      <c r="AV2242" s="164">
        <v>60</v>
      </c>
      <c r="BK2242" s="166"/>
      <c r="BM2242" s="433">
        <v>1.4400722500000001</v>
      </c>
      <c r="BN2242" s="433">
        <v>1.4327860000000001</v>
      </c>
      <c r="BR2242" s="433">
        <v>38.879364503000005</v>
      </c>
      <c r="BS2242" s="433">
        <v>40.559306088</v>
      </c>
      <c r="BV2242" s="164" t="s">
        <v>2105</v>
      </c>
      <c r="FH2242" s="165"/>
    </row>
    <row r="2243" spans="1:249" s="164" customFormat="1" x14ac:dyDescent="0.25">
      <c r="A2243" s="164">
        <v>107</v>
      </c>
      <c r="B2243" s="164" t="s">
        <v>2207</v>
      </c>
      <c r="D2243" s="164">
        <v>1974</v>
      </c>
      <c r="F2243" s="164" t="s">
        <v>2208</v>
      </c>
      <c r="G2243" s="164" t="s">
        <v>2209</v>
      </c>
      <c r="H2243" s="164" t="s">
        <v>1111</v>
      </c>
      <c r="I2243" s="164">
        <v>50.76</v>
      </c>
      <c r="J2243" s="164">
        <v>8.89</v>
      </c>
      <c r="K2243" s="164">
        <v>152</v>
      </c>
      <c r="L2243" s="164">
        <v>8</v>
      </c>
      <c r="N2243" s="164">
        <v>600</v>
      </c>
      <c r="Q2243" s="164">
        <v>8</v>
      </c>
      <c r="R2243" s="164">
        <v>8</v>
      </c>
      <c r="U2243" s="164" t="s">
        <v>2174</v>
      </c>
      <c r="V2243" s="164">
        <v>28</v>
      </c>
      <c r="W2243" s="164" t="s">
        <v>2174</v>
      </c>
      <c r="X2243" s="164" t="s">
        <v>2174</v>
      </c>
      <c r="Z2243" s="381"/>
      <c r="AA2243" s="381"/>
      <c r="AF2243" s="164" t="s">
        <v>2210</v>
      </c>
      <c r="AG2243" s="164" t="s">
        <v>2211</v>
      </c>
      <c r="AH2243" s="164" t="s">
        <v>1131</v>
      </c>
      <c r="AI2243" s="164" t="s">
        <v>2314</v>
      </c>
      <c r="AJ2243" s="164" t="s">
        <v>1624</v>
      </c>
      <c r="AK2243" s="164" t="s">
        <v>2315</v>
      </c>
      <c r="AN2243" s="164" t="s">
        <v>2316</v>
      </c>
      <c r="AQ2243" s="164" t="s">
        <v>2217</v>
      </c>
      <c r="AT2243" s="164" t="s">
        <v>161</v>
      </c>
      <c r="AV2243" s="164">
        <v>60</v>
      </c>
      <c r="BK2243" s="166"/>
      <c r="BM2243" s="433">
        <v>1.4342649999999999</v>
      </c>
      <c r="BN2243" s="433">
        <v>1.4286099999999999</v>
      </c>
      <c r="BR2243" s="433">
        <v>40.101082699999992</v>
      </c>
      <c r="BS2243" s="433">
        <v>41.401117799999994</v>
      </c>
      <c r="BV2243" s="164" t="s">
        <v>2105</v>
      </c>
      <c r="FH2243" s="165"/>
    </row>
    <row r="2244" spans="1:249" s="164" customFormat="1" x14ac:dyDescent="0.25">
      <c r="A2244" s="164">
        <v>107</v>
      </c>
      <c r="B2244" s="164" t="s">
        <v>2207</v>
      </c>
      <c r="D2244" s="164">
        <v>1974</v>
      </c>
      <c r="F2244" s="164" t="s">
        <v>2208</v>
      </c>
      <c r="G2244" s="164" t="s">
        <v>2209</v>
      </c>
      <c r="H2244" s="164" t="s">
        <v>1111</v>
      </c>
      <c r="I2244" s="164">
        <v>50.76</v>
      </c>
      <c r="J2244" s="164">
        <v>8.89</v>
      </c>
      <c r="K2244" s="164">
        <v>152</v>
      </c>
      <c r="L2244" s="164">
        <v>8</v>
      </c>
      <c r="N2244" s="164">
        <v>600</v>
      </c>
      <c r="Q2244" s="164">
        <v>8</v>
      </c>
      <c r="R2244" s="164">
        <v>8</v>
      </c>
      <c r="U2244" s="164" t="s">
        <v>2174</v>
      </c>
      <c r="V2244" s="164">
        <v>28</v>
      </c>
      <c r="W2244" s="164" t="s">
        <v>2174</v>
      </c>
      <c r="X2244" s="164" t="s">
        <v>2174</v>
      </c>
      <c r="Z2244" s="381"/>
      <c r="AA2244" s="381"/>
      <c r="AF2244" s="164" t="s">
        <v>2210</v>
      </c>
      <c r="AG2244" s="164" t="s">
        <v>2211</v>
      </c>
      <c r="AH2244" s="164" t="s">
        <v>1131</v>
      </c>
      <c r="AI2244" s="164" t="s">
        <v>2314</v>
      </c>
      <c r="AJ2244" s="164" t="s">
        <v>1624</v>
      </c>
      <c r="AK2244" s="164" t="s">
        <v>2315</v>
      </c>
      <c r="AN2244" s="164" t="s">
        <v>2316</v>
      </c>
      <c r="AQ2244" s="164" t="s">
        <v>2218</v>
      </c>
      <c r="AT2244" s="164" t="s">
        <v>161</v>
      </c>
      <c r="AV2244" s="164">
        <v>60</v>
      </c>
      <c r="BK2244" s="166"/>
      <c r="BM2244" s="433">
        <v>1.4342649999999999</v>
      </c>
      <c r="BN2244" s="433">
        <v>1.426609</v>
      </c>
      <c r="BR2244" s="433">
        <v>40.044914630000001</v>
      </c>
      <c r="BS2244" s="433">
        <v>41.802496917999996</v>
      </c>
      <c r="BV2244" s="164" t="s">
        <v>2105</v>
      </c>
      <c r="FH2244" s="165"/>
    </row>
    <row r="2245" spans="1:249" s="164" customFormat="1" x14ac:dyDescent="0.25">
      <c r="A2245" s="164">
        <v>107</v>
      </c>
      <c r="B2245" s="164" t="s">
        <v>2207</v>
      </c>
      <c r="D2245" s="164">
        <v>1974</v>
      </c>
      <c r="F2245" s="164" t="s">
        <v>2208</v>
      </c>
      <c r="G2245" s="164" t="s">
        <v>2209</v>
      </c>
      <c r="H2245" s="164" t="s">
        <v>1111</v>
      </c>
      <c r="I2245" s="164">
        <v>50.76</v>
      </c>
      <c r="J2245" s="164">
        <v>8.89</v>
      </c>
      <c r="K2245" s="164">
        <v>152</v>
      </c>
      <c r="L2245" s="164">
        <v>8</v>
      </c>
      <c r="N2245" s="164">
        <v>600</v>
      </c>
      <c r="Q2245" s="164">
        <v>8</v>
      </c>
      <c r="R2245" s="164">
        <v>8</v>
      </c>
      <c r="U2245" s="164" t="s">
        <v>2174</v>
      </c>
      <c r="V2245" s="164">
        <v>28</v>
      </c>
      <c r="W2245" s="164" t="s">
        <v>2174</v>
      </c>
      <c r="X2245" s="164" t="s">
        <v>2174</v>
      </c>
      <c r="Z2245" s="381"/>
      <c r="AA2245" s="381"/>
      <c r="AF2245" s="164" t="s">
        <v>2210</v>
      </c>
      <c r="AG2245" s="164" t="s">
        <v>2211</v>
      </c>
      <c r="AH2245" s="164" t="s">
        <v>1131</v>
      </c>
      <c r="AI2245" s="164" t="s">
        <v>2314</v>
      </c>
      <c r="AJ2245" s="164" t="s">
        <v>1624</v>
      </c>
      <c r="AK2245" s="164" t="s">
        <v>2315</v>
      </c>
      <c r="AN2245" s="164" t="s">
        <v>2316</v>
      </c>
      <c r="AQ2245" s="164" t="s">
        <v>2219</v>
      </c>
      <c r="AT2245" s="164" t="s">
        <v>161</v>
      </c>
      <c r="AV2245" s="164">
        <v>60</v>
      </c>
      <c r="BK2245" s="166"/>
      <c r="BM2245" s="433">
        <v>1.4342867500000001</v>
      </c>
      <c r="BN2245" s="433">
        <v>1.4248907500000001</v>
      </c>
      <c r="BR2245" s="433">
        <v>39.991696234874993</v>
      </c>
      <c r="BS2245" s="433">
        <v>42.146131048875006</v>
      </c>
      <c r="BV2245" s="164" t="s">
        <v>2105</v>
      </c>
      <c r="FH2245" s="165"/>
    </row>
    <row r="2246" spans="1:249" s="239" customFormat="1" x14ac:dyDescent="0.25">
      <c r="A2246" s="239">
        <v>108</v>
      </c>
      <c r="B2246" s="239" t="s">
        <v>2229</v>
      </c>
      <c r="D2246" s="239">
        <v>1996</v>
      </c>
      <c r="F2246" s="239" t="s">
        <v>2230</v>
      </c>
      <c r="G2246" s="239" t="s">
        <v>2231</v>
      </c>
      <c r="H2246" s="239" t="s">
        <v>2837</v>
      </c>
      <c r="I2246" s="239">
        <v>59.81</v>
      </c>
      <c r="J2246" s="239">
        <v>17.66</v>
      </c>
      <c r="K2246" s="239">
        <v>41</v>
      </c>
      <c r="L2246" s="239">
        <v>5</v>
      </c>
      <c r="N2246" s="239">
        <v>545</v>
      </c>
      <c r="Q2246" s="239">
        <v>35</v>
      </c>
      <c r="R2246" s="239">
        <v>35</v>
      </c>
      <c r="U2246" s="239" t="s">
        <v>1386</v>
      </c>
      <c r="V2246" s="239">
        <v>15</v>
      </c>
      <c r="W2246" s="239" t="s">
        <v>1386</v>
      </c>
      <c r="X2246" s="239" t="s">
        <v>1386</v>
      </c>
      <c r="Z2246" s="383">
        <v>23</v>
      </c>
      <c r="AA2246" s="383">
        <v>41</v>
      </c>
      <c r="AB2246" s="239" t="s">
        <v>673</v>
      </c>
      <c r="AF2246" s="239" t="s">
        <v>2232</v>
      </c>
      <c r="AG2246" s="239" t="s">
        <v>2145</v>
      </c>
      <c r="AI2246" s="239" t="s">
        <v>2145</v>
      </c>
      <c r="AN2246" s="239" t="s">
        <v>2145</v>
      </c>
      <c r="AQ2246" s="239" t="s">
        <v>2233</v>
      </c>
      <c r="AT2246" s="239" t="s">
        <v>161</v>
      </c>
      <c r="AV2246" s="239">
        <v>5</v>
      </c>
      <c r="BH2246" s="241"/>
      <c r="BK2246" s="242"/>
      <c r="BM2246" s="451">
        <v>1.36</v>
      </c>
      <c r="BN2246" s="451">
        <v>1.36</v>
      </c>
      <c r="BR2246" s="451">
        <v>25.092000000000002</v>
      </c>
      <c r="BS2246" s="451">
        <v>36.108000000000004</v>
      </c>
      <c r="BV2246" s="239" t="s">
        <v>2105</v>
      </c>
      <c r="FH2246" s="240"/>
    </row>
    <row r="2247" spans="1:249" s="164" customFormat="1" x14ac:dyDescent="0.25">
      <c r="A2247" s="164">
        <v>109</v>
      </c>
      <c r="B2247" s="164" t="s">
        <v>2220</v>
      </c>
      <c r="C2247" s="164" t="s">
        <v>2317</v>
      </c>
      <c r="D2247" s="164">
        <v>2004</v>
      </c>
      <c r="E2247" s="164">
        <v>1999</v>
      </c>
      <c r="F2247" s="164" t="s">
        <v>2221</v>
      </c>
      <c r="G2247" s="164" t="s">
        <v>2222</v>
      </c>
      <c r="H2247" s="164" t="s">
        <v>2838</v>
      </c>
      <c r="I2247" s="164">
        <v>55.47</v>
      </c>
      <c r="J2247" s="164">
        <v>9.1</v>
      </c>
      <c r="K2247" s="164">
        <v>45</v>
      </c>
      <c r="L2247" s="164">
        <v>7.6</v>
      </c>
      <c r="N2247" s="164">
        <v>862</v>
      </c>
      <c r="Q2247" s="164">
        <v>19</v>
      </c>
      <c r="R2247" s="164">
        <v>22</v>
      </c>
      <c r="T2247" s="164" t="s">
        <v>2318</v>
      </c>
      <c r="U2247" s="164" t="s">
        <v>1383</v>
      </c>
      <c r="V2247" s="164">
        <v>20</v>
      </c>
      <c r="W2247" s="164" t="s">
        <v>1383</v>
      </c>
      <c r="X2247" s="164" t="s">
        <v>1383</v>
      </c>
      <c r="Y2247" s="433">
        <v>1.4051200000000001</v>
      </c>
      <c r="Z2247" s="381">
        <v>69</v>
      </c>
      <c r="AA2247" s="381">
        <v>16</v>
      </c>
      <c r="AB2247" s="164" t="s">
        <v>241</v>
      </c>
      <c r="AF2247" s="164" t="s">
        <v>2223</v>
      </c>
      <c r="AG2247" s="164" t="s">
        <v>2224</v>
      </c>
      <c r="AH2247" s="164" t="s">
        <v>132</v>
      </c>
      <c r="AI2247" s="164" t="s">
        <v>2225</v>
      </c>
      <c r="AJ2247" s="164" t="s">
        <v>1621</v>
      </c>
      <c r="AN2247" s="164" t="s">
        <v>2226</v>
      </c>
      <c r="AQ2247" s="164" t="s">
        <v>2227</v>
      </c>
      <c r="AT2247" s="164" t="s">
        <v>161</v>
      </c>
      <c r="BK2247" s="166"/>
      <c r="BM2247" s="433">
        <v>1.4051200000000001</v>
      </c>
      <c r="BN2247" s="433">
        <v>1.3842400000000001</v>
      </c>
      <c r="BR2247" s="433">
        <v>32.391216</v>
      </c>
      <c r="BS2247" s="433">
        <v>35.713392000000006</v>
      </c>
      <c r="BV2247" s="164" t="s">
        <v>2105</v>
      </c>
      <c r="FH2247" s="165"/>
    </row>
    <row r="2248" spans="1:249" s="164" customFormat="1" x14ac:dyDescent="0.25">
      <c r="A2248" s="164">
        <v>109</v>
      </c>
      <c r="B2248" s="164" t="s">
        <v>2220</v>
      </c>
      <c r="C2248" s="164" t="s">
        <v>2317</v>
      </c>
      <c r="D2248" s="164">
        <v>2004</v>
      </c>
      <c r="E2248" s="164">
        <v>1999</v>
      </c>
      <c r="F2248" s="164" t="s">
        <v>2221</v>
      </c>
      <c r="G2248" s="164" t="s">
        <v>2222</v>
      </c>
      <c r="H2248" s="164" t="s">
        <v>2838</v>
      </c>
      <c r="I2248" s="164">
        <v>55.47</v>
      </c>
      <c r="J2248" s="164">
        <v>9.1</v>
      </c>
      <c r="K2248" s="164">
        <v>45</v>
      </c>
      <c r="L2248" s="164">
        <v>7.6</v>
      </c>
      <c r="N2248" s="164">
        <v>862</v>
      </c>
      <c r="Q2248" s="164">
        <v>19</v>
      </c>
      <c r="R2248" s="164">
        <v>22</v>
      </c>
      <c r="T2248" s="164" t="s">
        <v>2318</v>
      </c>
      <c r="U2248" s="164" t="s">
        <v>1383</v>
      </c>
      <c r="V2248" s="164">
        <v>20</v>
      </c>
      <c r="W2248" s="164" t="s">
        <v>1383</v>
      </c>
      <c r="X2248" s="164" t="s">
        <v>1383</v>
      </c>
      <c r="Y2248" s="433">
        <v>1.3772800000000001</v>
      </c>
      <c r="Z2248" s="381">
        <v>69</v>
      </c>
      <c r="AA2248" s="381">
        <v>16</v>
      </c>
      <c r="AB2248" s="164" t="s">
        <v>241</v>
      </c>
      <c r="AF2248" s="164" t="s">
        <v>2223</v>
      </c>
      <c r="AG2248" s="164" t="s">
        <v>2224</v>
      </c>
      <c r="AH2248" s="164" t="s">
        <v>132</v>
      </c>
      <c r="AI2248" s="164" t="s">
        <v>2225</v>
      </c>
      <c r="AJ2248" s="164" t="s">
        <v>1621</v>
      </c>
      <c r="AN2248" s="164" t="s">
        <v>2226</v>
      </c>
      <c r="AQ2248" s="164" t="s">
        <v>2227</v>
      </c>
      <c r="AT2248" s="164" t="s">
        <v>161</v>
      </c>
      <c r="BK2248" s="166"/>
      <c r="BM2248" s="433">
        <v>1.3772800000000001</v>
      </c>
      <c r="BN2248" s="433">
        <v>1.35466</v>
      </c>
      <c r="BR2248" s="433">
        <v>36.033956000000003</v>
      </c>
      <c r="BS2248" s="433">
        <v>39.556072</v>
      </c>
      <c r="BV2248" s="164" t="s">
        <v>2105</v>
      </c>
      <c r="FH2248" s="165"/>
    </row>
    <row r="2249" spans="1:249" s="164" customFormat="1" x14ac:dyDescent="0.25">
      <c r="A2249" s="164">
        <v>109</v>
      </c>
      <c r="B2249" s="164" t="s">
        <v>2220</v>
      </c>
      <c r="C2249" s="164" t="s">
        <v>2317</v>
      </c>
      <c r="D2249" s="164">
        <v>2004</v>
      </c>
      <c r="E2249" s="164">
        <v>1999</v>
      </c>
      <c r="F2249" s="164" t="s">
        <v>2221</v>
      </c>
      <c r="G2249" s="164" t="s">
        <v>2222</v>
      </c>
      <c r="H2249" s="164" t="s">
        <v>2838</v>
      </c>
      <c r="I2249" s="164">
        <v>55.47</v>
      </c>
      <c r="J2249" s="164">
        <v>9.1</v>
      </c>
      <c r="K2249" s="164">
        <v>45</v>
      </c>
      <c r="L2249" s="164">
        <v>7.6</v>
      </c>
      <c r="N2249" s="164">
        <v>862</v>
      </c>
      <c r="Q2249" s="164">
        <v>19</v>
      </c>
      <c r="R2249" s="164">
        <v>22</v>
      </c>
      <c r="T2249" s="164" t="s">
        <v>2318</v>
      </c>
      <c r="U2249" s="164" t="s">
        <v>1383</v>
      </c>
      <c r="V2249" s="164">
        <v>20</v>
      </c>
      <c r="W2249" s="164" t="s">
        <v>1383</v>
      </c>
      <c r="X2249" s="164" t="s">
        <v>1383</v>
      </c>
      <c r="Y2249" s="433">
        <v>1.3529200000000001</v>
      </c>
      <c r="Z2249" s="381">
        <v>69</v>
      </c>
      <c r="AA2249" s="381">
        <v>16</v>
      </c>
      <c r="AB2249" s="164" t="s">
        <v>241</v>
      </c>
      <c r="AF2249" s="164" t="s">
        <v>2223</v>
      </c>
      <c r="AG2249" s="164" t="s">
        <v>2224</v>
      </c>
      <c r="AH2249" s="164" t="s">
        <v>132</v>
      </c>
      <c r="AI2249" s="164" t="s">
        <v>2225</v>
      </c>
      <c r="AJ2249" s="164" t="s">
        <v>1621</v>
      </c>
      <c r="AN2249" s="164" t="s">
        <v>2226</v>
      </c>
      <c r="AQ2249" s="164" t="s">
        <v>2227</v>
      </c>
      <c r="AT2249" s="164" t="s">
        <v>161</v>
      </c>
      <c r="BK2249" s="166"/>
      <c r="BM2249" s="433">
        <v>1.3529200000000001</v>
      </c>
      <c r="BN2249" s="433">
        <v>1.3372600000000001</v>
      </c>
      <c r="BR2249" s="433">
        <v>39.315443999999999</v>
      </c>
      <c r="BS2249" s="433">
        <v>41.722512000000009</v>
      </c>
      <c r="BV2249" s="164" t="s">
        <v>2105</v>
      </c>
      <c r="FH2249" s="165"/>
    </row>
    <row r="2250" spans="1:249" s="164" customFormat="1" x14ac:dyDescent="0.25">
      <c r="A2250" s="164">
        <v>109</v>
      </c>
      <c r="B2250" s="164" t="s">
        <v>2220</v>
      </c>
      <c r="C2250" s="164" t="s">
        <v>2317</v>
      </c>
      <c r="D2250" s="164">
        <v>2004</v>
      </c>
      <c r="E2250" s="164">
        <v>1999</v>
      </c>
      <c r="F2250" s="164" t="s">
        <v>2221</v>
      </c>
      <c r="G2250" s="164" t="s">
        <v>2222</v>
      </c>
      <c r="H2250" s="164" t="s">
        <v>2838</v>
      </c>
      <c r="I2250" s="164">
        <v>55.47</v>
      </c>
      <c r="J2250" s="164">
        <v>9.1</v>
      </c>
      <c r="K2250" s="164">
        <v>45</v>
      </c>
      <c r="L2250" s="164">
        <v>7.6</v>
      </c>
      <c r="N2250" s="164">
        <v>862</v>
      </c>
      <c r="Q2250" s="164">
        <v>19</v>
      </c>
      <c r="R2250" s="164">
        <v>22</v>
      </c>
      <c r="T2250" s="164" t="s">
        <v>2318</v>
      </c>
      <c r="U2250" s="164" t="s">
        <v>1383</v>
      </c>
      <c r="V2250" s="164">
        <v>20</v>
      </c>
      <c r="W2250" s="164" t="s">
        <v>1383</v>
      </c>
      <c r="X2250" s="164" t="s">
        <v>1383</v>
      </c>
      <c r="Y2250" s="433">
        <v>1.3303</v>
      </c>
      <c r="Z2250" s="381">
        <v>69</v>
      </c>
      <c r="AA2250" s="381">
        <v>16</v>
      </c>
      <c r="AB2250" s="164" t="s">
        <v>241</v>
      </c>
      <c r="AF2250" s="164" t="s">
        <v>2223</v>
      </c>
      <c r="AG2250" s="164" t="s">
        <v>2224</v>
      </c>
      <c r="AH2250" s="164" t="s">
        <v>132</v>
      </c>
      <c r="AI2250" s="164" t="s">
        <v>2225</v>
      </c>
      <c r="AJ2250" s="164" t="s">
        <v>1621</v>
      </c>
      <c r="AN2250" s="164" t="s">
        <v>2226</v>
      </c>
      <c r="AQ2250" s="164" t="s">
        <v>2227</v>
      </c>
      <c r="AT2250" s="164" t="s">
        <v>161</v>
      </c>
      <c r="BK2250" s="166"/>
      <c r="BM2250" s="433">
        <v>1.3303</v>
      </c>
      <c r="BN2250" s="433">
        <v>1.31812</v>
      </c>
      <c r="BR2250" s="433">
        <v>42.179839999999999</v>
      </c>
      <c r="BS2250" s="433">
        <v>44.025207999999999</v>
      </c>
      <c r="BV2250" s="164" t="s">
        <v>2105</v>
      </c>
      <c r="FH2250" s="165"/>
    </row>
    <row r="2251" spans="1:249" s="245" customFormat="1" x14ac:dyDescent="0.25">
      <c r="A2251" s="245">
        <v>110</v>
      </c>
      <c r="B2251" s="244" t="s">
        <v>2228</v>
      </c>
      <c r="C2251" s="245" t="s">
        <v>2319</v>
      </c>
      <c r="D2251" s="244">
        <v>1982</v>
      </c>
      <c r="E2251" s="245">
        <v>1978</v>
      </c>
      <c r="F2251" s="244" t="s">
        <v>1756</v>
      </c>
      <c r="G2251" s="244" t="s">
        <v>2320</v>
      </c>
      <c r="H2251" s="244" t="s">
        <v>2839</v>
      </c>
      <c r="I2251" s="245">
        <v>7.38</v>
      </c>
      <c r="J2251" s="245">
        <v>3.95</v>
      </c>
      <c r="K2251" s="244">
        <v>229.3</v>
      </c>
      <c r="L2251" s="244"/>
      <c r="N2251" s="244"/>
      <c r="Q2251" s="245">
        <v>4</v>
      </c>
      <c r="R2251" s="244">
        <v>4</v>
      </c>
      <c r="T2251" s="245" t="s">
        <v>2321</v>
      </c>
      <c r="U2251" s="245" t="s">
        <v>1386</v>
      </c>
      <c r="V2251" s="245">
        <v>15</v>
      </c>
      <c r="W2251" s="245" t="s">
        <v>1386</v>
      </c>
      <c r="X2251" s="245" t="s">
        <v>1386</v>
      </c>
      <c r="Y2251" s="245">
        <v>1.31</v>
      </c>
      <c r="Z2251" s="376">
        <v>69.3</v>
      </c>
      <c r="AA2251" s="376">
        <v>9.5</v>
      </c>
      <c r="AB2251" s="245" t="s">
        <v>241</v>
      </c>
      <c r="AD2251" s="245">
        <v>1.7</v>
      </c>
      <c r="AF2251" s="244" t="s">
        <v>2322</v>
      </c>
      <c r="AG2251" s="244" t="s">
        <v>2323</v>
      </c>
      <c r="AH2251" s="245" t="s">
        <v>1585</v>
      </c>
      <c r="AI2251" s="244" t="s">
        <v>1650</v>
      </c>
      <c r="AJ2251" s="245" t="s">
        <v>133</v>
      </c>
      <c r="AN2251" s="244"/>
      <c r="AQ2251" s="244"/>
      <c r="AT2251" s="244" t="s">
        <v>161</v>
      </c>
      <c r="AU2251" s="245">
        <v>3</v>
      </c>
      <c r="AV2251" s="244"/>
      <c r="AW2251" s="245" t="s">
        <v>142</v>
      </c>
      <c r="BH2251" s="244"/>
      <c r="BK2251" s="248"/>
      <c r="BM2251" s="437">
        <v>1.5</v>
      </c>
      <c r="BN2251" s="437">
        <v>1.33</v>
      </c>
      <c r="BR2251" s="437">
        <v>1.2</v>
      </c>
      <c r="BS2251" s="437">
        <v>1.5</v>
      </c>
      <c r="BV2251" s="245" t="s">
        <v>165</v>
      </c>
      <c r="BW2251" s="245">
        <v>0.12</v>
      </c>
      <c r="BX2251" s="245">
        <v>0.18</v>
      </c>
      <c r="CA2251" s="245" t="s">
        <v>165</v>
      </c>
      <c r="CG2251" s="245">
        <v>0.4</v>
      </c>
      <c r="CH2251" s="245">
        <v>0.9</v>
      </c>
      <c r="CL2251" s="245">
        <v>5.5</v>
      </c>
      <c r="CM2251" s="245">
        <v>5.2</v>
      </c>
      <c r="CQ2251" s="245">
        <f>4+0.8</f>
        <v>4.8</v>
      </c>
      <c r="CR2251" s="245">
        <f>6.2+1.3</f>
        <v>7.5</v>
      </c>
      <c r="CU2251" s="245" t="s">
        <v>2325</v>
      </c>
      <c r="FH2251" s="246"/>
    </row>
    <row r="2252" spans="1:249" s="245" customFormat="1" x14ac:dyDescent="0.25">
      <c r="A2252" s="245">
        <v>110</v>
      </c>
      <c r="B2252" s="244" t="s">
        <v>2228</v>
      </c>
      <c r="C2252" s="245" t="s">
        <v>2319</v>
      </c>
      <c r="D2252" s="244">
        <v>1982</v>
      </c>
      <c r="E2252" s="245">
        <v>1978</v>
      </c>
      <c r="F2252" s="244" t="s">
        <v>1756</v>
      </c>
      <c r="G2252" s="244" t="s">
        <v>2320</v>
      </c>
      <c r="H2252" s="244" t="s">
        <v>2839</v>
      </c>
      <c r="I2252" s="245">
        <v>7.38</v>
      </c>
      <c r="J2252" s="245">
        <v>3.95</v>
      </c>
      <c r="K2252" s="244">
        <v>229.3</v>
      </c>
      <c r="L2252" s="244"/>
      <c r="N2252" s="244"/>
      <c r="Q2252" s="245">
        <v>4</v>
      </c>
      <c r="R2252" s="244">
        <v>4</v>
      </c>
      <c r="T2252" s="245" t="s">
        <v>2321</v>
      </c>
      <c r="U2252" s="245" t="s">
        <v>1386</v>
      </c>
      <c r="V2252" s="245">
        <v>15</v>
      </c>
      <c r="W2252" s="245" t="s">
        <v>1386</v>
      </c>
      <c r="X2252" s="245" t="s">
        <v>1386</v>
      </c>
      <c r="Y2252" s="245">
        <v>1.31</v>
      </c>
      <c r="Z2252" s="376">
        <v>69.3</v>
      </c>
      <c r="AA2252" s="376">
        <v>9.5</v>
      </c>
      <c r="AB2252" s="245" t="s">
        <v>241</v>
      </c>
      <c r="AD2252" s="245">
        <v>1.7</v>
      </c>
      <c r="AF2252" s="244" t="s">
        <v>2322</v>
      </c>
      <c r="AG2252" s="244" t="s">
        <v>2324</v>
      </c>
      <c r="AH2252" s="245" t="s">
        <v>578</v>
      </c>
      <c r="AI2252" s="244" t="s">
        <v>1650</v>
      </c>
      <c r="AJ2252" s="245" t="s">
        <v>133</v>
      </c>
      <c r="AN2252" s="244"/>
      <c r="AQ2252" s="244"/>
      <c r="AT2252" s="244" t="s">
        <v>161</v>
      </c>
      <c r="AU2252" s="245">
        <v>3</v>
      </c>
      <c r="AV2252" s="244"/>
      <c r="AW2252" s="245" t="s">
        <v>142</v>
      </c>
      <c r="BH2252" s="244"/>
      <c r="BK2252" s="248"/>
      <c r="BM2252" s="437">
        <v>1.5</v>
      </c>
      <c r="BN2252" s="437">
        <v>1.29</v>
      </c>
      <c r="BR2252" s="437">
        <v>1.2</v>
      </c>
      <c r="BS2252" s="437">
        <v>1.6</v>
      </c>
      <c r="BV2252" s="245" t="s">
        <v>165</v>
      </c>
      <c r="BW2252" s="245">
        <v>0.12</v>
      </c>
      <c r="BX2252" s="245">
        <v>0.2</v>
      </c>
      <c r="CA2252" s="245" t="s">
        <v>165</v>
      </c>
      <c r="CG2252" s="245">
        <v>0.4</v>
      </c>
      <c r="CH2252" s="245">
        <v>0.9</v>
      </c>
      <c r="CL2252" s="245">
        <v>5.5</v>
      </c>
      <c r="CM2252" s="245">
        <v>5.6</v>
      </c>
      <c r="CQ2252" s="245">
        <f>4+0.8</f>
        <v>4.8</v>
      </c>
      <c r="CR2252" s="245">
        <f>6.7+1.6</f>
        <v>8.3000000000000007</v>
      </c>
      <c r="CU2252" s="245" t="s">
        <v>2325</v>
      </c>
      <c r="FH2252" s="246"/>
    </row>
    <row r="2253" spans="1:249" s="239" customFormat="1" x14ac:dyDescent="0.25">
      <c r="A2253" s="239">
        <v>110</v>
      </c>
      <c r="B2253" s="238" t="s">
        <v>2228</v>
      </c>
      <c r="C2253" s="239" t="s">
        <v>2319</v>
      </c>
      <c r="D2253" s="238">
        <v>1982</v>
      </c>
      <c r="E2253" s="239">
        <v>1978</v>
      </c>
      <c r="F2253" s="238" t="s">
        <v>1756</v>
      </c>
      <c r="G2253" s="238" t="s">
        <v>2320</v>
      </c>
      <c r="H2253" s="244" t="s">
        <v>2839</v>
      </c>
      <c r="I2253" s="239">
        <v>7.38</v>
      </c>
      <c r="J2253" s="239">
        <v>3.95</v>
      </c>
      <c r="K2253" s="238">
        <v>229.3</v>
      </c>
      <c r="L2253" s="238"/>
      <c r="N2253" s="238"/>
      <c r="Q2253" s="239">
        <v>4</v>
      </c>
      <c r="R2253" s="238">
        <v>4</v>
      </c>
      <c r="T2253" s="239" t="s">
        <v>2321</v>
      </c>
      <c r="U2253" s="239" t="s">
        <v>1392</v>
      </c>
      <c r="V2253" s="239">
        <v>10</v>
      </c>
      <c r="W2253" s="239" t="s">
        <v>1386</v>
      </c>
      <c r="X2253" s="239" t="s">
        <v>1386</v>
      </c>
      <c r="Y2253" s="239">
        <v>1.31</v>
      </c>
      <c r="Z2253" s="374">
        <v>69.3</v>
      </c>
      <c r="AA2253" s="374">
        <v>9.5</v>
      </c>
      <c r="AB2253" s="239" t="s">
        <v>241</v>
      </c>
      <c r="AD2253" s="239">
        <v>1.7</v>
      </c>
      <c r="AF2253" s="238" t="s">
        <v>2322</v>
      </c>
      <c r="AG2253" s="238" t="s">
        <v>2326</v>
      </c>
      <c r="AH2253" s="239" t="s">
        <v>1585</v>
      </c>
      <c r="AI2253" s="238" t="s">
        <v>1650</v>
      </c>
      <c r="AJ2253" s="239" t="s">
        <v>133</v>
      </c>
      <c r="AN2253" s="238"/>
      <c r="AQ2253" s="238"/>
      <c r="AT2253" s="238" t="s">
        <v>161</v>
      </c>
      <c r="AU2253" s="239">
        <v>3</v>
      </c>
      <c r="AV2253" s="238"/>
      <c r="AW2253" s="239" t="s">
        <v>142</v>
      </c>
      <c r="BA2253" s="239" t="s">
        <v>2334</v>
      </c>
      <c r="BH2253" s="238"/>
      <c r="BK2253" s="242"/>
      <c r="BM2253" s="451">
        <v>1.39</v>
      </c>
      <c r="BN2253" s="451">
        <v>1.5</v>
      </c>
      <c r="BO2253" s="239">
        <f>0.07*SQRT(3)</f>
        <v>0.12124355652982141</v>
      </c>
      <c r="BP2253" s="239">
        <f>SQRT(3)*0.07</f>
        <v>0.12124355652982141</v>
      </c>
      <c r="BR2253" s="451"/>
      <c r="BS2253" s="451"/>
      <c r="DM2253" s="239">
        <v>44.4</v>
      </c>
      <c r="DN2253" s="239">
        <v>46.4</v>
      </c>
      <c r="DO2253" s="239" t="s">
        <v>1019</v>
      </c>
      <c r="DU2253" s="239">
        <v>45.58</v>
      </c>
      <c r="DV2253" s="239">
        <v>59.625</v>
      </c>
      <c r="EY2253" s="239">
        <v>12</v>
      </c>
      <c r="EZ2253" s="239">
        <v>11.2</v>
      </c>
      <c r="FH2253" s="240"/>
      <c r="IO2253" s="239" t="s">
        <v>2334</v>
      </c>
    </row>
    <row r="2254" spans="1:249" s="239" customFormat="1" x14ac:dyDescent="0.25">
      <c r="A2254" s="239">
        <v>110</v>
      </c>
      <c r="B2254" s="238" t="s">
        <v>2228</v>
      </c>
      <c r="C2254" s="239" t="s">
        <v>2319</v>
      </c>
      <c r="D2254" s="238">
        <v>1982</v>
      </c>
      <c r="E2254" s="239">
        <v>1978</v>
      </c>
      <c r="F2254" s="238" t="s">
        <v>1756</v>
      </c>
      <c r="G2254" s="238" t="s">
        <v>2320</v>
      </c>
      <c r="H2254" s="244" t="s">
        <v>2839</v>
      </c>
      <c r="I2254" s="239">
        <v>7.38</v>
      </c>
      <c r="J2254" s="239">
        <v>3.95</v>
      </c>
      <c r="K2254" s="238">
        <v>229.3</v>
      </c>
      <c r="L2254" s="238"/>
      <c r="N2254" s="238"/>
      <c r="Q2254" s="239">
        <v>4</v>
      </c>
      <c r="R2254" s="238">
        <v>4</v>
      </c>
      <c r="T2254" s="239" t="s">
        <v>2321</v>
      </c>
      <c r="U2254" s="239" t="s">
        <v>1392</v>
      </c>
      <c r="V2254" s="239">
        <v>10</v>
      </c>
      <c r="W2254" s="239" t="s">
        <v>1386</v>
      </c>
      <c r="X2254" s="239" t="s">
        <v>1386</v>
      </c>
      <c r="Y2254" s="239">
        <v>1.31</v>
      </c>
      <c r="Z2254" s="374">
        <v>69.3</v>
      </c>
      <c r="AA2254" s="374">
        <v>9.5</v>
      </c>
      <c r="AB2254" s="239" t="s">
        <v>241</v>
      </c>
      <c r="AD2254" s="239">
        <v>1.7</v>
      </c>
      <c r="AF2254" s="238" t="s">
        <v>2322</v>
      </c>
      <c r="AG2254" s="238" t="s">
        <v>2327</v>
      </c>
      <c r="AH2254" s="239" t="s">
        <v>1585</v>
      </c>
      <c r="AI2254" s="238" t="s">
        <v>1650</v>
      </c>
      <c r="AJ2254" s="239" t="s">
        <v>133</v>
      </c>
      <c r="AN2254" s="238"/>
      <c r="AQ2254" s="238"/>
      <c r="AT2254" s="238" t="s">
        <v>161</v>
      </c>
      <c r="AU2254" s="239">
        <v>3</v>
      </c>
      <c r="AV2254" s="238"/>
      <c r="AW2254" s="239" t="s">
        <v>142</v>
      </c>
      <c r="BA2254" s="239" t="s">
        <v>2334</v>
      </c>
      <c r="BH2254" s="238"/>
      <c r="BK2254" s="242"/>
      <c r="BM2254" s="451">
        <v>1.39</v>
      </c>
      <c r="BN2254" s="451">
        <v>1.49</v>
      </c>
      <c r="BO2254" s="239">
        <f t="shared" ref="BO2254:BO2260" si="308">0.07*SQRT(3)</f>
        <v>0.12124355652982141</v>
      </c>
      <c r="BP2254" s="239">
        <f>SQRT(3)*0.08</f>
        <v>0.13856406460551018</v>
      </c>
      <c r="BR2254" s="451"/>
      <c r="BS2254" s="451"/>
      <c r="DM2254" s="239">
        <v>44.4</v>
      </c>
      <c r="DN2254" s="239">
        <v>51.8</v>
      </c>
      <c r="DO2254" s="239" t="s">
        <v>1019</v>
      </c>
      <c r="DU2254" s="239">
        <v>45.58</v>
      </c>
      <c r="DV2254" s="239">
        <v>63.75</v>
      </c>
      <c r="EY2254" s="239">
        <v>12</v>
      </c>
      <c r="EZ2254" s="239">
        <v>13</v>
      </c>
      <c r="FH2254" s="240"/>
      <c r="IO2254" s="239" t="s">
        <v>2334</v>
      </c>
    </row>
    <row r="2255" spans="1:249" s="239" customFormat="1" x14ac:dyDescent="0.25">
      <c r="A2255" s="239">
        <v>110</v>
      </c>
      <c r="B2255" s="238" t="s">
        <v>2228</v>
      </c>
      <c r="C2255" s="239" t="s">
        <v>2319</v>
      </c>
      <c r="D2255" s="238">
        <v>1982</v>
      </c>
      <c r="E2255" s="239">
        <v>1978</v>
      </c>
      <c r="F2255" s="238" t="s">
        <v>1756</v>
      </c>
      <c r="G2255" s="238" t="s">
        <v>2320</v>
      </c>
      <c r="H2255" s="244" t="s">
        <v>2839</v>
      </c>
      <c r="I2255" s="239">
        <v>7.38</v>
      </c>
      <c r="J2255" s="239">
        <v>3.95</v>
      </c>
      <c r="K2255" s="238">
        <v>229.3</v>
      </c>
      <c r="L2255" s="238"/>
      <c r="N2255" s="238"/>
      <c r="Q2255" s="239">
        <v>4</v>
      </c>
      <c r="R2255" s="238">
        <v>4</v>
      </c>
      <c r="T2255" s="239" t="s">
        <v>2321</v>
      </c>
      <c r="U2255" s="239" t="s">
        <v>1392</v>
      </c>
      <c r="V2255" s="239">
        <v>10</v>
      </c>
      <c r="W2255" s="239" t="s">
        <v>1386</v>
      </c>
      <c r="X2255" s="239" t="s">
        <v>1386</v>
      </c>
      <c r="Y2255" s="239">
        <v>1.31</v>
      </c>
      <c r="Z2255" s="374">
        <v>69.3</v>
      </c>
      <c r="AA2255" s="374">
        <v>9.5</v>
      </c>
      <c r="AB2255" s="239" t="s">
        <v>241</v>
      </c>
      <c r="AD2255" s="239">
        <v>1.7</v>
      </c>
      <c r="AF2255" s="238" t="s">
        <v>2322</v>
      </c>
      <c r="AG2255" s="238" t="s">
        <v>2328</v>
      </c>
      <c r="AH2255" s="239" t="s">
        <v>1585</v>
      </c>
      <c r="AI2255" s="238" t="s">
        <v>1650</v>
      </c>
      <c r="AJ2255" s="239" t="s">
        <v>133</v>
      </c>
      <c r="AN2255" s="238"/>
      <c r="AQ2255" s="238"/>
      <c r="AT2255" s="238" t="s">
        <v>161</v>
      </c>
      <c r="AU2255" s="239">
        <v>3</v>
      </c>
      <c r="AV2255" s="238"/>
      <c r="AW2255" s="239" t="s">
        <v>142</v>
      </c>
      <c r="BA2255" s="239" t="s">
        <v>2334</v>
      </c>
      <c r="BH2255" s="238"/>
      <c r="BK2255" s="242"/>
      <c r="BM2255" s="451">
        <v>1.39</v>
      </c>
      <c r="BN2255" s="451">
        <v>1.41</v>
      </c>
      <c r="BO2255" s="239">
        <f t="shared" si="308"/>
        <v>0.12124355652982141</v>
      </c>
      <c r="BP2255" s="239">
        <f>SQRT(3)*0.06</f>
        <v>0.10392304845413262</v>
      </c>
      <c r="BR2255" s="451"/>
      <c r="BS2255" s="451"/>
      <c r="DM2255" s="239">
        <v>44.4</v>
      </c>
      <c r="DN2255" s="239">
        <v>52.3</v>
      </c>
      <c r="DO2255" s="239" t="s">
        <v>1019</v>
      </c>
      <c r="DU2255" s="239">
        <v>45.58</v>
      </c>
      <c r="DV2255" s="239">
        <v>55.51</v>
      </c>
      <c r="EY2255" s="239">
        <v>12</v>
      </c>
      <c r="EZ2255" s="239">
        <v>13.6</v>
      </c>
      <c r="FH2255" s="240"/>
      <c r="IO2255" s="239" t="s">
        <v>2334</v>
      </c>
    </row>
    <row r="2256" spans="1:249" s="466" customFormat="1" x14ac:dyDescent="0.25">
      <c r="A2256" s="466">
        <v>110</v>
      </c>
      <c r="B2256" s="467" t="s">
        <v>2228</v>
      </c>
      <c r="C2256" s="466" t="s">
        <v>2319</v>
      </c>
      <c r="D2256" s="467">
        <v>1982</v>
      </c>
      <c r="E2256" s="466">
        <v>1978</v>
      </c>
      <c r="F2256" s="467" t="s">
        <v>1756</v>
      </c>
      <c r="G2256" s="467" t="s">
        <v>2320</v>
      </c>
      <c r="H2256" s="244" t="s">
        <v>2839</v>
      </c>
      <c r="I2256" s="466">
        <v>7.38</v>
      </c>
      <c r="J2256" s="466">
        <v>3.95</v>
      </c>
      <c r="K2256" s="467">
        <v>229.3</v>
      </c>
      <c r="L2256" s="467"/>
      <c r="N2256" s="467"/>
      <c r="Q2256" s="466">
        <v>4</v>
      </c>
      <c r="R2256" s="467">
        <v>4</v>
      </c>
      <c r="T2256" s="466" t="s">
        <v>2321</v>
      </c>
      <c r="U2256" s="466" t="s">
        <v>1392</v>
      </c>
      <c r="V2256" s="466">
        <v>10</v>
      </c>
      <c r="W2256" s="466" t="s">
        <v>1386</v>
      </c>
      <c r="X2256" s="466" t="s">
        <v>1386</v>
      </c>
      <c r="Y2256" s="466">
        <v>1.31</v>
      </c>
      <c r="Z2256" s="468">
        <v>69.3</v>
      </c>
      <c r="AA2256" s="468">
        <v>9.5</v>
      </c>
      <c r="AB2256" s="466" t="s">
        <v>241</v>
      </c>
      <c r="AD2256" s="466">
        <v>1.7</v>
      </c>
      <c r="AF2256" s="467" t="s">
        <v>2322</v>
      </c>
      <c r="AG2256" s="467" t="s">
        <v>2329</v>
      </c>
      <c r="AH2256" s="466" t="s">
        <v>578</v>
      </c>
      <c r="AI2256" s="238" t="s">
        <v>1650</v>
      </c>
      <c r="AJ2256" s="239" t="s">
        <v>133</v>
      </c>
      <c r="AN2256" s="467"/>
      <c r="AQ2256" s="467"/>
      <c r="AT2256" s="467" t="s">
        <v>161</v>
      </c>
      <c r="AU2256" s="239">
        <v>3</v>
      </c>
      <c r="AV2256" s="467"/>
      <c r="AW2256" s="239" t="s">
        <v>142</v>
      </c>
      <c r="BA2256" s="239" t="s">
        <v>2334</v>
      </c>
      <c r="BH2256" s="467"/>
      <c r="BK2256" s="469"/>
      <c r="BM2256" s="451">
        <v>1.39</v>
      </c>
      <c r="BN2256" s="470">
        <v>1.44</v>
      </c>
      <c r="BO2256" s="239">
        <f t="shared" si="308"/>
        <v>0.12124355652982141</v>
      </c>
      <c r="BP2256" s="466">
        <f>SQRT(3)*0.07</f>
        <v>0.12124355652982141</v>
      </c>
      <c r="BR2256" s="470"/>
      <c r="BS2256" s="470"/>
      <c r="DM2256" s="239">
        <v>44.4</v>
      </c>
      <c r="DN2256" s="466">
        <v>46</v>
      </c>
      <c r="DO2256" s="239" t="s">
        <v>1019</v>
      </c>
      <c r="DU2256" s="239">
        <v>45.58</v>
      </c>
      <c r="DV2256" s="466">
        <v>77.41</v>
      </c>
      <c r="EY2256" s="239">
        <v>12</v>
      </c>
      <c r="EZ2256" s="466">
        <v>12.5</v>
      </c>
      <c r="FH2256" s="471"/>
      <c r="IO2256" s="239" t="s">
        <v>2334</v>
      </c>
    </row>
    <row r="2257" spans="1:249" s="466" customFormat="1" x14ac:dyDescent="0.25">
      <c r="A2257" s="466">
        <v>110</v>
      </c>
      <c r="B2257" s="467" t="s">
        <v>2228</v>
      </c>
      <c r="C2257" s="466" t="s">
        <v>2319</v>
      </c>
      <c r="D2257" s="467">
        <v>1982</v>
      </c>
      <c r="E2257" s="466">
        <v>1978</v>
      </c>
      <c r="F2257" s="467" t="s">
        <v>1756</v>
      </c>
      <c r="G2257" s="467" t="s">
        <v>2320</v>
      </c>
      <c r="H2257" s="244" t="s">
        <v>2839</v>
      </c>
      <c r="I2257" s="466">
        <v>7.38</v>
      </c>
      <c r="J2257" s="466">
        <v>3.95</v>
      </c>
      <c r="K2257" s="467">
        <v>229.3</v>
      </c>
      <c r="L2257" s="467"/>
      <c r="N2257" s="467"/>
      <c r="Q2257" s="466">
        <v>4</v>
      </c>
      <c r="R2257" s="467">
        <v>4</v>
      </c>
      <c r="T2257" s="466" t="s">
        <v>2321</v>
      </c>
      <c r="U2257" s="466" t="s">
        <v>1392</v>
      </c>
      <c r="V2257" s="466">
        <v>10</v>
      </c>
      <c r="W2257" s="466" t="s">
        <v>1386</v>
      </c>
      <c r="X2257" s="466" t="s">
        <v>1386</v>
      </c>
      <c r="Y2257" s="466">
        <v>1.31</v>
      </c>
      <c r="Z2257" s="468">
        <v>69.3</v>
      </c>
      <c r="AA2257" s="468">
        <v>9.5</v>
      </c>
      <c r="AB2257" s="466" t="s">
        <v>241</v>
      </c>
      <c r="AD2257" s="466">
        <v>1.7</v>
      </c>
      <c r="AF2257" s="467" t="s">
        <v>2322</v>
      </c>
      <c r="AG2257" s="467" t="s">
        <v>2330</v>
      </c>
      <c r="AH2257" s="466" t="s">
        <v>578</v>
      </c>
      <c r="AI2257" s="238" t="s">
        <v>1650</v>
      </c>
      <c r="AJ2257" s="239" t="s">
        <v>133</v>
      </c>
      <c r="AN2257" s="467"/>
      <c r="AQ2257" s="467"/>
      <c r="AT2257" s="467" t="s">
        <v>161</v>
      </c>
      <c r="AU2257" s="239">
        <v>3</v>
      </c>
      <c r="AV2257" s="467"/>
      <c r="AW2257" s="239" t="s">
        <v>142</v>
      </c>
      <c r="BA2257" s="239" t="s">
        <v>2334</v>
      </c>
      <c r="BH2257" s="467"/>
      <c r="BK2257" s="469"/>
      <c r="BM2257" s="451">
        <v>1.39</v>
      </c>
      <c r="BN2257" s="470">
        <v>1.45</v>
      </c>
      <c r="BO2257" s="239">
        <f t="shared" si="308"/>
        <v>0.12124355652982141</v>
      </c>
      <c r="BP2257" s="466">
        <f>SQRT(3)*0.06</f>
        <v>0.10392304845413262</v>
      </c>
      <c r="BR2257" s="470"/>
      <c r="BS2257" s="470"/>
      <c r="DM2257" s="239">
        <v>44.4</v>
      </c>
      <c r="DN2257" s="466">
        <v>45.7</v>
      </c>
      <c r="DO2257" s="239" t="s">
        <v>1019</v>
      </c>
      <c r="DU2257" s="239">
        <v>45.58</v>
      </c>
      <c r="DV2257" s="466">
        <v>72.73</v>
      </c>
      <c r="EY2257" s="239">
        <v>12</v>
      </c>
      <c r="EZ2257" s="466">
        <v>12.6</v>
      </c>
      <c r="FH2257" s="471"/>
      <c r="IO2257" s="239" t="s">
        <v>2334</v>
      </c>
    </row>
    <row r="2258" spans="1:249" s="466" customFormat="1" x14ac:dyDescent="0.25">
      <c r="A2258" s="466">
        <v>110</v>
      </c>
      <c r="B2258" s="467" t="s">
        <v>2228</v>
      </c>
      <c r="C2258" s="466" t="s">
        <v>2319</v>
      </c>
      <c r="D2258" s="467">
        <v>1982</v>
      </c>
      <c r="E2258" s="466">
        <v>1978</v>
      </c>
      <c r="F2258" s="467" t="s">
        <v>1756</v>
      </c>
      <c r="G2258" s="467" t="s">
        <v>2320</v>
      </c>
      <c r="H2258" s="244" t="s">
        <v>2839</v>
      </c>
      <c r="I2258" s="466">
        <v>7.38</v>
      </c>
      <c r="J2258" s="466">
        <v>3.95</v>
      </c>
      <c r="K2258" s="467">
        <v>229.3</v>
      </c>
      <c r="L2258" s="467"/>
      <c r="N2258" s="467"/>
      <c r="Q2258" s="466">
        <v>4</v>
      </c>
      <c r="R2258" s="467">
        <v>4</v>
      </c>
      <c r="T2258" s="466" t="s">
        <v>2321</v>
      </c>
      <c r="U2258" s="466" t="s">
        <v>1392</v>
      </c>
      <c r="V2258" s="466">
        <v>10</v>
      </c>
      <c r="W2258" s="466" t="s">
        <v>1386</v>
      </c>
      <c r="X2258" s="466" t="s">
        <v>1386</v>
      </c>
      <c r="Y2258" s="466">
        <v>1.31</v>
      </c>
      <c r="Z2258" s="468">
        <v>69.3</v>
      </c>
      <c r="AA2258" s="468">
        <v>9.5</v>
      </c>
      <c r="AB2258" s="466" t="s">
        <v>241</v>
      </c>
      <c r="AD2258" s="466">
        <v>1.7</v>
      </c>
      <c r="AF2258" s="467" t="s">
        <v>2322</v>
      </c>
      <c r="AG2258" s="467" t="s">
        <v>2331</v>
      </c>
      <c r="AH2258" s="466" t="s">
        <v>578</v>
      </c>
      <c r="AI2258" s="238" t="s">
        <v>1650</v>
      </c>
      <c r="AJ2258" s="239" t="s">
        <v>133</v>
      </c>
      <c r="AN2258" s="467"/>
      <c r="AQ2258" s="467"/>
      <c r="AT2258" s="467" t="s">
        <v>161</v>
      </c>
      <c r="AU2258" s="239">
        <v>3</v>
      </c>
      <c r="AV2258" s="467"/>
      <c r="AW2258" s="239" t="s">
        <v>142</v>
      </c>
      <c r="BA2258" s="239" t="s">
        <v>2334</v>
      </c>
      <c r="BH2258" s="467"/>
      <c r="BK2258" s="469"/>
      <c r="BM2258" s="451">
        <v>1.39</v>
      </c>
      <c r="BN2258" s="470">
        <v>1.46</v>
      </c>
      <c r="BO2258" s="239">
        <f t="shared" si="308"/>
        <v>0.12124355652982141</v>
      </c>
      <c r="BP2258" s="466">
        <f>SQRT(3)*0.04</f>
        <v>6.9282032302755092E-2</v>
      </c>
      <c r="BR2258" s="470"/>
      <c r="BS2258" s="470"/>
      <c r="DM2258" s="239">
        <v>44.4</v>
      </c>
      <c r="DN2258" s="466">
        <v>47.7</v>
      </c>
      <c r="DO2258" s="239" t="s">
        <v>1019</v>
      </c>
      <c r="DU2258" s="239">
        <v>45.58</v>
      </c>
      <c r="DV2258" s="466">
        <v>76.290000000000006</v>
      </c>
      <c r="EY2258" s="239">
        <v>12</v>
      </c>
      <c r="EZ2258" s="466">
        <v>13</v>
      </c>
      <c r="FH2258" s="471"/>
      <c r="IO2258" s="239" t="s">
        <v>2334</v>
      </c>
    </row>
    <row r="2259" spans="1:249" s="466" customFormat="1" x14ac:dyDescent="0.25">
      <c r="A2259" s="466">
        <v>110</v>
      </c>
      <c r="B2259" s="467" t="s">
        <v>2228</v>
      </c>
      <c r="C2259" s="466" t="s">
        <v>2319</v>
      </c>
      <c r="D2259" s="467">
        <v>1982</v>
      </c>
      <c r="E2259" s="466">
        <v>1978</v>
      </c>
      <c r="F2259" s="467" t="s">
        <v>1756</v>
      </c>
      <c r="G2259" s="467" t="s">
        <v>2320</v>
      </c>
      <c r="H2259" s="244" t="s">
        <v>2839</v>
      </c>
      <c r="I2259" s="466">
        <v>7.38</v>
      </c>
      <c r="J2259" s="466">
        <v>3.95</v>
      </c>
      <c r="K2259" s="467">
        <v>229.3</v>
      </c>
      <c r="L2259" s="467"/>
      <c r="N2259" s="467"/>
      <c r="Q2259" s="466">
        <v>4</v>
      </c>
      <c r="R2259" s="467">
        <v>4</v>
      </c>
      <c r="T2259" s="466" t="s">
        <v>2321</v>
      </c>
      <c r="U2259" s="466" t="s">
        <v>1392</v>
      </c>
      <c r="V2259" s="466">
        <v>10</v>
      </c>
      <c r="W2259" s="466" t="s">
        <v>1386</v>
      </c>
      <c r="X2259" s="466" t="s">
        <v>1386</v>
      </c>
      <c r="Y2259" s="466">
        <v>1.31</v>
      </c>
      <c r="Z2259" s="468">
        <v>69.3</v>
      </c>
      <c r="AA2259" s="468">
        <v>9.5</v>
      </c>
      <c r="AB2259" s="466" t="s">
        <v>241</v>
      </c>
      <c r="AD2259" s="466">
        <v>1.7</v>
      </c>
      <c r="AF2259" s="467" t="s">
        <v>2322</v>
      </c>
      <c r="AG2259" s="467" t="s">
        <v>2332</v>
      </c>
      <c r="AH2259" s="466" t="s">
        <v>578</v>
      </c>
      <c r="AI2259" s="238" t="s">
        <v>1650</v>
      </c>
      <c r="AJ2259" s="239" t="s">
        <v>133</v>
      </c>
      <c r="AN2259" s="467"/>
      <c r="AQ2259" s="467"/>
      <c r="AT2259" s="467" t="s">
        <v>161</v>
      </c>
      <c r="AU2259" s="239">
        <v>3</v>
      </c>
      <c r="AV2259" s="467"/>
      <c r="AW2259" s="239" t="s">
        <v>142</v>
      </c>
      <c r="BA2259" s="239" t="s">
        <v>2334</v>
      </c>
      <c r="BH2259" s="467"/>
      <c r="BK2259" s="469"/>
      <c r="BM2259" s="451">
        <v>1.39</v>
      </c>
      <c r="BN2259" s="470">
        <v>1.42</v>
      </c>
      <c r="BO2259" s="239">
        <f t="shared" si="308"/>
        <v>0.12124355652982141</v>
      </c>
      <c r="BP2259" s="466">
        <f>SQRT(3)*0.08</f>
        <v>0.13856406460551018</v>
      </c>
      <c r="BR2259" s="470"/>
      <c r="BS2259" s="470"/>
      <c r="DM2259" s="239">
        <v>44.4</v>
      </c>
      <c r="DN2259" s="466">
        <v>49.6</v>
      </c>
      <c r="DO2259" s="239" t="s">
        <v>1019</v>
      </c>
      <c r="DU2259" s="239">
        <v>45.58</v>
      </c>
      <c r="DV2259" s="466">
        <v>122.71</v>
      </c>
      <c r="EY2259" s="239">
        <v>12</v>
      </c>
      <c r="EZ2259" s="466">
        <v>13.5</v>
      </c>
      <c r="FH2259" s="471"/>
      <c r="IO2259" s="239" t="s">
        <v>2334</v>
      </c>
    </row>
    <row r="2260" spans="1:249" s="466" customFormat="1" x14ac:dyDescent="0.25">
      <c r="A2260" s="466">
        <v>110</v>
      </c>
      <c r="B2260" s="467" t="s">
        <v>2228</v>
      </c>
      <c r="C2260" s="466" t="s">
        <v>2319</v>
      </c>
      <c r="D2260" s="467">
        <v>1982</v>
      </c>
      <c r="E2260" s="466">
        <v>1978</v>
      </c>
      <c r="F2260" s="467" t="s">
        <v>1756</v>
      </c>
      <c r="G2260" s="467" t="s">
        <v>2320</v>
      </c>
      <c r="H2260" s="244" t="s">
        <v>2839</v>
      </c>
      <c r="I2260" s="466">
        <v>7.38</v>
      </c>
      <c r="J2260" s="466">
        <v>3.95</v>
      </c>
      <c r="K2260" s="467">
        <v>229.3</v>
      </c>
      <c r="L2260" s="467"/>
      <c r="N2260" s="467"/>
      <c r="Q2260" s="466">
        <v>4</v>
      </c>
      <c r="R2260" s="467">
        <v>4</v>
      </c>
      <c r="T2260" s="466" t="s">
        <v>2321</v>
      </c>
      <c r="U2260" s="466" t="s">
        <v>1392</v>
      </c>
      <c r="V2260" s="466">
        <v>10</v>
      </c>
      <c r="W2260" s="466" t="s">
        <v>1386</v>
      </c>
      <c r="X2260" s="466" t="s">
        <v>1386</v>
      </c>
      <c r="Y2260" s="466">
        <v>1.31</v>
      </c>
      <c r="Z2260" s="468">
        <v>69.3</v>
      </c>
      <c r="AA2260" s="468">
        <v>9.5</v>
      </c>
      <c r="AB2260" s="466" t="s">
        <v>241</v>
      </c>
      <c r="AD2260" s="466">
        <v>1.7</v>
      </c>
      <c r="AF2260" s="467" t="s">
        <v>2322</v>
      </c>
      <c r="AG2260" s="467" t="s">
        <v>2333</v>
      </c>
      <c r="AH2260" s="466" t="s">
        <v>578</v>
      </c>
      <c r="AI2260" s="238" t="s">
        <v>1650</v>
      </c>
      <c r="AJ2260" s="239" t="s">
        <v>133</v>
      </c>
      <c r="AN2260" s="467"/>
      <c r="AQ2260" s="467"/>
      <c r="AT2260" s="467" t="s">
        <v>161</v>
      </c>
      <c r="AU2260" s="239">
        <v>3</v>
      </c>
      <c r="AV2260" s="467"/>
      <c r="AW2260" s="239" t="s">
        <v>142</v>
      </c>
      <c r="BA2260" s="239" t="s">
        <v>2334</v>
      </c>
      <c r="BH2260" s="467"/>
      <c r="BK2260" s="469"/>
      <c r="BM2260" s="451">
        <v>1.39</v>
      </c>
      <c r="BN2260" s="470">
        <v>1.44</v>
      </c>
      <c r="BO2260" s="239">
        <f t="shared" si="308"/>
        <v>0.12124355652982141</v>
      </c>
      <c r="BP2260" s="466">
        <f>SQRT(3)*0.07</f>
        <v>0.12124355652982141</v>
      </c>
      <c r="BR2260" s="470"/>
      <c r="BS2260" s="470"/>
      <c r="DM2260" s="239">
        <v>44.4</v>
      </c>
      <c r="DN2260" s="466">
        <v>49.4</v>
      </c>
      <c r="DO2260" s="239" t="s">
        <v>1019</v>
      </c>
      <c r="DU2260" s="239">
        <v>45.58</v>
      </c>
      <c r="DV2260" s="466">
        <v>101.185</v>
      </c>
      <c r="EY2260" s="239">
        <v>12</v>
      </c>
      <c r="EZ2260" s="466">
        <v>13.2</v>
      </c>
      <c r="FH2260" s="471"/>
      <c r="IO2260" s="239" t="s">
        <v>2334</v>
      </c>
    </row>
    <row r="2261" spans="1:249" s="245" customFormat="1" x14ac:dyDescent="0.25">
      <c r="A2261" s="245">
        <v>110</v>
      </c>
      <c r="B2261" s="244" t="s">
        <v>2228</v>
      </c>
      <c r="C2261" s="245" t="s">
        <v>2319</v>
      </c>
      <c r="D2261" s="244">
        <v>1982</v>
      </c>
      <c r="E2261" s="245">
        <v>1978</v>
      </c>
      <c r="F2261" s="244" t="s">
        <v>1756</v>
      </c>
      <c r="G2261" s="244" t="s">
        <v>2320</v>
      </c>
      <c r="H2261" s="244" t="s">
        <v>2839</v>
      </c>
      <c r="I2261" s="245">
        <v>7.38</v>
      </c>
      <c r="J2261" s="245">
        <v>3.95</v>
      </c>
      <c r="K2261" s="244">
        <v>229.3</v>
      </c>
      <c r="L2261" s="244"/>
      <c r="N2261" s="244"/>
      <c r="Q2261" s="245">
        <v>4</v>
      </c>
      <c r="R2261" s="244">
        <v>4</v>
      </c>
      <c r="T2261" s="245" t="s">
        <v>2321</v>
      </c>
      <c r="U2261" s="245" t="s">
        <v>1392</v>
      </c>
      <c r="V2261" s="245">
        <v>10</v>
      </c>
      <c r="W2261" s="245" t="s">
        <v>1386</v>
      </c>
      <c r="X2261" s="245" t="s">
        <v>1386</v>
      </c>
      <c r="Y2261" s="245">
        <v>1.31</v>
      </c>
      <c r="Z2261" s="376">
        <v>69.3</v>
      </c>
      <c r="AA2261" s="376">
        <v>9.5</v>
      </c>
      <c r="AB2261" s="245" t="s">
        <v>241</v>
      </c>
      <c r="AD2261" s="245">
        <v>1.7</v>
      </c>
      <c r="AF2261" s="244" t="s">
        <v>2322</v>
      </c>
      <c r="AG2261" s="244" t="s">
        <v>2326</v>
      </c>
      <c r="AH2261" s="245" t="s">
        <v>1585</v>
      </c>
      <c r="AI2261" s="244" t="s">
        <v>1650</v>
      </c>
      <c r="AJ2261" s="245" t="s">
        <v>133</v>
      </c>
      <c r="AN2261" s="244"/>
      <c r="AQ2261" s="244"/>
      <c r="AT2261" s="244" t="s">
        <v>161</v>
      </c>
      <c r="AU2261" s="245">
        <v>3</v>
      </c>
      <c r="AV2261" s="244"/>
      <c r="AW2261" s="245" t="s">
        <v>142</v>
      </c>
      <c r="BA2261" s="245" t="s">
        <v>2335</v>
      </c>
      <c r="BH2261" s="244"/>
      <c r="BK2261" s="248"/>
      <c r="BM2261" s="437">
        <v>1.38</v>
      </c>
      <c r="BN2261" s="437">
        <v>1.48</v>
      </c>
      <c r="BO2261" s="245">
        <f>SQRT(3)*0.1</f>
        <v>0.17320508075688773</v>
      </c>
      <c r="BP2261" s="245">
        <f>SQRT(3)*0.1</f>
        <v>0.17320508075688773</v>
      </c>
      <c r="BR2261" s="437"/>
      <c r="BS2261" s="437"/>
      <c r="DM2261" s="245">
        <v>53.3</v>
      </c>
      <c r="DN2261" s="245">
        <v>50.2</v>
      </c>
      <c r="DO2261" s="245" t="s">
        <v>1019</v>
      </c>
      <c r="FH2261" s="246"/>
      <c r="IO2261" s="245" t="s">
        <v>2335</v>
      </c>
    </row>
    <row r="2262" spans="1:249" s="245" customFormat="1" x14ac:dyDescent="0.25">
      <c r="A2262" s="245">
        <v>110</v>
      </c>
      <c r="B2262" s="244" t="s">
        <v>2228</v>
      </c>
      <c r="C2262" s="245" t="s">
        <v>2319</v>
      </c>
      <c r="D2262" s="244">
        <v>1982</v>
      </c>
      <c r="E2262" s="245">
        <v>1978</v>
      </c>
      <c r="F2262" s="244" t="s">
        <v>1756</v>
      </c>
      <c r="G2262" s="244" t="s">
        <v>2320</v>
      </c>
      <c r="H2262" s="244" t="s">
        <v>2839</v>
      </c>
      <c r="I2262" s="245">
        <v>7.38</v>
      </c>
      <c r="J2262" s="245">
        <v>3.95</v>
      </c>
      <c r="K2262" s="244">
        <v>229.3</v>
      </c>
      <c r="L2262" s="244"/>
      <c r="N2262" s="244"/>
      <c r="Q2262" s="245">
        <v>4</v>
      </c>
      <c r="R2262" s="244">
        <v>4</v>
      </c>
      <c r="T2262" s="245" t="s">
        <v>2321</v>
      </c>
      <c r="U2262" s="245" t="s">
        <v>1392</v>
      </c>
      <c r="V2262" s="245">
        <v>10</v>
      </c>
      <c r="W2262" s="245" t="s">
        <v>1386</v>
      </c>
      <c r="X2262" s="245" t="s">
        <v>1386</v>
      </c>
      <c r="Y2262" s="245">
        <v>1.31</v>
      </c>
      <c r="Z2262" s="376">
        <v>69.3</v>
      </c>
      <c r="AA2262" s="376">
        <v>9.5</v>
      </c>
      <c r="AB2262" s="245" t="s">
        <v>241</v>
      </c>
      <c r="AD2262" s="245">
        <v>1.7</v>
      </c>
      <c r="AF2262" s="244" t="s">
        <v>2322</v>
      </c>
      <c r="AG2262" s="244" t="s">
        <v>2327</v>
      </c>
      <c r="AH2262" s="245" t="s">
        <v>1585</v>
      </c>
      <c r="AI2262" s="244" t="s">
        <v>1650</v>
      </c>
      <c r="AJ2262" s="245" t="s">
        <v>133</v>
      </c>
      <c r="AN2262" s="244"/>
      <c r="AQ2262" s="244"/>
      <c r="AT2262" s="244" t="s">
        <v>161</v>
      </c>
      <c r="AU2262" s="245">
        <v>3</v>
      </c>
      <c r="AV2262" s="244"/>
      <c r="AW2262" s="245" t="s">
        <v>142</v>
      </c>
      <c r="BA2262" s="245" t="s">
        <v>2335</v>
      </c>
      <c r="BH2262" s="244"/>
      <c r="BK2262" s="248"/>
      <c r="BM2262" s="437">
        <v>1.38</v>
      </c>
      <c r="BN2262" s="437">
        <v>1.49</v>
      </c>
      <c r="BO2262" s="245">
        <f t="shared" ref="BO2262:BO2268" si="309">SQRT(3)*0.1</f>
        <v>0.17320508075688773</v>
      </c>
      <c r="BP2262" s="245">
        <f>SQRT(3)*0.1</f>
        <v>0.17320508075688773</v>
      </c>
      <c r="BR2262" s="437"/>
      <c r="BS2262" s="437"/>
      <c r="DM2262" s="245">
        <v>53.3</v>
      </c>
      <c r="DN2262" s="245">
        <v>55.2</v>
      </c>
      <c r="DO2262" s="245" t="s">
        <v>1019</v>
      </c>
      <c r="FH2262" s="246"/>
      <c r="IO2262" s="245" t="s">
        <v>2335</v>
      </c>
    </row>
    <row r="2263" spans="1:249" s="245" customFormat="1" x14ac:dyDescent="0.25">
      <c r="A2263" s="245">
        <v>110</v>
      </c>
      <c r="B2263" s="244" t="s">
        <v>2228</v>
      </c>
      <c r="C2263" s="245" t="s">
        <v>2319</v>
      </c>
      <c r="D2263" s="244">
        <v>1982</v>
      </c>
      <c r="E2263" s="245">
        <v>1978</v>
      </c>
      <c r="F2263" s="244" t="s">
        <v>1756</v>
      </c>
      <c r="G2263" s="244" t="s">
        <v>2320</v>
      </c>
      <c r="H2263" s="244" t="s">
        <v>2839</v>
      </c>
      <c r="I2263" s="245">
        <v>7.38</v>
      </c>
      <c r="J2263" s="245">
        <v>3.95</v>
      </c>
      <c r="K2263" s="244">
        <v>229.3</v>
      </c>
      <c r="L2263" s="244"/>
      <c r="N2263" s="244"/>
      <c r="Q2263" s="245">
        <v>4</v>
      </c>
      <c r="R2263" s="244">
        <v>4</v>
      </c>
      <c r="T2263" s="245" t="s">
        <v>2321</v>
      </c>
      <c r="U2263" s="245" t="s">
        <v>1392</v>
      </c>
      <c r="V2263" s="245">
        <v>10</v>
      </c>
      <c r="W2263" s="245" t="s">
        <v>1386</v>
      </c>
      <c r="X2263" s="245" t="s">
        <v>1386</v>
      </c>
      <c r="Y2263" s="245">
        <v>1.31</v>
      </c>
      <c r="Z2263" s="376">
        <v>69.3</v>
      </c>
      <c r="AA2263" s="376">
        <v>9.5</v>
      </c>
      <c r="AB2263" s="245" t="s">
        <v>241</v>
      </c>
      <c r="AD2263" s="245">
        <v>1.7</v>
      </c>
      <c r="AF2263" s="244" t="s">
        <v>2322</v>
      </c>
      <c r="AG2263" s="244" t="s">
        <v>2328</v>
      </c>
      <c r="AH2263" s="245" t="s">
        <v>1585</v>
      </c>
      <c r="AI2263" s="244" t="s">
        <v>1650</v>
      </c>
      <c r="AJ2263" s="245" t="s">
        <v>133</v>
      </c>
      <c r="AN2263" s="244"/>
      <c r="AQ2263" s="244"/>
      <c r="AT2263" s="244" t="s">
        <v>161</v>
      </c>
      <c r="AU2263" s="245">
        <v>3</v>
      </c>
      <c r="AV2263" s="244"/>
      <c r="AW2263" s="245" t="s">
        <v>142</v>
      </c>
      <c r="BA2263" s="245" t="s">
        <v>2335</v>
      </c>
      <c r="BH2263" s="244"/>
      <c r="BK2263" s="248"/>
      <c r="BM2263" s="437">
        <v>1.38</v>
      </c>
      <c r="BN2263" s="437">
        <v>1.43</v>
      </c>
      <c r="BO2263" s="245">
        <f t="shared" si="309"/>
        <v>0.17320508075688773</v>
      </c>
      <c r="BP2263" s="245">
        <f>SQRT(3)*0.08</f>
        <v>0.13856406460551018</v>
      </c>
      <c r="BR2263" s="437"/>
      <c r="BS2263" s="437"/>
      <c r="DM2263" s="245">
        <v>53.3</v>
      </c>
      <c r="DN2263" s="245">
        <v>53.7</v>
      </c>
      <c r="DO2263" s="245" t="s">
        <v>1019</v>
      </c>
      <c r="FH2263" s="246"/>
      <c r="IO2263" s="245" t="s">
        <v>2335</v>
      </c>
    </row>
    <row r="2264" spans="1:249" s="472" customFormat="1" x14ac:dyDescent="0.25">
      <c r="A2264" s="472">
        <v>110</v>
      </c>
      <c r="B2264" s="473" t="s">
        <v>2228</v>
      </c>
      <c r="C2264" s="472" t="s">
        <v>2319</v>
      </c>
      <c r="D2264" s="473">
        <v>1982</v>
      </c>
      <c r="E2264" s="472">
        <v>1978</v>
      </c>
      <c r="F2264" s="473" t="s">
        <v>1756</v>
      </c>
      <c r="G2264" s="473" t="s">
        <v>2320</v>
      </c>
      <c r="H2264" s="244" t="s">
        <v>2839</v>
      </c>
      <c r="I2264" s="472">
        <v>7.38</v>
      </c>
      <c r="J2264" s="472">
        <v>3.95</v>
      </c>
      <c r="K2264" s="473">
        <v>229.3</v>
      </c>
      <c r="L2264" s="473"/>
      <c r="N2264" s="473"/>
      <c r="Q2264" s="472">
        <v>4</v>
      </c>
      <c r="R2264" s="473">
        <v>4</v>
      </c>
      <c r="T2264" s="472" t="s">
        <v>2321</v>
      </c>
      <c r="U2264" s="472" t="s">
        <v>1392</v>
      </c>
      <c r="V2264" s="472">
        <v>10</v>
      </c>
      <c r="W2264" s="472" t="s">
        <v>1386</v>
      </c>
      <c r="X2264" s="472" t="s">
        <v>1386</v>
      </c>
      <c r="Y2264" s="472">
        <v>1.31</v>
      </c>
      <c r="Z2264" s="474">
        <v>69.3</v>
      </c>
      <c r="AA2264" s="474">
        <v>9.5</v>
      </c>
      <c r="AB2264" s="472" t="s">
        <v>241</v>
      </c>
      <c r="AD2264" s="472">
        <v>1.7</v>
      </c>
      <c r="AF2264" s="473" t="s">
        <v>2322</v>
      </c>
      <c r="AG2264" s="473" t="s">
        <v>2329</v>
      </c>
      <c r="AH2264" s="472" t="s">
        <v>578</v>
      </c>
      <c r="AI2264" s="244" t="s">
        <v>1650</v>
      </c>
      <c r="AJ2264" s="245" t="s">
        <v>133</v>
      </c>
      <c r="AN2264" s="473"/>
      <c r="AQ2264" s="473"/>
      <c r="AT2264" s="473" t="s">
        <v>161</v>
      </c>
      <c r="AU2264" s="245">
        <v>3</v>
      </c>
      <c r="AV2264" s="473"/>
      <c r="AW2264" s="245" t="s">
        <v>142</v>
      </c>
      <c r="BA2264" s="245" t="s">
        <v>2335</v>
      </c>
      <c r="BH2264" s="473"/>
      <c r="BK2264" s="475"/>
      <c r="BM2264" s="437">
        <v>1.38</v>
      </c>
      <c r="BN2264" s="476">
        <v>1.45</v>
      </c>
      <c r="BO2264" s="245">
        <f t="shared" si="309"/>
        <v>0.17320508075688773</v>
      </c>
      <c r="BP2264" s="472">
        <f>SQRT(3)*0.06</f>
        <v>0.10392304845413262</v>
      </c>
      <c r="BR2264" s="476"/>
      <c r="BS2264" s="476"/>
      <c r="DM2264" s="245">
        <v>53.3</v>
      </c>
      <c r="DN2264" s="472">
        <v>52.4</v>
      </c>
      <c r="DO2264" s="472" t="s">
        <v>1019</v>
      </c>
      <c r="FH2264" s="477"/>
      <c r="IO2264" s="245" t="s">
        <v>2335</v>
      </c>
    </row>
    <row r="2265" spans="1:249" s="472" customFormat="1" x14ac:dyDescent="0.25">
      <c r="A2265" s="472">
        <v>110</v>
      </c>
      <c r="B2265" s="473" t="s">
        <v>2228</v>
      </c>
      <c r="C2265" s="472" t="s">
        <v>2319</v>
      </c>
      <c r="D2265" s="473">
        <v>1982</v>
      </c>
      <c r="E2265" s="472">
        <v>1978</v>
      </c>
      <c r="F2265" s="473" t="s">
        <v>1756</v>
      </c>
      <c r="G2265" s="473" t="s">
        <v>2320</v>
      </c>
      <c r="H2265" s="244" t="s">
        <v>2839</v>
      </c>
      <c r="I2265" s="472">
        <v>7.38</v>
      </c>
      <c r="J2265" s="472">
        <v>3.95</v>
      </c>
      <c r="K2265" s="473">
        <v>229.3</v>
      </c>
      <c r="L2265" s="473"/>
      <c r="N2265" s="473"/>
      <c r="Q2265" s="472">
        <v>4</v>
      </c>
      <c r="R2265" s="473">
        <v>4</v>
      </c>
      <c r="T2265" s="472" t="s">
        <v>2321</v>
      </c>
      <c r="U2265" s="472" t="s">
        <v>1392</v>
      </c>
      <c r="V2265" s="472">
        <v>10</v>
      </c>
      <c r="W2265" s="472" t="s">
        <v>1386</v>
      </c>
      <c r="X2265" s="472" t="s">
        <v>1386</v>
      </c>
      <c r="Y2265" s="472">
        <v>1.31</v>
      </c>
      <c r="Z2265" s="474">
        <v>69.3</v>
      </c>
      <c r="AA2265" s="474">
        <v>9.5</v>
      </c>
      <c r="AB2265" s="472" t="s">
        <v>241</v>
      </c>
      <c r="AD2265" s="472">
        <v>1.7</v>
      </c>
      <c r="AF2265" s="473" t="s">
        <v>2322</v>
      </c>
      <c r="AG2265" s="473" t="s">
        <v>2330</v>
      </c>
      <c r="AH2265" s="472" t="s">
        <v>578</v>
      </c>
      <c r="AI2265" s="244" t="s">
        <v>1650</v>
      </c>
      <c r="AJ2265" s="245" t="s">
        <v>133</v>
      </c>
      <c r="AN2265" s="473"/>
      <c r="AQ2265" s="473"/>
      <c r="AT2265" s="473" t="s">
        <v>161</v>
      </c>
      <c r="AU2265" s="245">
        <v>3</v>
      </c>
      <c r="AV2265" s="473"/>
      <c r="AW2265" s="245" t="s">
        <v>142</v>
      </c>
      <c r="BA2265" s="245" t="s">
        <v>2335</v>
      </c>
      <c r="BH2265" s="473"/>
      <c r="BK2265" s="475"/>
      <c r="BM2265" s="437">
        <v>1.38</v>
      </c>
      <c r="BN2265" s="476">
        <v>1.46</v>
      </c>
      <c r="BO2265" s="245">
        <f t="shared" si="309"/>
        <v>0.17320508075688773</v>
      </c>
      <c r="BP2265" s="472">
        <f>SQRT(3)*0.09</f>
        <v>0.15588457268119893</v>
      </c>
      <c r="BR2265" s="476"/>
      <c r="BS2265" s="476"/>
      <c r="DM2265" s="245">
        <v>53.3</v>
      </c>
      <c r="DN2265" s="472">
        <v>53.6</v>
      </c>
      <c r="DO2265" s="472" t="s">
        <v>1019</v>
      </c>
      <c r="FH2265" s="477"/>
      <c r="IO2265" s="245" t="s">
        <v>2335</v>
      </c>
    </row>
    <row r="2266" spans="1:249" s="472" customFormat="1" x14ac:dyDescent="0.25">
      <c r="A2266" s="472">
        <v>110</v>
      </c>
      <c r="B2266" s="473" t="s">
        <v>2228</v>
      </c>
      <c r="C2266" s="472" t="s">
        <v>2319</v>
      </c>
      <c r="D2266" s="473">
        <v>1982</v>
      </c>
      <c r="E2266" s="472">
        <v>1978</v>
      </c>
      <c r="F2266" s="473" t="s">
        <v>1756</v>
      </c>
      <c r="G2266" s="473" t="s">
        <v>2320</v>
      </c>
      <c r="H2266" s="244" t="s">
        <v>2839</v>
      </c>
      <c r="I2266" s="472">
        <v>7.38</v>
      </c>
      <c r="J2266" s="472">
        <v>3.95</v>
      </c>
      <c r="K2266" s="473">
        <v>229.3</v>
      </c>
      <c r="L2266" s="473"/>
      <c r="N2266" s="473"/>
      <c r="Q2266" s="472">
        <v>4</v>
      </c>
      <c r="R2266" s="473">
        <v>4</v>
      </c>
      <c r="T2266" s="472" t="s">
        <v>2321</v>
      </c>
      <c r="U2266" s="472" t="s">
        <v>1392</v>
      </c>
      <c r="V2266" s="472">
        <v>10</v>
      </c>
      <c r="W2266" s="472" t="s">
        <v>1386</v>
      </c>
      <c r="X2266" s="472" t="s">
        <v>1386</v>
      </c>
      <c r="Y2266" s="472">
        <v>1.31</v>
      </c>
      <c r="Z2266" s="474">
        <v>69.3</v>
      </c>
      <c r="AA2266" s="474">
        <v>9.5</v>
      </c>
      <c r="AB2266" s="472" t="s">
        <v>241</v>
      </c>
      <c r="AD2266" s="472">
        <v>1.7</v>
      </c>
      <c r="AF2266" s="473" t="s">
        <v>2322</v>
      </c>
      <c r="AG2266" s="473" t="s">
        <v>2331</v>
      </c>
      <c r="AH2266" s="472" t="s">
        <v>578</v>
      </c>
      <c r="AI2266" s="244" t="s">
        <v>1650</v>
      </c>
      <c r="AJ2266" s="245" t="s">
        <v>133</v>
      </c>
      <c r="AN2266" s="473"/>
      <c r="AQ2266" s="473"/>
      <c r="AT2266" s="473" t="s">
        <v>161</v>
      </c>
      <c r="AU2266" s="245">
        <v>3</v>
      </c>
      <c r="AV2266" s="473"/>
      <c r="AW2266" s="245" t="s">
        <v>142</v>
      </c>
      <c r="BA2266" s="245" t="s">
        <v>2335</v>
      </c>
      <c r="BH2266" s="473"/>
      <c r="BK2266" s="475"/>
      <c r="BM2266" s="437">
        <v>1.38</v>
      </c>
      <c r="BN2266" s="476">
        <v>1.45</v>
      </c>
      <c r="BO2266" s="245">
        <f t="shared" si="309"/>
        <v>0.17320508075688773</v>
      </c>
      <c r="BP2266" s="472">
        <f>SQRT(3)*0.08</f>
        <v>0.13856406460551018</v>
      </c>
      <c r="BR2266" s="476"/>
      <c r="BS2266" s="476"/>
      <c r="DM2266" s="245">
        <v>53.3</v>
      </c>
      <c r="DN2266" s="472">
        <v>53.5</v>
      </c>
      <c r="DO2266" s="472" t="s">
        <v>1019</v>
      </c>
      <c r="FH2266" s="477"/>
      <c r="IO2266" s="245" t="s">
        <v>2335</v>
      </c>
    </row>
    <row r="2267" spans="1:249" s="472" customFormat="1" x14ac:dyDescent="0.25">
      <c r="A2267" s="472">
        <v>110</v>
      </c>
      <c r="B2267" s="473" t="s">
        <v>2228</v>
      </c>
      <c r="C2267" s="472" t="s">
        <v>2319</v>
      </c>
      <c r="D2267" s="473">
        <v>1982</v>
      </c>
      <c r="E2267" s="472">
        <v>1978</v>
      </c>
      <c r="F2267" s="473" t="s">
        <v>1756</v>
      </c>
      <c r="G2267" s="473" t="s">
        <v>2320</v>
      </c>
      <c r="H2267" s="244" t="s">
        <v>2839</v>
      </c>
      <c r="I2267" s="472">
        <v>7.38</v>
      </c>
      <c r="J2267" s="472">
        <v>3.95</v>
      </c>
      <c r="K2267" s="473">
        <v>229.3</v>
      </c>
      <c r="L2267" s="473"/>
      <c r="N2267" s="473"/>
      <c r="Q2267" s="472">
        <v>4</v>
      </c>
      <c r="R2267" s="473">
        <v>4</v>
      </c>
      <c r="T2267" s="472" t="s">
        <v>2321</v>
      </c>
      <c r="U2267" s="472" t="s">
        <v>1392</v>
      </c>
      <c r="V2267" s="472">
        <v>10</v>
      </c>
      <c r="W2267" s="472" t="s">
        <v>1386</v>
      </c>
      <c r="X2267" s="472" t="s">
        <v>1386</v>
      </c>
      <c r="Y2267" s="472">
        <v>1.31</v>
      </c>
      <c r="Z2267" s="474">
        <v>69.3</v>
      </c>
      <c r="AA2267" s="474">
        <v>9.5</v>
      </c>
      <c r="AB2267" s="472" t="s">
        <v>241</v>
      </c>
      <c r="AD2267" s="472">
        <v>1.7</v>
      </c>
      <c r="AF2267" s="473" t="s">
        <v>2322</v>
      </c>
      <c r="AG2267" s="473" t="s">
        <v>2332</v>
      </c>
      <c r="AH2267" s="472" t="s">
        <v>578</v>
      </c>
      <c r="AI2267" s="244" t="s">
        <v>1650</v>
      </c>
      <c r="AJ2267" s="245" t="s">
        <v>133</v>
      </c>
      <c r="AN2267" s="473"/>
      <c r="AQ2267" s="473"/>
      <c r="AT2267" s="473" t="s">
        <v>161</v>
      </c>
      <c r="AU2267" s="245">
        <v>3</v>
      </c>
      <c r="AV2267" s="473"/>
      <c r="AW2267" s="245" t="s">
        <v>142</v>
      </c>
      <c r="BA2267" s="245" t="s">
        <v>2335</v>
      </c>
      <c r="BH2267" s="473"/>
      <c r="BK2267" s="475"/>
      <c r="BM2267" s="437">
        <v>1.38</v>
      </c>
      <c r="BN2267" s="476">
        <v>1.46</v>
      </c>
      <c r="BO2267" s="245">
        <f t="shared" si="309"/>
        <v>0.17320508075688773</v>
      </c>
      <c r="BP2267" s="472">
        <f>SQRT(3)*0.07</f>
        <v>0.12124355652982141</v>
      </c>
      <c r="BR2267" s="476"/>
      <c r="BS2267" s="476"/>
      <c r="DM2267" s="245">
        <v>53.3</v>
      </c>
      <c r="DN2267" s="472">
        <v>51.3</v>
      </c>
      <c r="DO2267" s="472" t="s">
        <v>1019</v>
      </c>
      <c r="FH2267" s="477"/>
      <c r="IO2267" s="245" t="s">
        <v>2335</v>
      </c>
    </row>
    <row r="2268" spans="1:249" s="472" customFormat="1" x14ac:dyDescent="0.25">
      <c r="A2268" s="472">
        <v>110</v>
      </c>
      <c r="B2268" s="473" t="s">
        <v>2228</v>
      </c>
      <c r="C2268" s="472" t="s">
        <v>2319</v>
      </c>
      <c r="D2268" s="473">
        <v>1982</v>
      </c>
      <c r="E2268" s="472">
        <v>1978</v>
      </c>
      <c r="F2268" s="473" t="s">
        <v>1756</v>
      </c>
      <c r="G2268" s="473" t="s">
        <v>2320</v>
      </c>
      <c r="H2268" s="244" t="s">
        <v>2839</v>
      </c>
      <c r="I2268" s="472">
        <v>7.38</v>
      </c>
      <c r="J2268" s="472">
        <v>3.95</v>
      </c>
      <c r="K2268" s="473">
        <v>229.3</v>
      </c>
      <c r="L2268" s="473"/>
      <c r="N2268" s="473"/>
      <c r="Q2268" s="472">
        <v>4</v>
      </c>
      <c r="R2268" s="473">
        <v>4</v>
      </c>
      <c r="T2268" s="472" t="s">
        <v>2321</v>
      </c>
      <c r="U2268" s="472" t="s">
        <v>1392</v>
      </c>
      <c r="V2268" s="472">
        <v>10</v>
      </c>
      <c r="W2268" s="472" t="s">
        <v>1386</v>
      </c>
      <c r="X2268" s="472" t="s">
        <v>1386</v>
      </c>
      <c r="Y2268" s="472">
        <v>1.31</v>
      </c>
      <c r="Z2268" s="474">
        <v>69.3</v>
      </c>
      <c r="AA2268" s="474">
        <v>9.5</v>
      </c>
      <c r="AB2268" s="472" t="s">
        <v>241</v>
      </c>
      <c r="AD2268" s="472">
        <v>1.7</v>
      </c>
      <c r="AF2268" s="473" t="s">
        <v>2322</v>
      </c>
      <c r="AG2268" s="473" t="s">
        <v>2333</v>
      </c>
      <c r="AH2268" s="472" t="s">
        <v>578</v>
      </c>
      <c r="AI2268" s="244" t="s">
        <v>1650</v>
      </c>
      <c r="AJ2268" s="245" t="s">
        <v>133</v>
      </c>
      <c r="AN2268" s="473"/>
      <c r="AQ2268" s="473"/>
      <c r="AT2268" s="473" t="s">
        <v>161</v>
      </c>
      <c r="AU2268" s="245">
        <v>3</v>
      </c>
      <c r="AV2268" s="473"/>
      <c r="AW2268" s="245" t="s">
        <v>142</v>
      </c>
      <c r="BA2268" s="245" t="s">
        <v>2335</v>
      </c>
      <c r="BH2268" s="473"/>
      <c r="BK2268" s="475"/>
      <c r="BM2268" s="437">
        <v>1.38</v>
      </c>
      <c r="BN2268" s="476">
        <v>1.47</v>
      </c>
      <c r="BO2268" s="245">
        <f t="shared" si="309"/>
        <v>0.17320508075688773</v>
      </c>
      <c r="BP2268" s="472">
        <f>SQRT(3)*0.06</f>
        <v>0.10392304845413262</v>
      </c>
      <c r="BR2268" s="476"/>
      <c r="BS2268" s="476"/>
      <c r="DM2268" s="245">
        <v>53.3</v>
      </c>
      <c r="DN2268" s="472">
        <v>50.7</v>
      </c>
      <c r="DO2268" s="472" t="s">
        <v>1019</v>
      </c>
      <c r="FH2268" s="477"/>
      <c r="IO2268" s="245" t="s">
        <v>2335</v>
      </c>
    </row>
    <row r="2269" spans="1:249" s="239" customFormat="1" x14ac:dyDescent="0.25">
      <c r="A2269" s="239">
        <v>110</v>
      </c>
      <c r="B2269" s="238" t="s">
        <v>2228</v>
      </c>
      <c r="C2269" s="239" t="s">
        <v>2319</v>
      </c>
      <c r="D2269" s="238">
        <v>1982</v>
      </c>
      <c r="E2269" s="239">
        <v>1976</v>
      </c>
      <c r="F2269" s="238" t="s">
        <v>1756</v>
      </c>
      <c r="G2269" s="238" t="s">
        <v>2320</v>
      </c>
      <c r="H2269" s="244" t="s">
        <v>2839</v>
      </c>
      <c r="I2269" s="239">
        <v>7.38</v>
      </c>
      <c r="J2269" s="239">
        <v>3.95</v>
      </c>
      <c r="K2269" s="238">
        <v>229.3</v>
      </c>
      <c r="L2269" s="238"/>
      <c r="N2269" s="238"/>
      <c r="Q2269" s="239">
        <v>2</v>
      </c>
      <c r="R2269" s="238">
        <v>4</v>
      </c>
      <c r="T2269" s="239" t="s">
        <v>2321</v>
      </c>
      <c r="U2269" s="239" t="s">
        <v>1392</v>
      </c>
      <c r="V2269" s="239">
        <v>10</v>
      </c>
      <c r="W2269" s="239" t="s">
        <v>1386</v>
      </c>
      <c r="X2269" s="239" t="s">
        <v>1386</v>
      </c>
      <c r="Y2269" s="239">
        <v>1.31</v>
      </c>
      <c r="Z2269" s="374">
        <v>69.3</v>
      </c>
      <c r="AA2269" s="374">
        <v>9.5</v>
      </c>
      <c r="AB2269" s="239" t="s">
        <v>241</v>
      </c>
      <c r="AD2269" s="239">
        <v>1.7</v>
      </c>
      <c r="AF2269" s="238" t="s">
        <v>2322</v>
      </c>
      <c r="AG2269" s="238" t="s">
        <v>2326</v>
      </c>
      <c r="AH2269" s="239" t="s">
        <v>1585</v>
      </c>
      <c r="AI2269" s="238" t="s">
        <v>1650</v>
      </c>
      <c r="AJ2269" s="239" t="s">
        <v>133</v>
      </c>
      <c r="AN2269" s="238"/>
      <c r="AQ2269" s="238"/>
      <c r="AT2269" s="238" t="s">
        <v>161</v>
      </c>
      <c r="AU2269" s="239">
        <v>3</v>
      </c>
      <c r="AV2269" s="238"/>
      <c r="AW2269" s="239" t="s">
        <v>142</v>
      </c>
      <c r="BA2269" s="239" t="s">
        <v>2334</v>
      </c>
      <c r="BC2269" s="239">
        <v>5300</v>
      </c>
      <c r="BD2269" s="239">
        <v>5800</v>
      </c>
      <c r="BG2269" s="239" t="s">
        <v>2336</v>
      </c>
      <c r="BH2269" s="238">
        <v>1800</v>
      </c>
      <c r="BI2269" s="239">
        <v>300</v>
      </c>
      <c r="BK2269" s="242"/>
      <c r="BM2269" s="451"/>
      <c r="BN2269" s="451"/>
      <c r="BR2269" s="451"/>
      <c r="BS2269" s="451"/>
      <c r="FH2269" s="240"/>
    </row>
    <row r="2270" spans="1:249" s="239" customFormat="1" x14ac:dyDescent="0.25">
      <c r="A2270" s="239">
        <v>110</v>
      </c>
      <c r="B2270" s="238" t="s">
        <v>2228</v>
      </c>
      <c r="C2270" s="239" t="s">
        <v>2319</v>
      </c>
      <c r="D2270" s="238">
        <v>1982</v>
      </c>
      <c r="E2270" s="239">
        <v>1976</v>
      </c>
      <c r="F2270" s="238" t="s">
        <v>1756</v>
      </c>
      <c r="G2270" s="238" t="s">
        <v>2320</v>
      </c>
      <c r="H2270" s="244" t="s">
        <v>2839</v>
      </c>
      <c r="I2270" s="239">
        <v>7.38</v>
      </c>
      <c r="J2270" s="239">
        <v>3.95</v>
      </c>
      <c r="K2270" s="238">
        <v>229.3</v>
      </c>
      <c r="L2270" s="238"/>
      <c r="N2270" s="238"/>
      <c r="Q2270" s="239">
        <v>2</v>
      </c>
      <c r="R2270" s="238">
        <v>4</v>
      </c>
      <c r="T2270" s="239" t="s">
        <v>2321</v>
      </c>
      <c r="U2270" s="239" t="s">
        <v>1392</v>
      </c>
      <c r="V2270" s="239">
        <v>10</v>
      </c>
      <c r="W2270" s="239" t="s">
        <v>1386</v>
      </c>
      <c r="X2270" s="239" t="s">
        <v>1386</v>
      </c>
      <c r="Y2270" s="239">
        <v>1.31</v>
      </c>
      <c r="Z2270" s="374">
        <v>69.3</v>
      </c>
      <c r="AA2270" s="374">
        <v>9.5</v>
      </c>
      <c r="AB2270" s="239" t="s">
        <v>241</v>
      </c>
      <c r="AD2270" s="239">
        <v>1.7</v>
      </c>
      <c r="AF2270" s="238" t="s">
        <v>2322</v>
      </c>
      <c r="AG2270" s="238" t="s">
        <v>2327</v>
      </c>
      <c r="AH2270" s="239" t="s">
        <v>1585</v>
      </c>
      <c r="AI2270" s="238" t="s">
        <v>1650</v>
      </c>
      <c r="AJ2270" s="239" t="s">
        <v>133</v>
      </c>
      <c r="AN2270" s="238"/>
      <c r="AQ2270" s="238"/>
      <c r="AT2270" s="238" t="s">
        <v>161</v>
      </c>
      <c r="AU2270" s="239">
        <v>3</v>
      </c>
      <c r="AV2270" s="238"/>
      <c r="AW2270" s="239" t="s">
        <v>142</v>
      </c>
      <c r="BA2270" s="239" t="s">
        <v>2334</v>
      </c>
      <c r="BC2270" s="239">
        <v>5300</v>
      </c>
      <c r="BD2270" s="239">
        <v>800</v>
      </c>
      <c r="BG2270" s="239" t="s">
        <v>2336</v>
      </c>
      <c r="BH2270" s="238">
        <v>1800</v>
      </c>
      <c r="BI2270" s="239">
        <v>100</v>
      </c>
      <c r="BK2270" s="242"/>
      <c r="BM2270" s="451"/>
      <c r="BN2270" s="451"/>
      <c r="BR2270" s="451"/>
      <c r="BS2270" s="451"/>
      <c r="FH2270" s="240"/>
    </row>
    <row r="2271" spans="1:249" s="239" customFormat="1" x14ac:dyDescent="0.25">
      <c r="A2271" s="239">
        <v>110</v>
      </c>
      <c r="B2271" s="238" t="s">
        <v>2228</v>
      </c>
      <c r="C2271" s="239" t="s">
        <v>2319</v>
      </c>
      <c r="D2271" s="238">
        <v>1982</v>
      </c>
      <c r="E2271" s="239">
        <v>1976</v>
      </c>
      <c r="F2271" s="238" t="s">
        <v>1756</v>
      </c>
      <c r="G2271" s="238" t="s">
        <v>2320</v>
      </c>
      <c r="H2271" s="244" t="s">
        <v>2839</v>
      </c>
      <c r="I2271" s="239">
        <v>7.38</v>
      </c>
      <c r="J2271" s="239">
        <v>3.95</v>
      </c>
      <c r="K2271" s="238">
        <v>229.3</v>
      </c>
      <c r="L2271" s="238"/>
      <c r="N2271" s="238"/>
      <c r="Q2271" s="239">
        <v>2</v>
      </c>
      <c r="R2271" s="238">
        <v>4</v>
      </c>
      <c r="T2271" s="239" t="s">
        <v>2321</v>
      </c>
      <c r="U2271" s="239" t="s">
        <v>1392</v>
      </c>
      <c r="V2271" s="239">
        <v>10</v>
      </c>
      <c r="W2271" s="239" t="s">
        <v>1386</v>
      </c>
      <c r="X2271" s="239" t="s">
        <v>1386</v>
      </c>
      <c r="Y2271" s="239">
        <v>1.31</v>
      </c>
      <c r="Z2271" s="374">
        <v>69.3</v>
      </c>
      <c r="AA2271" s="374">
        <v>9.5</v>
      </c>
      <c r="AB2271" s="239" t="s">
        <v>241</v>
      </c>
      <c r="AD2271" s="239">
        <v>1.7</v>
      </c>
      <c r="AF2271" s="238" t="s">
        <v>2322</v>
      </c>
      <c r="AG2271" s="238" t="s">
        <v>2328</v>
      </c>
      <c r="AH2271" s="239" t="s">
        <v>1585</v>
      </c>
      <c r="AI2271" s="238" t="s">
        <v>1650</v>
      </c>
      <c r="AJ2271" s="239" t="s">
        <v>133</v>
      </c>
      <c r="AN2271" s="238"/>
      <c r="AQ2271" s="238"/>
      <c r="AT2271" s="238" t="s">
        <v>161</v>
      </c>
      <c r="AU2271" s="239">
        <v>3</v>
      </c>
      <c r="AV2271" s="238"/>
      <c r="AW2271" s="239" t="s">
        <v>142</v>
      </c>
      <c r="BA2271" s="239" t="s">
        <v>2334</v>
      </c>
      <c r="BG2271" s="239" t="s">
        <v>2336</v>
      </c>
      <c r="BH2271" s="238">
        <v>1800</v>
      </c>
      <c r="BI2271" s="239">
        <v>100</v>
      </c>
      <c r="BK2271" s="242"/>
      <c r="BM2271" s="451"/>
      <c r="BN2271" s="451"/>
      <c r="BR2271" s="451"/>
      <c r="BS2271" s="451"/>
      <c r="FH2271" s="240"/>
    </row>
    <row r="2272" spans="1:249" s="466" customFormat="1" x14ac:dyDescent="0.25">
      <c r="A2272" s="466">
        <v>110</v>
      </c>
      <c r="B2272" s="467" t="s">
        <v>2228</v>
      </c>
      <c r="C2272" s="466" t="s">
        <v>2319</v>
      </c>
      <c r="D2272" s="467">
        <v>1982</v>
      </c>
      <c r="E2272" s="239">
        <v>1976</v>
      </c>
      <c r="F2272" s="467" t="s">
        <v>1756</v>
      </c>
      <c r="G2272" s="467" t="s">
        <v>2320</v>
      </c>
      <c r="H2272" s="244" t="s">
        <v>2839</v>
      </c>
      <c r="I2272" s="466">
        <v>7.38</v>
      </c>
      <c r="J2272" s="466">
        <v>3.95</v>
      </c>
      <c r="K2272" s="467">
        <v>229.3</v>
      </c>
      <c r="L2272" s="467"/>
      <c r="N2272" s="467"/>
      <c r="Q2272" s="466">
        <v>2</v>
      </c>
      <c r="R2272" s="467">
        <v>4</v>
      </c>
      <c r="T2272" s="466" t="s">
        <v>2321</v>
      </c>
      <c r="U2272" s="466" t="s">
        <v>1392</v>
      </c>
      <c r="V2272" s="466">
        <v>10</v>
      </c>
      <c r="W2272" s="466" t="s">
        <v>1386</v>
      </c>
      <c r="X2272" s="466" t="s">
        <v>1386</v>
      </c>
      <c r="Y2272" s="466">
        <v>1.31</v>
      </c>
      <c r="Z2272" s="468">
        <v>69.3</v>
      </c>
      <c r="AA2272" s="468">
        <v>9.5</v>
      </c>
      <c r="AB2272" s="466" t="s">
        <v>241</v>
      </c>
      <c r="AD2272" s="466">
        <v>1.7</v>
      </c>
      <c r="AF2272" s="467" t="s">
        <v>2322</v>
      </c>
      <c r="AG2272" s="467" t="s">
        <v>2329</v>
      </c>
      <c r="AH2272" s="466" t="s">
        <v>578</v>
      </c>
      <c r="AI2272" s="238" t="s">
        <v>1650</v>
      </c>
      <c r="AJ2272" s="239" t="s">
        <v>133</v>
      </c>
      <c r="AN2272" s="467"/>
      <c r="AQ2272" s="467"/>
      <c r="AT2272" s="467" t="s">
        <v>161</v>
      </c>
      <c r="AU2272" s="239">
        <v>3</v>
      </c>
      <c r="AV2272" s="467"/>
      <c r="AW2272" s="239" t="s">
        <v>142</v>
      </c>
      <c r="BA2272" s="239" t="s">
        <v>2334</v>
      </c>
      <c r="BC2272" s="239">
        <v>5300</v>
      </c>
      <c r="BD2272" s="466">
        <v>7900</v>
      </c>
      <c r="BG2272" s="239" t="s">
        <v>2336</v>
      </c>
      <c r="BH2272" s="238">
        <v>1800</v>
      </c>
      <c r="BI2272" s="466">
        <v>3200</v>
      </c>
      <c r="BK2272" s="469"/>
      <c r="BM2272" s="451"/>
      <c r="BN2272" s="470"/>
      <c r="BO2272" s="239"/>
      <c r="BR2272" s="470"/>
      <c r="BS2272" s="470"/>
      <c r="DM2272" s="239"/>
      <c r="DO2272" s="239"/>
      <c r="DU2272" s="239"/>
      <c r="EY2272" s="239"/>
      <c r="FH2272" s="471"/>
      <c r="IO2272" s="239"/>
    </row>
    <row r="2273" spans="1:249" s="466" customFormat="1" x14ac:dyDescent="0.25">
      <c r="A2273" s="466">
        <v>110</v>
      </c>
      <c r="B2273" s="467" t="s">
        <v>2228</v>
      </c>
      <c r="C2273" s="466" t="s">
        <v>2319</v>
      </c>
      <c r="D2273" s="467">
        <v>1982</v>
      </c>
      <c r="E2273" s="239">
        <v>1976</v>
      </c>
      <c r="F2273" s="467" t="s">
        <v>1756</v>
      </c>
      <c r="G2273" s="467" t="s">
        <v>2320</v>
      </c>
      <c r="H2273" s="244" t="s">
        <v>2839</v>
      </c>
      <c r="I2273" s="466">
        <v>7.38</v>
      </c>
      <c r="J2273" s="466">
        <v>3.95</v>
      </c>
      <c r="K2273" s="467">
        <v>229.3</v>
      </c>
      <c r="L2273" s="467"/>
      <c r="N2273" s="467"/>
      <c r="Q2273" s="466">
        <v>2</v>
      </c>
      <c r="R2273" s="467">
        <v>4</v>
      </c>
      <c r="T2273" s="466" t="s">
        <v>2321</v>
      </c>
      <c r="U2273" s="466" t="s">
        <v>1392</v>
      </c>
      <c r="V2273" s="466">
        <v>10</v>
      </c>
      <c r="W2273" s="466" t="s">
        <v>1386</v>
      </c>
      <c r="X2273" s="466" t="s">
        <v>1386</v>
      </c>
      <c r="Y2273" s="466">
        <v>1.31</v>
      </c>
      <c r="Z2273" s="468">
        <v>69.3</v>
      </c>
      <c r="AA2273" s="468">
        <v>9.5</v>
      </c>
      <c r="AB2273" s="466" t="s">
        <v>241</v>
      </c>
      <c r="AD2273" s="466">
        <v>1.7</v>
      </c>
      <c r="AF2273" s="467" t="s">
        <v>2322</v>
      </c>
      <c r="AG2273" s="467" t="s">
        <v>2330</v>
      </c>
      <c r="AH2273" s="466" t="s">
        <v>578</v>
      </c>
      <c r="AI2273" s="238" t="s">
        <v>1650</v>
      </c>
      <c r="AJ2273" s="239" t="s">
        <v>133</v>
      </c>
      <c r="AN2273" s="467"/>
      <c r="AQ2273" s="467"/>
      <c r="AT2273" s="467" t="s">
        <v>161</v>
      </c>
      <c r="AU2273" s="239">
        <v>3</v>
      </c>
      <c r="AV2273" s="467"/>
      <c r="AW2273" s="239" t="s">
        <v>142</v>
      </c>
      <c r="BA2273" s="239" t="s">
        <v>2334</v>
      </c>
      <c r="BC2273" s="239">
        <v>5300</v>
      </c>
      <c r="BD2273" s="466">
        <v>8400</v>
      </c>
      <c r="BG2273" s="239" t="s">
        <v>2336</v>
      </c>
      <c r="BH2273" s="238">
        <v>1800</v>
      </c>
      <c r="BI2273" s="466">
        <v>3100</v>
      </c>
      <c r="BK2273" s="469"/>
      <c r="BM2273" s="451"/>
      <c r="BN2273" s="470"/>
      <c r="BO2273" s="239"/>
      <c r="BR2273" s="470"/>
      <c r="BS2273" s="470"/>
      <c r="DM2273" s="239"/>
      <c r="DO2273" s="239"/>
      <c r="DU2273" s="239"/>
      <c r="EY2273" s="239"/>
      <c r="FH2273" s="471"/>
      <c r="IO2273" s="239"/>
    </row>
    <row r="2274" spans="1:249" s="466" customFormat="1" x14ac:dyDescent="0.25">
      <c r="A2274" s="466">
        <v>110</v>
      </c>
      <c r="B2274" s="467" t="s">
        <v>2228</v>
      </c>
      <c r="C2274" s="466" t="s">
        <v>2319</v>
      </c>
      <c r="D2274" s="467">
        <v>1982</v>
      </c>
      <c r="E2274" s="239">
        <v>1976</v>
      </c>
      <c r="F2274" s="467" t="s">
        <v>1756</v>
      </c>
      <c r="G2274" s="467" t="s">
        <v>2320</v>
      </c>
      <c r="H2274" s="244" t="s">
        <v>2839</v>
      </c>
      <c r="I2274" s="466">
        <v>7.38</v>
      </c>
      <c r="J2274" s="466">
        <v>3.95</v>
      </c>
      <c r="K2274" s="467">
        <v>229.3</v>
      </c>
      <c r="L2274" s="467"/>
      <c r="N2274" s="467"/>
      <c r="Q2274" s="466">
        <v>2</v>
      </c>
      <c r="R2274" s="467">
        <v>4</v>
      </c>
      <c r="T2274" s="466" t="s">
        <v>2321</v>
      </c>
      <c r="U2274" s="466" t="s">
        <v>1392</v>
      </c>
      <c r="V2274" s="466">
        <v>10</v>
      </c>
      <c r="W2274" s="466" t="s">
        <v>1386</v>
      </c>
      <c r="X2274" s="466" t="s">
        <v>1386</v>
      </c>
      <c r="Y2274" s="466">
        <v>1.31</v>
      </c>
      <c r="Z2274" s="468">
        <v>69.3</v>
      </c>
      <c r="AA2274" s="468">
        <v>9.5</v>
      </c>
      <c r="AB2274" s="466" t="s">
        <v>241</v>
      </c>
      <c r="AD2274" s="466">
        <v>1.7</v>
      </c>
      <c r="AF2274" s="467" t="s">
        <v>2322</v>
      </c>
      <c r="AG2274" s="467" t="s">
        <v>2331</v>
      </c>
      <c r="AH2274" s="466" t="s">
        <v>578</v>
      </c>
      <c r="AI2274" s="238" t="s">
        <v>1650</v>
      </c>
      <c r="AJ2274" s="239" t="s">
        <v>133</v>
      </c>
      <c r="AN2274" s="467"/>
      <c r="AQ2274" s="467"/>
      <c r="AT2274" s="467" t="s">
        <v>161</v>
      </c>
      <c r="AU2274" s="239">
        <v>3</v>
      </c>
      <c r="AV2274" s="467"/>
      <c r="AW2274" s="239" t="s">
        <v>142</v>
      </c>
      <c r="BA2274" s="239" t="s">
        <v>2334</v>
      </c>
      <c r="BC2274" s="239">
        <v>5300</v>
      </c>
      <c r="BD2274" s="466">
        <v>3400</v>
      </c>
      <c r="BG2274" s="239" t="s">
        <v>2336</v>
      </c>
      <c r="BH2274" s="238">
        <v>1800</v>
      </c>
      <c r="BI2274" s="466">
        <v>2100</v>
      </c>
      <c r="BK2274" s="469"/>
      <c r="BM2274" s="451"/>
      <c r="BN2274" s="470"/>
      <c r="BO2274" s="239"/>
      <c r="BR2274" s="470"/>
      <c r="BS2274" s="470"/>
      <c r="DM2274" s="239"/>
      <c r="DO2274" s="239"/>
      <c r="DU2274" s="239"/>
      <c r="EY2274" s="239"/>
      <c r="FH2274" s="471"/>
      <c r="IO2274" s="239"/>
    </row>
    <row r="2275" spans="1:249" s="466" customFormat="1" x14ac:dyDescent="0.25">
      <c r="A2275" s="466">
        <v>110</v>
      </c>
      <c r="B2275" s="467" t="s">
        <v>2228</v>
      </c>
      <c r="C2275" s="466" t="s">
        <v>2319</v>
      </c>
      <c r="D2275" s="467">
        <v>1982</v>
      </c>
      <c r="E2275" s="239">
        <v>1976</v>
      </c>
      <c r="F2275" s="467" t="s">
        <v>1756</v>
      </c>
      <c r="G2275" s="467" t="s">
        <v>2320</v>
      </c>
      <c r="H2275" s="244" t="s">
        <v>2839</v>
      </c>
      <c r="I2275" s="466">
        <v>7.38</v>
      </c>
      <c r="J2275" s="466">
        <v>3.95</v>
      </c>
      <c r="K2275" s="467">
        <v>229.3</v>
      </c>
      <c r="L2275" s="467"/>
      <c r="N2275" s="467"/>
      <c r="Q2275" s="466">
        <v>2</v>
      </c>
      <c r="R2275" s="467">
        <v>4</v>
      </c>
      <c r="T2275" s="466" t="s">
        <v>2321</v>
      </c>
      <c r="U2275" s="466" t="s">
        <v>1392</v>
      </c>
      <c r="V2275" s="466">
        <v>10</v>
      </c>
      <c r="W2275" s="466" t="s">
        <v>1386</v>
      </c>
      <c r="X2275" s="466" t="s">
        <v>1386</v>
      </c>
      <c r="Y2275" s="466">
        <v>1.31</v>
      </c>
      <c r="Z2275" s="468">
        <v>69.3</v>
      </c>
      <c r="AA2275" s="468">
        <v>9.5</v>
      </c>
      <c r="AB2275" s="466" t="s">
        <v>241</v>
      </c>
      <c r="AD2275" s="466">
        <v>1.7</v>
      </c>
      <c r="AF2275" s="467" t="s">
        <v>2322</v>
      </c>
      <c r="AG2275" s="467" t="s">
        <v>2332</v>
      </c>
      <c r="AH2275" s="466" t="s">
        <v>578</v>
      </c>
      <c r="AI2275" s="238" t="s">
        <v>1650</v>
      </c>
      <c r="AJ2275" s="239" t="s">
        <v>133</v>
      </c>
      <c r="AN2275" s="467"/>
      <c r="AQ2275" s="467"/>
      <c r="AT2275" s="467" t="s">
        <v>161</v>
      </c>
      <c r="AU2275" s="239">
        <v>3</v>
      </c>
      <c r="AV2275" s="467"/>
      <c r="AW2275" s="239" t="s">
        <v>142</v>
      </c>
      <c r="BA2275" s="239" t="s">
        <v>2334</v>
      </c>
      <c r="BC2275" s="239">
        <v>5300</v>
      </c>
      <c r="BD2275" s="466">
        <v>7800</v>
      </c>
      <c r="BG2275" s="239" t="s">
        <v>2336</v>
      </c>
      <c r="BH2275" s="238">
        <v>1800</v>
      </c>
      <c r="BI2275" s="466">
        <v>3600</v>
      </c>
      <c r="BK2275" s="469"/>
      <c r="BM2275" s="451"/>
      <c r="BN2275" s="470"/>
      <c r="BO2275" s="239"/>
      <c r="BR2275" s="470"/>
      <c r="BS2275" s="470"/>
      <c r="DM2275" s="239"/>
      <c r="DO2275" s="239"/>
      <c r="DU2275" s="239"/>
      <c r="EY2275" s="239"/>
      <c r="FH2275" s="471"/>
      <c r="IO2275" s="239"/>
    </row>
    <row r="2276" spans="1:249" s="466" customFormat="1" x14ac:dyDescent="0.25">
      <c r="A2276" s="466">
        <v>110</v>
      </c>
      <c r="B2276" s="467" t="s">
        <v>2228</v>
      </c>
      <c r="C2276" s="466" t="s">
        <v>2319</v>
      </c>
      <c r="D2276" s="467">
        <v>1982</v>
      </c>
      <c r="E2276" s="239">
        <v>1976</v>
      </c>
      <c r="F2276" s="467" t="s">
        <v>1756</v>
      </c>
      <c r="G2276" s="467" t="s">
        <v>2320</v>
      </c>
      <c r="H2276" s="244" t="s">
        <v>2839</v>
      </c>
      <c r="I2276" s="466">
        <v>7.38</v>
      </c>
      <c r="J2276" s="466">
        <v>3.95</v>
      </c>
      <c r="K2276" s="467">
        <v>229.3</v>
      </c>
      <c r="L2276" s="467"/>
      <c r="N2276" s="467"/>
      <c r="Q2276" s="466">
        <v>2</v>
      </c>
      <c r="R2276" s="467">
        <v>4</v>
      </c>
      <c r="T2276" s="466" t="s">
        <v>2321</v>
      </c>
      <c r="U2276" s="466" t="s">
        <v>1392</v>
      </c>
      <c r="V2276" s="466">
        <v>10</v>
      </c>
      <c r="W2276" s="466" t="s">
        <v>1386</v>
      </c>
      <c r="X2276" s="466" t="s">
        <v>1386</v>
      </c>
      <c r="Y2276" s="466">
        <v>1.31</v>
      </c>
      <c r="Z2276" s="468">
        <v>69.3</v>
      </c>
      <c r="AA2276" s="468">
        <v>9.5</v>
      </c>
      <c r="AB2276" s="466" t="s">
        <v>241</v>
      </c>
      <c r="AD2276" s="466">
        <v>1.7</v>
      </c>
      <c r="AF2276" s="467" t="s">
        <v>2322</v>
      </c>
      <c r="AG2276" s="467" t="s">
        <v>2333</v>
      </c>
      <c r="AH2276" s="466" t="s">
        <v>578</v>
      </c>
      <c r="AI2276" s="238" t="s">
        <v>1650</v>
      </c>
      <c r="AJ2276" s="239" t="s">
        <v>133</v>
      </c>
      <c r="AN2276" s="467"/>
      <c r="AQ2276" s="467"/>
      <c r="AT2276" s="467" t="s">
        <v>161</v>
      </c>
      <c r="AU2276" s="239">
        <v>3</v>
      </c>
      <c r="AV2276" s="467"/>
      <c r="AW2276" s="239" t="s">
        <v>142</v>
      </c>
      <c r="BA2276" s="239" t="s">
        <v>2334</v>
      </c>
      <c r="BC2276" s="239">
        <v>5300</v>
      </c>
      <c r="BD2276" s="466">
        <v>8700</v>
      </c>
      <c r="BG2276" s="239" t="s">
        <v>2336</v>
      </c>
      <c r="BH2276" s="238">
        <v>1800</v>
      </c>
      <c r="BI2276" s="466">
        <v>2200</v>
      </c>
      <c r="BK2276" s="469"/>
      <c r="BM2276" s="451"/>
      <c r="BN2276" s="470"/>
      <c r="BO2276" s="239"/>
      <c r="BR2276" s="470"/>
      <c r="BS2276" s="470"/>
      <c r="DM2276" s="239"/>
      <c r="DO2276" s="239"/>
      <c r="DU2276" s="239"/>
      <c r="EY2276" s="239"/>
      <c r="FH2276" s="471"/>
      <c r="IO2276" s="239"/>
    </row>
    <row r="2277" spans="1:249" s="245" customFormat="1" x14ac:dyDescent="0.25">
      <c r="A2277" s="245">
        <v>110</v>
      </c>
      <c r="B2277" s="244" t="s">
        <v>2228</v>
      </c>
      <c r="C2277" s="245" t="s">
        <v>2319</v>
      </c>
      <c r="D2277" s="244">
        <v>1982</v>
      </c>
      <c r="E2277" s="245">
        <v>1977</v>
      </c>
      <c r="F2277" s="244" t="s">
        <v>1756</v>
      </c>
      <c r="G2277" s="244" t="s">
        <v>2320</v>
      </c>
      <c r="H2277" s="244" t="s">
        <v>2839</v>
      </c>
      <c r="I2277" s="245">
        <v>7.38</v>
      </c>
      <c r="J2277" s="245">
        <v>3.95</v>
      </c>
      <c r="K2277" s="244">
        <v>229.3</v>
      </c>
      <c r="L2277" s="244"/>
      <c r="N2277" s="244"/>
      <c r="Q2277" s="245">
        <v>3</v>
      </c>
      <c r="R2277" s="244">
        <v>4</v>
      </c>
      <c r="T2277" s="245" t="s">
        <v>2321</v>
      </c>
      <c r="U2277" s="245" t="s">
        <v>1392</v>
      </c>
      <c r="V2277" s="245">
        <v>10</v>
      </c>
      <c r="W2277" s="245" t="s">
        <v>1386</v>
      </c>
      <c r="X2277" s="245" t="s">
        <v>1386</v>
      </c>
      <c r="Y2277" s="245">
        <v>1.31</v>
      </c>
      <c r="Z2277" s="376">
        <v>69.3</v>
      </c>
      <c r="AA2277" s="376">
        <v>9.5</v>
      </c>
      <c r="AB2277" s="245" t="s">
        <v>241</v>
      </c>
      <c r="AD2277" s="245">
        <v>1.7</v>
      </c>
      <c r="AF2277" s="244" t="s">
        <v>2322</v>
      </c>
      <c r="AG2277" s="244" t="s">
        <v>2326</v>
      </c>
      <c r="AH2277" s="245" t="s">
        <v>1585</v>
      </c>
      <c r="AI2277" s="244" t="s">
        <v>1650</v>
      </c>
      <c r="AJ2277" s="245" t="s">
        <v>133</v>
      </c>
      <c r="AN2277" s="244"/>
      <c r="AQ2277" s="244"/>
      <c r="AT2277" s="244" t="s">
        <v>161</v>
      </c>
      <c r="AU2277" s="245">
        <v>3</v>
      </c>
      <c r="AV2277" s="244"/>
      <c r="AW2277" s="245" t="s">
        <v>142</v>
      </c>
      <c r="BA2277" s="245" t="s">
        <v>2334</v>
      </c>
      <c r="BC2277" s="245">
        <v>1300</v>
      </c>
      <c r="BD2277" s="245">
        <v>1000</v>
      </c>
      <c r="BG2277" s="245" t="s">
        <v>2336</v>
      </c>
      <c r="BH2277" s="244">
        <v>1300</v>
      </c>
      <c r="BI2277" s="245">
        <v>2000</v>
      </c>
      <c r="BK2277" s="248"/>
      <c r="BM2277" s="437"/>
      <c r="BN2277" s="437"/>
      <c r="BR2277" s="437"/>
      <c r="BS2277" s="437"/>
      <c r="FH2277" s="246"/>
    </row>
    <row r="2278" spans="1:249" s="245" customFormat="1" x14ac:dyDescent="0.25">
      <c r="A2278" s="245">
        <v>110</v>
      </c>
      <c r="B2278" s="244" t="s">
        <v>2228</v>
      </c>
      <c r="C2278" s="245" t="s">
        <v>2319</v>
      </c>
      <c r="D2278" s="244">
        <v>1982</v>
      </c>
      <c r="E2278" s="245">
        <v>1977</v>
      </c>
      <c r="F2278" s="244" t="s">
        <v>1756</v>
      </c>
      <c r="G2278" s="244" t="s">
        <v>2320</v>
      </c>
      <c r="H2278" s="244" t="s">
        <v>2839</v>
      </c>
      <c r="I2278" s="245">
        <v>7.38</v>
      </c>
      <c r="J2278" s="245">
        <v>3.95</v>
      </c>
      <c r="K2278" s="244">
        <v>229.3</v>
      </c>
      <c r="L2278" s="244"/>
      <c r="N2278" s="244"/>
      <c r="Q2278" s="245">
        <v>3</v>
      </c>
      <c r="R2278" s="244">
        <v>4</v>
      </c>
      <c r="T2278" s="245" t="s">
        <v>2321</v>
      </c>
      <c r="U2278" s="245" t="s">
        <v>1392</v>
      </c>
      <c r="V2278" s="245">
        <v>10</v>
      </c>
      <c r="W2278" s="245" t="s">
        <v>1386</v>
      </c>
      <c r="X2278" s="245" t="s">
        <v>1386</v>
      </c>
      <c r="Y2278" s="245">
        <v>1.31</v>
      </c>
      <c r="Z2278" s="376">
        <v>69.3</v>
      </c>
      <c r="AA2278" s="376">
        <v>9.5</v>
      </c>
      <c r="AB2278" s="245" t="s">
        <v>241</v>
      </c>
      <c r="AD2278" s="245">
        <v>1.7</v>
      </c>
      <c r="AF2278" s="244" t="s">
        <v>2322</v>
      </c>
      <c r="AG2278" s="244" t="s">
        <v>2327</v>
      </c>
      <c r="AH2278" s="245" t="s">
        <v>1585</v>
      </c>
      <c r="AI2278" s="244" t="s">
        <v>1650</v>
      </c>
      <c r="AJ2278" s="245" t="s">
        <v>133</v>
      </c>
      <c r="AN2278" s="244"/>
      <c r="AQ2278" s="244"/>
      <c r="AT2278" s="244" t="s">
        <v>161</v>
      </c>
      <c r="AU2278" s="245">
        <v>3</v>
      </c>
      <c r="AV2278" s="244"/>
      <c r="AW2278" s="245" t="s">
        <v>142</v>
      </c>
      <c r="BA2278" s="245" t="s">
        <v>2334</v>
      </c>
      <c r="BC2278" s="245">
        <v>1300</v>
      </c>
      <c r="BD2278" s="245">
        <v>800</v>
      </c>
      <c r="BG2278" s="245" t="s">
        <v>2336</v>
      </c>
      <c r="BH2278" s="244">
        <v>1300</v>
      </c>
      <c r="BI2278" s="245">
        <v>200</v>
      </c>
      <c r="BK2278" s="248"/>
      <c r="BM2278" s="437"/>
      <c r="BN2278" s="437"/>
      <c r="BR2278" s="437"/>
      <c r="BS2278" s="437"/>
      <c r="FH2278" s="246"/>
    </row>
    <row r="2279" spans="1:249" s="245" customFormat="1" x14ac:dyDescent="0.25">
      <c r="A2279" s="245">
        <v>110</v>
      </c>
      <c r="B2279" s="244" t="s">
        <v>2228</v>
      </c>
      <c r="C2279" s="245" t="s">
        <v>2319</v>
      </c>
      <c r="D2279" s="244">
        <v>1982</v>
      </c>
      <c r="E2279" s="245">
        <v>1977</v>
      </c>
      <c r="F2279" s="244" t="s">
        <v>1756</v>
      </c>
      <c r="G2279" s="244" t="s">
        <v>2320</v>
      </c>
      <c r="H2279" s="244" t="s">
        <v>2839</v>
      </c>
      <c r="I2279" s="245">
        <v>7.38</v>
      </c>
      <c r="J2279" s="245">
        <v>3.95</v>
      </c>
      <c r="K2279" s="244">
        <v>229.3</v>
      </c>
      <c r="L2279" s="244"/>
      <c r="N2279" s="244"/>
      <c r="Q2279" s="245">
        <v>3</v>
      </c>
      <c r="R2279" s="244">
        <v>4</v>
      </c>
      <c r="T2279" s="245" t="s">
        <v>2321</v>
      </c>
      <c r="U2279" s="245" t="s">
        <v>1392</v>
      </c>
      <c r="V2279" s="245">
        <v>10</v>
      </c>
      <c r="W2279" s="245" t="s">
        <v>1386</v>
      </c>
      <c r="X2279" s="245" t="s">
        <v>1386</v>
      </c>
      <c r="Y2279" s="245">
        <v>1.31</v>
      </c>
      <c r="Z2279" s="376">
        <v>69.3</v>
      </c>
      <c r="AA2279" s="376">
        <v>9.5</v>
      </c>
      <c r="AB2279" s="245" t="s">
        <v>241</v>
      </c>
      <c r="AD2279" s="245">
        <v>1.7</v>
      </c>
      <c r="AF2279" s="244" t="s">
        <v>2322</v>
      </c>
      <c r="AG2279" s="244" t="s">
        <v>2328</v>
      </c>
      <c r="AH2279" s="245" t="s">
        <v>1585</v>
      </c>
      <c r="AI2279" s="244" t="s">
        <v>1650</v>
      </c>
      <c r="AJ2279" s="245" t="s">
        <v>133</v>
      </c>
      <c r="AN2279" s="244"/>
      <c r="AQ2279" s="244"/>
      <c r="AT2279" s="244" t="s">
        <v>161</v>
      </c>
      <c r="AU2279" s="245">
        <v>3</v>
      </c>
      <c r="AV2279" s="244"/>
      <c r="AW2279" s="245" t="s">
        <v>142</v>
      </c>
      <c r="BA2279" s="245" t="s">
        <v>2334</v>
      </c>
      <c r="BG2279" s="245" t="s">
        <v>2336</v>
      </c>
      <c r="BH2279" s="244"/>
      <c r="BK2279" s="248"/>
      <c r="BM2279" s="437"/>
      <c r="BN2279" s="437"/>
      <c r="BR2279" s="437"/>
      <c r="BS2279" s="437"/>
      <c r="FH2279" s="246"/>
    </row>
    <row r="2280" spans="1:249" s="472" customFormat="1" x14ac:dyDescent="0.25">
      <c r="A2280" s="472">
        <v>110</v>
      </c>
      <c r="B2280" s="473" t="s">
        <v>2228</v>
      </c>
      <c r="C2280" s="472" t="s">
        <v>2319</v>
      </c>
      <c r="D2280" s="473">
        <v>1982</v>
      </c>
      <c r="E2280" s="245">
        <v>1977</v>
      </c>
      <c r="F2280" s="473" t="s">
        <v>1756</v>
      </c>
      <c r="G2280" s="473" t="s">
        <v>2320</v>
      </c>
      <c r="H2280" s="244" t="s">
        <v>2839</v>
      </c>
      <c r="I2280" s="472">
        <v>7.38</v>
      </c>
      <c r="J2280" s="472">
        <v>3.95</v>
      </c>
      <c r="K2280" s="473">
        <v>229.3</v>
      </c>
      <c r="L2280" s="473"/>
      <c r="N2280" s="473"/>
      <c r="Q2280" s="472">
        <v>3</v>
      </c>
      <c r="R2280" s="473">
        <v>4</v>
      </c>
      <c r="T2280" s="472" t="s">
        <v>2321</v>
      </c>
      <c r="U2280" s="472" t="s">
        <v>1392</v>
      </c>
      <c r="V2280" s="472">
        <v>10</v>
      </c>
      <c r="W2280" s="472" t="s">
        <v>1386</v>
      </c>
      <c r="X2280" s="472" t="s">
        <v>1386</v>
      </c>
      <c r="Y2280" s="472">
        <v>1.31</v>
      </c>
      <c r="Z2280" s="474">
        <v>69.3</v>
      </c>
      <c r="AA2280" s="474">
        <v>9.5</v>
      </c>
      <c r="AB2280" s="472" t="s">
        <v>241</v>
      </c>
      <c r="AD2280" s="472">
        <v>1.7</v>
      </c>
      <c r="AF2280" s="473" t="s">
        <v>2322</v>
      </c>
      <c r="AG2280" s="473" t="s">
        <v>2329</v>
      </c>
      <c r="AH2280" s="472" t="s">
        <v>578</v>
      </c>
      <c r="AI2280" s="244" t="s">
        <v>1650</v>
      </c>
      <c r="AJ2280" s="245" t="s">
        <v>133</v>
      </c>
      <c r="AN2280" s="473"/>
      <c r="AQ2280" s="473"/>
      <c r="AT2280" s="473" t="s">
        <v>161</v>
      </c>
      <c r="AU2280" s="245">
        <v>3</v>
      </c>
      <c r="AV2280" s="473"/>
      <c r="AW2280" s="245" t="s">
        <v>142</v>
      </c>
      <c r="BA2280" s="245" t="s">
        <v>2334</v>
      </c>
      <c r="BC2280" s="245">
        <v>1300</v>
      </c>
      <c r="BD2280" s="472">
        <v>6000</v>
      </c>
      <c r="BG2280" s="472" t="s">
        <v>2336</v>
      </c>
      <c r="BH2280" s="244">
        <v>1300</v>
      </c>
      <c r="BI2280" s="472">
        <v>1900</v>
      </c>
      <c r="BK2280" s="475"/>
      <c r="BM2280" s="437"/>
      <c r="BN2280" s="476"/>
      <c r="BO2280" s="245"/>
      <c r="BR2280" s="476"/>
      <c r="BS2280" s="476"/>
      <c r="DM2280" s="245"/>
      <c r="FH2280" s="477"/>
      <c r="IO2280" s="245"/>
    </row>
    <row r="2281" spans="1:249" s="472" customFormat="1" x14ac:dyDescent="0.25">
      <c r="A2281" s="472">
        <v>110</v>
      </c>
      <c r="B2281" s="473" t="s">
        <v>2228</v>
      </c>
      <c r="C2281" s="472" t="s">
        <v>2319</v>
      </c>
      <c r="D2281" s="473">
        <v>1982</v>
      </c>
      <c r="E2281" s="245">
        <v>1977</v>
      </c>
      <c r="F2281" s="473" t="s">
        <v>1756</v>
      </c>
      <c r="G2281" s="473" t="s">
        <v>2320</v>
      </c>
      <c r="H2281" s="244" t="s">
        <v>2839</v>
      </c>
      <c r="I2281" s="472">
        <v>7.38</v>
      </c>
      <c r="J2281" s="472">
        <v>3.95</v>
      </c>
      <c r="K2281" s="473">
        <v>229.3</v>
      </c>
      <c r="L2281" s="473"/>
      <c r="N2281" s="473"/>
      <c r="Q2281" s="472">
        <v>3</v>
      </c>
      <c r="R2281" s="473">
        <v>4</v>
      </c>
      <c r="T2281" s="472" t="s">
        <v>2321</v>
      </c>
      <c r="U2281" s="472" t="s">
        <v>1392</v>
      </c>
      <c r="V2281" s="472">
        <v>10</v>
      </c>
      <c r="W2281" s="472" t="s">
        <v>1386</v>
      </c>
      <c r="X2281" s="472" t="s">
        <v>1386</v>
      </c>
      <c r="Y2281" s="472">
        <v>1.31</v>
      </c>
      <c r="Z2281" s="474">
        <v>69.3</v>
      </c>
      <c r="AA2281" s="474">
        <v>9.5</v>
      </c>
      <c r="AB2281" s="472" t="s">
        <v>241</v>
      </c>
      <c r="AD2281" s="472">
        <v>1.7</v>
      </c>
      <c r="AF2281" s="473" t="s">
        <v>2322</v>
      </c>
      <c r="AG2281" s="473" t="s">
        <v>2330</v>
      </c>
      <c r="AH2281" s="472" t="s">
        <v>578</v>
      </c>
      <c r="AI2281" s="244" t="s">
        <v>1650</v>
      </c>
      <c r="AJ2281" s="245" t="s">
        <v>133</v>
      </c>
      <c r="AN2281" s="473"/>
      <c r="AQ2281" s="473"/>
      <c r="AT2281" s="473" t="s">
        <v>161</v>
      </c>
      <c r="AU2281" s="245">
        <v>3</v>
      </c>
      <c r="AV2281" s="473"/>
      <c r="AW2281" s="245" t="s">
        <v>142</v>
      </c>
      <c r="BA2281" s="245" t="s">
        <v>2334</v>
      </c>
      <c r="BC2281" s="245">
        <v>1300</v>
      </c>
      <c r="BD2281" s="472">
        <v>6900</v>
      </c>
      <c r="BG2281" s="472" t="s">
        <v>2336</v>
      </c>
      <c r="BH2281" s="244">
        <v>1300</v>
      </c>
      <c r="BI2281" s="472">
        <v>2800</v>
      </c>
      <c r="BK2281" s="475"/>
      <c r="BM2281" s="437"/>
      <c r="BN2281" s="476"/>
      <c r="BO2281" s="245"/>
      <c r="BR2281" s="476"/>
      <c r="BS2281" s="476"/>
      <c r="DM2281" s="245"/>
      <c r="FH2281" s="477"/>
      <c r="IO2281" s="245"/>
    </row>
    <row r="2282" spans="1:249" s="472" customFormat="1" x14ac:dyDescent="0.25">
      <c r="A2282" s="472">
        <v>110</v>
      </c>
      <c r="B2282" s="473" t="s">
        <v>2228</v>
      </c>
      <c r="C2282" s="472" t="s">
        <v>2319</v>
      </c>
      <c r="D2282" s="473">
        <v>1982</v>
      </c>
      <c r="E2282" s="245">
        <v>1977</v>
      </c>
      <c r="F2282" s="473" t="s">
        <v>1756</v>
      </c>
      <c r="G2282" s="473" t="s">
        <v>2320</v>
      </c>
      <c r="H2282" s="244" t="s">
        <v>2839</v>
      </c>
      <c r="I2282" s="472">
        <v>7.38</v>
      </c>
      <c r="J2282" s="472">
        <v>3.95</v>
      </c>
      <c r="K2282" s="473">
        <v>229.3</v>
      </c>
      <c r="L2282" s="473"/>
      <c r="N2282" s="473"/>
      <c r="Q2282" s="472">
        <v>3</v>
      </c>
      <c r="R2282" s="473">
        <v>4</v>
      </c>
      <c r="T2282" s="472" t="s">
        <v>2321</v>
      </c>
      <c r="U2282" s="472" t="s">
        <v>1392</v>
      </c>
      <c r="V2282" s="472">
        <v>10</v>
      </c>
      <c r="W2282" s="472" t="s">
        <v>1386</v>
      </c>
      <c r="X2282" s="472" t="s">
        <v>1386</v>
      </c>
      <c r="Y2282" s="472">
        <v>1.31</v>
      </c>
      <c r="Z2282" s="474">
        <v>69.3</v>
      </c>
      <c r="AA2282" s="474">
        <v>9.5</v>
      </c>
      <c r="AB2282" s="472" t="s">
        <v>241</v>
      </c>
      <c r="AD2282" s="472">
        <v>1.7</v>
      </c>
      <c r="AF2282" s="473" t="s">
        <v>2322</v>
      </c>
      <c r="AG2282" s="473" t="s">
        <v>2331</v>
      </c>
      <c r="AH2282" s="472" t="s">
        <v>578</v>
      </c>
      <c r="AI2282" s="244" t="s">
        <v>1650</v>
      </c>
      <c r="AJ2282" s="245" t="s">
        <v>133</v>
      </c>
      <c r="AN2282" s="473"/>
      <c r="AQ2282" s="473"/>
      <c r="AT2282" s="473" t="s">
        <v>161</v>
      </c>
      <c r="AU2282" s="245">
        <v>3</v>
      </c>
      <c r="AV2282" s="473"/>
      <c r="AW2282" s="245" t="s">
        <v>142</v>
      </c>
      <c r="BA2282" s="245" t="s">
        <v>2334</v>
      </c>
      <c r="BC2282" s="245">
        <v>1300</v>
      </c>
      <c r="BD2282" s="472">
        <v>2300</v>
      </c>
      <c r="BG2282" s="472" t="s">
        <v>2336</v>
      </c>
      <c r="BH2282" s="244">
        <v>1300</v>
      </c>
      <c r="BI2282" s="472">
        <v>900</v>
      </c>
      <c r="BK2282" s="475"/>
      <c r="BM2282" s="437"/>
      <c r="BN2282" s="476"/>
      <c r="BO2282" s="245"/>
      <c r="BR2282" s="476"/>
      <c r="BS2282" s="476"/>
      <c r="DM2282" s="245"/>
      <c r="FH2282" s="477"/>
      <c r="IO2282" s="245"/>
    </row>
    <row r="2283" spans="1:249" s="472" customFormat="1" x14ac:dyDescent="0.25">
      <c r="A2283" s="472">
        <v>110</v>
      </c>
      <c r="B2283" s="473" t="s">
        <v>2228</v>
      </c>
      <c r="C2283" s="472" t="s">
        <v>2319</v>
      </c>
      <c r="D2283" s="473">
        <v>1982</v>
      </c>
      <c r="E2283" s="245">
        <v>1977</v>
      </c>
      <c r="F2283" s="473" t="s">
        <v>1756</v>
      </c>
      <c r="G2283" s="473" t="s">
        <v>2320</v>
      </c>
      <c r="H2283" s="244" t="s">
        <v>2839</v>
      </c>
      <c r="I2283" s="472">
        <v>7.38</v>
      </c>
      <c r="J2283" s="472">
        <v>3.95</v>
      </c>
      <c r="K2283" s="473">
        <v>229.3</v>
      </c>
      <c r="L2283" s="473"/>
      <c r="N2283" s="473"/>
      <c r="Q2283" s="472">
        <v>3</v>
      </c>
      <c r="R2283" s="473">
        <v>4</v>
      </c>
      <c r="T2283" s="472" t="s">
        <v>2321</v>
      </c>
      <c r="U2283" s="472" t="s">
        <v>1392</v>
      </c>
      <c r="V2283" s="472">
        <v>10</v>
      </c>
      <c r="W2283" s="472" t="s">
        <v>1386</v>
      </c>
      <c r="X2283" s="472" t="s">
        <v>1386</v>
      </c>
      <c r="Y2283" s="472">
        <v>1.31</v>
      </c>
      <c r="Z2283" s="474">
        <v>69.3</v>
      </c>
      <c r="AA2283" s="474">
        <v>9.5</v>
      </c>
      <c r="AB2283" s="472" t="s">
        <v>241</v>
      </c>
      <c r="AD2283" s="472">
        <v>1.7</v>
      </c>
      <c r="AF2283" s="473" t="s">
        <v>2322</v>
      </c>
      <c r="AG2283" s="473" t="s">
        <v>2332</v>
      </c>
      <c r="AH2283" s="472" t="s">
        <v>578</v>
      </c>
      <c r="AI2283" s="244" t="s">
        <v>1650</v>
      </c>
      <c r="AJ2283" s="245" t="s">
        <v>133</v>
      </c>
      <c r="AN2283" s="473"/>
      <c r="AQ2283" s="473"/>
      <c r="AT2283" s="473" t="s">
        <v>161</v>
      </c>
      <c r="AU2283" s="245">
        <v>3</v>
      </c>
      <c r="AV2283" s="473"/>
      <c r="AW2283" s="245" t="s">
        <v>142</v>
      </c>
      <c r="BA2283" s="245" t="s">
        <v>2334</v>
      </c>
      <c r="BC2283" s="245">
        <v>1300</v>
      </c>
      <c r="BD2283" s="472">
        <v>5000</v>
      </c>
      <c r="BG2283" s="472" t="s">
        <v>2336</v>
      </c>
      <c r="BH2283" s="244">
        <v>1300</v>
      </c>
      <c r="BI2283" s="472">
        <v>2200</v>
      </c>
      <c r="BK2283" s="475"/>
      <c r="BM2283" s="437"/>
      <c r="BN2283" s="476"/>
      <c r="BO2283" s="245"/>
      <c r="BR2283" s="476"/>
      <c r="BS2283" s="476"/>
      <c r="DM2283" s="245"/>
      <c r="FH2283" s="477"/>
      <c r="IO2283" s="245"/>
    </row>
    <row r="2284" spans="1:249" s="472" customFormat="1" x14ac:dyDescent="0.25">
      <c r="A2284" s="472">
        <v>110</v>
      </c>
      <c r="B2284" s="473" t="s">
        <v>2228</v>
      </c>
      <c r="C2284" s="472" t="s">
        <v>2319</v>
      </c>
      <c r="D2284" s="473">
        <v>1982</v>
      </c>
      <c r="E2284" s="245">
        <v>1977</v>
      </c>
      <c r="F2284" s="473" t="s">
        <v>1756</v>
      </c>
      <c r="G2284" s="473" t="s">
        <v>2320</v>
      </c>
      <c r="H2284" s="244" t="s">
        <v>2839</v>
      </c>
      <c r="I2284" s="472">
        <v>7.38</v>
      </c>
      <c r="J2284" s="472">
        <v>3.95</v>
      </c>
      <c r="K2284" s="473">
        <v>229.3</v>
      </c>
      <c r="L2284" s="473"/>
      <c r="N2284" s="473"/>
      <c r="Q2284" s="472">
        <v>3</v>
      </c>
      <c r="R2284" s="473">
        <v>4</v>
      </c>
      <c r="T2284" s="472" t="s">
        <v>2321</v>
      </c>
      <c r="U2284" s="472" t="s">
        <v>1392</v>
      </c>
      <c r="V2284" s="472">
        <v>10</v>
      </c>
      <c r="W2284" s="472" t="s">
        <v>1386</v>
      </c>
      <c r="X2284" s="472" t="s">
        <v>1386</v>
      </c>
      <c r="Y2284" s="472">
        <v>1.31</v>
      </c>
      <c r="Z2284" s="474">
        <v>69.3</v>
      </c>
      <c r="AA2284" s="474">
        <v>9.5</v>
      </c>
      <c r="AB2284" s="472" t="s">
        <v>241</v>
      </c>
      <c r="AD2284" s="472">
        <v>1.7</v>
      </c>
      <c r="AF2284" s="473" t="s">
        <v>2322</v>
      </c>
      <c r="AG2284" s="473" t="s">
        <v>2333</v>
      </c>
      <c r="AH2284" s="472" t="s">
        <v>578</v>
      </c>
      <c r="AI2284" s="244" t="s">
        <v>1650</v>
      </c>
      <c r="AJ2284" s="245" t="s">
        <v>133</v>
      </c>
      <c r="AN2284" s="473"/>
      <c r="AQ2284" s="473"/>
      <c r="AT2284" s="473" t="s">
        <v>161</v>
      </c>
      <c r="AU2284" s="245">
        <v>3</v>
      </c>
      <c r="AV2284" s="473"/>
      <c r="AW2284" s="245" t="s">
        <v>142</v>
      </c>
      <c r="BA2284" s="245" t="s">
        <v>2334</v>
      </c>
      <c r="BC2284" s="245">
        <v>1300</v>
      </c>
      <c r="BD2284" s="472">
        <v>3600</v>
      </c>
      <c r="BG2284" s="472" t="s">
        <v>2336</v>
      </c>
      <c r="BH2284" s="244">
        <v>1300</v>
      </c>
      <c r="BI2284" s="472">
        <v>1800</v>
      </c>
      <c r="BK2284" s="475"/>
      <c r="BM2284" s="437"/>
      <c r="BN2284" s="476"/>
      <c r="BO2284" s="245"/>
      <c r="BR2284" s="476"/>
      <c r="BS2284" s="476"/>
      <c r="DM2284" s="245"/>
      <c r="FH2284" s="477"/>
      <c r="IO2284" s="245"/>
    </row>
    <row r="2285" spans="1:249" s="239" customFormat="1" x14ac:dyDescent="0.25">
      <c r="A2285" s="239">
        <v>110</v>
      </c>
      <c r="B2285" s="238" t="s">
        <v>2228</v>
      </c>
      <c r="C2285" s="239" t="s">
        <v>2319</v>
      </c>
      <c r="D2285" s="238">
        <v>1982</v>
      </c>
      <c r="E2285" s="239">
        <v>1977</v>
      </c>
      <c r="F2285" s="238" t="s">
        <v>1756</v>
      </c>
      <c r="G2285" s="238" t="s">
        <v>2320</v>
      </c>
      <c r="H2285" s="244" t="s">
        <v>2839</v>
      </c>
      <c r="I2285" s="239">
        <v>7.38</v>
      </c>
      <c r="J2285" s="239">
        <v>3.95</v>
      </c>
      <c r="K2285" s="238">
        <v>229.3</v>
      </c>
      <c r="L2285" s="238"/>
      <c r="N2285" s="238"/>
      <c r="Q2285" s="239">
        <v>3</v>
      </c>
      <c r="R2285" s="238">
        <v>4</v>
      </c>
      <c r="T2285" s="239" t="s">
        <v>2321</v>
      </c>
      <c r="U2285" s="239" t="s">
        <v>1392</v>
      </c>
      <c r="V2285" s="239">
        <v>10</v>
      </c>
      <c r="W2285" s="239" t="s">
        <v>1386</v>
      </c>
      <c r="X2285" s="239" t="s">
        <v>1386</v>
      </c>
      <c r="Y2285" s="239">
        <v>1.31</v>
      </c>
      <c r="Z2285" s="374">
        <v>69.3</v>
      </c>
      <c r="AA2285" s="374">
        <v>9.5</v>
      </c>
      <c r="AB2285" s="239" t="s">
        <v>241</v>
      </c>
      <c r="AD2285" s="239">
        <v>1.7</v>
      </c>
      <c r="AF2285" s="238" t="s">
        <v>2322</v>
      </c>
      <c r="AG2285" s="238" t="s">
        <v>2326</v>
      </c>
      <c r="AH2285" s="239" t="s">
        <v>1585</v>
      </c>
      <c r="AI2285" s="238" t="s">
        <v>2337</v>
      </c>
      <c r="AJ2285" s="239" t="s">
        <v>1621</v>
      </c>
      <c r="AN2285" s="238"/>
      <c r="AQ2285" s="238"/>
      <c r="AT2285" s="238" t="s">
        <v>161</v>
      </c>
      <c r="AU2285" s="239">
        <v>3</v>
      </c>
      <c r="AV2285" s="238"/>
      <c r="AW2285" s="239" t="s">
        <v>142</v>
      </c>
      <c r="BA2285" s="239" t="s">
        <v>2334</v>
      </c>
      <c r="BH2285" s="238">
        <v>174</v>
      </c>
      <c r="BI2285" s="239">
        <v>821</v>
      </c>
      <c r="BK2285" s="242"/>
      <c r="BL2285" s="239" t="s">
        <v>2340</v>
      </c>
      <c r="BM2285" s="451"/>
      <c r="BN2285" s="451"/>
      <c r="BR2285" s="451"/>
      <c r="BS2285" s="451"/>
      <c r="FH2285" s="240"/>
    </row>
    <row r="2286" spans="1:249" s="239" customFormat="1" x14ac:dyDescent="0.25">
      <c r="A2286" s="239">
        <v>110</v>
      </c>
      <c r="B2286" s="238" t="s">
        <v>2228</v>
      </c>
      <c r="C2286" s="239" t="s">
        <v>2319</v>
      </c>
      <c r="D2286" s="238">
        <v>1982</v>
      </c>
      <c r="E2286" s="239">
        <v>1977</v>
      </c>
      <c r="F2286" s="238" t="s">
        <v>1756</v>
      </c>
      <c r="G2286" s="238" t="s">
        <v>2320</v>
      </c>
      <c r="H2286" s="244" t="s">
        <v>2839</v>
      </c>
      <c r="I2286" s="239">
        <v>7.38</v>
      </c>
      <c r="J2286" s="239">
        <v>3.95</v>
      </c>
      <c r="K2286" s="238">
        <v>229.3</v>
      </c>
      <c r="L2286" s="238"/>
      <c r="N2286" s="238"/>
      <c r="Q2286" s="239">
        <v>3</v>
      </c>
      <c r="R2286" s="238">
        <v>4</v>
      </c>
      <c r="T2286" s="239" t="s">
        <v>2321</v>
      </c>
      <c r="U2286" s="239" t="s">
        <v>1392</v>
      </c>
      <c r="V2286" s="239">
        <v>10</v>
      </c>
      <c r="W2286" s="239" t="s">
        <v>1386</v>
      </c>
      <c r="X2286" s="239" t="s">
        <v>1386</v>
      </c>
      <c r="Y2286" s="239">
        <v>1.31</v>
      </c>
      <c r="Z2286" s="374">
        <v>69.3</v>
      </c>
      <c r="AA2286" s="374">
        <v>9.5</v>
      </c>
      <c r="AB2286" s="239" t="s">
        <v>241</v>
      </c>
      <c r="AD2286" s="239">
        <v>1.7</v>
      </c>
      <c r="AF2286" s="238" t="s">
        <v>2322</v>
      </c>
      <c r="AG2286" s="238" t="s">
        <v>2327</v>
      </c>
      <c r="AH2286" s="239" t="s">
        <v>1585</v>
      </c>
      <c r="AI2286" s="238" t="s">
        <v>2337</v>
      </c>
      <c r="AJ2286" s="239" t="s">
        <v>1621</v>
      </c>
      <c r="AN2286" s="238"/>
      <c r="AQ2286" s="238"/>
      <c r="AT2286" s="238" t="s">
        <v>161</v>
      </c>
      <c r="AU2286" s="239">
        <v>3</v>
      </c>
      <c r="AV2286" s="238"/>
      <c r="AW2286" s="239" t="s">
        <v>142</v>
      </c>
      <c r="BA2286" s="239" t="s">
        <v>2334</v>
      </c>
      <c r="BH2286" s="238">
        <v>174</v>
      </c>
      <c r="BI2286" s="239">
        <v>96</v>
      </c>
      <c r="BK2286" s="242"/>
      <c r="BL2286" s="239" t="s">
        <v>2340</v>
      </c>
      <c r="BM2286" s="451"/>
      <c r="BN2286" s="451"/>
      <c r="BR2286" s="451"/>
      <c r="BS2286" s="451"/>
      <c r="FH2286" s="240"/>
    </row>
    <row r="2287" spans="1:249" s="239" customFormat="1" x14ac:dyDescent="0.25">
      <c r="A2287" s="239">
        <v>110</v>
      </c>
      <c r="B2287" s="238" t="s">
        <v>2228</v>
      </c>
      <c r="C2287" s="239" t="s">
        <v>2319</v>
      </c>
      <c r="D2287" s="238">
        <v>1982</v>
      </c>
      <c r="E2287" s="239">
        <v>1977</v>
      </c>
      <c r="F2287" s="238" t="s">
        <v>1756</v>
      </c>
      <c r="G2287" s="238" t="s">
        <v>2320</v>
      </c>
      <c r="H2287" s="244" t="s">
        <v>2839</v>
      </c>
      <c r="I2287" s="239">
        <v>7.38</v>
      </c>
      <c r="J2287" s="239">
        <v>3.95</v>
      </c>
      <c r="K2287" s="238">
        <v>229.3</v>
      </c>
      <c r="L2287" s="238"/>
      <c r="N2287" s="238"/>
      <c r="Q2287" s="239">
        <v>3</v>
      </c>
      <c r="R2287" s="238">
        <v>4</v>
      </c>
      <c r="T2287" s="239" t="s">
        <v>2321</v>
      </c>
      <c r="U2287" s="239" t="s">
        <v>1392</v>
      </c>
      <c r="V2287" s="239">
        <v>10</v>
      </c>
      <c r="W2287" s="239" t="s">
        <v>1386</v>
      </c>
      <c r="X2287" s="239" t="s">
        <v>1386</v>
      </c>
      <c r="Y2287" s="239">
        <v>1.31</v>
      </c>
      <c r="Z2287" s="374">
        <v>69.3</v>
      </c>
      <c r="AA2287" s="374">
        <v>9.5</v>
      </c>
      <c r="AB2287" s="239" t="s">
        <v>241</v>
      </c>
      <c r="AD2287" s="239">
        <v>1.7</v>
      </c>
      <c r="AF2287" s="238" t="s">
        <v>2322</v>
      </c>
      <c r="AG2287" s="238" t="s">
        <v>2328</v>
      </c>
      <c r="AH2287" s="239" t="s">
        <v>1585</v>
      </c>
      <c r="AI2287" s="238" t="s">
        <v>2337</v>
      </c>
      <c r="AJ2287" s="239" t="s">
        <v>1621</v>
      </c>
      <c r="AN2287" s="238"/>
      <c r="AQ2287" s="238"/>
      <c r="AT2287" s="238" t="s">
        <v>161</v>
      </c>
      <c r="AU2287" s="239">
        <v>3</v>
      </c>
      <c r="AV2287" s="238"/>
      <c r="AW2287" s="239" t="s">
        <v>142</v>
      </c>
      <c r="BA2287" s="239" t="s">
        <v>2334</v>
      </c>
      <c r="BH2287" s="238"/>
      <c r="BK2287" s="242"/>
      <c r="BL2287" s="239" t="s">
        <v>2340</v>
      </c>
      <c r="BM2287" s="451"/>
      <c r="BN2287" s="451"/>
      <c r="BR2287" s="451"/>
      <c r="BS2287" s="451"/>
      <c r="FH2287" s="240"/>
    </row>
    <row r="2288" spans="1:249" s="466" customFormat="1" x14ac:dyDescent="0.25">
      <c r="A2288" s="466">
        <v>110</v>
      </c>
      <c r="B2288" s="467" t="s">
        <v>2228</v>
      </c>
      <c r="C2288" s="466" t="s">
        <v>2319</v>
      </c>
      <c r="D2288" s="467">
        <v>1982</v>
      </c>
      <c r="E2288" s="239">
        <v>1977</v>
      </c>
      <c r="F2288" s="467" t="s">
        <v>1756</v>
      </c>
      <c r="G2288" s="467" t="s">
        <v>2320</v>
      </c>
      <c r="H2288" s="244" t="s">
        <v>2839</v>
      </c>
      <c r="I2288" s="466">
        <v>7.38</v>
      </c>
      <c r="J2288" s="466">
        <v>3.95</v>
      </c>
      <c r="K2288" s="467">
        <v>229.3</v>
      </c>
      <c r="L2288" s="467"/>
      <c r="N2288" s="467"/>
      <c r="Q2288" s="466">
        <v>3</v>
      </c>
      <c r="R2288" s="467">
        <v>4</v>
      </c>
      <c r="T2288" s="466" t="s">
        <v>2321</v>
      </c>
      <c r="U2288" s="466" t="s">
        <v>1392</v>
      </c>
      <c r="V2288" s="466">
        <v>10</v>
      </c>
      <c r="W2288" s="466" t="s">
        <v>1386</v>
      </c>
      <c r="X2288" s="466" t="s">
        <v>1386</v>
      </c>
      <c r="Y2288" s="466">
        <v>1.31</v>
      </c>
      <c r="Z2288" s="468">
        <v>69.3</v>
      </c>
      <c r="AA2288" s="468">
        <v>9.5</v>
      </c>
      <c r="AB2288" s="466" t="s">
        <v>241</v>
      </c>
      <c r="AD2288" s="466">
        <v>1.7</v>
      </c>
      <c r="AF2288" s="467" t="s">
        <v>2322</v>
      </c>
      <c r="AG2288" s="467" t="s">
        <v>2329</v>
      </c>
      <c r="AH2288" s="466" t="s">
        <v>578</v>
      </c>
      <c r="AI2288" s="238" t="s">
        <v>2337</v>
      </c>
      <c r="AJ2288" s="239" t="s">
        <v>1621</v>
      </c>
      <c r="AN2288" s="467"/>
      <c r="AQ2288" s="467"/>
      <c r="AT2288" s="467" t="s">
        <v>161</v>
      </c>
      <c r="AU2288" s="239">
        <v>3</v>
      </c>
      <c r="AV2288" s="467"/>
      <c r="AW2288" s="239" t="s">
        <v>142</v>
      </c>
      <c r="BA2288" s="239" t="s">
        <v>2334</v>
      </c>
      <c r="BC2288" s="239"/>
      <c r="BH2288" s="238">
        <v>174</v>
      </c>
      <c r="BI2288" s="466">
        <v>359</v>
      </c>
      <c r="BK2288" s="469"/>
      <c r="BL2288" s="239" t="s">
        <v>2340</v>
      </c>
      <c r="BM2288" s="451"/>
      <c r="BN2288" s="470"/>
      <c r="BO2288" s="239"/>
      <c r="BR2288" s="470"/>
      <c r="BS2288" s="470"/>
      <c r="DM2288" s="239"/>
      <c r="FH2288" s="471"/>
      <c r="IO2288" s="239"/>
    </row>
    <row r="2289" spans="1:249" s="466" customFormat="1" x14ac:dyDescent="0.25">
      <c r="A2289" s="466">
        <v>110</v>
      </c>
      <c r="B2289" s="467" t="s">
        <v>2228</v>
      </c>
      <c r="C2289" s="466" t="s">
        <v>2319</v>
      </c>
      <c r="D2289" s="467">
        <v>1982</v>
      </c>
      <c r="E2289" s="239">
        <v>1977</v>
      </c>
      <c r="F2289" s="467" t="s">
        <v>1756</v>
      </c>
      <c r="G2289" s="467" t="s">
        <v>2320</v>
      </c>
      <c r="H2289" s="244" t="s">
        <v>2839</v>
      </c>
      <c r="I2289" s="466">
        <v>7.38</v>
      </c>
      <c r="J2289" s="466">
        <v>3.95</v>
      </c>
      <c r="K2289" s="467">
        <v>229.3</v>
      </c>
      <c r="L2289" s="467"/>
      <c r="N2289" s="467"/>
      <c r="Q2289" s="466">
        <v>3</v>
      </c>
      <c r="R2289" s="467">
        <v>4</v>
      </c>
      <c r="T2289" s="466" t="s">
        <v>2321</v>
      </c>
      <c r="U2289" s="466" t="s">
        <v>1392</v>
      </c>
      <c r="V2289" s="466">
        <v>10</v>
      </c>
      <c r="W2289" s="466" t="s">
        <v>1386</v>
      </c>
      <c r="X2289" s="466" t="s">
        <v>1386</v>
      </c>
      <c r="Y2289" s="466">
        <v>1.31</v>
      </c>
      <c r="Z2289" s="468">
        <v>69.3</v>
      </c>
      <c r="AA2289" s="468">
        <v>9.5</v>
      </c>
      <c r="AB2289" s="466" t="s">
        <v>241</v>
      </c>
      <c r="AD2289" s="466">
        <v>1.7</v>
      </c>
      <c r="AF2289" s="467" t="s">
        <v>2322</v>
      </c>
      <c r="AG2289" s="467" t="s">
        <v>2330</v>
      </c>
      <c r="AH2289" s="466" t="s">
        <v>578</v>
      </c>
      <c r="AI2289" s="238" t="s">
        <v>2337</v>
      </c>
      <c r="AJ2289" s="239" t="s">
        <v>1621</v>
      </c>
      <c r="AN2289" s="467"/>
      <c r="AQ2289" s="467"/>
      <c r="AT2289" s="467" t="s">
        <v>161</v>
      </c>
      <c r="AU2289" s="239">
        <v>3</v>
      </c>
      <c r="AV2289" s="467"/>
      <c r="AW2289" s="239" t="s">
        <v>142</v>
      </c>
      <c r="BA2289" s="239" t="s">
        <v>2334</v>
      </c>
      <c r="BC2289" s="239"/>
      <c r="BH2289" s="238">
        <v>174</v>
      </c>
      <c r="BI2289" s="466">
        <v>629</v>
      </c>
      <c r="BK2289" s="469"/>
      <c r="BL2289" s="239" t="s">
        <v>2340</v>
      </c>
      <c r="BM2289" s="451"/>
      <c r="BN2289" s="470"/>
      <c r="BO2289" s="239"/>
      <c r="BR2289" s="470"/>
      <c r="BS2289" s="470"/>
      <c r="DM2289" s="239"/>
      <c r="FH2289" s="471"/>
      <c r="IO2289" s="239"/>
    </row>
    <row r="2290" spans="1:249" s="466" customFormat="1" x14ac:dyDescent="0.25">
      <c r="A2290" s="466">
        <v>110</v>
      </c>
      <c r="B2290" s="467" t="s">
        <v>2228</v>
      </c>
      <c r="C2290" s="466" t="s">
        <v>2319</v>
      </c>
      <c r="D2290" s="467">
        <v>1982</v>
      </c>
      <c r="E2290" s="239">
        <v>1977</v>
      </c>
      <c r="F2290" s="467" t="s">
        <v>1756</v>
      </c>
      <c r="G2290" s="467" t="s">
        <v>2320</v>
      </c>
      <c r="H2290" s="244" t="s">
        <v>2839</v>
      </c>
      <c r="I2290" s="466">
        <v>7.38</v>
      </c>
      <c r="J2290" s="466">
        <v>3.95</v>
      </c>
      <c r="K2290" s="467">
        <v>229.3</v>
      </c>
      <c r="L2290" s="467"/>
      <c r="N2290" s="467"/>
      <c r="Q2290" s="466">
        <v>3</v>
      </c>
      <c r="R2290" s="467">
        <v>4</v>
      </c>
      <c r="T2290" s="466" t="s">
        <v>2321</v>
      </c>
      <c r="U2290" s="466" t="s">
        <v>1392</v>
      </c>
      <c r="V2290" s="466">
        <v>10</v>
      </c>
      <c r="W2290" s="466" t="s">
        <v>1386</v>
      </c>
      <c r="X2290" s="466" t="s">
        <v>1386</v>
      </c>
      <c r="Y2290" s="466">
        <v>1.31</v>
      </c>
      <c r="Z2290" s="468">
        <v>69.3</v>
      </c>
      <c r="AA2290" s="468">
        <v>9.5</v>
      </c>
      <c r="AB2290" s="466" t="s">
        <v>241</v>
      </c>
      <c r="AD2290" s="466">
        <v>1.7</v>
      </c>
      <c r="AF2290" s="467" t="s">
        <v>2322</v>
      </c>
      <c r="AG2290" s="467" t="s">
        <v>2331</v>
      </c>
      <c r="AH2290" s="466" t="s">
        <v>578</v>
      </c>
      <c r="AI2290" s="238" t="s">
        <v>2337</v>
      </c>
      <c r="AJ2290" s="239" t="s">
        <v>1621</v>
      </c>
      <c r="AN2290" s="467"/>
      <c r="AQ2290" s="467"/>
      <c r="AT2290" s="467" t="s">
        <v>161</v>
      </c>
      <c r="AU2290" s="239">
        <v>3</v>
      </c>
      <c r="AV2290" s="467"/>
      <c r="AW2290" s="239" t="s">
        <v>142</v>
      </c>
      <c r="BA2290" s="239" t="s">
        <v>2334</v>
      </c>
      <c r="BC2290" s="239"/>
      <c r="BH2290" s="238">
        <v>174</v>
      </c>
      <c r="BI2290" s="466">
        <v>457</v>
      </c>
      <c r="BK2290" s="469"/>
      <c r="BL2290" s="239" t="s">
        <v>2340</v>
      </c>
      <c r="BM2290" s="451"/>
      <c r="BN2290" s="470"/>
      <c r="BO2290" s="239"/>
      <c r="BR2290" s="470"/>
      <c r="BS2290" s="470"/>
      <c r="DM2290" s="239"/>
      <c r="FH2290" s="471"/>
      <c r="IO2290" s="239"/>
    </row>
    <row r="2291" spans="1:249" s="466" customFormat="1" x14ac:dyDescent="0.25">
      <c r="A2291" s="466">
        <v>110</v>
      </c>
      <c r="B2291" s="467" t="s">
        <v>2228</v>
      </c>
      <c r="C2291" s="466" t="s">
        <v>2319</v>
      </c>
      <c r="D2291" s="467">
        <v>1982</v>
      </c>
      <c r="E2291" s="239">
        <v>1977</v>
      </c>
      <c r="F2291" s="467" t="s">
        <v>1756</v>
      </c>
      <c r="G2291" s="467" t="s">
        <v>2320</v>
      </c>
      <c r="H2291" s="244" t="s">
        <v>2839</v>
      </c>
      <c r="I2291" s="466">
        <v>7.38</v>
      </c>
      <c r="J2291" s="466">
        <v>3.95</v>
      </c>
      <c r="K2291" s="467">
        <v>229.3</v>
      </c>
      <c r="L2291" s="467"/>
      <c r="N2291" s="467"/>
      <c r="Q2291" s="466">
        <v>3</v>
      </c>
      <c r="R2291" s="467">
        <v>4</v>
      </c>
      <c r="T2291" s="466" t="s">
        <v>2321</v>
      </c>
      <c r="U2291" s="466" t="s">
        <v>1392</v>
      </c>
      <c r="V2291" s="466">
        <v>10</v>
      </c>
      <c r="W2291" s="466" t="s">
        <v>1386</v>
      </c>
      <c r="X2291" s="466" t="s">
        <v>1386</v>
      </c>
      <c r="Y2291" s="466">
        <v>1.31</v>
      </c>
      <c r="Z2291" s="468">
        <v>69.3</v>
      </c>
      <c r="AA2291" s="468">
        <v>9.5</v>
      </c>
      <c r="AB2291" s="466" t="s">
        <v>241</v>
      </c>
      <c r="AD2291" s="466">
        <v>1.7</v>
      </c>
      <c r="AF2291" s="467" t="s">
        <v>2322</v>
      </c>
      <c r="AG2291" s="467" t="s">
        <v>2332</v>
      </c>
      <c r="AH2291" s="466" t="s">
        <v>578</v>
      </c>
      <c r="AI2291" s="238" t="s">
        <v>2337</v>
      </c>
      <c r="AJ2291" s="239" t="s">
        <v>1621</v>
      </c>
      <c r="AN2291" s="467"/>
      <c r="AQ2291" s="467"/>
      <c r="AT2291" s="467" t="s">
        <v>161</v>
      </c>
      <c r="AU2291" s="239">
        <v>3</v>
      </c>
      <c r="AV2291" s="467"/>
      <c r="AW2291" s="239" t="s">
        <v>142</v>
      </c>
      <c r="BA2291" s="239" t="s">
        <v>2334</v>
      </c>
      <c r="BC2291" s="239"/>
      <c r="BH2291" s="238">
        <v>174</v>
      </c>
      <c r="BI2291" s="466">
        <v>711</v>
      </c>
      <c r="BK2291" s="469"/>
      <c r="BL2291" s="239" t="s">
        <v>2340</v>
      </c>
      <c r="BM2291" s="451"/>
      <c r="BN2291" s="470"/>
      <c r="BO2291" s="239"/>
      <c r="BR2291" s="470"/>
      <c r="BS2291" s="470"/>
      <c r="DM2291" s="239"/>
      <c r="FH2291" s="471"/>
      <c r="IO2291" s="239"/>
    </row>
    <row r="2292" spans="1:249" s="466" customFormat="1" x14ac:dyDescent="0.25">
      <c r="A2292" s="466">
        <v>110</v>
      </c>
      <c r="B2292" s="467" t="s">
        <v>2228</v>
      </c>
      <c r="C2292" s="466" t="s">
        <v>2319</v>
      </c>
      <c r="D2292" s="467">
        <v>1982</v>
      </c>
      <c r="E2292" s="239">
        <v>1977</v>
      </c>
      <c r="F2292" s="467" t="s">
        <v>1756</v>
      </c>
      <c r="G2292" s="467" t="s">
        <v>2320</v>
      </c>
      <c r="H2292" s="244" t="s">
        <v>2839</v>
      </c>
      <c r="I2292" s="466">
        <v>7.38</v>
      </c>
      <c r="J2292" s="466">
        <v>3.95</v>
      </c>
      <c r="K2292" s="467">
        <v>229.3</v>
      </c>
      <c r="L2292" s="467"/>
      <c r="N2292" s="467"/>
      <c r="Q2292" s="466">
        <v>3</v>
      </c>
      <c r="R2292" s="467">
        <v>4</v>
      </c>
      <c r="T2292" s="466" t="s">
        <v>2321</v>
      </c>
      <c r="U2292" s="466" t="s">
        <v>1392</v>
      </c>
      <c r="V2292" s="466">
        <v>10</v>
      </c>
      <c r="W2292" s="466" t="s">
        <v>1386</v>
      </c>
      <c r="X2292" s="466" t="s">
        <v>1386</v>
      </c>
      <c r="Y2292" s="466">
        <v>1.31</v>
      </c>
      <c r="Z2292" s="468">
        <v>69.3</v>
      </c>
      <c r="AA2292" s="468">
        <v>9.5</v>
      </c>
      <c r="AB2292" s="466" t="s">
        <v>241</v>
      </c>
      <c r="AD2292" s="466">
        <v>1.7</v>
      </c>
      <c r="AF2292" s="467" t="s">
        <v>2322</v>
      </c>
      <c r="AG2292" s="467" t="s">
        <v>2333</v>
      </c>
      <c r="AH2292" s="466" t="s">
        <v>578</v>
      </c>
      <c r="AI2292" s="238" t="s">
        <v>2337</v>
      </c>
      <c r="AJ2292" s="239" t="s">
        <v>1621</v>
      </c>
      <c r="AN2292" s="467"/>
      <c r="AQ2292" s="467"/>
      <c r="AT2292" s="467" t="s">
        <v>161</v>
      </c>
      <c r="AU2292" s="239">
        <v>3</v>
      </c>
      <c r="AV2292" s="467"/>
      <c r="AW2292" s="239" t="s">
        <v>142</v>
      </c>
      <c r="BA2292" s="239" t="s">
        <v>2334</v>
      </c>
      <c r="BC2292" s="239"/>
      <c r="BH2292" s="238">
        <v>174</v>
      </c>
      <c r="BI2292" s="466">
        <v>761</v>
      </c>
      <c r="BK2292" s="469"/>
      <c r="BL2292" s="239" t="s">
        <v>2340</v>
      </c>
      <c r="BM2292" s="451"/>
      <c r="BN2292" s="470"/>
      <c r="BO2292" s="239"/>
      <c r="BR2292" s="470"/>
      <c r="BS2292" s="470"/>
      <c r="DM2292" s="239"/>
      <c r="FH2292" s="471"/>
      <c r="IO2292" s="239"/>
    </row>
    <row r="2293" spans="1:249" s="245" customFormat="1" x14ac:dyDescent="0.25">
      <c r="A2293" s="245">
        <v>110</v>
      </c>
      <c r="B2293" s="244" t="s">
        <v>2228</v>
      </c>
      <c r="C2293" s="245" t="s">
        <v>2319</v>
      </c>
      <c r="D2293" s="244">
        <v>1982</v>
      </c>
      <c r="E2293" s="245">
        <v>1977</v>
      </c>
      <c r="F2293" s="244" t="s">
        <v>1756</v>
      </c>
      <c r="G2293" s="244" t="s">
        <v>2320</v>
      </c>
      <c r="H2293" s="244" t="s">
        <v>2839</v>
      </c>
      <c r="I2293" s="245">
        <v>7.38</v>
      </c>
      <c r="J2293" s="245">
        <v>3.95</v>
      </c>
      <c r="K2293" s="244">
        <v>229.3</v>
      </c>
      <c r="L2293" s="244"/>
      <c r="N2293" s="244"/>
      <c r="Q2293" s="245">
        <v>3</v>
      </c>
      <c r="R2293" s="244">
        <v>4</v>
      </c>
      <c r="T2293" s="245" t="s">
        <v>2321</v>
      </c>
      <c r="U2293" s="245" t="s">
        <v>1392</v>
      </c>
      <c r="V2293" s="245">
        <v>10</v>
      </c>
      <c r="W2293" s="245" t="s">
        <v>1386</v>
      </c>
      <c r="X2293" s="245" t="s">
        <v>1386</v>
      </c>
      <c r="Y2293" s="245">
        <v>1.31</v>
      </c>
      <c r="Z2293" s="376">
        <v>69.3</v>
      </c>
      <c r="AA2293" s="376">
        <v>9.5</v>
      </c>
      <c r="AB2293" s="245" t="s">
        <v>241</v>
      </c>
      <c r="AD2293" s="245">
        <v>1.7</v>
      </c>
      <c r="AF2293" s="244" t="s">
        <v>2322</v>
      </c>
      <c r="AG2293" s="244" t="s">
        <v>2326</v>
      </c>
      <c r="AH2293" s="245" t="s">
        <v>1585</v>
      </c>
      <c r="AI2293" s="244" t="s">
        <v>2337</v>
      </c>
      <c r="AJ2293" s="245" t="s">
        <v>1621</v>
      </c>
      <c r="AN2293" s="244"/>
      <c r="AQ2293" s="244"/>
      <c r="AT2293" s="244" t="s">
        <v>161</v>
      </c>
      <c r="AU2293" s="245">
        <v>3</v>
      </c>
      <c r="AV2293" s="244"/>
      <c r="AW2293" s="245" t="s">
        <v>142</v>
      </c>
      <c r="BA2293" s="245" t="s">
        <v>2335</v>
      </c>
      <c r="BH2293" s="244">
        <v>221</v>
      </c>
      <c r="BI2293" s="245">
        <v>236</v>
      </c>
      <c r="BK2293" s="248"/>
      <c r="BL2293" s="245" t="s">
        <v>2340</v>
      </c>
      <c r="BM2293" s="437"/>
      <c r="BN2293" s="437"/>
      <c r="BR2293" s="437"/>
      <c r="BS2293" s="437"/>
      <c r="FH2293" s="246"/>
    </row>
    <row r="2294" spans="1:249" s="245" customFormat="1" x14ac:dyDescent="0.25">
      <c r="A2294" s="245">
        <v>110</v>
      </c>
      <c r="B2294" s="244" t="s">
        <v>2228</v>
      </c>
      <c r="C2294" s="245" t="s">
        <v>2319</v>
      </c>
      <c r="D2294" s="244">
        <v>1982</v>
      </c>
      <c r="E2294" s="245">
        <v>1977</v>
      </c>
      <c r="F2294" s="244" t="s">
        <v>1756</v>
      </c>
      <c r="G2294" s="244" t="s">
        <v>2320</v>
      </c>
      <c r="H2294" s="244" t="s">
        <v>2839</v>
      </c>
      <c r="I2294" s="245">
        <v>7.38</v>
      </c>
      <c r="J2294" s="245">
        <v>3.95</v>
      </c>
      <c r="K2294" s="244">
        <v>229.3</v>
      </c>
      <c r="L2294" s="244"/>
      <c r="N2294" s="244"/>
      <c r="Q2294" s="245">
        <v>3</v>
      </c>
      <c r="R2294" s="244">
        <v>4</v>
      </c>
      <c r="T2294" s="245" t="s">
        <v>2321</v>
      </c>
      <c r="U2294" s="245" t="s">
        <v>1392</v>
      </c>
      <c r="V2294" s="245">
        <v>10</v>
      </c>
      <c r="W2294" s="245" t="s">
        <v>1386</v>
      </c>
      <c r="X2294" s="245" t="s">
        <v>1386</v>
      </c>
      <c r="Y2294" s="245">
        <v>1.31</v>
      </c>
      <c r="Z2294" s="376">
        <v>69.3</v>
      </c>
      <c r="AA2294" s="376">
        <v>9.5</v>
      </c>
      <c r="AB2294" s="245" t="s">
        <v>241</v>
      </c>
      <c r="AD2294" s="245">
        <v>1.7</v>
      </c>
      <c r="AF2294" s="244" t="s">
        <v>2322</v>
      </c>
      <c r="AG2294" s="244" t="s">
        <v>2327</v>
      </c>
      <c r="AH2294" s="245" t="s">
        <v>1585</v>
      </c>
      <c r="AI2294" s="244" t="s">
        <v>2337</v>
      </c>
      <c r="AJ2294" s="245" t="s">
        <v>1621</v>
      </c>
      <c r="AN2294" s="244"/>
      <c r="AQ2294" s="244"/>
      <c r="AT2294" s="244" t="s">
        <v>161</v>
      </c>
      <c r="AU2294" s="245">
        <v>3</v>
      </c>
      <c r="AV2294" s="244"/>
      <c r="AW2294" s="245" t="s">
        <v>142</v>
      </c>
      <c r="BA2294" s="245" t="s">
        <v>2335</v>
      </c>
      <c r="BH2294" s="244">
        <v>221</v>
      </c>
      <c r="BI2294" s="245">
        <v>118</v>
      </c>
      <c r="BK2294" s="248"/>
      <c r="BL2294" s="245" t="s">
        <v>2340</v>
      </c>
      <c r="BM2294" s="437"/>
      <c r="BN2294" s="437"/>
      <c r="BR2294" s="437"/>
      <c r="BS2294" s="437"/>
      <c r="FH2294" s="246"/>
    </row>
    <row r="2295" spans="1:249" s="245" customFormat="1" x14ac:dyDescent="0.25">
      <c r="A2295" s="245">
        <v>110</v>
      </c>
      <c r="B2295" s="244" t="s">
        <v>2228</v>
      </c>
      <c r="C2295" s="245" t="s">
        <v>2319</v>
      </c>
      <c r="D2295" s="244">
        <v>1982</v>
      </c>
      <c r="E2295" s="245">
        <v>1977</v>
      </c>
      <c r="F2295" s="244" t="s">
        <v>1756</v>
      </c>
      <c r="G2295" s="244" t="s">
        <v>2320</v>
      </c>
      <c r="H2295" s="244" t="s">
        <v>2839</v>
      </c>
      <c r="I2295" s="245">
        <v>7.38</v>
      </c>
      <c r="J2295" s="245">
        <v>3.95</v>
      </c>
      <c r="K2295" s="244">
        <v>229.3</v>
      </c>
      <c r="L2295" s="244"/>
      <c r="N2295" s="244"/>
      <c r="Q2295" s="245">
        <v>3</v>
      </c>
      <c r="R2295" s="244">
        <v>4</v>
      </c>
      <c r="T2295" s="245" t="s">
        <v>2321</v>
      </c>
      <c r="U2295" s="245" t="s">
        <v>1392</v>
      </c>
      <c r="V2295" s="245">
        <v>10</v>
      </c>
      <c r="W2295" s="245" t="s">
        <v>1386</v>
      </c>
      <c r="X2295" s="245" t="s">
        <v>1386</v>
      </c>
      <c r="Y2295" s="245">
        <v>1.31</v>
      </c>
      <c r="Z2295" s="376">
        <v>69.3</v>
      </c>
      <c r="AA2295" s="376">
        <v>9.5</v>
      </c>
      <c r="AB2295" s="245" t="s">
        <v>241</v>
      </c>
      <c r="AD2295" s="245">
        <v>1.7</v>
      </c>
      <c r="AF2295" s="244" t="s">
        <v>2322</v>
      </c>
      <c r="AG2295" s="244" t="s">
        <v>2328</v>
      </c>
      <c r="AH2295" s="245" t="s">
        <v>1585</v>
      </c>
      <c r="AI2295" s="244" t="s">
        <v>2337</v>
      </c>
      <c r="AJ2295" s="245" t="s">
        <v>1621</v>
      </c>
      <c r="AN2295" s="244"/>
      <c r="AQ2295" s="244"/>
      <c r="AT2295" s="244" t="s">
        <v>161</v>
      </c>
      <c r="AU2295" s="245">
        <v>3</v>
      </c>
      <c r="AV2295" s="244"/>
      <c r="AW2295" s="245" t="s">
        <v>142</v>
      </c>
      <c r="BA2295" s="245" t="s">
        <v>2335</v>
      </c>
      <c r="BH2295" s="244">
        <v>221</v>
      </c>
      <c r="BI2295" s="245">
        <v>10</v>
      </c>
      <c r="BK2295" s="248"/>
      <c r="BL2295" s="245" t="s">
        <v>2340</v>
      </c>
      <c r="BM2295" s="437"/>
      <c r="BN2295" s="437"/>
      <c r="BR2295" s="437"/>
      <c r="BS2295" s="437"/>
      <c r="FH2295" s="246"/>
    </row>
    <row r="2296" spans="1:249" s="472" customFormat="1" x14ac:dyDescent="0.25">
      <c r="A2296" s="472">
        <v>110</v>
      </c>
      <c r="B2296" s="473" t="s">
        <v>2228</v>
      </c>
      <c r="C2296" s="472" t="s">
        <v>2319</v>
      </c>
      <c r="D2296" s="473">
        <v>1982</v>
      </c>
      <c r="E2296" s="245">
        <v>1977</v>
      </c>
      <c r="F2296" s="473" t="s">
        <v>1756</v>
      </c>
      <c r="G2296" s="473" t="s">
        <v>2320</v>
      </c>
      <c r="H2296" s="244" t="s">
        <v>2839</v>
      </c>
      <c r="I2296" s="472">
        <v>7.38</v>
      </c>
      <c r="J2296" s="472">
        <v>3.95</v>
      </c>
      <c r="K2296" s="473">
        <v>229.3</v>
      </c>
      <c r="L2296" s="473"/>
      <c r="N2296" s="473"/>
      <c r="Q2296" s="472">
        <v>3</v>
      </c>
      <c r="R2296" s="473">
        <v>4</v>
      </c>
      <c r="T2296" s="472" t="s">
        <v>2321</v>
      </c>
      <c r="U2296" s="472" t="s">
        <v>1392</v>
      </c>
      <c r="V2296" s="472">
        <v>10</v>
      </c>
      <c r="W2296" s="472" t="s">
        <v>1386</v>
      </c>
      <c r="X2296" s="472" t="s">
        <v>1386</v>
      </c>
      <c r="Y2296" s="472">
        <v>1.31</v>
      </c>
      <c r="Z2296" s="474">
        <v>69.3</v>
      </c>
      <c r="AA2296" s="474">
        <v>9.5</v>
      </c>
      <c r="AB2296" s="472" t="s">
        <v>241</v>
      </c>
      <c r="AD2296" s="472">
        <v>1.7</v>
      </c>
      <c r="AF2296" s="473" t="s">
        <v>2322</v>
      </c>
      <c r="AG2296" s="473" t="s">
        <v>2329</v>
      </c>
      <c r="AH2296" s="472" t="s">
        <v>578</v>
      </c>
      <c r="AI2296" s="244" t="s">
        <v>2337</v>
      </c>
      <c r="AJ2296" s="245" t="s">
        <v>1621</v>
      </c>
      <c r="AN2296" s="473"/>
      <c r="AQ2296" s="473"/>
      <c r="AT2296" s="473" t="s">
        <v>161</v>
      </c>
      <c r="AU2296" s="245">
        <v>3</v>
      </c>
      <c r="AV2296" s="473"/>
      <c r="AW2296" s="245" t="s">
        <v>142</v>
      </c>
      <c r="BA2296" s="245" t="s">
        <v>2335</v>
      </c>
      <c r="BC2296" s="245"/>
      <c r="BH2296" s="244">
        <v>221</v>
      </c>
      <c r="BI2296" s="472">
        <v>395</v>
      </c>
      <c r="BK2296" s="475"/>
      <c r="BL2296" s="472" t="s">
        <v>2340</v>
      </c>
      <c r="BM2296" s="437"/>
      <c r="BN2296" s="476"/>
      <c r="BO2296" s="245"/>
      <c r="BR2296" s="476"/>
      <c r="BS2296" s="476"/>
      <c r="DM2296" s="245"/>
      <c r="FH2296" s="477"/>
      <c r="IO2296" s="245"/>
    </row>
    <row r="2297" spans="1:249" s="472" customFormat="1" x14ac:dyDescent="0.25">
      <c r="A2297" s="472">
        <v>110</v>
      </c>
      <c r="B2297" s="473" t="s">
        <v>2228</v>
      </c>
      <c r="C2297" s="472" t="s">
        <v>2319</v>
      </c>
      <c r="D2297" s="473">
        <v>1982</v>
      </c>
      <c r="E2297" s="245">
        <v>1977</v>
      </c>
      <c r="F2297" s="473" t="s">
        <v>1756</v>
      </c>
      <c r="G2297" s="473" t="s">
        <v>2320</v>
      </c>
      <c r="H2297" s="244" t="s">
        <v>2839</v>
      </c>
      <c r="I2297" s="472">
        <v>7.38</v>
      </c>
      <c r="J2297" s="472">
        <v>3.95</v>
      </c>
      <c r="K2297" s="473">
        <v>229.3</v>
      </c>
      <c r="L2297" s="473"/>
      <c r="N2297" s="473"/>
      <c r="Q2297" s="472">
        <v>3</v>
      </c>
      <c r="R2297" s="473">
        <v>4</v>
      </c>
      <c r="T2297" s="472" t="s">
        <v>2321</v>
      </c>
      <c r="U2297" s="472" t="s">
        <v>1392</v>
      </c>
      <c r="V2297" s="472">
        <v>10</v>
      </c>
      <c r="W2297" s="472" t="s">
        <v>1386</v>
      </c>
      <c r="X2297" s="472" t="s">
        <v>1386</v>
      </c>
      <c r="Y2297" s="472">
        <v>1.31</v>
      </c>
      <c r="Z2297" s="474">
        <v>69.3</v>
      </c>
      <c r="AA2297" s="474">
        <v>9.5</v>
      </c>
      <c r="AB2297" s="472" t="s">
        <v>241</v>
      </c>
      <c r="AD2297" s="472">
        <v>1.7</v>
      </c>
      <c r="AF2297" s="473" t="s">
        <v>2322</v>
      </c>
      <c r="AG2297" s="473" t="s">
        <v>2330</v>
      </c>
      <c r="AH2297" s="472" t="s">
        <v>578</v>
      </c>
      <c r="AI2297" s="244" t="s">
        <v>2337</v>
      </c>
      <c r="AJ2297" s="245" t="s">
        <v>1621</v>
      </c>
      <c r="AN2297" s="473"/>
      <c r="AQ2297" s="473"/>
      <c r="AT2297" s="473" t="s">
        <v>161</v>
      </c>
      <c r="AU2297" s="245">
        <v>3</v>
      </c>
      <c r="AV2297" s="473"/>
      <c r="AW2297" s="245" t="s">
        <v>142</v>
      </c>
      <c r="BA2297" s="245" t="s">
        <v>2335</v>
      </c>
      <c r="BC2297" s="245"/>
      <c r="BH2297" s="244">
        <v>221</v>
      </c>
      <c r="BI2297" s="472">
        <v>416</v>
      </c>
      <c r="BK2297" s="475"/>
      <c r="BL2297" s="472" t="s">
        <v>2340</v>
      </c>
      <c r="BM2297" s="437"/>
      <c r="BN2297" s="476"/>
      <c r="BO2297" s="245"/>
      <c r="BR2297" s="476"/>
      <c r="BS2297" s="476"/>
      <c r="DM2297" s="245"/>
      <c r="FH2297" s="477"/>
      <c r="IO2297" s="245"/>
    </row>
    <row r="2298" spans="1:249" s="472" customFormat="1" x14ac:dyDescent="0.25">
      <c r="A2298" s="472">
        <v>110</v>
      </c>
      <c r="B2298" s="473" t="s">
        <v>2228</v>
      </c>
      <c r="C2298" s="472" t="s">
        <v>2319</v>
      </c>
      <c r="D2298" s="473">
        <v>1982</v>
      </c>
      <c r="E2298" s="245">
        <v>1977</v>
      </c>
      <c r="F2298" s="473" t="s">
        <v>1756</v>
      </c>
      <c r="G2298" s="473" t="s">
        <v>2320</v>
      </c>
      <c r="H2298" s="244" t="s">
        <v>2839</v>
      </c>
      <c r="I2298" s="472">
        <v>7.38</v>
      </c>
      <c r="J2298" s="472">
        <v>3.95</v>
      </c>
      <c r="K2298" s="473">
        <v>229.3</v>
      </c>
      <c r="L2298" s="473"/>
      <c r="N2298" s="473"/>
      <c r="Q2298" s="472">
        <v>3</v>
      </c>
      <c r="R2298" s="473">
        <v>4</v>
      </c>
      <c r="T2298" s="472" t="s">
        <v>2321</v>
      </c>
      <c r="U2298" s="472" t="s">
        <v>1392</v>
      </c>
      <c r="V2298" s="472">
        <v>10</v>
      </c>
      <c r="W2298" s="472" t="s">
        <v>1386</v>
      </c>
      <c r="X2298" s="472" t="s">
        <v>1386</v>
      </c>
      <c r="Y2298" s="472">
        <v>1.31</v>
      </c>
      <c r="Z2298" s="474">
        <v>69.3</v>
      </c>
      <c r="AA2298" s="474">
        <v>9.5</v>
      </c>
      <c r="AB2298" s="472" t="s">
        <v>241</v>
      </c>
      <c r="AD2298" s="472">
        <v>1.7</v>
      </c>
      <c r="AF2298" s="473" t="s">
        <v>2322</v>
      </c>
      <c r="AG2298" s="473" t="s">
        <v>2331</v>
      </c>
      <c r="AH2298" s="472" t="s">
        <v>578</v>
      </c>
      <c r="AI2298" s="244" t="s">
        <v>2337</v>
      </c>
      <c r="AJ2298" s="245" t="s">
        <v>1621</v>
      </c>
      <c r="AN2298" s="473"/>
      <c r="AQ2298" s="473"/>
      <c r="AT2298" s="473" t="s">
        <v>161</v>
      </c>
      <c r="AU2298" s="245">
        <v>3</v>
      </c>
      <c r="AV2298" s="473"/>
      <c r="AW2298" s="245" t="s">
        <v>142</v>
      </c>
      <c r="BA2298" s="245" t="s">
        <v>2335</v>
      </c>
      <c r="BC2298" s="245"/>
      <c r="BH2298" s="244">
        <v>221</v>
      </c>
      <c r="BI2298" s="472">
        <v>356</v>
      </c>
      <c r="BK2298" s="475"/>
      <c r="BL2298" s="472" t="s">
        <v>2340</v>
      </c>
      <c r="BM2298" s="437"/>
      <c r="BN2298" s="476"/>
      <c r="BO2298" s="245"/>
      <c r="BR2298" s="476"/>
      <c r="BS2298" s="476"/>
      <c r="DM2298" s="245"/>
      <c r="FH2298" s="477"/>
      <c r="IO2298" s="245"/>
    </row>
    <row r="2299" spans="1:249" s="472" customFormat="1" x14ac:dyDescent="0.25">
      <c r="A2299" s="472">
        <v>110</v>
      </c>
      <c r="B2299" s="473" t="s">
        <v>2228</v>
      </c>
      <c r="C2299" s="472" t="s">
        <v>2319</v>
      </c>
      <c r="D2299" s="473">
        <v>1982</v>
      </c>
      <c r="E2299" s="245">
        <v>1977</v>
      </c>
      <c r="F2299" s="473" t="s">
        <v>1756</v>
      </c>
      <c r="G2299" s="473" t="s">
        <v>2320</v>
      </c>
      <c r="H2299" s="244" t="s">
        <v>2839</v>
      </c>
      <c r="I2299" s="472">
        <v>7.38</v>
      </c>
      <c r="J2299" s="472">
        <v>3.95</v>
      </c>
      <c r="K2299" s="473">
        <v>229.3</v>
      </c>
      <c r="L2299" s="473"/>
      <c r="N2299" s="473"/>
      <c r="Q2299" s="472">
        <v>3</v>
      </c>
      <c r="R2299" s="473">
        <v>4</v>
      </c>
      <c r="T2299" s="472" t="s">
        <v>2321</v>
      </c>
      <c r="U2299" s="472" t="s">
        <v>1392</v>
      </c>
      <c r="V2299" s="472">
        <v>10</v>
      </c>
      <c r="W2299" s="472" t="s">
        <v>1386</v>
      </c>
      <c r="X2299" s="472" t="s">
        <v>1386</v>
      </c>
      <c r="Y2299" s="472">
        <v>1.31</v>
      </c>
      <c r="Z2299" s="474">
        <v>69.3</v>
      </c>
      <c r="AA2299" s="474">
        <v>9.5</v>
      </c>
      <c r="AB2299" s="472" t="s">
        <v>241</v>
      </c>
      <c r="AD2299" s="472">
        <v>1.7</v>
      </c>
      <c r="AF2299" s="473" t="s">
        <v>2322</v>
      </c>
      <c r="AG2299" s="473" t="s">
        <v>2332</v>
      </c>
      <c r="AH2299" s="472" t="s">
        <v>578</v>
      </c>
      <c r="AI2299" s="244" t="s">
        <v>2337</v>
      </c>
      <c r="AJ2299" s="245" t="s">
        <v>1621</v>
      </c>
      <c r="AN2299" s="473"/>
      <c r="AQ2299" s="473"/>
      <c r="AT2299" s="473" t="s">
        <v>161</v>
      </c>
      <c r="AU2299" s="245">
        <v>3</v>
      </c>
      <c r="AV2299" s="473"/>
      <c r="AW2299" s="245" t="s">
        <v>142</v>
      </c>
      <c r="BA2299" s="245" t="s">
        <v>2335</v>
      </c>
      <c r="BC2299" s="245"/>
      <c r="BH2299" s="244">
        <v>221</v>
      </c>
      <c r="BI2299" s="472">
        <v>716</v>
      </c>
      <c r="BK2299" s="475"/>
      <c r="BL2299" s="472" t="s">
        <v>2340</v>
      </c>
      <c r="BM2299" s="437"/>
      <c r="BN2299" s="476"/>
      <c r="BO2299" s="245"/>
      <c r="BR2299" s="476"/>
      <c r="BS2299" s="476"/>
      <c r="DM2299" s="245"/>
      <c r="FH2299" s="477"/>
      <c r="IO2299" s="245"/>
    </row>
    <row r="2300" spans="1:249" s="472" customFormat="1" x14ac:dyDescent="0.25">
      <c r="A2300" s="472">
        <v>110</v>
      </c>
      <c r="B2300" s="473" t="s">
        <v>2228</v>
      </c>
      <c r="C2300" s="472" t="s">
        <v>2319</v>
      </c>
      <c r="D2300" s="473">
        <v>1982</v>
      </c>
      <c r="E2300" s="245">
        <v>1977</v>
      </c>
      <c r="F2300" s="473" t="s">
        <v>1756</v>
      </c>
      <c r="G2300" s="473" t="s">
        <v>2320</v>
      </c>
      <c r="H2300" s="244" t="s">
        <v>2839</v>
      </c>
      <c r="I2300" s="472">
        <v>7.38</v>
      </c>
      <c r="J2300" s="472">
        <v>3.95</v>
      </c>
      <c r="K2300" s="473">
        <v>229.3</v>
      </c>
      <c r="L2300" s="473"/>
      <c r="N2300" s="473"/>
      <c r="Q2300" s="472">
        <v>3</v>
      </c>
      <c r="R2300" s="473">
        <v>4</v>
      </c>
      <c r="T2300" s="472" t="s">
        <v>2321</v>
      </c>
      <c r="U2300" s="472" t="s">
        <v>1392</v>
      </c>
      <c r="V2300" s="472">
        <v>10</v>
      </c>
      <c r="W2300" s="472" t="s">
        <v>1386</v>
      </c>
      <c r="X2300" s="472" t="s">
        <v>1386</v>
      </c>
      <c r="Y2300" s="472">
        <v>1.31</v>
      </c>
      <c r="Z2300" s="474">
        <v>69.3</v>
      </c>
      <c r="AA2300" s="474">
        <v>9.5</v>
      </c>
      <c r="AB2300" s="472" t="s">
        <v>241</v>
      </c>
      <c r="AD2300" s="472">
        <v>1.7</v>
      </c>
      <c r="AF2300" s="473" t="s">
        <v>2322</v>
      </c>
      <c r="AG2300" s="473" t="s">
        <v>2333</v>
      </c>
      <c r="AH2300" s="472" t="s">
        <v>578</v>
      </c>
      <c r="AI2300" s="244" t="s">
        <v>2337</v>
      </c>
      <c r="AJ2300" s="245" t="s">
        <v>1621</v>
      </c>
      <c r="AN2300" s="473"/>
      <c r="AQ2300" s="473"/>
      <c r="AT2300" s="473" t="s">
        <v>161</v>
      </c>
      <c r="AU2300" s="245">
        <v>3</v>
      </c>
      <c r="AV2300" s="473"/>
      <c r="AW2300" s="245" t="s">
        <v>142</v>
      </c>
      <c r="BA2300" s="245" t="s">
        <v>2335</v>
      </c>
      <c r="BC2300" s="245"/>
      <c r="BH2300" s="244">
        <v>221</v>
      </c>
      <c r="BI2300" s="472">
        <v>639</v>
      </c>
      <c r="BK2300" s="475"/>
      <c r="BL2300" s="472" t="s">
        <v>2340</v>
      </c>
      <c r="BM2300" s="437"/>
      <c r="BN2300" s="476"/>
      <c r="BO2300" s="245"/>
      <c r="BR2300" s="476"/>
      <c r="BS2300" s="476"/>
      <c r="DM2300" s="245"/>
      <c r="FH2300" s="477"/>
      <c r="IO2300" s="245"/>
    </row>
    <row r="2301" spans="1:249" s="239" customFormat="1" x14ac:dyDescent="0.25">
      <c r="A2301" s="239">
        <v>110</v>
      </c>
      <c r="B2301" s="238" t="s">
        <v>2228</v>
      </c>
      <c r="C2301" s="239" t="s">
        <v>2319</v>
      </c>
      <c r="D2301" s="238">
        <v>1982</v>
      </c>
      <c r="E2301" s="239">
        <v>1977</v>
      </c>
      <c r="F2301" s="238" t="s">
        <v>1756</v>
      </c>
      <c r="G2301" s="238" t="s">
        <v>2320</v>
      </c>
      <c r="H2301" s="244" t="s">
        <v>2839</v>
      </c>
      <c r="I2301" s="239">
        <v>7.38</v>
      </c>
      <c r="J2301" s="239">
        <v>3.95</v>
      </c>
      <c r="K2301" s="238">
        <v>229.3</v>
      </c>
      <c r="L2301" s="238"/>
      <c r="N2301" s="238"/>
      <c r="Q2301" s="239">
        <v>3</v>
      </c>
      <c r="R2301" s="238">
        <v>4</v>
      </c>
      <c r="T2301" s="239" t="s">
        <v>2321</v>
      </c>
      <c r="U2301" s="239" t="s">
        <v>1392</v>
      </c>
      <c r="V2301" s="239">
        <v>10</v>
      </c>
      <c r="W2301" s="239" t="s">
        <v>1386</v>
      </c>
      <c r="X2301" s="239" t="s">
        <v>1386</v>
      </c>
      <c r="Y2301" s="239">
        <v>1.31</v>
      </c>
      <c r="Z2301" s="374">
        <v>69.3</v>
      </c>
      <c r="AA2301" s="374">
        <v>9.5</v>
      </c>
      <c r="AB2301" s="239" t="s">
        <v>241</v>
      </c>
      <c r="AD2301" s="239">
        <v>1.7</v>
      </c>
      <c r="AF2301" s="238" t="s">
        <v>2322</v>
      </c>
      <c r="AG2301" s="238" t="s">
        <v>2326</v>
      </c>
      <c r="AH2301" s="239" t="s">
        <v>1585</v>
      </c>
      <c r="AI2301" s="238" t="s">
        <v>2338</v>
      </c>
      <c r="AJ2301" s="239" t="s">
        <v>1621</v>
      </c>
      <c r="AN2301" s="238"/>
      <c r="AQ2301" s="238"/>
      <c r="AT2301" s="238" t="s">
        <v>161</v>
      </c>
      <c r="AU2301" s="239">
        <v>3</v>
      </c>
      <c r="AV2301" s="238"/>
      <c r="AW2301" s="239" t="s">
        <v>142</v>
      </c>
      <c r="BA2301" s="239" t="s">
        <v>2334</v>
      </c>
      <c r="BH2301" s="238">
        <v>390</v>
      </c>
      <c r="BI2301" s="239">
        <v>1190</v>
      </c>
      <c r="BK2301" s="242"/>
      <c r="BL2301" s="239" t="s">
        <v>2339</v>
      </c>
      <c r="BM2301" s="451"/>
      <c r="BN2301" s="451"/>
      <c r="BR2301" s="451"/>
      <c r="BS2301" s="451"/>
      <c r="FH2301" s="240"/>
    </row>
    <row r="2302" spans="1:249" s="239" customFormat="1" x14ac:dyDescent="0.25">
      <c r="A2302" s="239">
        <v>110</v>
      </c>
      <c r="B2302" s="238" t="s">
        <v>2228</v>
      </c>
      <c r="C2302" s="239" t="s">
        <v>2319</v>
      </c>
      <c r="D2302" s="238">
        <v>1982</v>
      </c>
      <c r="E2302" s="239">
        <v>1977</v>
      </c>
      <c r="F2302" s="238" t="s">
        <v>1756</v>
      </c>
      <c r="G2302" s="238" t="s">
        <v>2320</v>
      </c>
      <c r="H2302" s="244" t="s">
        <v>2839</v>
      </c>
      <c r="I2302" s="239">
        <v>7.38</v>
      </c>
      <c r="J2302" s="239">
        <v>3.95</v>
      </c>
      <c r="K2302" s="238">
        <v>229.3</v>
      </c>
      <c r="L2302" s="238"/>
      <c r="N2302" s="238"/>
      <c r="Q2302" s="239">
        <v>3</v>
      </c>
      <c r="R2302" s="238">
        <v>4</v>
      </c>
      <c r="T2302" s="239" t="s">
        <v>2321</v>
      </c>
      <c r="U2302" s="239" t="s">
        <v>1392</v>
      </c>
      <c r="V2302" s="239">
        <v>10</v>
      </c>
      <c r="W2302" s="239" t="s">
        <v>1386</v>
      </c>
      <c r="X2302" s="239" t="s">
        <v>1386</v>
      </c>
      <c r="Y2302" s="239">
        <v>1.31</v>
      </c>
      <c r="Z2302" s="374">
        <v>69.3</v>
      </c>
      <c r="AA2302" s="374">
        <v>9.5</v>
      </c>
      <c r="AB2302" s="239" t="s">
        <v>241</v>
      </c>
      <c r="AD2302" s="239">
        <v>1.7</v>
      </c>
      <c r="AF2302" s="238" t="s">
        <v>2322</v>
      </c>
      <c r="AG2302" s="238" t="s">
        <v>2327</v>
      </c>
      <c r="AH2302" s="239" t="s">
        <v>1585</v>
      </c>
      <c r="AI2302" s="238" t="s">
        <v>2338</v>
      </c>
      <c r="AJ2302" s="239" t="s">
        <v>1621</v>
      </c>
      <c r="AN2302" s="238"/>
      <c r="AQ2302" s="238"/>
      <c r="AT2302" s="238" t="s">
        <v>161</v>
      </c>
      <c r="AU2302" s="239">
        <v>3</v>
      </c>
      <c r="AV2302" s="238"/>
      <c r="AW2302" s="239" t="s">
        <v>142</v>
      </c>
      <c r="BA2302" s="239" t="s">
        <v>2334</v>
      </c>
      <c r="BH2302" s="238">
        <v>390</v>
      </c>
      <c r="BI2302" s="239">
        <v>140</v>
      </c>
      <c r="BK2302" s="242"/>
      <c r="BL2302" s="239" t="s">
        <v>2339</v>
      </c>
      <c r="BM2302" s="451"/>
      <c r="BN2302" s="451"/>
      <c r="BR2302" s="451"/>
      <c r="BS2302" s="451"/>
      <c r="FH2302" s="240"/>
    </row>
    <row r="2303" spans="1:249" s="239" customFormat="1" x14ac:dyDescent="0.25">
      <c r="A2303" s="239">
        <v>110</v>
      </c>
      <c r="B2303" s="238" t="s">
        <v>2228</v>
      </c>
      <c r="C2303" s="239" t="s">
        <v>2319</v>
      </c>
      <c r="D2303" s="238">
        <v>1982</v>
      </c>
      <c r="E2303" s="239">
        <v>1977</v>
      </c>
      <c r="F2303" s="238" t="s">
        <v>1756</v>
      </c>
      <c r="G2303" s="238" t="s">
        <v>2320</v>
      </c>
      <c r="H2303" s="244" t="s">
        <v>2839</v>
      </c>
      <c r="I2303" s="239">
        <v>7.38</v>
      </c>
      <c r="J2303" s="239">
        <v>3.95</v>
      </c>
      <c r="K2303" s="238">
        <v>229.3</v>
      </c>
      <c r="L2303" s="238"/>
      <c r="N2303" s="238"/>
      <c r="Q2303" s="239">
        <v>3</v>
      </c>
      <c r="R2303" s="238">
        <v>4</v>
      </c>
      <c r="T2303" s="239" t="s">
        <v>2321</v>
      </c>
      <c r="U2303" s="239" t="s">
        <v>1392</v>
      </c>
      <c r="V2303" s="239">
        <v>10</v>
      </c>
      <c r="W2303" s="239" t="s">
        <v>1386</v>
      </c>
      <c r="X2303" s="239" t="s">
        <v>1386</v>
      </c>
      <c r="Y2303" s="239">
        <v>1.31</v>
      </c>
      <c r="Z2303" s="374">
        <v>69.3</v>
      </c>
      <c r="AA2303" s="374">
        <v>9.5</v>
      </c>
      <c r="AB2303" s="239" t="s">
        <v>241</v>
      </c>
      <c r="AD2303" s="239">
        <v>1.7</v>
      </c>
      <c r="AF2303" s="238" t="s">
        <v>2322</v>
      </c>
      <c r="AG2303" s="238" t="s">
        <v>2328</v>
      </c>
      <c r="AH2303" s="239" t="s">
        <v>1585</v>
      </c>
      <c r="AI2303" s="238" t="s">
        <v>2338</v>
      </c>
      <c r="AJ2303" s="239" t="s">
        <v>1621</v>
      </c>
      <c r="AN2303" s="238"/>
      <c r="AQ2303" s="238"/>
      <c r="AT2303" s="238" t="s">
        <v>161</v>
      </c>
      <c r="AU2303" s="239">
        <v>3</v>
      </c>
      <c r="AV2303" s="238"/>
      <c r="AW2303" s="239" t="s">
        <v>142</v>
      </c>
      <c r="BA2303" s="239" t="s">
        <v>2334</v>
      </c>
      <c r="BH2303" s="238">
        <v>390</v>
      </c>
      <c r="BI2303" s="239">
        <v>80</v>
      </c>
      <c r="BK2303" s="242"/>
      <c r="BL2303" s="239" t="s">
        <v>2339</v>
      </c>
      <c r="BM2303" s="451"/>
      <c r="BN2303" s="451"/>
      <c r="BR2303" s="451"/>
      <c r="BS2303" s="451"/>
      <c r="FH2303" s="240"/>
    </row>
    <row r="2304" spans="1:249" s="466" customFormat="1" x14ac:dyDescent="0.25">
      <c r="A2304" s="466">
        <v>110</v>
      </c>
      <c r="B2304" s="467" t="s">
        <v>2228</v>
      </c>
      <c r="C2304" s="466" t="s">
        <v>2319</v>
      </c>
      <c r="D2304" s="467">
        <v>1982</v>
      </c>
      <c r="E2304" s="239">
        <v>1977</v>
      </c>
      <c r="F2304" s="467" t="s">
        <v>1756</v>
      </c>
      <c r="G2304" s="467" t="s">
        <v>2320</v>
      </c>
      <c r="H2304" s="244" t="s">
        <v>2839</v>
      </c>
      <c r="I2304" s="466">
        <v>7.38</v>
      </c>
      <c r="J2304" s="466">
        <v>3.95</v>
      </c>
      <c r="K2304" s="467">
        <v>229.3</v>
      </c>
      <c r="L2304" s="467"/>
      <c r="N2304" s="467"/>
      <c r="Q2304" s="466">
        <v>3</v>
      </c>
      <c r="R2304" s="467">
        <v>4</v>
      </c>
      <c r="T2304" s="466" t="s">
        <v>2321</v>
      </c>
      <c r="U2304" s="466" t="s">
        <v>1392</v>
      </c>
      <c r="V2304" s="466">
        <v>10</v>
      </c>
      <c r="W2304" s="466" t="s">
        <v>1386</v>
      </c>
      <c r="X2304" s="466" t="s">
        <v>1386</v>
      </c>
      <c r="Y2304" s="466">
        <v>1.31</v>
      </c>
      <c r="Z2304" s="468">
        <v>69.3</v>
      </c>
      <c r="AA2304" s="468">
        <v>9.5</v>
      </c>
      <c r="AB2304" s="466" t="s">
        <v>241</v>
      </c>
      <c r="AD2304" s="466">
        <v>1.7</v>
      </c>
      <c r="AF2304" s="467" t="s">
        <v>2322</v>
      </c>
      <c r="AG2304" s="467" t="s">
        <v>2329</v>
      </c>
      <c r="AH2304" s="466" t="s">
        <v>578</v>
      </c>
      <c r="AI2304" s="238" t="s">
        <v>2338</v>
      </c>
      <c r="AJ2304" s="239" t="s">
        <v>1621</v>
      </c>
      <c r="AN2304" s="467"/>
      <c r="AQ2304" s="467"/>
      <c r="AT2304" s="467" t="s">
        <v>161</v>
      </c>
      <c r="AU2304" s="239">
        <v>3</v>
      </c>
      <c r="AV2304" s="467"/>
      <c r="AW2304" s="239" t="s">
        <v>142</v>
      </c>
      <c r="BA2304" s="239" t="s">
        <v>2334</v>
      </c>
      <c r="BC2304" s="239"/>
      <c r="BH2304" s="238">
        <v>390</v>
      </c>
      <c r="BI2304" s="466">
        <v>170</v>
      </c>
      <c r="BK2304" s="469"/>
      <c r="BL2304" s="239" t="s">
        <v>2339</v>
      </c>
      <c r="BM2304" s="451"/>
      <c r="BN2304" s="470"/>
      <c r="BO2304" s="239"/>
      <c r="BR2304" s="470"/>
      <c r="BS2304" s="470"/>
      <c r="DM2304" s="239"/>
      <c r="FH2304" s="471"/>
      <c r="IO2304" s="239"/>
    </row>
    <row r="2305" spans="1:249" s="466" customFormat="1" x14ac:dyDescent="0.25">
      <c r="A2305" s="466">
        <v>110</v>
      </c>
      <c r="B2305" s="467" t="s">
        <v>2228</v>
      </c>
      <c r="C2305" s="466" t="s">
        <v>2319</v>
      </c>
      <c r="D2305" s="467">
        <v>1982</v>
      </c>
      <c r="E2305" s="239">
        <v>1977</v>
      </c>
      <c r="F2305" s="467" t="s">
        <v>1756</v>
      </c>
      <c r="G2305" s="467" t="s">
        <v>2320</v>
      </c>
      <c r="H2305" s="244" t="s">
        <v>2839</v>
      </c>
      <c r="I2305" s="466">
        <v>7.38</v>
      </c>
      <c r="J2305" s="466">
        <v>3.95</v>
      </c>
      <c r="K2305" s="467">
        <v>229.3</v>
      </c>
      <c r="L2305" s="467"/>
      <c r="N2305" s="467"/>
      <c r="Q2305" s="466">
        <v>3</v>
      </c>
      <c r="R2305" s="467">
        <v>4</v>
      </c>
      <c r="T2305" s="466" t="s">
        <v>2321</v>
      </c>
      <c r="U2305" s="466" t="s">
        <v>1392</v>
      </c>
      <c r="V2305" s="466">
        <v>10</v>
      </c>
      <c r="W2305" s="466" t="s">
        <v>1386</v>
      </c>
      <c r="X2305" s="466" t="s">
        <v>1386</v>
      </c>
      <c r="Y2305" s="466">
        <v>1.31</v>
      </c>
      <c r="Z2305" s="468">
        <v>69.3</v>
      </c>
      <c r="AA2305" s="468">
        <v>9.5</v>
      </c>
      <c r="AB2305" s="466" t="s">
        <v>241</v>
      </c>
      <c r="AD2305" s="466">
        <v>1.7</v>
      </c>
      <c r="AF2305" s="467" t="s">
        <v>2322</v>
      </c>
      <c r="AG2305" s="467" t="s">
        <v>2330</v>
      </c>
      <c r="AH2305" s="466" t="s">
        <v>578</v>
      </c>
      <c r="AI2305" s="238" t="s">
        <v>2338</v>
      </c>
      <c r="AJ2305" s="239" t="s">
        <v>1621</v>
      </c>
      <c r="AN2305" s="467"/>
      <c r="AQ2305" s="467"/>
      <c r="AT2305" s="467" t="s">
        <v>161</v>
      </c>
      <c r="AU2305" s="239">
        <v>3</v>
      </c>
      <c r="AV2305" s="467"/>
      <c r="AW2305" s="239" t="s">
        <v>142</v>
      </c>
      <c r="BA2305" s="239" t="s">
        <v>2334</v>
      </c>
      <c r="BC2305" s="239"/>
      <c r="BH2305" s="238">
        <v>390</v>
      </c>
      <c r="BI2305" s="466">
        <v>140</v>
      </c>
      <c r="BK2305" s="469"/>
      <c r="BL2305" s="239" t="s">
        <v>2339</v>
      </c>
      <c r="BM2305" s="451"/>
      <c r="BN2305" s="470"/>
      <c r="BO2305" s="239"/>
      <c r="BR2305" s="470"/>
      <c r="BS2305" s="470"/>
      <c r="DM2305" s="239"/>
      <c r="FH2305" s="471"/>
      <c r="IO2305" s="239"/>
    </row>
    <row r="2306" spans="1:249" s="466" customFormat="1" x14ac:dyDescent="0.25">
      <c r="A2306" s="466">
        <v>110</v>
      </c>
      <c r="B2306" s="467" t="s">
        <v>2228</v>
      </c>
      <c r="C2306" s="466" t="s">
        <v>2319</v>
      </c>
      <c r="D2306" s="467">
        <v>1982</v>
      </c>
      <c r="E2306" s="239">
        <v>1977</v>
      </c>
      <c r="F2306" s="467" t="s">
        <v>1756</v>
      </c>
      <c r="G2306" s="467" t="s">
        <v>2320</v>
      </c>
      <c r="H2306" s="244" t="s">
        <v>2839</v>
      </c>
      <c r="I2306" s="466">
        <v>7.38</v>
      </c>
      <c r="J2306" s="466">
        <v>3.95</v>
      </c>
      <c r="K2306" s="467">
        <v>229.3</v>
      </c>
      <c r="L2306" s="467"/>
      <c r="N2306" s="467"/>
      <c r="Q2306" s="466">
        <v>3</v>
      </c>
      <c r="R2306" s="467">
        <v>4</v>
      </c>
      <c r="T2306" s="466" t="s">
        <v>2321</v>
      </c>
      <c r="U2306" s="466" t="s">
        <v>1392</v>
      </c>
      <c r="V2306" s="466">
        <v>10</v>
      </c>
      <c r="W2306" s="466" t="s">
        <v>1386</v>
      </c>
      <c r="X2306" s="466" t="s">
        <v>1386</v>
      </c>
      <c r="Y2306" s="466">
        <v>1.31</v>
      </c>
      <c r="Z2306" s="468">
        <v>69.3</v>
      </c>
      <c r="AA2306" s="468">
        <v>9.5</v>
      </c>
      <c r="AB2306" s="466" t="s">
        <v>241</v>
      </c>
      <c r="AD2306" s="466">
        <v>1.7</v>
      </c>
      <c r="AF2306" s="467" t="s">
        <v>2322</v>
      </c>
      <c r="AG2306" s="467" t="s">
        <v>2331</v>
      </c>
      <c r="AH2306" s="466" t="s">
        <v>578</v>
      </c>
      <c r="AI2306" s="238" t="s">
        <v>2338</v>
      </c>
      <c r="AJ2306" s="239" t="s">
        <v>1621</v>
      </c>
      <c r="AN2306" s="467"/>
      <c r="AQ2306" s="467"/>
      <c r="AT2306" s="467" t="s">
        <v>161</v>
      </c>
      <c r="AU2306" s="239">
        <v>3</v>
      </c>
      <c r="AV2306" s="467"/>
      <c r="AW2306" s="239" t="s">
        <v>142</v>
      </c>
      <c r="BA2306" s="239" t="s">
        <v>2334</v>
      </c>
      <c r="BC2306" s="239"/>
      <c r="BH2306" s="238">
        <v>390</v>
      </c>
      <c r="BI2306" s="466">
        <v>140</v>
      </c>
      <c r="BK2306" s="469"/>
      <c r="BL2306" s="239" t="s">
        <v>2339</v>
      </c>
      <c r="BM2306" s="451"/>
      <c r="BN2306" s="470"/>
      <c r="BO2306" s="239"/>
      <c r="BR2306" s="470"/>
      <c r="BS2306" s="470"/>
      <c r="DM2306" s="239"/>
      <c r="FH2306" s="471"/>
      <c r="IO2306" s="239"/>
    </row>
    <row r="2307" spans="1:249" s="466" customFormat="1" x14ac:dyDescent="0.25">
      <c r="A2307" s="466">
        <v>110</v>
      </c>
      <c r="B2307" s="467" t="s">
        <v>2228</v>
      </c>
      <c r="C2307" s="466" t="s">
        <v>2319</v>
      </c>
      <c r="D2307" s="467">
        <v>1982</v>
      </c>
      <c r="E2307" s="239">
        <v>1977</v>
      </c>
      <c r="F2307" s="467" t="s">
        <v>1756</v>
      </c>
      <c r="G2307" s="467" t="s">
        <v>2320</v>
      </c>
      <c r="H2307" s="244" t="s">
        <v>2839</v>
      </c>
      <c r="I2307" s="466">
        <v>7.38</v>
      </c>
      <c r="J2307" s="466">
        <v>3.95</v>
      </c>
      <c r="K2307" s="467">
        <v>229.3</v>
      </c>
      <c r="L2307" s="467"/>
      <c r="N2307" s="467"/>
      <c r="Q2307" s="466">
        <v>3</v>
      </c>
      <c r="R2307" s="467">
        <v>4</v>
      </c>
      <c r="T2307" s="466" t="s">
        <v>2321</v>
      </c>
      <c r="U2307" s="466" t="s">
        <v>1392</v>
      </c>
      <c r="V2307" s="466">
        <v>10</v>
      </c>
      <c r="W2307" s="466" t="s">
        <v>1386</v>
      </c>
      <c r="X2307" s="466" t="s">
        <v>1386</v>
      </c>
      <c r="Y2307" s="466">
        <v>1.31</v>
      </c>
      <c r="Z2307" s="468">
        <v>69.3</v>
      </c>
      <c r="AA2307" s="468">
        <v>9.5</v>
      </c>
      <c r="AB2307" s="466" t="s">
        <v>241</v>
      </c>
      <c r="AD2307" s="466">
        <v>1.7</v>
      </c>
      <c r="AF2307" s="467" t="s">
        <v>2322</v>
      </c>
      <c r="AG2307" s="467" t="s">
        <v>2332</v>
      </c>
      <c r="AH2307" s="466" t="s">
        <v>578</v>
      </c>
      <c r="AI2307" s="238" t="s">
        <v>2338</v>
      </c>
      <c r="AJ2307" s="239" t="s">
        <v>1621</v>
      </c>
      <c r="AN2307" s="467"/>
      <c r="AQ2307" s="467"/>
      <c r="AT2307" s="467" t="s">
        <v>161</v>
      </c>
      <c r="AU2307" s="239">
        <v>3</v>
      </c>
      <c r="AV2307" s="467"/>
      <c r="AW2307" s="239" t="s">
        <v>142</v>
      </c>
      <c r="BA2307" s="239" t="s">
        <v>2334</v>
      </c>
      <c r="BC2307" s="239"/>
      <c r="BH2307" s="238">
        <v>390</v>
      </c>
      <c r="BI2307" s="466">
        <v>580</v>
      </c>
      <c r="BK2307" s="469"/>
      <c r="BL2307" s="239" t="s">
        <v>2339</v>
      </c>
      <c r="BM2307" s="451"/>
      <c r="BN2307" s="470"/>
      <c r="BO2307" s="239"/>
      <c r="BR2307" s="470"/>
      <c r="BS2307" s="470"/>
      <c r="DM2307" s="239"/>
      <c r="FH2307" s="471"/>
      <c r="IO2307" s="239"/>
    </row>
    <row r="2308" spans="1:249" s="466" customFormat="1" x14ac:dyDescent="0.25">
      <c r="A2308" s="466">
        <v>110</v>
      </c>
      <c r="B2308" s="467" t="s">
        <v>2228</v>
      </c>
      <c r="C2308" s="466" t="s">
        <v>2319</v>
      </c>
      <c r="D2308" s="467">
        <v>1982</v>
      </c>
      <c r="E2308" s="239">
        <v>1977</v>
      </c>
      <c r="F2308" s="467" t="s">
        <v>1756</v>
      </c>
      <c r="G2308" s="467" t="s">
        <v>2320</v>
      </c>
      <c r="H2308" s="244" t="s">
        <v>2839</v>
      </c>
      <c r="I2308" s="466">
        <v>7.38</v>
      </c>
      <c r="J2308" s="466">
        <v>3.95</v>
      </c>
      <c r="K2308" s="467">
        <v>229.3</v>
      </c>
      <c r="L2308" s="467"/>
      <c r="N2308" s="467"/>
      <c r="Q2308" s="466">
        <v>3</v>
      </c>
      <c r="R2308" s="467">
        <v>4</v>
      </c>
      <c r="T2308" s="466" t="s">
        <v>2321</v>
      </c>
      <c r="U2308" s="466" t="s">
        <v>1392</v>
      </c>
      <c r="V2308" s="466">
        <v>10</v>
      </c>
      <c r="W2308" s="466" t="s">
        <v>1386</v>
      </c>
      <c r="X2308" s="466" t="s">
        <v>1386</v>
      </c>
      <c r="Y2308" s="466">
        <v>1.31</v>
      </c>
      <c r="Z2308" s="468">
        <v>69.3</v>
      </c>
      <c r="AA2308" s="468">
        <v>9.5</v>
      </c>
      <c r="AB2308" s="466" t="s">
        <v>241</v>
      </c>
      <c r="AD2308" s="466">
        <v>1.7</v>
      </c>
      <c r="AF2308" s="467" t="s">
        <v>2322</v>
      </c>
      <c r="AG2308" s="467" t="s">
        <v>2333</v>
      </c>
      <c r="AH2308" s="466" t="s">
        <v>578</v>
      </c>
      <c r="AI2308" s="238" t="s">
        <v>2338</v>
      </c>
      <c r="AJ2308" s="239" t="s">
        <v>1621</v>
      </c>
      <c r="AN2308" s="467"/>
      <c r="AQ2308" s="467"/>
      <c r="AT2308" s="467" t="s">
        <v>161</v>
      </c>
      <c r="AU2308" s="239">
        <v>3</v>
      </c>
      <c r="AV2308" s="467"/>
      <c r="AW2308" s="239" t="s">
        <v>142</v>
      </c>
      <c r="BA2308" s="239" t="s">
        <v>2334</v>
      </c>
      <c r="BC2308" s="239"/>
      <c r="BH2308" s="238">
        <v>390</v>
      </c>
      <c r="BI2308" s="466">
        <v>1360</v>
      </c>
      <c r="BK2308" s="469"/>
      <c r="BL2308" s="239" t="s">
        <v>2339</v>
      </c>
      <c r="BM2308" s="451"/>
      <c r="BN2308" s="470"/>
      <c r="BO2308" s="239"/>
      <c r="BR2308" s="470"/>
      <c r="BS2308" s="470"/>
      <c r="DM2308" s="239"/>
      <c r="FH2308" s="471"/>
      <c r="IO2308" s="239"/>
    </row>
    <row r="2309" spans="1:249" s="245" customFormat="1" x14ac:dyDescent="0.25">
      <c r="A2309" s="245">
        <v>110</v>
      </c>
      <c r="B2309" s="244" t="s">
        <v>2228</v>
      </c>
      <c r="C2309" s="245" t="s">
        <v>2319</v>
      </c>
      <c r="D2309" s="244">
        <v>1982</v>
      </c>
      <c r="E2309" s="245">
        <v>1977</v>
      </c>
      <c r="F2309" s="244" t="s">
        <v>1756</v>
      </c>
      <c r="G2309" s="244" t="s">
        <v>2320</v>
      </c>
      <c r="H2309" s="244" t="s">
        <v>2839</v>
      </c>
      <c r="I2309" s="245">
        <v>7.38</v>
      </c>
      <c r="J2309" s="245">
        <v>3.95</v>
      </c>
      <c r="K2309" s="244">
        <v>229.3</v>
      </c>
      <c r="L2309" s="244"/>
      <c r="N2309" s="244"/>
      <c r="Q2309" s="245">
        <v>3</v>
      </c>
      <c r="R2309" s="244">
        <v>4</v>
      </c>
      <c r="T2309" s="245" t="s">
        <v>2321</v>
      </c>
      <c r="U2309" s="245" t="s">
        <v>1392</v>
      </c>
      <c r="V2309" s="245">
        <v>10</v>
      </c>
      <c r="W2309" s="245" t="s">
        <v>1386</v>
      </c>
      <c r="X2309" s="245" t="s">
        <v>1386</v>
      </c>
      <c r="Y2309" s="245">
        <v>1.31</v>
      </c>
      <c r="Z2309" s="376">
        <v>69.3</v>
      </c>
      <c r="AA2309" s="376">
        <v>9.5</v>
      </c>
      <c r="AB2309" s="245" t="s">
        <v>241</v>
      </c>
      <c r="AD2309" s="245">
        <v>1.7</v>
      </c>
      <c r="AF2309" s="244" t="s">
        <v>2322</v>
      </c>
      <c r="AG2309" s="244" t="s">
        <v>2326</v>
      </c>
      <c r="AH2309" s="245" t="s">
        <v>1585</v>
      </c>
      <c r="AI2309" s="244" t="s">
        <v>2338</v>
      </c>
      <c r="AJ2309" s="245" t="s">
        <v>1621</v>
      </c>
      <c r="AN2309" s="244"/>
      <c r="AQ2309" s="244"/>
      <c r="AT2309" s="244" t="s">
        <v>161</v>
      </c>
      <c r="AU2309" s="245">
        <v>3</v>
      </c>
      <c r="AV2309" s="244"/>
      <c r="AW2309" s="245" t="s">
        <v>142</v>
      </c>
      <c r="BA2309" s="245" t="s">
        <v>2334</v>
      </c>
      <c r="BH2309" s="244">
        <v>310</v>
      </c>
      <c r="BI2309" s="245">
        <v>80</v>
      </c>
      <c r="BK2309" s="248"/>
      <c r="BL2309" s="245" t="s">
        <v>2339</v>
      </c>
      <c r="BM2309" s="437"/>
      <c r="BN2309" s="437"/>
      <c r="BR2309" s="437"/>
      <c r="BS2309" s="437"/>
      <c r="FH2309" s="246"/>
    </row>
    <row r="2310" spans="1:249" s="245" customFormat="1" x14ac:dyDescent="0.25">
      <c r="A2310" s="245">
        <v>110</v>
      </c>
      <c r="B2310" s="244" t="s">
        <v>2228</v>
      </c>
      <c r="C2310" s="245" t="s">
        <v>2319</v>
      </c>
      <c r="D2310" s="244">
        <v>1982</v>
      </c>
      <c r="E2310" s="245">
        <v>1977</v>
      </c>
      <c r="F2310" s="244" t="s">
        <v>1756</v>
      </c>
      <c r="G2310" s="244" t="s">
        <v>2320</v>
      </c>
      <c r="H2310" s="244" t="s">
        <v>2839</v>
      </c>
      <c r="I2310" s="245">
        <v>7.38</v>
      </c>
      <c r="J2310" s="245">
        <v>3.95</v>
      </c>
      <c r="K2310" s="244">
        <v>229.3</v>
      </c>
      <c r="L2310" s="244"/>
      <c r="N2310" s="244"/>
      <c r="Q2310" s="245">
        <v>3</v>
      </c>
      <c r="R2310" s="244">
        <v>4</v>
      </c>
      <c r="T2310" s="245" t="s">
        <v>2321</v>
      </c>
      <c r="U2310" s="245" t="s">
        <v>1392</v>
      </c>
      <c r="V2310" s="245">
        <v>10</v>
      </c>
      <c r="W2310" s="245" t="s">
        <v>1386</v>
      </c>
      <c r="X2310" s="245" t="s">
        <v>1386</v>
      </c>
      <c r="Y2310" s="245">
        <v>1.31</v>
      </c>
      <c r="Z2310" s="376">
        <v>69.3</v>
      </c>
      <c r="AA2310" s="376">
        <v>9.5</v>
      </c>
      <c r="AB2310" s="245" t="s">
        <v>241</v>
      </c>
      <c r="AD2310" s="245">
        <v>1.7</v>
      </c>
      <c r="AF2310" s="244" t="s">
        <v>2322</v>
      </c>
      <c r="AG2310" s="244" t="s">
        <v>2327</v>
      </c>
      <c r="AH2310" s="245" t="s">
        <v>1585</v>
      </c>
      <c r="AI2310" s="244" t="s">
        <v>2338</v>
      </c>
      <c r="AJ2310" s="245" t="s">
        <v>1621</v>
      </c>
      <c r="AN2310" s="244"/>
      <c r="AQ2310" s="244"/>
      <c r="AT2310" s="244" t="s">
        <v>161</v>
      </c>
      <c r="AU2310" s="245">
        <v>3</v>
      </c>
      <c r="AV2310" s="244"/>
      <c r="AW2310" s="245" t="s">
        <v>142</v>
      </c>
      <c r="BA2310" s="245" t="s">
        <v>2334</v>
      </c>
      <c r="BH2310" s="244">
        <v>310</v>
      </c>
      <c r="BI2310" s="245">
        <v>890</v>
      </c>
      <c r="BK2310" s="248"/>
      <c r="BL2310" s="245" t="s">
        <v>2339</v>
      </c>
      <c r="BM2310" s="437"/>
      <c r="BN2310" s="437"/>
      <c r="BR2310" s="437"/>
      <c r="BS2310" s="437"/>
      <c r="FH2310" s="246"/>
    </row>
    <row r="2311" spans="1:249" s="245" customFormat="1" x14ac:dyDescent="0.25">
      <c r="A2311" s="245">
        <v>110</v>
      </c>
      <c r="B2311" s="244" t="s">
        <v>2228</v>
      </c>
      <c r="C2311" s="245" t="s">
        <v>2319</v>
      </c>
      <c r="D2311" s="244">
        <v>1982</v>
      </c>
      <c r="E2311" s="245">
        <v>1977</v>
      </c>
      <c r="F2311" s="244" t="s">
        <v>1756</v>
      </c>
      <c r="G2311" s="244" t="s">
        <v>2320</v>
      </c>
      <c r="H2311" s="244" t="s">
        <v>2839</v>
      </c>
      <c r="I2311" s="245">
        <v>7.38</v>
      </c>
      <c r="J2311" s="245">
        <v>3.95</v>
      </c>
      <c r="K2311" s="244">
        <v>229.3</v>
      </c>
      <c r="L2311" s="244"/>
      <c r="N2311" s="244"/>
      <c r="Q2311" s="245">
        <v>3</v>
      </c>
      <c r="R2311" s="244">
        <v>4</v>
      </c>
      <c r="T2311" s="245" t="s">
        <v>2321</v>
      </c>
      <c r="U2311" s="245" t="s">
        <v>1392</v>
      </c>
      <c r="V2311" s="245">
        <v>10</v>
      </c>
      <c r="W2311" s="245" t="s">
        <v>1386</v>
      </c>
      <c r="X2311" s="245" t="s">
        <v>1386</v>
      </c>
      <c r="Y2311" s="245">
        <v>1.31</v>
      </c>
      <c r="Z2311" s="376">
        <v>69.3</v>
      </c>
      <c r="AA2311" s="376">
        <v>9.5</v>
      </c>
      <c r="AB2311" s="245" t="s">
        <v>241</v>
      </c>
      <c r="AD2311" s="245">
        <v>1.7</v>
      </c>
      <c r="AF2311" s="244" t="s">
        <v>2322</v>
      </c>
      <c r="AG2311" s="244" t="s">
        <v>2328</v>
      </c>
      <c r="AH2311" s="245" t="s">
        <v>1585</v>
      </c>
      <c r="AI2311" s="244" t="s">
        <v>2338</v>
      </c>
      <c r="AJ2311" s="245" t="s">
        <v>1621</v>
      </c>
      <c r="AN2311" s="244"/>
      <c r="AQ2311" s="244"/>
      <c r="AT2311" s="244" t="s">
        <v>161</v>
      </c>
      <c r="AU2311" s="245">
        <v>3</v>
      </c>
      <c r="AV2311" s="244"/>
      <c r="AW2311" s="245" t="s">
        <v>142</v>
      </c>
      <c r="BA2311" s="245" t="s">
        <v>2334</v>
      </c>
      <c r="BH2311" s="244">
        <v>310</v>
      </c>
      <c r="BI2311" s="245">
        <v>70</v>
      </c>
      <c r="BK2311" s="248"/>
      <c r="BL2311" s="245" t="s">
        <v>2339</v>
      </c>
      <c r="BM2311" s="437"/>
      <c r="BN2311" s="437"/>
      <c r="BR2311" s="437"/>
      <c r="BS2311" s="437"/>
      <c r="FH2311" s="246"/>
    </row>
    <row r="2312" spans="1:249" s="472" customFormat="1" x14ac:dyDescent="0.25">
      <c r="A2312" s="472">
        <v>110</v>
      </c>
      <c r="B2312" s="473" t="s">
        <v>2228</v>
      </c>
      <c r="C2312" s="472" t="s">
        <v>2319</v>
      </c>
      <c r="D2312" s="473">
        <v>1982</v>
      </c>
      <c r="E2312" s="245">
        <v>1977</v>
      </c>
      <c r="F2312" s="473" t="s">
        <v>1756</v>
      </c>
      <c r="G2312" s="473" t="s">
        <v>2320</v>
      </c>
      <c r="H2312" s="244" t="s">
        <v>2839</v>
      </c>
      <c r="I2312" s="472">
        <v>7.38</v>
      </c>
      <c r="J2312" s="472">
        <v>3.95</v>
      </c>
      <c r="K2312" s="473">
        <v>229.3</v>
      </c>
      <c r="L2312" s="473"/>
      <c r="N2312" s="473"/>
      <c r="Q2312" s="245">
        <v>3</v>
      </c>
      <c r="R2312" s="473">
        <v>4</v>
      </c>
      <c r="T2312" s="472" t="s">
        <v>2321</v>
      </c>
      <c r="U2312" s="472" t="s">
        <v>1392</v>
      </c>
      <c r="V2312" s="472">
        <v>10</v>
      </c>
      <c r="W2312" s="472" t="s">
        <v>1386</v>
      </c>
      <c r="X2312" s="472" t="s">
        <v>1386</v>
      </c>
      <c r="Y2312" s="472">
        <v>1.31</v>
      </c>
      <c r="Z2312" s="474">
        <v>69.3</v>
      </c>
      <c r="AA2312" s="474">
        <v>9.5</v>
      </c>
      <c r="AB2312" s="472" t="s">
        <v>241</v>
      </c>
      <c r="AD2312" s="472">
        <v>1.7</v>
      </c>
      <c r="AF2312" s="473" t="s">
        <v>2322</v>
      </c>
      <c r="AG2312" s="473" t="s">
        <v>2329</v>
      </c>
      <c r="AH2312" s="472" t="s">
        <v>578</v>
      </c>
      <c r="AI2312" s="244" t="s">
        <v>2338</v>
      </c>
      <c r="AJ2312" s="245" t="s">
        <v>1621</v>
      </c>
      <c r="AN2312" s="473"/>
      <c r="AQ2312" s="473"/>
      <c r="AT2312" s="473" t="s">
        <v>161</v>
      </c>
      <c r="AU2312" s="245">
        <v>3</v>
      </c>
      <c r="AV2312" s="473"/>
      <c r="AW2312" s="245" t="s">
        <v>142</v>
      </c>
      <c r="BA2312" s="245" t="s">
        <v>2334</v>
      </c>
      <c r="BC2312" s="245"/>
      <c r="BH2312" s="244">
        <v>310</v>
      </c>
      <c r="BI2312" s="472">
        <v>690</v>
      </c>
      <c r="BK2312" s="475"/>
      <c r="BL2312" s="472" t="s">
        <v>2339</v>
      </c>
      <c r="BM2312" s="437"/>
      <c r="BN2312" s="476"/>
      <c r="BO2312" s="245"/>
      <c r="BR2312" s="476"/>
      <c r="BS2312" s="476"/>
      <c r="DM2312" s="245"/>
      <c r="FH2312" s="477"/>
      <c r="IO2312" s="245"/>
    </row>
    <row r="2313" spans="1:249" s="472" customFormat="1" x14ac:dyDescent="0.25">
      <c r="A2313" s="472">
        <v>110</v>
      </c>
      <c r="B2313" s="473" t="s">
        <v>2228</v>
      </c>
      <c r="C2313" s="472" t="s">
        <v>2319</v>
      </c>
      <c r="D2313" s="473">
        <v>1982</v>
      </c>
      <c r="E2313" s="245">
        <v>1977</v>
      </c>
      <c r="F2313" s="473" t="s">
        <v>1756</v>
      </c>
      <c r="G2313" s="473" t="s">
        <v>2320</v>
      </c>
      <c r="H2313" s="244" t="s">
        <v>2839</v>
      </c>
      <c r="I2313" s="472">
        <v>7.38</v>
      </c>
      <c r="J2313" s="472">
        <v>3.95</v>
      </c>
      <c r="K2313" s="473">
        <v>229.3</v>
      </c>
      <c r="L2313" s="473"/>
      <c r="N2313" s="473"/>
      <c r="Q2313" s="245">
        <v>3</v>
      </c>
      <c r="R2313" s="473">
        <v>4</v>
      </c>
      <c r="T2313" s="472" t="s">
        <v>2321</v>
      </c>
      <c r="U2313" s="472" t="s">
        <v>1392</v>
      </c>
      <c r="V2313" s="472">
        <v>10</v>
      </c>
      <c r="W2313" s="472" t="s">
        <v>1386</v>
      </c>
      <c r="X2313" s="472" t="s">
        <v>1386</v>
      </c>
      <c r="Y2313" s="472">
        <v>1.31</v>
      </c>
      <c r="Z2313" s="474">
        <v>69.3</v>
      </c>
      <c r="AA2313" s="474">
        <v>9.5</v>
      </c>
      <c r="AB2313" s="472" t="s">
        <v>241</v>
      </c>
      <c r="AD2313" s="472">
        <v>1.7</v>
      </c>
      <c r="AF2313" s="473" t="s">
        <v>2322</v>
      </c>
      <c r="AG2313" s="473" t="s">
        <v>2330</v>
      </c>
      <c r="AH2313" s="472" t="s">
        <v>578</v>
      </c>
      <c r="AI2313" s="244" t="s">
        <v>2338</v>
      </c>
      <c r="AJ2313" s="245" t="s">
        <v>1621</v>
      </c>
      <c r="AN2313" s="473"/>
      <c r="AQ2313" s="473"/>
      <c r="AT2313" s="473" t="s">
        <v>161</v>
      </c>
      <c r="AU2313" s="245">
        <v>3</v>
      </c>
      <c r="AV2313" s="473"/>
      <c r="AW2313" s="245" t="s">
        <v>142</v>
      </c>
      <c r="BA2313" s="245" t="s">
        <v>2334</v>
      </c>
      <c r="BC2313" s="245"/>
      <c r="BH2313" s="244">
        <v>310</v>
      </c>
      <c r="BI2313" s="472">
        <v>1610</v>
      </c>
      <c r="BK2313" s="475"/>
      <c r="BL2313" s="472" t="s">
        <v>2339</v>
      </c>
      <c r="BM2313" s="437"/>
      <c r="BN2313" s="476"/>
      <c r="BO2313" s="245"/>
      <c r="BR2313" s="476"/>
      <c r="BS2313" s="476"/>
      <c r="DM2313" s="245"/>
      <c r="FH2313" s="477"/>
      <c r="IO2313" s="245"/>
    </row>
    <row r="2314" spans="1:249" s="472" customFormat="1" x14ac:dyDescent="0.25">
      <c r="A2314" s="472">
        <v>110</v>
      </c>
      <c r="B2314" s="473" t="s">
        <v>2228</v>
      </c>
      <c r="C2314" s="472" t="s">
        <v>2319</v>
      </c>
      <c r="D2314" s="473">
        <v>1982</v>
      </c>
      <c r="E2314" s="245">
        <v>1977</v>
      </c>
      <c r="F2314" s="473" t="s">
        <v>1756</v>
      </c>
      <c r="G2314" s="473" t="s">
        <v>2320</v>
      </c>
      <c r="H2314" s="244" t="s">
        <v>2839</v>
      </c>
      <c r="I2314" s="472">
        <v>7.38</v>
      </c>
      <c r="J2314" s="472">
        <v>3.95</v>
      </c>
      <c r="K2314" s="473">
        <v>229.3</v>
      </c>
      <c r="L2314" s="473"/>
      <c r="N2314" s="473"/>
      <c r="Q2314" s="245">
        <v>3</v>
      </c>
      <c r="R2314" s="473">
        <v>4</v>
      </c>
      <c r="T2314" s="472" t="s">
        <v>2321</v>
      </c>
      <c r="U2314" s="472" t="s">
        <v>1392</v>
      </c>
      <c r="V2314" s="472">
        <v>10</v>
      </c>
      <c r="W2314" s="472" t="s">
        <v>1386</v>
      </c>
      <c r="X2314" s="472" t="s">
        <v>1386</v>
      </c>
      <c r="Y2314" s="472">
        <v>1.31</v>
      </c>
      <c r="Z2314" s="474">
        <v>69.3</v>
      </c>
      <c r="AA2314" s="474">
        <v>9.5</v>
      </c>
      <c r="AB2314" s="472" t="s">
        <v>241</v>
      </c>
      <c r="AD2314" s="472">
        <v>1.7</v>
      </c>
      <c r="AF2314" s="473" t="s">
        <v>2322</v>
      </c>
      <c r="AG2314" s="473" t="s">
        <v>2331</v>
      </c>
      <c r="AH2314" s="472" t="s">
        <v>578</v>
      </c>
      <c r="AI2314" s="244" t="s">
        <v>2338</v>
      </c>
      <c r="AJ2314" s="245" t="s">
        <v>1621</v>
      </c>
      <c r="AN2314" s="473"/>
      <c r="AQ2314" s="473"/>
      <c r="AT2314" s="473" t="s">
        <v>161</v>
      </c>
      <c r="AU2314" s="245">
        <v>3</v>
      </c>
      <c r="AV2314" s="473"/>
      <c r="AW2314" s="245" t="s">
        <v>142</v>
      </c>
      <c r="BA2314" s="245" t="s">
        <v>2334</v>
      </c>
      <c r="BC2314" s="245"/>
      <c r="BH2314" s="244">
        <v>310</v>
      </c>
      <c r="BI2314" s="472">
        <v>580</v>
      </c>
      <c r="BK2314" s="475"/>
      <c r="BL2314" s="472" t="s">
        <v>2339</v>
      </c>
      <c r="BM2314" s="437"/>
      <c r="BN2314" s="476"/>
      <c r="BO2314" s="245"/>
      <c r="BR2314" s="476"/>
      <c r="BS2314" s="476"/>
      <c r="DM2314" s="245"/>
      <c r="FH2314" s="477"/>
      <c r="IO2314" s="245"/>
    </row>
    <row r="2315" spans="1:249" s="472" customFormat="1" x14ac:dyDescent="0.25">
      <c r="A2315" s="472">
        <v>110</v>
      </c>
      <c r="B2315" s="473" t="s">
        <v>2228</v>
      </c>
      <c r="C2315" s="472" t="s">
        <v>2319</v>
      </c>
      <c r="D2315" s="473">
        <v>1982</v>
      </c>
      <c r="E2315" s="245">
        <v>1977</v>
      </c>
      <c r="F2315" s="473" t="s">
        <v>1756</v>
      </c>
      <c r="G2315" s="473" t="s">
        <v>2320</v>
      </c>
      <c r="H2315" s="244" t="s">
        <v>2839</v>
      </c>
      <c r="I2315" s="472">
        <v>7.38</v>
      </c>
      <c r="J2315" s="472">
        <v>3.95</v>
      </c>
      <c r="K2315" s="473">
        <v>229.3</v>
      </c>
      <c r="L2315" s="473"/>
      <c r="N2315" s="473"/>
      <c r="Q2315" s="245">
        <v>3</v>
      </c>
      <c r="R2315" s="473">
        <v>4</v>
      </c>
      <c r="T2315" s="472" t="s">
        <v>2321</v>
      </c>
      <c r="U2315" s="472" t="s">
        <v>1392</v>
      </c>
      <c r="V2315" s="472">
        <v>10</v>
      </c>
      <c r="W2315" s="472" t="s">
        <v>1386</v>
      </c>
      <c r="X2315" s="472" t="s">
        <v>1386</v>
      </c>
      <c r="Y2315" s="472">
        <v>1.31</v>
      </c>
      <c r="Z2315" s="474">
        <v>69.3</v>
      </c>
      <c r="AA2315" s="474">
        <v>9.5</v>
      </c>
      <c r="AB2315" s="472" t="s">
        <v>241</v>
      </c>
      <c r="AD2315" s="472">
        <v>1.7</v>
      </c>
      <c r="AF2315" s="473" t="s">
        <v>2322</v>
      </c>
      <c r="AG2315" s="473" t="s">
        <v>2332</v>
      </c>
      <c r="AH2315" s="472" t="s">
        <v>578</v>
      </c>
      <c r="AI2315" s="244" t="s">
        <v>2338</v>
      </c>
      <c r="AJ2315" s="245" t="s">
        <v>1621</v>
      </c>
      <c r="AN2315" s="473"/>
      <c r="AQ2315" s="473"/>
      <c r="AT2315" s="473" t="s">
        <v>161</v>
      </c>
      <c r="AU2315" s="245">
        <v>3</v>
      </c>
      <c r="AV2315" s="473"/>
      <c r="AW2315" s="245" t="s">
        <v>142</v>
      </c>
      <c r="BA2315" s="245" t="s">
        <v>2334</v>
      </c>
      <c r="BC2315" s="245"/>
      <c r="BH2315" s="244">
        <v>310</v>
      </c>
      <c r="BI2315" s="472">
        <v>1250</v>
      </c>
      <c r="BK2315" s="475"/>
      <c r="BL2315" s="472" t="s">
        <v>2339</v>
      </c>
      <c r="BM2315" s="437"/>
      <c r="BN2315" s="476"/>
      <c r="BO2315" s="245"/>
      <c r="BR2315" s="476"/>
      <c r="BS2315" s="476"/>
      <c r="DM2315" s="245"/>
      <c r="FH2315" s="477"/>
      <c r="IO2315" s="245"/>
    </row>
    <row r="2316" spans="1:249" s="472" customFormat="1" x14ac:dyDescent="0.25">
      <c r="A2316" s="472">
        <v>110</v>
      </c>
      <c r="B2316" s="473" t="s">
        <v>2228</v>
      </c>
      <c r="C2316" s="472" t="s">
        <v>2319</v>
      </c>
      <c r="D2316" s="473">
        <v>1982</v>
      </c>
      <c r="E2316" s="245">
        <v>1977</v>
      </c>
      <c r="F2316" s="473" t="s">
        <v>1756</v>
      </c>
      <c r="G2316" s="473" t="s">
        <v>2320</v>
      </c>
      <c r="H2316" s="244" t="s">
        <v>2839</v>
      </c>
      <c r="I2316" s="472">
        <v>7.38</v>
      </c>
      <c r="J2316" s="472">
        <v>3.95</v>
      </c>
      <c r="K2316" s="473">
        <v>229.3</v>
      </c>
      <c r="L2316" s="473"/>
      <c r="N2316" s="473"/>
      <c r="Q2316" s="245">
        <v>3</v>
      </c>
      <c r="R2316" s="473">
        <v>4</v>
      </c>
      <c r="T2316" s="472" t="s">
        <v>2321</v>
      </c>
      <c r="U2316" s="472" t="s">
        <v>1392</v>
      </c>
      <c r="V2316" s="472">
        <v>10</v>
      </c>
      <c r="W2316" s="472" t="s">
        <v>1386</v>
      </c>
      <c r="X2316" s="472" t="s">
        <v>1386</v>
      </c>
      <c r="Y2316" s="472">
        <v>1.31</v>
      </c>
      <c r="Z2316" s="474">
        <v>69.3</v>
      </c>
      <c r="AA2316" s="474">
        <v>9.5</v>
      </c>
      <c r="AB2316" s="472" t="s">
        <v>241</v>
      </c>
      <c r="AD2316" s="472">
        <v>1.7</v>
      </c>
      <c r="AF2316" s="473" t="s">
        <v>2322</v>
      </c>
      <c r="AG2316" s="473" t="s">
        <v>2333</v>
      </c>
      <c r="AH2316" s="472" t="s">
        <v>578</v>
      </c>
      <c r="AI2316" s="244" t="s">
        <v>2338</v>
      </c>
      <c r="AJ2316" s="245" t="s">
        <v>1621</v>
      </c>
      <c r="AN2316" s="473"/>
      <c r="AQ2316" s="473"/>
      <c r="AT2316" s="473" t="s">
        <v>161</v>
      </c>
      <c r="AU2316" s="245">
        <v>3</v>
      </c>
      <c r="AV2316" s="473"/>
      <c r="AW2316" s="245" t="s">
        <v>142</v>
      </c>
      <c r="BA2316" s="245" t="s">
        <v>2334</v>
      </c>
      <c r="BC2316" s="245"/>
      <c r="BH2316" s="244">
        <v>310</v>
      </c>
      <c r="BI2316" s="472">
        <v>530</v>
      </c>
      <c r="BK2316" s="475"/>
      <c r="BL2316" s="472" t="s">
        <v>2339</v>
      </c>
      <c r="BM2316" s="437"/>
      <c r="BN2316" s="476"/>
      <c r="BO2316" s="245"/>
      <c r="BR2316" s="476"/>
      <c r="BS2316" s="476"/>
      <c r="DM2316" s="245"/>
      <c r="FH2316" s="477"/>
      <c r="IO2316" s="245"/>
    </row>
    <row r="2317" spans="1:249" s="239" customFormat="1" x14ac:dyDescent="0.25">
      <c r="A2317" s="239">
        <v>110</v>
      </c>
      <c r="B2317" s="238" t="s">
        <v>2228</v>
      </c>
      <c r="C2317" s="239" t="s">
        <v>2319</v>
      </c>
      <c r="D2317" s="238">
        <v>1982</v>
      </c>
      <c r="E2317" s="239">
        <v>1977</v>
      </c>
      <c r="F2317" s="238" t="s">
        <v>1756</v>
      </c>
      <c r="G2317" s="238" t="s">
        <v>2320</v>
      </c>
      <c r="H2317" s="244" t="s">
        <v>2839</v>
      </c>
      <c r="I2317" s="239">
        <v>7.38</v>
      </c>
      <c r="J2317" s="239">
        <v>3.95</v>
      </c>
      <c r="K2317" s="238">
        <v>229.3</v>
      </c>
      <c r="L2317" s="238"/>
      <c r="N2317" s="238"/>
      <c r="Q2317" s="239">
        <v>4</v>
      </c>
      <c r="R2317" s="238">
        <v>4</v>
      </c>
      <c r="T2317" s="239" t="s">
        <v>2321</v>
      </c>
      <c r="U2317" s="239" t="s">
        <v>1392</v>
      </c>
      <c r="V2317" s="239">
        <v>10</v>
      </c>
      <c r="W2317" s="239" t="s">
        <v>1386</v>
      </c>
      <c r="X2317" s="239" t="s">
        <v>1386</v>
      </c>
      <c r="Y2317" s="239">
        <v>1.31</v>
      </c>
      <c r="Z2317" s="374">
        <v>69.3</v>
      </c>
      <c r="AA2317" s="374">
        <v>9.5</v>
      </c>
      <c r="AB2317" s="239" t="s">
        <v>241</v>
      </c>
      <c r="AD2317" s="239">
        <v>1.7</v>
      </c>
      <c r="AF2317" s="238" t="s">
        <v>2322</v>
      </c>
      <c r="AG2317" s="238" t="s">
        <v>2326</v>
      </c>
      <c r="AH2317" s="239" t="s">
        <v>1585</v>
      </c>
      <c r="AI2317" s="238" t="s">
        <v>2338</v>
      </c>
      <c r="AJ2317" s="239" t="s">
        <v>1621</v>
      </c>
      <c r="AN2317" s="238"/>
      <c r="AQ2317" s="238"/>
      <c r="AT2317" s="238" t="s">
        <v>161</v>
      </c>
      <c r="AU2317" s="239">
        <v>3</v>
      </c>
      <c r="AV2317" s="238"/>
      <c r="AW2317" s="239" t="s">
        <v>142</v>
      </c>
      <c r="BA2317" s="239" t="s">
        <v>2335</v>
      </c>
      <c r="BH2317" s="238">
        <v>1440</v>
      </c>
      <c r="BI2317" s="239">
        <v>1490</v>
      </c>
      <c r="BK2317" s="242"/>
      <c r="BL2317" s="239" t="s">
        <v>2339</v>
      </c>
      <c r="BM2317" s="451"/>
      <c r="BN2317" s="451"/>
      <c r="BR2317" s="451"/>
      <c r="BS2317" s="451"/>
      <c r="FH2317" s="240"/>
    </row>
    <row r="2318" spans="1:249" s="239" customFormat="1" x14ac:dyDescent="0.25">
      <c r="A2318" s="239">
        <v>110</v>
      </c>
      <c r="B2318" s="238" t="s">
        <v>2228</v>
      </c>
      <c r="C2318" s="239" t="s">
        <v>2319</v>
      </c>
      <c r="D2318" s="238">
        <v>1982</v>
      </c>
      <c r="E2318" s="239">
        <v>1977</v>
      </c>
      <c r="F2318" s="238" t="s">
        <v>1756</v>
      </c>
      <c r="G2318" s="238" t="s">
        <v>2320</v>
      </c>
      <c r="H2318" s="244" t="s">
        <v>2839</v>
      </c>
      <c r="I2318" s="239">
        <v>7.38</v>
      </c>
      <c r="J2318" s="239">
        <v>3.95</v>
      </c>
      <c r="K2318" s="238">
        <v>229.3</v>
      </c>
      <c r="L2318" s="238"/>
      <c r="N2318" s="238"/>
      <c r="Q2318" s="239">
        <v>4</v>
      </c>
      <c r="R2318" s="238">
        <v>4</v>
      </c>
      <c r="T2318" s="239" t="s">
        <v>2321</v>
      </c>
      <c r="U2318" s="239" t="s">
        <v>1392</v>
      </c>
      <c r="V2318" s="239">
        <v>10</v>
      </c>
      <c r="W2318" s="239" t="s">
        <v>1386</v>
      </c>
      <c r="X2318" s="239" t="s">
        <v>1386</v>
      </c>
      <c r="Y2318" s="239">
        <v>1.31</v>
      </c>
      <c r="Z2318" s="374">
        <v>69.3</v>
      </c>
      <c r="AA2318" s="374">
        <v>9.5</v>
      </c>
      <c r="AB2318" s="239" t="s">
        <v>241</v>
      </c>
      <c r="AD2318" s="239">
        <v>1.7</v>
      </c>
      <c r="AF2318" s="238" t="s">
        <v>2322</v>
      </c>
      <c r="AG2318" s="238" t="s">
        <v>2327</v>
      </c>
      <c r="AH2318" s="239" t="s">
        <v>1585</v>
      </c>
      <c r="AI2318" s="238" t="s">
        <v>2338</v>
      </c>
      <c r="AJ2318" s="239" t="s">
        <v>1621</v>
      </c>
      <c r="AN2318" s="238"/>
      <c r="AQ2318" s="238"/>
      <c r="AT2318" s="238" t="s">
        <v>161</v>
      </c>
      <c r="AU2318" s="239">
        <v>3</v>
      </c>
      <c r="AV2318" s="238"/>
      <c r="AW2318" s="239" t="s">
        <v>142</v>
      </c>
      <c r="BA2318" s="239" t="s">
        <v>2335</v>
      </c>
      <c r="BH2318" s="238">
        <v>1440</v>
      </c>
      <c r="BI2318" s="239">
        <v>140</v>
      </c>
      <c r="BK2318" s="242"/>
      <c r="BL2318" s="239" t="s">
        <v>2339</v>
      </c>
      <c r="BM2318" s="451"/>
      <c r="BN2318" s="451"/>
      <c r="BR2318" s="451"/>
      <c r="BS2318" s="451"/>
      <c r="FH2318" s="240"/>
    </row>
    <row r="2319" spans="1:249" s="239" customFormat="1" x14ac:dyDescent="0.25">
      <c r="A2319" s="239">
        <v>110</v>
      </c>
      <c r="B2319" s="238" t="s">
        <v>2228</v>
      </c>
      <c r="C2319" s="239" t="s">
        <v>2319</v>
      </c>
      <c r="D2319" s="238">
        <v>1982</v>
      </c>
      <c r="E2319" s="239">
        <v>1977</v>
      </c>
      <c r="F2319" s="238" t="s">
        <v>1756</v>
      </c>
      <c r="G2319" s="238" t="s">
        <v>2320</v>
      </c>
      <c r="H2319" s="244" t="s">
        <v>2839</v>
      </c>
      <c r="I2319" s="239">
        <v>7.38</v>
      </c>
      <c r="J2319" s="239">
        <v>3.95</v>
      </c>
      <c r="K2319" s="238">
        <v>229.3</v>
      </c>
      <c r="L2319" s="238"/>
      <c r="N2319" s="238"/>
      <c r="Q2319" s="239">
        <v>4</v>
      </c>
      <c r="R2319" s="238">
        <v>4</v>
      </c>
      <c r="T2319" s="239" t="s">
        <v>2321</v>
      </c>
      <c r="U2319" s="239" t="s">
        <v>1392</v>
      </c>
      <c r="V2319" s="239">
        <v>10</v>
      </c>
      <c r="W2319" s="239" t="s">
        <v>1386</v>
      </c>
      <c r="X2319" s="239" t="s">
        <v>1386</v>
      </c>
      <c r="Y2319" s="239">
        <v>1.31</v>
      </c>
      <c r="Z2319" s="374">
        <v>69.3</v>
      </c>
      <c r="AA2319" s="374">
        <v>9.5</v>
      </c>
      <c r="AB2319" s="239" t="s">
        <v>241</v>
      </c>
      <c r="AD2319" s="239">
        <v>1.7</v>
      </c>
      <c r="AF2319" s="238" t="s">
        <v>2322</v>
      </c>
      <c r="AG2319" s="238" t="s">
        <v>2328</v>
      </c>
      <c r="AH2319" s="239" t="s">
        <v>1585</v>
      </c>
      <c r="AI2319" s="238" t="s">
        <v>2338</v>
      </c>
      <c r="AJ2319" s="239" t="s">
        <v>1621</v>
      </c>
      <c r="AN2319" s="238"/>
      <c r="AQ2319" s="238"/>
      <c r="AT2319" s="238" t="s">
        <v>161</v>
      </c>
      <c r="AU2319" s="239">
        <v>3</v>
      </c>
      <c r="AV2319" s="238"/>
      <c r="AW2319" s="239" t="s">
        <v>142</v>
      </c>
      <c r="BA2319" s="239" t="s">
        <v>2335</v>
      </c>
      <c r="BH2319" s="238"/>
      <c r="BK2319" s="242"/>
      <c r="BL2319" s="239" t="s">
        <v>2339</v>
      </c>
      <c r="BM2319" s="451"/>
      <c r="BN2319" s="451"/>
      <c r="BR2319" s="451"/>
      <c r="BS2319" s="451"/>
      <c r="FH2319" s="240"/>
    </row>
    <row r="2320" spans="1:249" s="466" customFormat="1" x14ac:dyDescent="0.25">
      <c r="A2320" s="466">
        <v>110</v>
      </c>
      <c r="B2320" s="467" t="s">
        <v>2228</v>
      </c>
      <c r="C2320" s="466" t="s">
        <v>2319</v>
      </c>
      <c r="D2320" s="467">
        <v>1982</v>
      </c>
      <c r="E2320" s="239">
        <v>1977</v>
      </c>
      <c r="F2320" s="467" t="s">
        <v>1756</v>
      </c>
      <c r="G2320" s="467" t="s">
        <v>2320</v>
      </c>
      <c r="H2320" s="244" t="s">
        <v>2839</v>
      </c>
      <c r="I2320" s="466">
        <v>7.38</v>
      </c>
      <c r="J2320" s="466">
        <v>3.95</v>
      </c>
      <c r="K2320" s="467">
        <v>229.3</v>
      </c>
      <c r="L2320" s="467"/>
      <c r="N2320" s="467"/>
      <c r="Q2320" s="239">
        <v>4</v>
      </c>
      <c r="R2320" s="467">
        <v>4</v>
      </c>
      <c r="T2320" s="466" t="s">
        <v>2321</v>
      </c>
      <c r="U2320" s="466" t="s">
        <v>1392</v>
      </c>
      <c r="V2320" s="466">
        <v>10</v>
      </c>
      <c r="W2320" s="466" t="s">
        <v>1386</v>
      </c>
      <c r="X2320" s="466" t="s">
        <v>1386</v>
      </c>
      <c r="Y2320" s="466">
        <v>1.31</v>
      </c>
      <c r="Z2320" s="468">
        <v>69.3</v>
      </c>
      <c r="AA2320" s="468">
        <v>9.5</v>
      </c>
      <c r="AB2320" s="466" t="s">
        <v>241</v>
      </c>
      <c r="AD2320" s="466">
        <v>1.7</v>
      </c>
      <c r="AF2320" s="467" t="s">
        <v>2322</v>
      </c>
      <c r="AG2320" s="467" t="s">
        <v>2329</v>
      </c>
      <c r="AH2320" s="466" t="s">
        <v>578</v>
      </c>
      <c r="AI2320" s="238" t="s">
        <v>2338</v>
      </c>
      <c r="AJ2320" s="239" t="s">
        <v>1621</v>
      </c>
      <c r="AN2320" s="467"/>
      <c r="AQ2320" s="467"/>
      <c r="AT2320" s="467" t="s">
        <v>161</v>
      </c>
      <c r="AU2320" s="239">
        <v>3</v>
      </c>
      <c r="AV2320" s="467"/>
      <c r="AW2320" s="239" t="s">
        <v>142</v>
      </c>
      <c r="BA2320" s="239" t="s">
        <v>2335</v>
      </c>
      <c r="BC2320" s="239"/>
      <c r="BH2320" s="238">
        <v>1440</v>
      </c>
      <c r="BI2320" s="466">
        <v>580</v>
      </c>
      <c r="BK2320" s="469"/>
      <c r="BL2320" s="239" t="s">
        <v>2339</v>
      </c>
      <c r="BM2320" s="451"/>
      <c r="BN2320" s="470"/>
      <c r="BO2320" s="239"/>
      <c r="BR2320" s="470"/>
      <c r="BS2320" s="470"/>
      <c r="DM2320" s="239"/>
      <c r="FH2320" s="471"/>
      <c r="IO2320" s="239"/>
    </row>
    <row r="2321" spans="1:251" s="466" customFormat="1" x14ac:dyDescent="0.25">
      <c r="A2321" s="466">
        <v>110</v>
      </c>
      <c r="B2321" s="467" t="s">
        <v>2228</v>
      </c>
      <c r="C2321" s="466" t="s">
        <v>2319</v>
      </c>
      <c r="D2321" s="467">
        <v>1982</v>
      </c>
      <c r="E2321" s="239">
        <v>1977</v>
      </c>
      <c r="F2321" s="467" t="s">
        <v>1756</v>
      </c>
      <c r="G2321" s="467" t="s">
        <v>2320</v>
      </c>
      <c r="H2321" s="244" t="s">
        <v>2839</v>
      </c>
      <c r="I2321" s="466">
        <v>7.38</v>
      </c>
      <c r="J2321" s="466">
        <v>3.95</v>
      </c>
      <c r="K2321" s="467">
        <v>229.3</v>
      </c>
      <c r="L2321" s="467"/>
      <c r="N2321" s="467"/>
      <c r="Q2321" s="239">
        <v>4</v>
      </c>
      <c r="R2321" s="467">
        <v>4</v>
      </c>
      <c r="T2321" s="466" t="s">
        <v>2321</v>
      </c>
      <c r="U2321" s="466" t="s">
        <v>1392</v>
      </c>
      <c r="V2321" s="466">
        <v>10</v>
      </c>
      <c r="W2321" s="466" t="s">
        <v>1386</v>
      </c>
      <c r="X2321" s="466" t="s">
        <v>1386</v>
      </c>
      <c r="Y2321" s="466">
        <v>1.31</v>
      </c>
      <c r="Z2321" s="468">
        <v>69.3</v>
      </c>
      <c r="AA2321" s="468">
        <v>9.5</v>
      </c>
      <c r="AB2321" s="466" t="s">
        <v>241</v>
      </c>
      <c r="AD2321" s="466">
        <v>1.7</v>
      </c>
      <c r="AF2321" s="467" t="s">
        <v>2322</v>
      </c>
      <c r="AG2321" s="467" t="s">
        <v>2330</v>
      </c>
      <c r="AH2321" s="466" t="s">
        <v>578</v>
      </c>
      <c r="AI2321" s="238" t="s">
        <v>2338</v>
      </c>
      <c r="AJ2321" s="239" t="s">
        <v>1621</v>
      </c>
      <c r="AN2321" s="467"/>
      <c r="AQ2321" s="467"/>
      <c r="AT2321" s="467" t="s">
        <v>161</v>
      </c>
      <c r="AU2321" s="239">
        <v>3</v>
      </c>
      <c r="AV2321" s="467"/>
      <c r="AW2321" s="239" t="s">
        <v>142</v>
      </c>
      <c r="BA2321" s="239" t="s">
        <v>2335</v>
      </c>
      <c r="BC2321" s="239"/>
      <c r="BH2321" s="238">
        <v>1440</v>
      </c>
      <c r="BI2321" s="466">
        <v>2440</v>
      </c>
      <c r="BK2321" s="469"/>
      <c r="BL2321" s="239" t="s">
        <v>2339</v>
      </c>
      <c r="BM2321" s="451"/>
      <c r="BN2321" s="470"/>
      <c r="BO2321" s="239"/>
      <c r="BR2321" s="470"/>
      <c r="BS2321" s="470"/>
      <c r="DM2321" s="239"/>
      <c r="FH2321" s="471"/>
      <c r="IO2321" s="239"/>
    </row>
    <row r="2322" spans="1:251" s="466" customFormat="1" x14ac:dyDescent="0.25">
      <c r="A2322" s="466">
        <v>110</v>
      </c>
      <c r="B2322" s="467" t="s">
        <v>2228</v>
      </c>
      <c r="C2322" s="466" t="s">
        <v>2319</v>
      </c>
      <c r="D2322" s="467">
        <v>1982</v>
      </c>
      <c r="E2322" s="239">
        <v>1977</v>
      </c>
      <c r="F2322" s="467" t="s">
        <v>1756</v>
      </c>
      <c r="G2322" s="467" t="s">
        <v>2320</v>
      </c>
      <c r="H2322" s="244" t="s">
        <v>2839</v>
      </c>
      <c r="I2322" s="466">
        <v>7.38</v>
      </c>
      <c r="J2322" s="466">
        <v>3.95</v>
      </c>
      <c r="K2322" s="467">
        <v>229.3</v>
      </c>
      <c r="L2322" s="467"/>
      <c r="N2322" s="467"/>
      <c r="Q2322" s="239">
        <v>4</v>
      </c>
      <c r="R2322" s="467">
        <v>4</v>
      </c>
      <c r="T2322" s="466" t="s">
        <v>2321</v>
      </c>
      <c r="U2322" s="466" t="s">
        <v>1392</v>
      </c>
      <c r="V2322" s="466">
        <v>10</v>
      </c>
      <c r="W2322" s="466" t="s">
        <v>1386</v>
      </c>
      <c r="X2322" s="466" t="s">
        <v>1386</v>
      </c>
      <c r="Y2322" s="466">
        <v>1.31</v>
      </c>
      <c r="Z2322" s="468">
        <v>69.3</v>
      </c>
      <c r="AA2322" s="468">
        <v>9.5</v>
      </c>
      <c r="AB2322" s="466" t="s">
        <v>241</v>
      </c>
      <c r="AD2322" s="466">
        <v>1.7</v>
      </c>
      <c r="AF2322" s="467" t="s">
        <v>2322</v>
      </c>
      <c r="AG2322" s="467" t="s">
        <v>2331</v>
      </c>
      <c r="AH2322" s="466" t="s">
        <v>578</v>
      </c>
      <c r="AI2322" s="238" t="s">
        <v>2338</v>
      </c>
      <c r="AJ2322" s="239" t="s">
        <v>1621</v>
      </c>
      <c r="AN2322" s="467"/>
      <c r="AQ2322" s="467"/>
      <c r="AT2322" s="467" t="s">
        <v>161</v>
      </c>
      <c r="AU2322" s="239">
        <v>3</v>
      </c>
      <c r="AV2322" s="467"/>
      <c r="AW2322" s="239" t="s">
        <v>142</v>
      </c>
      <c r="BA2322" s="239" t="s">
        <v>2335</v>
      </c>
      <c r="BC2322" s="239"/>
      <c r="BH2322" s="238">
        <v>1440</v>
      </c>
      <c r="BI2322" s="466">
        <v>2310</v>
      </c>
      <c r="BK2322" s="469"/>
      <c r="BL2322" s="239" t="s">
        <v>2339</v>
      </c>
      <c r="BM2322" s="451"/>
      <c r="BN2322" s="470"/>
      <c r="BO2322" s="239"/>
      <c r="BR2322" s="470"/>
      <c r="BS2322" s="470"/>
      <c r="DM2322" s="239"/>
      <c r="FH2322" s="471"/>
      <c r="IO2322" s="239"/>
    </row>
    <row r="2323" spans="1:251" s="466" customFormat="1" x14ac:dyDescent="0.25">
      <c r="A2323" s="466">
        <v>110</v>
      </c>
      <c r="B2323" s="467" t="s">
        <v>2228</v>
      </c>
      <c r="C2323" s="466" t="s">
        <v>2319</v>
      </c>
      <c r="D2323" s="467">
        <v>1982</v>
      </c>
      <c r="E2323" s="239">
        <v>1977</v>
      </c>
      <c r="F2323" s="467" t="s">
        <v>1756</v>
      </c>
      <c r="G2323" s="467" t="s">
        <v>2320</v>
      </c>
      <c r="H2323" s="244" t="s">
        <v>2839</v>
      </c>
      <c r="I2323" s="466">
        <v>7.38</v>
      </c>
      <c r="J2323" s="466">
        <v>3.95</v>
      </c>
      <c r="K2323" s="467">
        <v>229.3</v>
      </c>
      <c r="L2323" s="467"/>
      <c r="N2323" s="467"/>
      <c r="Q2323" s="239">
        <v>4</v>
      </c>
      <c r="R2323" s="467">
        <v>4</v>
      </c>
      <c r="T2323" s="466" t="s">
        <v>2321</v>
      </c>
      <c r="U2323" s="466" t="s">
        <v>1392</v>
      </c>
      <c r="V2323" s="466">
        <v>10</v>
      </c>
      <c r="W2323" s="466" t="s">
        <v>1386</v>
      </c>
      <c r="X2323" s="466" t="s">
        <v>1386</v>
      </c>
      <c r="Y2323" s="466">
        <v>1.31</v>
      </c>
      <c r="Z2323" s="468">
        <v>69.3</v>
      </c>
      <c r="AA2323" s="468">
        <v>9.5</v>
      </c>
      <c r="AB2323" s="466" t="s">
        <v>241</v>
      </c>
      <c r="AD2323" s="466">
        <v>1.7</v>
      </c>
      <c r="AF2323" s="467" t="s">
        <v>2322</v>
      </c>
      <c r="AG2323" s="467" t="s">
        <v>2332</v>
      </c>
      <c r="AH2323" s="466" t="s">
        <v>578</v>
      </c>
      <c r="AI2323" s="238" t="s">
        <v>2338</v>
      </c>
      <c r="AJ2323" s="239" t="s">
        <v>1621</v>
      </c>
      <c r="AN2323" s="467"/>
      <c r="AQ2323" s="467"/>
      <c r="AT2323" s="467" t="s">
        <v>161</v>
      </c>
      <c r="AU2323" s="239">
        <v>3</v>
      </c>
      <c r="AV2323" s="467"/>
      <c r="AW2323" s="239" t="s">
        <v>142</v>
      </c>
      <c r="BA2323" s="239" t="s">
        <v>2335</v>
      </c>
      <c r="BC2323" s="239"/>
      <c r="BH2323" s="238">
        <v>1440</v>
      </c>
      <c r="BI2323" s="466">
        <v>1360</v>
      </c>
      <c r="BK2323" s="469"/>
      <c r="BL2323" s="239" t="s">
        <v>2339</v>
      </c>
      <c r="BM2323" s="451"/>
      <c r="BN2323" s="470"/>
      <c r="BO2323" s="239"/>
      <c r="BR2323" s="470"/>
      <c r="BS2323" s="470"/>
      <c r="DM2323" s="239"/>
      <c r="FH2323" s="471"/>
      <c r="IO2323" s="239"/>
    </row>
    <row r="2324" spans="1:251" s="466" customFormat="1" x14ac:dyDescent="0.25">
      <c r="A2324" s="466">
        <v>110</v>
      </c>
      <c r="B2324" s="467" t="s">
        <v>2228</v>
      </c>
      <c r="C2324" s="466" t="s">
        <v>2319</v>
      </c>
      <c r="D2324" s="467">
        <v>1982</v>
      </c>
      <c r="E2324" s="239">
        <v>1977</v>
      </c>
      <c r="F2324" s="467" t="s">
        <v>1756</v>
      </c>
      <c r="G2324" s="467" t="s">
        <v>2320</v>
      </c>
      <c r="H2324" s="244" t="s">
        <v>2839</v>
      </c>
      <c r="I2324" s="466">
        <v>7.38</v>
      </c>
      <c r="J2324" s="466">
        <v>3.95</v>
      </c>
      <c r="K2324" s="467">
        <v>229.3</v>
      </c>
      <c r="L2324" s="467"/>
      <c r="N2324" s="467"/>
      <c r="Q2324" s="239">
        <v>4</v>
      </c>
      <c r="R2324" s="467">
        <v>4</v>
      </c>
      <c r="T2324" s="466" t="s">
        <v>2321</v>
      </c>
      <c r="U2324" s="466" t="s">
        <v>1392</v>
      </c>
      <c r="V2324" s="466">
        <v>10</v>
      </c>
      <c r="W2324" s="466" t="s">
        <v>1386</v>
      </c>
      <c r="X2324" s="466" t="s">
        <v>1386</v>
      </c>
      <c r="Y2324" s="466">
        <v>1.31</v>
      </c>
      <c r="Z2324" s="468">
        <v>69.3</v>
      </c>
      <c r="AA2324" s="468">
        <v>9.5</v>
      </c>
      <c r="AB2324" s="466" t="s">
        <v>241</v>
      </c>
      <c r="AD2324" s="466">
        <v>1.7</v>
      </c>
      <c r="AF2324" s="467" t="s">
        <v>2322</v>
      </c>
      <c r="AG2324" s="467" t="s">
        <v>2333</v>
      </c>
      <c r="AH2324" s="466" t="s">
        <v>578</v>
      </c>
      <c r="AI2324" s="238" t="s">
        <v>2338</v>
      </c>
      <c r="AJ2324" s="239" t="s">
        <v>1621</v>
      </c>
      <c r="AN2324" s="467"/>
      <c r="AQ2324" s="467"/>
      <c r="AT2324" s="467" t="s">
        <v>161</v>
      </c>
      <c r="AU2324" s="239">
        <v>3</v>
      </c>
      <c r="AV2324" s="467"/>
      <c r="AW2324" s="239" t="s">
        <v>142</v>
      </c>
      <c r="BA2324" s="239" t="s">
        <v>2335</v>
      </c>
      <c r="BC2324" s="239"/>
      <c r="BH2324" s="238">
        <v>1440</v>
      </c>
      <c r="BI2324" s="466">
        <v>970</v>
      </c>
      <c r="BK2324" s="469"/>
      <c r="BL2324" s="239" t="s">
        <v>2339</v>
      </c>
      <c r="BM2324" s="451"/>
      <c r="BN2324" s="470"/>
      <c r="BO2324" s="239"/>
      <c r="BR2324" s="470"/>
      <c r="BS2324" s="470"/>
      <c r="DM2324" s="239"/>
      <c r="FH2324" s="471"/>
      <c r="IO2324" s="239"/>
    </row>
    <row r="2325" spans="1:251" s="245" customFormat="1" x14ac:dyDescent="0.25">
      <c r="A2325" s="245">
        <v>110</v>
      </c>
      <c r="B2325" s="244" t="s">
        <v>2228</v>
      </c>
      <c r="C2325" s="245" t="s">
        <v>2319</v>
      </c>
      <c r="D2325" s="244">
        <v>1982</v>
      </c>
      <c r="E2325" s="245">
        <v>1977</v>
      </c>
      <c r="F2325" s="244" t="s">
        <v>1756</v>
      </c>
      <c r="G2325" s="244" t="s">
        <v>2320</v>
      </c>
      <c r="H2325" s="244" t="s">
        <v>2839</v>
      </c>
      <c r="I2325" s="245">
        <v>7.38</v>
      </c>
      <c r="J2325" s="245">
        <v>3.95</v>
      </c>
      <c r="K2325" s="244">
        <v>229.3</v>
      </c>
      <c r="L2325" s="244"/>
      <c r="N2325" s="244"/>
      <c r="Q2325" s="245">
        <v>4</v>
      </c>
      <c r="R2325" s="244">
        <v>4</v>
      </c>
      <c r="T2325" s="245" t="s">
        <v>2321</v>
      </c>
      <c r="U2325" s="245" t="s">
        <v>1392</v>
      </c>
      <c r="V2325" s="245">
        <v>10</v>
      </c>
      <c r="W2325" s="245" t="s">
        <v>1386</v>
      </c>
      <c r="X2325" s="245" t="s">
        <v>1386</v>
      </c>
      <c r="Y2325" s="245">
        <v>1.31</v>
      </c>
      <c r="Z2325" s="376">
        <v>69.3</v>
      </c>
      <c r="AA2325" s="376">
        <v>9.5</v>
      </c>
      <c r="AB2325" s="245" t="s">
        <v>241</v>
      </c>
      <c r="AD2325" s="245">
        <v>1.7</v>
      </c>
      <c r="AF2325" s="244" t="s">
        <v>2322</v>
      </c>
      <c r="AG2325" s="244" t="s">
        <v>2326</v>
      </c>
      <c r="AH2325" s="245" t="s">
        <v>1585</v>
      </c>
      <c r="AI2325" s="244" t="s">
        <v>2338</v>
      </c>
      <c r="AJ2325" s="245" t="s">
        <v>1621</v>
      </c>
      <c r="AN2325" s="244"/>
      <c r="AQ2325" s="244"/>
      <c r="AT2325" s="244" t="s">
        <v>161</v>
      </c>
      <c r="AU2325" s="245">
        <v>3</v>
      </c>
      <c r="AV2325" s="244"/>
      <c r="AW2325" s="245" t="s">
        <v>142</v>
      </c>
      <c r="BA2325" s="245" t="s">
        <v>2335</v>
      </c>
      <c r="BH2325" s="244">
        <v>280</v>
      </c>
      <c r="BI2325" s="245">
        <v>280</v>
      </c>
      <c r="BK2325" s="248"/>
      <c r="BL2325" s="245" t="s">
        <v>2339</v>
      </c>
      <c r="BM2325" s="437"/>
      <c r="BN2325" s="437"/>
      <c r="BR2325" s="437"/>
      <c r="BS2325" s="437"/>
      <c r="FH2325" s="246"/>
    </row>
    <row r="2326" spans="1:251" s="245" customFormat="1" x14ac:dyDescent="0.25">
      <c r="A2326" s="245">
        <v>110</v>
      </c>
      <c r="B2326" s="244" t="s">
        <v>2228</v>
      </c>
      <c r="C2326" s="245" t="s">
        <v>2319</v>
      </c>
      <c r="D2326" s="244">
        <v>1982</v>
      </c>
      <c r="E2326" s="245">
        <v>1977</v>
      </c>
      <c r="F2326" s="244" t="s">
        <v>1756</v>
      </c>
      <c r="G2326" s="244" t="s">
        <v>2320</v>
      </c>
      <c r="H2326" s="244" t="s">
        <v>2839</v>
      </c>
      <c r="I2326" s="245">
        <v>7.38</v>
      </c>
      <c r="J2326" s="245">
        <v>3.95</v>
      </c>
      <c r="K2326" s="244">
        <v>229.3</v>
      </c>
      <c r="L2326" s="244"/>
      <c r="N2326" s="244"/>
      <c r="Q2326" s="245">
        <v>4</v>
      </c>
      <c r="R2326" s="244">
        <v>4</v>
      </c>
      <c r="T2326" s="245" t="s">
        <v>2321</v>
      </c>
      <c r="U2326" s="245" t="s">
        <v>1392</v>
      </c>
      <c r="V2326" s="245">
        <v>10</v>
      </c>
      <c r="W2326" s="245" t="s">
        <v>1386</v>
      </c>
      <c r="X2326" s="245" t="s">
        <v>1386</v>
      </c>
      <c r="Y2326" s="245">
        <v>1.31</v>
      </c>
      <c r="Z2326" s="376">
        <v>69.3</v>
      </c>
      <c r="AA2326" s="376">
        <v>9.5</v>
      </c>
      <c r="AB2326" s="245" t="s">
        <v>241</v>
      </c>
      <c r="AD2326" s="245">
        <v>1.7</v>
      </c>
      <c r="AF2326" s="244" t="s">
        <v>2322</v>
      </c>
      <c r="AG2326" s="244" t="s">
        <v>2327</v>
      </c>
      <c r="AH2326" s="245" t="s">
        <v>1585</v>
      </c>
      <c r="AI2326" s="244" t="s">
        <v>2338</v>
      </c>
      <c r="AJ2326" s="245" t="s">
        <v>1621</v>
      </c>
      <c r="AN2326" s="244"/>
      <c r="AQ2326" s="244"/>
      <c r="AT2326" s="244" t="s">
        <v>161</v>
      </c>
      <c r="AU2326" s="245">
        <v>3</v>
      </c>
      <c r="AV2326" s="244"/>
      <c r="AW2326" s="245" t="s">
        <v>142</v>
      </c>
      <c r="BA2326" s="245" t="s">
        <v>2335</v>
      </c>
      <c r="BH2326" s="244"/>
      <c r="BK2326" s="248"/>
      <c r="BL2326" s="245" t="s">
        <v>2339</v>
      </c>
      <c r="BM2326" s="437"/>
      <c r="BN2326" s="437"/>
      <c r="BR2326" s="437"/>
      <c r="BS2326" s="437"/>
      <c r="FH2326" s="246"/>
    </row>
    <row r="2327" spans="1:251" s="245" customFormat="1" x14ac:dyDescent="0.25">
      <c r="A2327" s="245">
        <v>110</v>
      </c>
      <c r="B2327" s="244" t="s">
        <v>2228</v>
      </c>
      <c r="C2327" s="245" t="s">
        <v>2319</v>
      </c>
      <c r="D2327" s="244">
        <v>1982</v>
      </c>
      <c r="E2327" s="245">
        <v>1977</v>
      </c>
      <c r="F2327" s="244" t="s">
        <v>1756</v>
      </c>
      <c r="G2327" s="244" t="s">
        <v>2320</v>
      </c>
      <c r="H2327" s="244" t="s">
        <v>2839</v>
      </c>
      <c r="I2327" s="245">
        <v>7.38</v>
      </c>
      <c r="J2327" s="245">
        <v>3.95</v>
      </c>
      <c r="K2327" s="244">
        <v>229.3</v>
      </c>
      <c r="L2327" s="244"/>
      <c r="N2327" s="244"/>
      <c r="Q2327" s="245">
        <v>4</v>
      </c>
      <c r="R2327" s="244">
        <v>4</v>
      </c>
      <c r="T2327" s="245" t="s">
        <v>2321</v>
      </c>
      <c r="U2327" s="245" t="s">
        <v>1392</v>
      </c>
      <c r="V2327" s="245">
        <v>10</v>
      </c>
      <c r="W2327" s="245" t="s">
        <v>1386</v>
      </c>
      <c r="X2327" s="245" t="s">
        <v>1386</v>
      </c>
      <c r="Y2327" s="245">
        <v>1.31</v>
      </c>
      <c r="Z2327" s="376">
        <v>69.3</v>
      </c>
      <c r="AA2327" s="376">
        <v>9.5</v>
      </c>
      <c r="AB2327" s="245" t="s">
        <v>241</v>
      </c>
      <c r="AD2327" s="245">
        <v>1.7</v>
      </c>
      <c r="AF2327" s="244" t="s">
        <v>2322</v>
      </c>
      <c r="AG2327" s="244" t="s">
        <v>2328</v>
      </c>
      <c r="AH2327" s="245" t="s">
        <v>1585</v>
      </c>
      <c r="AI2327" s="244" t="s">
        <v>2338</v>
      </c>
      <c r="AJ2327" s="245" t="s">
        <v>1621</v>
      </c>
      <c r="AN2327" s="244"/>
      <c r="AQ2327" s="244"/>
      <c r="AT2327" s="244" t="s">
        <v>161</v>
      </c>
      <c r="AU2327" s="245">
        <v>3</v>
      </c>
      <c r="AV2327" s="244"/>
      <c r="AW2327" s="245" t="s">
        <v>142</v>
      </c>
      <c r="BA2327" s="245" t="s">
        <v>2335</v>
      </c>
      <c r="BH2327" s="244"/>
      <c r="BK2327" s="248"/>
      <c r="BL2327" s="245" t="s">
        <v>2339</v>
      </c>
      <c r="BM2327" s="437"/>
      <c r="BN2327" s="437"/>
      <c r="BR2327" s="437"/>
      <c r="BS2327" s="437"/>
      <c r="FH2327" s="246"/>
    </row>
    <row r="2328" spans="1:251" s="472" customFormat="1" x14ac:dyDescent="0.25">
      <c r="A2328" s="472">
        <v>110</v>
      </c>
      <c r="B2328" s="473" t="s">
        <v>2228</v>
      </c>
      <c r="C2328" s="472" t="s">
        <v>2319</v>
      </c>
      <c r="D2328" s="473">
        <v>1982</v>
      </c>
      <c r="E2328" s="245">
        <v>1977</v>
      </c>
      <c r="F2328" s="473" t="s">
        <v>1756</v>
      </c>
      <c r="G2328" s="473" t="s">
        <v>2320</v>
      </c>
      <c r="H2328" s="244" t="s">
        <v>2839</v>
      </c>
      <c r="I2328" s="472">
        <v>7.38</v>
      </c>
      <c r="J2328" s="472">
        <v>3.95</v>
      </c>
      <c r="K2328" s="473">
        <v>229.3</v>
      </c>
      <c r="L2328" s="473"/>
      <c r="N2328" s="473"/>
      <c r="Q2328" s="472">
        <v>4</v>
      </c>
      <c r="R2328" s="473">
        <v>4</v>
      </c>
      <c r="T2328" s="472" t="s">
        <v>2321</v>
      </c>
      <c r="U2328" s="472" t="s">
        <v>1392</v>
      </c>
      <c r="V2328" s="472">
        <v>10</v>
      </c>
      <c r="W2328" s="472" t="s">
        <v>1386</v>
      </c>
      <c r="X2328" s="472" t="s">
        <v>1386</v>
      </c>
      <c r="Y2328" s="472">
        <v>1.31</v>
      </c>
      <c r="Z2328" s="474">
        <v>69.3</v>
      </c>
      <c r="AA2328" s="474">
        <v>9.5</v>
      </c>
      <c r="AB2328" s="472" t="s">
        <v>241</v>
      </c>
      <c r="AD2328" s="472">
        <v>1.7</v>
      </c>
      <c r="AF2328" s="473" t="s">
        <v>2322</v>
      </c>
      <c r="AG2328" s="473" t="s">
        <v>2329</v>
      </c>
      <c r="AH2328" s="472" t="s">
        <v>578</v>
      </c>
      <c r="AI2328" s="244" t="s">
        <v>2338</v>
      </c>
      <c r="AJ2328" s="245" t="s">
        <v>1621</v>
      </c>
      <c r="AN2328" s="473"/>
      <c r="AQ2328" s="473"/>
      <c r="AT2328" s="473" t="s">
        <v>161</v>
      </c>
      <c r="AU2328" s="245">
        <v>3</v>
      </c>
      <c r="AV2328" s="473"/>
      <c r="AW2328" s="245" t="s">
        <v>142</v>
      </c>
      <c r="BA2328" s="245" t="s">
        <v>2335</v>
      </c>
      <c r="BC2328" s="245"/>
      <c r="BH2328" s="244">
        <v>280</v>
      </c>
      <c r="BI2328" s="472">
        <v>2440</v>
      </c>
      <c r="BK2328" s="475"/>
      <c r="BL2328" s="472" t="s">
        <v>2339</v>
      </c>
      <c r="BM2328" s="437"/>
      <c r="BN2328" s="476"/>
      <c r="BO2328" s="245"/>
      <c r="BR2328" s="476"/>
      <c r="BS2328" s="476"/>
      <c r="DM2328" s="245"/>
      <c r="FH2328" s="477"/>
      <c r="IO2328" s="245"/>
    </row>
    <row r="2329" spans="1:251" s="472" customFormat="1" x14ac:dyDescent="0.25">
      <c r="A2329" s="472">
        <v>110</v>
      </c>
      <c r="B2329" s="473" t="s">
        <v>2228</v>
      </c>
      <c r="C2329" s="472" t="s">
        <v>2319</v>
      </c>
      <c r="D2329" s="473">
        <v>1982</v>
      </c>
      <c r="E2329" s="245">
        <v>1977</v>
      </c>
      <c r="F2329" s="473" t="s">
        <v>1756</v>
      </c>
      <c r="G2329" s="473" t="s">
        <v>2320</v>
      </c>
      <c r="H2329" s="244" t="s">
        <v>2839</v>
      </c>
      <c r="I2329" s="472">
        <v>7.38</v>
      </c>
      <c r="J2329" s="472">
        <v>3.95</v>
      </c>
      <c r="K2329" s="473">
        <v>229.3</v>
      </c>
      <c r="L2329" s="473"/>
      <c r="N2329" s="473"/>
      <c r="Q2329" s="472">
        <v>4</v>
      </c>
      <c r="R2329" s="473">
        <v>4</v>
      </c>
      <c r="T2329" s="472" t="s">
        <v>2321</v>
      </c>
      <c r="U2329" s="472" t="s">
        <v>1392</v>
      </c>
      <c r="V2329" s="472">
        <v>10</v>
      </c>
      <c r="W2329" s="472" t="s">
        <v>1386</v>
      </c>
      <c r="X2329" s="472" t="s">
        <v>1386</v>
      </c>
      <c r="Y2329" s="472">
        <v>1.31</v>
      </c>
      <c r="Z2329" s="474">
        <v>69.3</v>
      </c>
      <c r="AA2329" s="474">
        <v>9.5</v>
      </c>
      <c r="AB2329" s="472" t="s">
        <v>241</v>
      </c>
      <c r="AD2329" s="472">
        <v>1.7</v>
      </c>
      <c r="AF2329" s="473" t="s">
        <v>2322</v>
      </c>
      <c r="AG2329" s="473" t="s">
        <v>2330</v>
      </c>
      <c r="AH2329" s="472" t="s">
        <v>578</v>
      </c>
      <c r="AI2329" s="244" t="s">
        <v>2338</v>
      </c>
      <c r="AJ2329" s="245" t="s">
        <v>1621</v>
      </c>
      <c r="AN2329" s="473"/>
      <c r="AQ2329" s="473"/>
      <c r="AT2329" s="473" t="s">
        <v>161</v>
      </c>
      <c r="AU2329" s="245">
        <v>3</v>
      </c>
      <c r="AV2329" s="473"/>
      <c r="AW2329" s="245" t="s">
        <v>142</v>
      </c>
      <c r="BA2329" s="245" t="s">
        <v>2335</v>
      </c>
      <c r="BC2329" s="245"/>
      <c r="BH2329" s="244">
        <v>280</v>
      </c>
      <c r="BI2329" s="472">
        <v>3060</v>
      </c>
      <c r="BK2329" s="475"/>
      <c r="BL2329" s="472" t="s">
        <v>2339</v>
      </c>
      <c r="BM2329" s="437"/>
      <c r="BN2329" s="476"/>
      <c r="BO2329" s="245"/>
      <c r="BR2329" s="476"/>
      <c r="BS2329" s="476"/>
      <c r="DM2329" s="245"/>
      <c r="FH2329" s="477"/>
      <c r="IO2329" s="245"/>
    </row>
    <row r="2330" spans="1:251" s="472" customFormat="1" x14ac:dyDescent="0.25">
      <c r="A2330" s="472">
        <v>110</v>
      </c>
      <c r="B2330" s="473" t="s">
        <v>2228</v>
      </c>
      <c r="C2330" s="472" t="s">
        <v>2319</v>
      </c>
      <c r="D2330" s="473">
        <v>1982</v>
      </c>
      <c r="E2330" s="245">
        <v>1977</v>
      </c>
      <c r="F2330" s="473" t="s">
        <v>1756</v>
      </c>
      <c r="G2330" s="473" t="s">
        <v>2320</v>
      </c>
      <c r="H2330" s="244" t="s">
        <v>2839</v>
      </c>
      <c r="I2330" s="472">
        <v>7.38</v>
      </c>
      <c r="J2330" s="472">
        <v>3.95</v>
      </c>
      <c r="K2330" s="473">
        <v>229.3</v>
      </c>
      <c r="L2330" s="473"/>
      <c r="N2330" s="473"/>
      <c r="Q2330" s="472">
        <v>4</v>
      </c>
      <c r="R2330" s="473">
        <v>4</v>
      </c>
      <c r="T2330" s="472" t="s">
        <v>2321</v>
      </c>
      <c r="U2330" s="472" t="s">
        <v>1392</v>
      </c>
      <c r="V2330" s="472">
        <v>10</v>
      </c>
      <c r="W2330" s="472" t="s">
        <v>1386</v>
      </c>
      <c r="X2330" s="472" t="s">
        <v>1386</v>
      </c>
      <c r="Y2330" s="472">
        <v>1.31</v>
      </c>
      <c r="Z2330" s="474">
        <v>69.3</v>
      </c>
      <c r="AA2330" s="474">
        <v>9.5</v>
      </c>
      <c r="AB2330" s="472" t="s">
        <v>241</v>
      </c>
      <c r="AD2330" s="472">
        <v>1.7</v>
      </c>
      <c r="AF2330" s="473" t="s">
        <v>2322</v>
      </c>
      <c r="AG2330" s="473" t="s">
        <v>2331</v>
      </c>
      <c r="AH2330" s="472" t="s">
        <v>578</v>
      </c>
      <c r="AI2330" s="244" t="s">
        <v>2338</v>
      </c>
      <c r="AJ2330" s="245" t="s">
        <v>1621</v>
      </c>
      <c r="AN2330" s="473"/>
      <c r="AQ2330" s="473"/>
      <c r="AT2330" s="473" t="s">
        <v>161</v>
      </c>
      <c r="AU2330" s="245">
        <v>3</v>
      </c>
      <c r="AV2330" s="473"/>
      <c r="AW2330" s="245" t="s">
        <v>142</v>
      </c>
      <c r="BA2330" s="245" t="s">
        <v>2335</v>
      </c>
      <c r="BC2330" s="245"/>
      <c r="BH2330" s="244">
        <v>280</v>
      </c>
      <c r="BI2330" s="472">
        <v>1310</v>
      </c>
      <c r="BK2330" s="475"/>
      <c r="BL2330" s="472" t="s">
        <v>2339</v>
      </c>
      <c r="BM2330" s="437"/>
      <c r="BN2330" s="476"/>
      <c r="BO2330" s="245"/>
      <c r="BR2330" s="476"/>
      <c r="BS2330" s="476"/>
      <c r="DM2330" s="245"/>
      <c r="FH2330" s="477"/>
      <c r="IO2330" s="245"/>
    </row>
    <row r="2331" spans="1:251" s="472" customFormat="1" x14ac:dyDescent="0.25">
      <c r="A2331" s="472">
        <v>110</v>
      </c>
      <c r="B2331" s="473" t="s">
        <v>2228</v>
      </c>
      <c r="C2331" s="472" t="s">
        <v>2319</v>
      </c>
      <c r="D2331" s="473">
        <v>1982</v>
      </c>
      <c r="E2331" s="245">
        <v>1977</v>
      </c>
      <c r="F2331" s="473" t="s">
        <v>1756</v>
      </c>
      <c r="G2331" s="473" t="s">
        <v>2320</v>
      </c>
      <c r="H2331" s="244" t="s">
        <v>2839</v>
      </c>
      <c r="I2331" s="472">
        <v>7.38</v>
      </c>
      <c r="J2331" s="472">
        <v>3.95</v>
      </c>
      <c r="K2331" s="473">
        <v>229.3</v>
      </c>
      <c r="L2331" s="473"/>
      <c r="N2331" s="473"/>
      <c r="Q2331" s="472">
        <v>4</v>
      </c>
      <c r="R2331" s="473">
        <v>4</v>
      </c>
      <c r="T2331" s="472" t="s">
        <v>2321</v>
      </c>
      <c r="U2331" s="472" t="s">
        <v>1392</v>
      </c>
      <c r="V2331" s="472">
        <v>10</v>
      </c>
      <c r="W2331" s="472" t="s">
        <v>1386</v>
      </c>
      <c r="X2331" s="472" t="s">
        <v>1386</v>
      </c>
      <c r="Y2331" s="472">
        <v>1.31</v>
      </c>
      <c r="Z2331" s="474">
        <v>69.3</v>
      </c>
      <c r="AA2331" s="474">
        <v>9.5</v>
      </c>
      <c r="AB2331" s="472" t="s">
        <v>241</v>
      </c>
      <c r="AD2331" s="472">
        <v>1.7</v>
      </c>
      <c r="AF2331" s="473" t="s">
        <v>2322</v>
      </c>
      <c r="AG2331" s="473" t="s">
        <v>2332</v>
      </c>
      <c r="AH2331" s="472" t="s">
        <v>578</v>
      </c>
      <c r="AI2331" s="244" t="s">
        <v>2338</v>
      </c>
      <c r="AJ2331" s="245" t="s">
        <v>1621</v>
      </c>
      <c r="AN2331" s="473"/>
      <c r="AQ2331" s="473"/>
      <c r="AT2331" s="473" t="s">
        <v>161</v>
      </c>
      <c r="AU2331" s="245">
        <v>3</v>
      </c>
      <c r="AV2331" s="473"/>
      <c r="AW2331" s="245" t="s">
        <v>142</v>
      </c>
      <c r="BA2331" s="245" t="s">
        <v>2335</v>
      </c>
      <c r="BC2331" s="245"/>
      <c r="BH2331" s="244">
        <v>280</v>
      </c>
      <c r="BI2331" s="472">
        <v>1610</v>
      </c>
      <c r="BK2331" s="475"/>
      <c r="BL2331" s="472" t="s">
        <v>2339</v>
      </c>
      <c r="BM2331" s="437"/>
      <c r="BN2331" s="476"/>
      <c r="BO2331" s="245"/>
      <c r="BR2331" s="476"/>
      <c r="BS2331" s="476"/>
      <c r="DM2331" s="245"/>
      <c r="FH2331" s="477"/>
      <c r="IO2331" s="245"/>
    </row>
    <row r="2332" spans="1:251" s="472" customFormat="1" x14ac:dyDescent="0.25">
      <c r="A2332" s="472">
        <v>110</v>
      </c>
      <c r="B2332" s="473" t="s">
        <v>2228</v>
      </c>
      <c r="C2332" s="472" t="s">
        <v>2319</v>
      </c>
      <c r="D2332" s="473">
        <v>1982</v>
      </c>
      <c r="E2332" s="245">
        <v>1977</v>
      </c>
      <c r="F2332" s="473" t="s">
        <v>1756</v>
      </c>
      <c r="G2332" s="473" t="s">
        <v>2320</v>
      </c>
      <c r="H2332" s="244" t="s">
        <v>2839</v>
      </c>
      <c r="I2332" s="472">
        <v>7.38</v>
      </c>
      <c r="J2332" s="472">
        <v>3.95</v>
      </c>
      <c r="K2332" s="473">
        <v>229.3</v>
      </c>
      <c r="L2332" s="473"/>
      <c r="N2332" s="473"/>
      <c r="Q2332" s="472">
        <v>4</v>
      </c>
      <c r="R2332" s="473">
        <v>4</v>
      </c>
      <c r="T2332" s="472" t="s">
        <v>2321</v>
      </c>
      <c r="U2332" s="472" t="s">
        <v>1392</v>
      </c>
      <c r="V2332" s="472">
        <v>10</v>
      </c>
      <c r="W2332" s="472" t="s">
        <v>1386</v>
      </c>
      <c r="X2332" s="472" t="s">
        <v>1386</v>
      </c>
      <c r="Y2332" s="472">
        <v>1.31</v>
      </c>
      <c r="Z2332" s="474">
        <v>69.3</v>
      </c>
      <c r="AA2332" s="474">
        <v>9.5</v>
      </c>
      <c r="AB2332" s="472" t="s">
        <v>241</v>
      </c>
      <c r="AD2332" s="472">
        <v>1.7</v>
      </c>
      <c r="AF2332" s="473" t="s">
        <v>2322</v>
      </c>
      <c r="AG2332" s="473" t="s">
        <v>2333</v>
      </c>
      <c r="AH2332" s="472" t="s">
        <v>578</v>
      </c>
      <c r="AI2332" s="244" t="s">
        <v>2338</v>
      </c>
      <c r="AJ2332" s="245" t="s">
        <v>1621</v>
      </c>
      <c r="AN2332" s="473"/>
      <c r="AQ2332" s="473"/>
      <c r="AT2332" s="473" t="s">
        <v>161</v>
      </c>
      <c r="AU2332" s="245">
        <v>3</v>
      </c>
      <c r="AV2332" s="473"/>
      <c r="AW2332" s="245" t="s">
        <v>142</v>
      </c>
      <c r="BA2332" s="245" t="s">
        <v>2335</v>
      </c>
      <c r="BC2332" s="245"/>
      <c r="BH2332" s="244">
        <v>280</v>
      </c>
      <c r="BI2332" s="472">
        <v>390</v>
      </c>
      <c r="BK2332" s="475"/>
      <c r="BL2332" s="472" t="s">
        <v>2339</v>
      </c>
      <c r="BM2332" s="437"/>
      <c r="BN2332" s="476"/>
      <c r="BO2332" s="245"/>
      <c r="BR2332" s="476"/>
      <c r="BS2332" s="476"/>
      <c r="DM2332" s="245"/>
      <c r="FH2332" s="477"/>
      <c r="IO2332" s="245"/>
    </row>
    <row r="2333" spans="1:251" s="126" customFormat="1" x14ac:dyDescent="0.25">
      <c r="A2333" s="126">
        <v>111</v>
      </c>
      <c r="B2333" s="126" t="s">
        <v>2381</v>
      </c>
      <c r="C2333" s="126">
        <v>2</v>
      </c>
      <c r="D2333" s="126">
        <v>2013</v>
      </c>
      <c r="E2333" s="126">
        <v>2011</v>
      </c>
      <c r="F2333" s="126">
        <v>2</v>
      </c>
      <c r="G2333" s="126" t="s">
        <v>2341</v>
      </c>
      <c r="H2333" s="126" t="s">
        <v>2840</v>
      </c>
      <c r="I2333" s="126">
        <v>-36.245922</v>
      </c>
      <c r="J2333" s="126">
        <v>-62.569674999999997</v>
      </c>
      <c r="K2333" s="126">
        <v>99.4</v>
      </c>
      <c r="M2333" s="126">
        <v>18</v>
      </c>
      <c r="O2333" s="126">
        <v>805</v>
      </c>
      <c r="Q2333" s="478" t="s">
        <v>1729</v>
      </c>
      <c r="R2333" s="478" t="s">
        <v>1852</v>
      </c>
      <c r="S2333" s="478"/>
      <c r="U2333" s="478" t="s">
        <v>1383</v>
      </c>
      <c r="V2333" s="478" t="s">
        <v>1722</v>
      </c>
      <c r="W2333" s="478" t="s">
        <v>1383</v>
      </c>
      <c r="X2333" s="478" t="s">
        <v>1383</v>
      </c>
      <c r="Y2333" s="479"/>
      <c r="Z2333" s="479"/>
      <c r="AB2333" s="126" t="s">
        <v>241</v>
      </c>
      <c r="AF2333" s="478" t="s">
        <v>1356</v>
      </c>
      <c r="AG2333" s="126" t="s">
        <v>2343</v>
      </c>
      <c r="AH2333" s="126" t="s">
        <v>1586</v>
      </c>
      <c r="AI2333" s="126" t="s">
        <v>133</v>
      </c>
      <c r="AJ2333" s="126" t="s">
        <v>133</v>
      </c>
      <c r="AK2333" s="126" t="s">
        <v>944</v>
      </c>
      <c r="AL2333" s="126" t="s">
        <v>944</v>
      </c>
      <c r="AU2333" s="126">
        <v>3</v>
      </c>
      <c r="BA2333" s="126" t="s">
        <v>2344</v>
      </c>
      <c r="BB2333" s="126" t="s">
        <v>2853</v>
      </c>
      <c r="BR2333" s="126">
        <v>42.9</v>
      </c>
      <c r="BS2333" s="126">
        <v>46</v>
      </c>
      <c r="BV2333" s="126" t="s">
        <v>2105</v>
      </c>
      <c r="IO2333" s="126" t="s">
        <v>2405</v>
      </c>
      <c r="IP2333" s="126" t="s">
        <v>2406</v>
      </c>
      <c r="IQ2333" s="480"/>
    </row>
    <row r="2334" spans="1:251" s="126" customFormat="1" x14ac:dyDescent="0.25">
      <c r="A2334" s="126">
        <v>111</v>
      </c>
      <c r="B2334" s="126" t="s">
        <v>2381</v>
      </c>
      <c r="C2334" s="126">
        <v>2</v>
      </c>
      <c r="D2334" s="126">
        <v>2013</v>
      </c>
      <c r="E2334" s="126">
        <v>2011</v>
      </c>
      <c r="F2334" s="126">
        <v>2</v>
      </c>
      <c r="G2334" s="126" t="s">
        <v>2341</v>
      </c>
      <c r="H2334" s="126" t="s">
        <v>2840</v>
      </c>
      <c r="I2334" s="126">
        <v>-36.245922</v>
      </c>
      <c r="J2334" s="126">
        <v>-62.569674999999997</v>
      </c>
      <c r="K2334" s="126">
        <v>99.4</v>
      </c>
      <c r="M2334" s="126">
        <v>18</v>
      </c>
      <c r="O2334" s="126">
        <v>805</v>
      </c>
      <c r="Q2334" s="478" t="s">
        <v>1729</v>
      </c>
      <c r="R2334" s="478" t="s">
        <v>1852</v>
      </c>
      <c r="S2334" s="478"/>
      <c r="U2334" s="478" t="s">
        <v>1383</v>
      </c>
      <c r="V2334" s="478" t="s">
        <v>1722</v>
      </c>
      <c r="W2334" s="478" t="s">
        <v>1383</v>
      </c>
      <c r="X2334" s="478" t="s">
        <v>1383</v>
      </c>
      <c r="Y2334" s="479"/>
      <c r="Z2334" s="479"/>
      <c r="AB2334" s="126" t="s">
        <v>241</v>
      </c>
      <c r="AF2334" s="478" t="s">
        <v>1356</v>
      </c>
      <c r="AG2334" s="126" t="s">
        <v>2343</v>
      </c>
      <c r="AH2334" s="126" t="s">
        <v>1586</v>
      </c>
      <c r="AI2334" s="126" t="s">
        <v>159</v>
      </c>
      <c r="AJ2334" s="126" t="s">
        <v>159</v>
      </c>
      <c r="AK2334" s="126" t="s">
        <v>2345</v>
      </c>
      <c r="AL2334" s="126" t="s">
        <v>2345</v>
      </c>
      <c r="AU2334" s="126">
        <v>3</v>
      </c>
      <c r="BA2334" s="126" t="s">
        <v>2344</v>
      </c>
      <c r="BB2334" s="126" t="s">
        <v>2853</v>
      </c>
      <c r="BR2334" s="126">
        <v>35.6</v>
      </c>
      <c r="BS2334" s="126">
        <v>42.7</v>
      </c>
      <c r="BV2334" s="126" t="s">
        <v>2105</v>
      </c>
      <c r="IO2334" s="126" t="s">
        <v>2405</v>
      </c>
      <c r="IP2334" s="126" t="s">
        <v>2406</v>
      </c>
      <c r="IQ2334" s="480"/>
    </row>
    <row r="2335" spans="1:251" s="99" customFormat="1" x14ac:dyDescent="0.25">
      <c r="A2335" s="99">
        <v>111</v>
      </c>
      <c r="B2335" s="99" t="s">
        <v>2382</v>
      </c>
      <c r="C2335" s="99">
        <v>7</v>
      </c>
      <c r="D2335" s="99">
        <v>2008</v>
      </c>
      <c r="E2335" s="99">
        <v>2006</v>
      </c>
      <c r="F2335" s="99" t="s">
        <v>2394</v>
      </c>
      <c r="G2335" s="99" t="s">
        <v>2341</v>
      </c>
      <c r="H2335" s="99" t="s">
        <v>2840</v>
      </c>
      <c r="I2335" s="99">
        <v>-37.419421999999997</v>
      </c>
      <c r="J2335" s="99">
        <v>-62.009036000000002</v>
      </c>
      <c r="K2335" s="99">
        <v>227</v>
      </c>
      <c r="M2335" s="99">
        <v>16.3</v>
      </c>
      <c r="O2335" s="99">
        <v>859</v>
      </c>
      <c r="Q2335" s="100" t="s">
        <v>1867</v>
      </c>
      <c r="R2335" s="100" t="s">
        <v>1741</v>
      </c>
      <c r="S2335" s="100"/>
      <c r="U2335" s="100" t="s">
        <v>1383</v>
      </c>
      <c r="V2335" s="100" t="s">
        <v>1722</v>
      </c>
      <c r="W2335" s="100" t="s">
        <v>1383</v>
      </c>
      <c r="X2335" s="100" t="s">
        <v>1383</v>
      </c>
      <c r="Y2335" s="351"/>
      <c r="Z2335" s="351"/>
      <c r="AB2335" s="99" t="s">
        <v>2346</v>
      </c>
      <c r="AF2335" s="100" t="s">
        <v>2400</v>
      </c>
      <c r="AG2335" s="99" t="s">
        <v>2347</v>
      </c>
      <c r="AH2335" s="99" t="s">
        <v>1585</v>
      </c>
      <c r="AI2335" s="99" t="s">
        <v>159</v>
      </c>
      <c r="AJ2335" s="99" t="s">
        <v>159</v>
      </c>
      <c r="AK2335" s="99" t="s">
        <v>2345</v>
      </c>
      <c r="AL2335" s="99" t="s">
        <v>2345</v>
      </c>
      <c r="AU2335" s="99">
        <v>3</v>
      </c>
      <c r="BA2335" s="99" t="s">
        <v>2348</v>
      </c>
      <c r="BB2335" s="99" t="s">
        <v>2853</v>
      </c>
      <c r="BM2335" s="99">
        <v>1.35</v>
      </c>
      <c r="BN2335" s="99">
        <v>1.31833333333333</v>
      </c>
      <c r="BR2335" s="99">
        <v>57.6</v>
      </c>
      <c r="BS2335" s="99">
        <v>60.5</v>
      </c>
      <c r="BV2335" s="99" t="s">
        <v>2105</v>
      </c>
      <c r="IO2335" s="99" t="s">
        <v>2405</v>
      </c>
      <c r="IP2335" s="99" t="s">
        <v>2406</v>
      </c>
      <c r="IQ2335" s="511"/>
    </row>
    <row r="2336" spans="1:251" s="99" customFormat="1" x14ac:dyDescent="0.25">
      <c r="A2336" s="99">
        <v>111</v>
      </c>
      <c r="B2336" s="99" t="s">
        <v>2382</v>
      </c>
      <c r="C2336" s="99">
        <v>7</v>
      </c>
      <c r="D2336" s="99">
        <v>2008</v>
      </c>
      <c r="E2336" s="99">
        <v>2006</v>
      </c>
      <c r="F2336" s="99" t="s">
        <v>2394</v>
      </c>
      <c r="G2336" s="99" t="s">
        <v>2341</v>
      </c>
      <c r="H2336" s="99" t="s">
        <v>2840</v>
      </c>
      <c r="I2336" s="99">
        <v>-37.419421999999997</v>
      </c>
      <c r="J2336" s="99">
        <v>-62.009036000000002</v>
      </c>
      <c r="K2336" s="99">
        <v>227</v>
      </c>
      <c r="M2336" s="99">
        <v>16.3</v>
      </c>
      <c r="O2336" s="99">
        <v>859</v>
      </c>
      <c r="Q2336" s="100" t="s">
        <v>1867</v>
      </c>
      <c r="R2336" s="100" t="s">
        <v>1741</v>
      </c>
      <c r="S2336" s="100"/>
      <c r="U2336" s="100" t="s">
        <v>1383</v>
      </c>
      <c r="V2336" s="100" t="s">
        <v>1722</v>
      </c>
      <c r="W2336" s="100" t="s">
        <v>1383</v>
      </c>
      <c r="X2336" s="100" t="s">
        <v>1383</v>
      </c>
      <c r="Y2336" s="351"/>
      <c r="Z2336" s="351"/>
      <c r="AB2336" s="99" t="s">
        <v>2346</v>
      </c>
      <c r="AF2336" s="100" t="s">
        <v>2400</v>
      </c>
      <c r="AG2336" s="99" t="s">
        <v>2347</v>
      </c>
      <c r="AH2336" s="99" t="s">
        <v>1585</v>
      </c>
      <c r="AI2336" s="99" t="s">
        <v>159</v>
      </c>
      <c r="AJ2336" s="99" t="s">
        <v>159</v>
      </c>
      <c r="AK2336" s="99" t="s">
        <v>2345</v>
      </c>
      <c r="AL2336" s="99" t="s">
        <v>2345</v>
      </c>
      <c r="AU2336" s="99">
        <v>3</v>
      </c>
      <c r="BA2336" s="99" t="s">
        <v>2349</v>
      </c>
      <c r="BB2336" s="99" t="s">
        <v>2853</v>
      </c>
      <c r="BM2336" s="99">
        <v>1.35</v>
      </c>
      <c r="BN2336" s="99">
        <v>1.31833333333333</v>
      </c>
      <c r="BR2336" s="99">
        <v>57.6</v>
      </c>
      <c r="BS2336" s="99">
        <v>63.7</v>
      </c>
      <c r="BV2336" s="99" t="s">
        <v>2105</v>
      </c>
      <c r="IO2336" s="99" t="s">
        <v>2405</v>
      </c>
      <c r="IP2336" s="99" t="s">
        <v>2406</v>
      </c>
      <c r="IQ2336" s="511"/>
    </row>
    <row r="2337" spans="1:251" s="99" customFormat="1" x14ac:dyDescent="0.25">
      <c r="A2337" s="99">
        <v>111</v>
      </c>
      <c r="B2337" s="99" t="s">
        <v>2382</v>
      </c>
      <c r="C2337" s="99">
        <v>7</v>
      </c>
      <c r="D2337" s="99">
        <v>2008</v>
      </c>
      <c r="E2337" s="99">
        <v>2006</v>
      </c>
      <c r="F2337" s="99" t="s">
        <v>2394</v>
      </c>
      <c r="G2337" s="99" t="s">
        <v>2341</v>
      </c>
      <c r="H2337" s="99" t="s">
        <v>2840</v>
      </c>
      <c r="I2337" s="99">
        <v>-37.419421999999997</v>
      </c>
      <c r="J2337" s="99">
        <v>-62.009036000000002</v>
      </c>
      <c r="K2337" s="99">
        <v>227</v>
      </c>
      <c r="M2337" s="99">
        <v>16.3</v>
      </c>
      <c r="O2337" s="99">
        <v>859</v>
      </c>
      <c r="Q2337" s="100" t="s">
        <v>1867</v>
      </c>
      <c r="R2337" s="100" t="s">
        <v>1741</v>
      </c>
      <c r="S2337" s="100"/>
      <c r="U2337" s="100" t="s">
        <v>1383</v>
      </c>
      <c r="V2337" s="100" t="s">
        <v>1722</v>
      </c>
      <c r="W2337" s="100" t="s">
        <v>1383</v>
      </c>
      <c r="X2337" s="100" t="s">
        <v>1383</v>
      </c>
      <c r="Y2337" s="351"/>
      <c r="Z2337" s="351"/>
      <c r="AB2337" s="99" t="s">
        <v>2346</v>
      </c>
      <c r="AF2337" s="100" t="s">
        <v>2400</v>
      </c>
      <c r="AG2337" s="99" t="s">
        <v>2347</v>
      </c>
      <c r="AH2337" s="99" t="s">
        <v>1585</v>
      </c>
      <c r="AI2337" s="99" t="s">
        <v>159</v>
      </c>
      <c r="AJ2337" s="99" t="s">
        <v>159</v>
      </c>
      <c r="AK2337" s="99" t="s">
        <v>2345</v>
      </c>
      <c r="AL2337" s="99" t="s">
        <v>2345</v>
      </c>
      <c r="AU2337" s="99">
        <v>3</v>
      </c>
      <c r="BA2337" s="99" t="s">
        <v>2350</v>
      </c>
      <c r="BB2337" s="99" t="s">
        <v>2853</v>
      </c>
      <c r="BM2337" s="99">
        <v>1.35</v>
      </c>
      <c r="BN2337" s="99">
        <v>1.31833333333333</v>
      </c>
      <c r="BR2337" s="99">
        <v>57.6</v>
      </c>
      <c r="BS2337" s="99">
        <v>60.2</v>
      </c>
      <c r="BV2337" s="99" t="s">
        <v>2105</v>
      </c>
      <c r="IO2337" s="99" t="s">
        <v>2405</v>
      </c>
      <c r="IP2337" s="99" t="s">
        <v>2406</v>
      </c>
      <c r="IQ2337" s="511"/>
    </row>
    <row r="2338" spans="1:251" s="126" customFormat="1" x14ac:dyDescent="0.25">
      <c r="A2338" s="126">
        <v>111</v>
      </c>
      <c r="B2338" s="126" t="s">
        <v>2382</v>
      </c>
      <c r="C2338" s="126">
        <v>3</v>
      </c>
      <c r="D2338" s="126">
        <v>2014</v>
      </c>
      <c r="E2338" s="126">
        <v>2012</v>
      </c>
      <c r="F2338" s="126" t="s">
        <v>2395</v>
      </c>
      <c r="G2338" s="126" t="s">
        <v>2341</v>
      </c>
      <c r="H2338" s="126" t="s">
        <v>2840</v>
      </c>
      <c r="I2338" s="126">
        <v>-35.389347222222199</v>
      </c>
      <c r="J2338" s="126">
        <v>-60.883994444444397</v>
      </c>
      <c r="K2338" s="126">
        <v>71.8</v>
      </c>
      <c r="M2338" s="126">
        <v>17.5</v>
      </c>
      <c r="O2338" s="126">
        <v>818</v>
      </c>
      <c r="Q2338" s="478" t="s">
        <v>1724</v>
      </c>
      <c r="R2338" s="478" t="s">
        <v>1724</v>
      </c>
      <c r="S2338" s="478"/>
      <c r="U2338" s="478" t="s">
        <v>1383</v>
      </c>
      <c r="V2338" s="478" t="s">
        <v>1722</v>
      </c>
      <c r="W2338" s="478" t="s">
        <v>1383</v>
      </c>
      <c r="X2338" s="478" t="s">
        <v>1383</v>
      </c>
      <c r="Y2338" s="479"/>
      <c r="Z2338" s="479">
        <v>146</v>
      </c>
      <c r="AA2338" s="126">
        <v>687</v>
      </c>
      <c r="AB2338" s="126" t="s">
        <v>1759</v>
      </c>
      <c r="AF2338" s="478" t="s">
        <v>2401</v>
      </c>
      <c r="AG2338" s="126" t="s">
        <v>2347</v>
      </c>
      <c r="AH2338" s="126" t="s">
        <v>1585</v>
      </c>
      <c r="AI2338" s="126" t="s">
        <v>133</v>
      </c>
      <c r="AJ2338" s="126" t="s">
        <v>133</v>
      </c>
      <c r="AK2338" s="126" t="s">
        <v>944</v>
      </c>
      <c r="AL2338" s="126" t="s">
        <v>944</v>
      </c>
      <c r="AU2338" s="126">
        <v>3</v>
      </c>
      <c r="BA2338" s="126" t="s">
        <v>2349</v>
      </c>
      <c r="BB2338" s="126" t="s">
        <v>2853</v>
      </c>
      <c r="BR2338" s="126">
        <v>31.5</v>
      </c>
      <c r="BS2338" s="126">
        <v>33.9</v>
      </c>
      <c r="BV2338" s="126" t="s">
        <v>2105</v>
      </c>
      <c r="IO2338" s="126" t="s">
        <v>2405</v>
      </c>
      <c r="IP2338" s="126" t="s">
        <v>2406</v>
      </c>
      <c r="IQ2338" s="480"/>
    </row>
    <row r="2339" spans="1:251" s="126" customFormat="1" x14ac:dyDescent="0.25">
      <c r="A2339" s="126">
        <v>111</v>
      </c>
      <c r="B2339" s="126" t="s">
        <v>2382</v>
      </c>
      <c r="C2339" s="126">
        <v>3</v>
      </c>
      <c r="D2339" s="126">
        <v>2014</v>
      </c>
      <c r="E2339" s="126">
        <v>2012</v>
      </c>
      <c r="F2339" s="126" t="s">
        <v>2395</v>
      </c>
      <c r="G2339" s="126" t="s">
        <v>2341</v>
      </c>
      <c r="H2339" s="126" t="s">
        <v>2840</v>
      </c>
      <c r="I2339" s="126">
        <v>-35.389347222222199</v>
      </c>
      <c r="J2339" s="126">
        <v>-60.883994444444397</v>
      </c>
      <c r="K2339" s="126">
        <v>71.8</v>
      </c>
      <c r="M2339" s="126">
        <v>17.5</v>
      </c>
      <c r="O2339" s="126">
        <v>818</v>
      </c>
      <c r="Q2339" s="478" t="s">
        <v>1724</v>
      </c>
      <c r="R2339" s="478" t="s">
        <v>1724</v>
      </c>
      <c r="S2339" s="478"/>
      <c r="U2339" s="478" t="s">
        <v>1383</v>
      </c>
      <c r="V2339" s="478" t="s">
        <v>1722</v>
      </c>
      <c r="W2339" s="478" t="s">
        <v>1383</v>
      </c>
      <c r="X2339" s="478" t="s">
        <v>1383</v>
      </c>
      <c r="Y2339" s="479"/>
      <c r="Z2339" s="479">
        <v>146</v>
      </c>
      <c r="AA2339" s="126">
        <v>687</v>
      </c>
      <c r="AB2339" s="126" t="s">
        <v>1759</v>
      </c>
      <c r="AF2339" s="478" t="s">
        <v>2401</v>
      </c>
      <c r="AG2339" s="126" t="s">
        <v>2347</v>
      </c>
      <c r="AH2339" s="126" t="s">
        <v>1585</v>
      </c>
      <c r="AI2339" s="126" t="s">
        <v>159</v>
      </c>
      <c r="AJ2339" s="126" t="s">
        <v>159</v>
      </c>
      <c r="AK2339" s="126" t="s">
        <v>2345</v>
      </c>
      <c r="AL2339" s="126" t="s">
        <v>2345</v>
      </c>
      <c r="AU2339" s="126">
        <v>3</v>
      </c>
      <c r="BA2339" s="126" t="s">
        <v>2349</v>
      </c>
      <c r="BB2339" s="126" t="s">
        <v>2853</v>
      </c>
      <c r="BR2339" s="126">
        <v>29.9</v>
      </c>
      <c r="BS2339" s="126">
        <v>31.8</v>
      </c>
      <c r="BV2339" s="126" t="s">
        <v>2105</v>
      </c>
      <c r="IO2339" s="126" t="s">
        <v>2405</v>
      </c>
      <c r="IP2339" s="126" t="s">
        <v>2406</v>
      </c>
      <c r="IQ2339" s="480"/>
    </row>
    <row r="2340" spans="1:251" s="99" customFormat="1" x14ac:dyDescent="0.25">
      <c r="A2340" s="99">
        <v>111</v>
      </c>
      <c r="B2340" s="99" t="s">
        <v>2382</v>
      </c>
      <c r="C2340" s="99">
        <v>8</v>
      </c>
      <c r="D2340" s="99">
        <v>2016</v>
      </c>
      <c r="E2340" s="99">
        <v>2014</v>
      </c>
      <c r="F2340" s="99">
        <v>6</v>
      </c>
      <c r="G2340" s="99" t="s">
        <v>2341</v>
      </c>
      <c r="H2340" s="99" t="s">
        <v>2840</v>
      </c>
      <c r="I2340" s="99">
        <v>-37.572446999999997</v>
      </c>
      <c r="J2340" s="99">
        <v>-62.033836000000001</v>
      </c>
      <c r="K2340" s="99">
        <v>271.7</v>
      </c>
      <c r="M2340" s="99">
        <v>16.2</v>
      </c>
      <c r="O2340" s="99">
        <v>970</v>
      </c>
      <c r="Q2340" s="100" t="s">
        <v>1729</v>
      </c>
      <c r="R2340" s="100" t="s">
        <v>1729</v>
      </c>
      <c r="S2340" s="100"/>
      <c r="U2340" s="100" t="s">
        <v>1383</v>
      </c>
      <c r="V2340" s="100" t="s">
        <v>1722</v>
      </c>
      <c r="W2340" s="100" t="s">
        <v>1383</v>
      </c>
      <c r="X2340" s="100" t="s">
        <v>1383</v>
      </c>
      <c r="Y2340" s="351"/>
      <c r="Z2340" s="351"/>
      <c r="AB2340" s="99" t="s">
        <v>2351</v>
      </c>
      <c r="AF2340" s="100" t="s">
        <v>2401</v>
      </c>
      <c r="AG2340" s="99" t="s">
        <v>2352</v>
      </c>
      <c r="AH2340" s="99" t="s">
        <v>2393</v>
      </c>
      <c r="AI2340" s="99" t="s">
        <v>159</v>
      </c>
      <c r="AJ2340" s="99" t="s">
        <v>159</v>
      </c>
      <c r="AK2340" s="99" t="s">
        <v>2345</v>
      </c>
      <c r="AL2340" s="99" t="s">
        <v>2345</v>
      </c>
      <c r="AU2340" s="99">
        <v>3</v>
      </c>
      <c r="BB2340" s="99" t="s">
        <v>2853</v>
      </c>
      <c r="BM2340" s="99">
        <v>1.33</v>
      </c>
      <c r="BN2340" s="99">
        <v>1.2450000000000001</v>
      </c>
      <c r="BR2340" s="99">
        <v>25.8</v>
      </c>
      <c r="BS2340" s="99">
        <v>26</v>
      </c>
      <c r="BV2340" s="99" t="s">
        <v>2105</v>
      </c>
      <c r="IO2340" s="99" t="s">
        <v>2405</v>
      </c>
      <c r="IP2340" s="99" t="s">
        <v>2406</v>
      </c>
      <c r="IQ2340" s="511"/>
    </row>
    <row r="2341" spans="1:251" s="99" customFormat="1" x14ac:dyDescent="0.25">
      <c r="A2341" s="99">
        <v>111</v>
      </c>
      <c r="B2341" s="99" t="s">
        <v>2382</v>
      </c>
      <c r="C2341" s="99">
        <v>9</v>
      </c>
      <c r="D2341" s="99">
        <v>2016</v>
      </c>
      <c r="E2341" s="99">
        <v>2014</v>
      </c>
      <c r="F2341" s="99">
        <v>6</v>
      </c>
      <c r="G2341" s="99" t="s">
        <v>2341</v>
      </c>
      <c r="H2341" s="99" t="s">
        <v>2840</v>
      </c>
      <c r="I2341" s="99">
        <v>-37.401972000000001</v>
      </c>
      <c r="J2341" s="99">
        <v>-61.700510999999999</v>
      </c>
      <c r="K2341" s="99">
        <v>213.1</v>
      </c>
      <c r="M2341" s="99">
        <v>16</v>
      </c>
      <c r="O2341" s="99">
        <v>702</v>
      </c>
      <c r="Q2341" s="100" t="s">
        <v>1986</v>
      </c>
      <c r="R2341" s="100" t="s">
        <v>1986</v>
      </c>
      <c r="S2341" s="100"/>
      <c r="U2341" s="100" t="s">
        <v>1383</v>
      </c>
      <c r="V2341" s="100" t="s">
        <v>1722</v>
      </c>
      <c r="W2341" s="100" t="s">
        <v>1383</v>
      </c>
      <c r="X2341" s="100" t="s">
        <v>1383</v>
      </c>
      <c r="Y2341" s="351"/>
      <c r="Z2341" s="351"/>
      <c r="AB2341" s="99" t="s">
        <v>2353</v>
      </c>
      <c r="AF2341" s="100" t="s">
        <v>2402</v>
      </c>
      <c r="AG2341" s="99" t="s">
        <v>2354</v>
      </c>
      <c r="AH2341" s="99" t="s">
        <v>132</v>
      </c>
      <c r="AI2341" s="99" t="s">
        <v>133</v>
      </c>
      <c r="AJ2341" s="99" t="s">
        <v>133</v>
      </c>
      <c r="AK2341" s="99" t="s">
        <v>944</v>
      </c>
      <c r="AL2341" s="99" t="s">
        <v>944</v>
      </c>
      <c r="AU2341" s="99">
        <v>3</v>
      </c>
      <c r="BB2341" s="99" t="s">
        <v>2853</v>
      </c>
      <c r="BR2341" s="99">
        <v>10</v>
      </c>
      <c r="BS2341" s="99">
        <v>16</v>
      </c>
      <c r="BV2341" s="99" t="s">
        <v>2105</v>
      </c>
      <c r="IO2341" s="99" t="s">
        <v>2405</v>
      </c>
      <c r="IP2341" s="99" t="s">
        <v>2406</v>
      </c>
      <c r="IQ2341" s="511"/>
    </row>
    <row r="2342" spans="1:251" s="99" customFormat="1" x14ac:dyDescent="0.25">
      <c r="A2342" s="99">
        <v>111</v>
      </c>
      <c r="B2342" s="99" t="s">
        <v>2383</v>
      </c>
      <c r="C2342" s="99">
        <v>11</v>
      </c>
      <c r="D2342" s="99">
        <v>2016</v>
      </c>
      <c r="E2342" s="99">
        <v>2014</v>
      </c>
      <c r="F2342" s="99">
        <v>9</v>
      </c>
      <c r="G2342" s="99" t="s">
        <v>2341</v>
      </c>
      <c r="H2342" s="99" t="s">
        <v>2840</v>
      </c>
      <c r="I2342" s="99">
        <v>-34.9985</v>
      </c>
      <c r="J2342" s="99">
        <v>-62.904797000000002</v>
      </c>
      <c r="K2342" s="99">
        <v>115.6</v>
      </c>
      <c r="M2342" s="99">
        <v>16.3</v>
      </c>
      <c r="O2342" s="99">
        <v>859</v>
      </c>
      <c r="Q2342" s="100" t="s">
        <v>1984</v>
      </c>
      <c r="R2342" s="100" t="s">
        <v>1984</v>
      </c>
      <c r="S2342" s="100"/>
      <c r="U2342" s="100" t="s">
        <v>1383</v>
      </c>
      <c r="V2342" s="100" t="s">
        <v>1722</v>
      </c>
      <c r="W2342" s="100" t="s">
        <v>1383</v>
      </c>
      <c r="X2342" s="100" t="s">
        <v>1383</v>
      </c>
      <c r="Y2342" s="351"/>
      <c r="Z2342" s="351"/>
      <c r="AB2342" s="99" t="s">
        <v>2346</v>
      </c>
      <c r="AF2342" s="100" t="s">
        <v>2400</v>
      </c>
      <c r="AG2342" s="99" t="s">
        <v>2354</v>
      </c>
      <c r="AH2342" s="99" t="s">
        <v>132</v>
      </c>
      <c r="AI2342" s="99" t="s">
        <v>159</v>
      </c>
      <c r="AJ2342" s="99" t="s">
        <v>159</v>
      </c>
      <c r="AK2342" s="99" t="s">
        <v>2345</v>
      </c>
      <c r="AL2342" s="99" t="s">
        <v>2345</v>
      </c>
      <c r="AQ2342" s="99" t="s">
        <v>2356</v>
      </c>
      <c r="AR2342" s="99" t="s">
        <v>2356</v>
      </c>
      <c r="AU2342" s="99">
        <v>3</v>
      </c>
      <c r="BA2342" s="99" t="s">
        <v>2355</v>
      </c>
      <c r="BB2342" s="99" t="s">
        <v>2853</v>
      </c>
      <c r="BR2342" s="99">
        <v>41.2</v>
      </c>
      <c r="BS2342" s="99">
        <v>44.1</v>
      </c>
      <c r="BV2342" s="99" t="s">
        <v>2105</v>
      </c>
      <c r="IO2342" s="99" t="s">
        <v>2405</v>
      </c>
      <c r="IP2342" s="99" t="s">
        <v>2406</v>
      </c>
      <c r="IQ2342" s="511"/>
    </row>
    <row r="2343" spans="1:251" s="99" customFormat="1" x14ac:dyDescent="0.25">
      <c r="A2343" s="99">
        <v>111</v>
      </c>
      <c r="B2343" s="99" t="s">
        <v>2383</v>
      </c>
      <c r="C2343" s="99">
        <v>11</v>
      </c>
      <c r="D2343" s="99">
        <v>2016</v>
      </c>
      <c r="E2343" s="99">
        <v>2014</v>
      </c>
      <c r="F2343" s="99">
        <v>9</v>
      </c>
      <c r="G2343" s="99" t="s">
        <v>2341</v>
      </c>
      <c r="H2343" s="99" t="s">
        <v>2840</v>
      </c>
      <c r="I2343" s="99">
        <v>-34.9985</v>
      </c>
      <c r="J2343" s="99">
        <v>-62.904797000000002</v>
      </c>
      <c r="K2343" s="99">
        <v>115.6</v>
      </c>
      <c r="M2343" s="99">
        <v>16.3</v>
      </c>
      <c r="O2343" s="99">
        <v>859</v>
      </c>
      <c r="Q2343" s="100" t="s">
        <v>1984</v>
      </c>
      <c r="R2343" s="100" t="s">
        <v>1984</v>
      </c>
      <c r="S2343" s="100"/>
      <c r="U2343" s="100" t="s">
        <v>1383</v>
      </c>
      <c r="V2343" s="100" t="s">
        <v>1722</v>
      </c>
      <c r="W2343" s="100" t="s">
        <v>1383</v>
      </c>
      <c r="X2343" s="100" t="s">
        <v>1383</v>
      </c>
      <c r="Y2343" s="351"/>
      <c r="Z2343" s="351"/>
      <c r="AB2343" s="99" t="s">
        <v>2346</v>
      </c>
      <c r="AF2343" s="100" t="s">
        <v>2400</v>
      </c>
      <c r="AG2343" s="99" t="s">
        <v>2354</v>
      </c>
      <c r="AH2343" s="99" t="s">
        <v>132</v>
      </c>
      <c r="AI2343" s="99" t="s">
        <v>159</v>
      </c>
      <c r="AJ2343" s="99" t="s">
        <v>159</v>
      </c>
      <c r="AK2343" s="99" t="s">
        <v>2345</v>
      </c>
      <c r="AL2343" s="99" t="s">
        <v>2345</v>
      </c>
      <c r="AR2343" s="99" t="s">
        <v>2357</v>
      </c>
      <c r="AU2343" s="99">
        <v>3</v>
      </c>
      <c r="BA2343" s="99" t="s">
        <v>2355</v>
      </c>
      <c r="BB2343" s="99" t="s">
        <v>2853</v>
      </c>
      <c r="BR2343" s="99">
        <v>38</v>
      </c>
      <c r="BS2343" s="99">
        <v>45.9</v>
      </c>
      <c r="BV2343" s="99" t="s">
        <v>2105</v>
      </c>
      <c r="IO2343" s="99" t="s">
        <v>2405</v>
      </c>
      <c r="IP2343" s="99" t="s">
        <v>2406</v>
      </c>
      <c r="IQ2343" s="511"/>
    </row>
    <row r="2344" spans="1:251" s="99" customFormat="1" x14ac:dyDescent="0.25">
      <c r="A2344" s="99">
        <v>111</v>
      </c>
      <c r="B2344" s="99" t="s">
        <v>2384</v>
      </c>
      <c r="C2344" s="99">
        <v>12</v>
      </c>
      <c r="D2344" s="99">
        <v>2014</v>
      </c>
      <c r="E2344" s="99">
        <v>2012</v>
      </c>
      <c r="F2344" s="99">
        <v>11</v>
      </c>
      <c r="G2344" s="99" t="s">
        <v>2341</v>
      </c>
      <c r="H2344" s="99" t="s">
        <v>2840</v>
      </c>
      <c r="I2344" s="99">
        <v>-34.837381000000001</v>
      </c>
      <c r="J2344" s="99">
        <v>-63.127822000000002</v>
      </c>
      <c r="K2344" s="99">
        <v>123.4</v>
      </c>
      <c r="M2344" s="99">
        <v>16.3</v>
      </c>
      <c r="O2344" s="99">
        <v>859</v>
      </c>
      <c r="Q2344" s="100" t="s">
        <v>1741</v>
      </c>
      <c r="R2344" s="100" t="s">
        <v>1991</v>
      </c>
      <c r="S2344" s="100"/>
      <c r="U2344" s="100" t="s">
        <v>1383</v>
      </c>
      <c r="V2344" s="100" t="s">
        <v>1722</v>
      </c>
      <c r="W2344" s="100" t="s">
        <v>1383</v>
      </c>
      <c r="X2344" s="100" t="s">
        <v>1383</v>
      </c>
      <c r="Y2344" s="351"/>
      <c r="Z2344" s="351"/>
      <c r="AB2344" s="99" t="s">
        <v>2346</v>
      </c>
      <c r="AF2344" s="100" t="s">
        <v>2400</v>
      </c>
      <c r="AG2344" s="99" t="s">
        <v>2354</v>
      </c>
      <c r="AH2344" s="99" t="s">
        <v>132</v>
      </c>
      <c r="AI2344" s="99" t="s">
        <v>133</v>
      </c>
      <c r="AJ2344" s="99" t="s">
        <v>133</v>
      </c>
      <c r="AK2344" s="99" t="s">
        <v>638</v>
      </c>
      <c r="AL2344" s="99" t="s">
        <v>638</v>
      </c>
      <c r="AQ2344" s="99">
        <v>46</v>
      </c>
      <c r="AU2344" s="99">
        <v>3</v>
      </c>
      <c r="BB2344" s="99" t="s">
        <v>2853</v>
      </c>
      <c r="BR2344" s="99">
        <v>25.4</v>
      </c>
      <c r="BS2344" s="99">
        <v>27.5</v>
      </c>
      <c r="BV2344" s="99" t="s">
        <v>2105</v>
      </c>
      <c r="IO2344" s="99" t="s">
        <v>2405</v>
      </c>
      <c r="IP2344" s="99" t="s">
        <v>2406</v>
      </c>
      <c r="IQ2344" s="511"/>
    </row>
    <row r="2345" spans="1:251" s="99" customFormat="1" x14ac:dyDescent="0.25">
      <c r="A2345" s="99">
        <v>111</v>
      </c>
      <c r="B2345" s="99" t="s">
        <v>2384</v>
      </c>
      <c r="C2345" s="99">
        <v>12</v>
      </c>
      <c r="D2345" s="99">
        <v>2014</v>
      </c>
      <c r="E2345" s="99">
        <v>2012</v>
      </c>
      <c r="F2345" s="99">
        <v>11</v>
      </c>
      <c r="G2345" s="99" t="s">
        <v>2341</v>
      </c>
      <c r="H2345" s="99" t="s">
        <v>2840</v>
      </c>
      <c r="I2345" s="99">
        <v>-34.837381000000001</v>
      </c>
      <c r="J2345" s="99">
        <v>-63.127822000000002</v>
      </c>
      <c r="K2345" s="99">
        <v>123.4</v>
      </c>
      <c r="M2345" s="99">
        <v>16.3</v>
      </c>
      <c r="O2345" s="99">
        <v>859</v>
      </c>
      <c r="Q2345" s="100" t="s">
        <v>1991</v>
      </c>
      <c r="R2345" s="100" t="s">
        <v>1991</v>
      </c>
      <c r="S2345" s="100"/>
      <c r="U2345" s="100" t="s">
        <v>1383</v>
      </c>
      <c r="V2345" s="100" t="s">
        <v>1722</v>
      </c>
      <c r="W2345" s="100" t="s">
        <v>1383</v>
      </c>
      <c r="X2345" s="100" t="s">
        <v>1383</v>
      </c>
      <c r="Y2345" s="351"/>
      <c r="Z2345" s="351"/>
      <c r="AB2345" s="99" t="s">
        <v>2346</v>
      </c>
      <c r="AF2345" s="100" t="s">
        <v>2400</v>
      </c>
      <c r="AG2345" s="99" t="s">
        <v>2354</v>
      </c>
      <c r="AH2345" s="99" t="s">
        <v>132</v>
      </c>
      <c r="AI2345" s="99" t="s">
        <v>133</v>
      </c>
      <c r="AJ2345" s="99" t="s">
        <v>133</v>
      </c>
      <c r="AK2345" s="99" t="s">
        <v>638</v>
      </c>
      <c r="AL2345" s="99" t="s">
        <v>638</v>
      </c>
      <c r="AQ2345" s="99">
        <v>46</v>
      </c>
      <c r="AU2345" s="99">
        <v>3</v>
      </c>
      <c r="BB2345" s="99" t="s">
        <v>2853</v>
      </c>
      <c r="BR2345" s="99">
        <v>28.6</v>
      </c>
      <c r="BS2345" s="99">
        <v>30.6</v>
      </c>
      <c r="BV2345" s="99" t="s">
        <v>2105</v>
      </c>
      <c r="IO2345" s="99" t="s">
        <v>2405</v>
      </c>
      <c r="IP2345" s="99" t="s">
        <v>2406</v>
      </c>
      <c r="IQ2345" s="511"/>
    </row>
    <row r="2346" spans="1:251" s="99" customFormat="1" x14ac:dyDescent="0.25">
      <c r="A2346" s="99">
        <v>111</v>
      </c>
      <c r="B2346" s="99" t="s">
        <v>2384</v>
      </c>
      <c r="C2346" s="99">
        <v>12</v>
      </c>
      <c r="D2346" s="99">
        <v>2014</v>
      </c>
      <c r="E2346" s="99">
        <v>2012</v>
      </c>
      <c r="F2346" s="99">
        <v>11</v>
      </c>
      <c r="G2346" s="99" t="s">
        <v>2341</v>
      </c>
      <c r="H2346" s="99" t="s">
        <v>2840</v>
      </c>
      <c r="I2346" s="99">
        <v>-34.837381000000001</v>
      </c>
      <c r="J2346" s="99">
        <v>-63.127822000000002</v>
      </c>
      <c r="K2346" s="99">
        <v>123.4</v>
      </c>
      <c r="M2346" s="99">
        <v>16.3</v>
      </c>
      <c r="O2346" s="99">
        <v>859</v>
      </c>
      <c r="Q2346" s="100" t="s">
        <v>1984</v>
      </c>
      <c r="R2346" s="100" t="s">
        <v>1991</v>
      </c>
      <c r="S2346" s="100"/>
      <c r="U2346" s="100" t="s">
        <v>1383</v>
      </c>
      <c r="V2346" s="100" t="s">
        <v>1722</v>
      </c>
      <c r="W2346" s="100" t="s">
        <v>1383</v>
      </c>
      <c r="X2346" s="100" t="s">
        <v>1383</v>
      </c>
      <c r="Y2346" s="351"/>
      <c r="Z2346" s="351"/>
      <c r="AB2346" s="99" t="s">
        <v>2346</v>
      </c>
      <c r="AF2346" s="100" t="s">
        <v>2400</v>
      </c>
      <c r="AG2346" s="99" t="s">
        <v>2354</v>
      </c>
      <c r="AH2346" s="99" t="s">
        <v>132</v>
      </c>
      <c r="AI2346" s="99" t="s">
        <v>133</v>
      </c>
      <c r="AJ2346" s="99" t="s">
        <v>133</v>
      </c>
      <c r="AK2346" s="99" t="s">
        <v>638</v>
      </c>
      <c r="AL2346" s="99" t="s">
        <v>638</v>
      </c>
      <c r="AQ2346" s="99">
        <v>46</v>
      </c>
      <c r="AU2346" s="99">
        <v>3</v>
      </c>
      <c r="BB2346" s="99" t="s">
        <v>2853</v>
      </c>
      <c r="BR2346" s="99">
        <v>18.5</v>
      </c>
      <c r="BS2346" s="99">
        <v>25.8</v>
      </c>
      <c r="BV2346" s="99" t="s">
        <v>2105</v>
      </c>
      <c r="IO2346" s="99" t="s">
        <v>2405</v>
      </c>
      <c r="IP2346" s="99" t="s">
        <v>2406</v>
      </c>
      <c r="IQ2346" s="511"/>
    </row>
    <row r="2347" spans="1:251" s="99" customFormat="1" x14ac:dyDescent="0.25">
      <c r="A2347" s="99">
        <v>111</v>
      </c>
      <c r="B2347" s="99" t="s">
        <v>2384</v>
      </c>
      <c r="C2347" s="99">
        <v>12</v>
      </c>
      <c r="D2347" s="99">
        <v>2014</v>
      </c>
      <c r="E2347" s="99">
        <v>2012</v>
      </c>
      <c r="F2347" s="99">
        <v>11</v>
      </c>
      <c r="G2347" s="99" t="s">
        <v>2341</v>
      </c>
      <c r="H2347" s="99" t="s">
        <v>2840</v>
      </c>
      <c r="I2347" s="99">
        <v>-34.837381000000001</v>
      </c>
      <c r="J2347" s="99">
        <v>-63.127822000000002</v>
      </c>
      <c r="K2347" s="99">
        <v>123.4</v>
      </c>
      <c r="M2347" s="99">
        <v>16.3</v>
      </c>
      <c r="O2347" s="99">
        <v>859</v>
      </c>
      <c r="Q2347" s="100" t="s">
        <v>1741</v>
      </c>
      <c r="R2347" s="100" t="s">
        <v>1991</v>
      </c>
      <c r="S2347" s="100"/>
      <c r="U2347" s="100" t="s">
        <v>1383</v>
      </c>
      <c r="V2347" s="100" t="s">
        <v>1722</v>
      </c>
      <c r="W2347" s="100" t="s">
        <v>1383</v>
      </c>
      <c r="X2347" s="100" t="s">
        <v>1383</v>
      </c>
      <c r="Y2347" s="351"/>
      <c r="Z2347" s="351"/>
      <c r="AB2347" s="99" t="s">
        <v>2346</v>
      </c>
      <c r="AF2347" s="100" t="s">
        <v>2400</v>
      </c>
      <c r="AG2347" s="99" t="s">
        <v>2354</v>
      </c>
      <c r="AH2347" s="99" t="s">
        <v>132</v>
      </c>
      <c r="AI2347" s="99" t="s">
        <v>133</v>
      </c>
      <c r="AJ2347" s="99" t="s">
        <v>133</v>
      </c>
      <c r="AK2347" s="99" t="s">
        <v>638</v>
      </c>
      <c r="AL2347" s="99" t="s">
        <v>638</v>
      </c>
      <c r="AQ2347" s="99">
        <v>0</v>
      </c>
      <c r="AU2347" s="99">
        <v>3</v>
      </c>
      <c r="BB2347" s="99" t="s">
        <v>2853</v>
      </c>
      <c r="BR2347" s="99">
        <v>25.4</v>
      </c>
      <c r="BS2347" s="99">
        <v>26.8</v>
      </c>
      <c r="BV2347" s="99" t="s">
        <v>2105</v>
      </c>
      <c r="IO2347" s="99" t="s">
        <v>2405</v>
      </c>
      <c r="IP2347" s="99" t="s">
        <v>2406</v>
      </c>
      <c r="IQ2347" s="511"/>
    </row>
    <row r="2348" spans="1:251" s="99" customFormat="1" x14ac:dyDescent="0.25">
      <c r="A2348" s="99">
        <v>111</v>
      </c>
      <c r="B2348" s="99" t="s">
        <v>2384</v>
      </c>
      <c r="C2348" s="99">
        <v>12</v>
      </c>
      <c r="D2348" s="99">
        <v>2014</v>
      </c>
      <c r="E2348" s="99">
        <v>2012</v>
      </c>
      <c r="F2348" s="99">
        <v>11</v>
      </c>
      <c r="G2348" s="99" t="s">
        <v>2341</v>
      </c>
      <c r="H2348" s="99" t="s">
        <v>2840</v>
      </c>
      <c r="I2348" s="99">
        <v>-34.837381000000001</v>
      </c>
      <c r="J2348" s="99">
        <v>-63.127822000000002</v>
      </c>
      <c r="K2348" s="99">
        <v>123.4</v>
      </c>
      <c r="M2348" s="99">
        <v>16.3</v>
      </c>
      <c r="O2348" s="99">
        <v>859</v>
      </c>
      <c r="Q2348" s="100" t="s">
        <v>1991</v>
      </c>
      <c r="R2348" s="100" t="s">
        <v>1991</v>
      </c>
      <c r="S2348" s="100"/>
      <c r="U2348" s="100" t="s">
        <v>1383</v>
      </c>
      <c r="V2348" s="100" t="s">
        <v>1722</v>
      </c>
      <c r="W2348" s="100" t="s">
        <v>1383</v>
      </c>
      <c r="X2348" s="100" t="s">
        <v>1383</v>
      </c>
      <c r="Y2348" s="351"/>
      <c r="Z2348" s="351"/>
      <c r="AB2348" s="99" t="s">
        <v>2346</v>
      </c>
      <c r="AF2348" s="100" t="s">
        <v>2400</v>
      </c>
      <c r="AG2348" s="99" t="s">
        <v>2354</v>
      </c>
      <c r="AH2348" s="99" t="s">
        <v>132</v>
      </c>
      <c r="AI2348" s="99" t="s">
        <v>133</v>
      </c>
      <c r="AJ2348" s="99" t="s">
        <v>133</v>
      </c>
      <c r="AK2348" s="99" t="s">
        <v>638</v>
      </c>
      <c r="AL2348" s="99" t="s">
        <v>638</v>
      </c>
      <c r="AQ2348" s="99">
        <v>0</v>
      </c>
      <c r="AU2348" s="99">
        <v>3</v>
      </c>
      <c r="BB2348" s="99" t="s">
        <v>2853</v>
      </c>
      <c r="BR2348" s="99">
        <v>28.6</v>
      </c>
      <c r="BS2348" s="99">
        <v>30.8</v>
      </c>
      <c r="BV2348" s="99" t="s">
        <v>2105</v>
      </c>
      <c r="IO2348" s="99" t="s">
        <v>2405</v>
      </c>
      <c r="IP2348" s="99" t="s">
        <v>2406</v>
      </c>
      <c r="IQ2348" s="511"/>
    </row>
    <row r="2349" spans="1:251" s="99" customFormat="1" x14ac:dyDescent="0.25">
      <c r="A2349" s="99">
        <v>111</v>
      </c>
      <c r="B2349" s="99" t="s">
        <v>2384</v>
      </c>
      <c r="C2349" s="99">
        <v>12</v>
      </c>
      <c r="D2349" s="99">
        <v>2014</v>
      </c>
      <c r="E2349" s="99">
        <v>2012</v>
      </c>
      <c r="F2349" s="99">
        <v>11</v>
      </c>
      <c r="G2349" s="99" t="s">
        <v>2341</v>
      </c>
      <c r="H2349" s="99" t="s">
        <v>2840</v>
      </c>
      <c r="I2349" s="99">
        <v>-34.837381000000001</v>
      </c>
      <c r="J2349" s="99">
        <v>-63.127822000000002</v>
      </c>
      <c r="K2349" s="99">
        <v>123.4</v>
      </c>
      <c r="M2349" s="99">
        <v>16.3</v>
      </c>
      <c r="O2349" s="99">
        <v>859</v>
      </c>
      <c r="Q2349" s="100" t="s">
        <v>1984</v>
      </c>
      <c r="R2349" s="100" t="s">
        <v>1991</v>
      </c>
      <c r="S2349" s="100"/>
      <c r="U2349" s="100" t="s">
        <v>1383</v>
      </c>
      <c r="V2349" s="100" t="s">
        <v>1722</v>
      </c>
      <c r="W2349" s="100" t="s">
        <v>1383</v>
      </c>
      <c r="X2349" s="100" t="s">
        <v>1383</v>
      </c>
      <c r="Y2349" s="351"/>
      <c r="Z2349" s="351"/>
      <c r="AB2349" s="99" t="s">
        <v>2346</v>
      </c>
      <c r="AF2349" s="100" t="s">
        <v>2400</v>
      </c>
      <c r="AG2349" s="99" t="s">
        <v>2354</v>
      </c>
      <c r="AH2349" s="99" t="s">
        <v>132</v>
      </c>
      <c r="AI2349" s="99" t="s">
        <v>133</v>
      </c>
      <c r="AJ2349" s="99" t="s">
        <v>133</v>
      </c>
      <c r="AK2349" s="99" t="s">
        <v>638</v>
      </c>
      <c r="AL2349" s="99" t="s">
        <v>638</v>
      </c>
      <c r="AQ2349" s="99">
        <v>0</v>
      </c>
      <c r="AU2349" s="99">
        <v>3</v>
      </c>
      <c r="BB2349" s="99" t="s">
        <v>2853</v>
      </c>
      <c r="BR2349" s="99">
        <v>18.5</v>
      </c>
      <c r="BS2349" s="99">
        <v>24.2</v>
      </c>
      <c r="BV2349" s="99" t="s">
        <v>2105</v>
      </c>
      <c r="IO2349" s="99" t="s">
        <v>2405</v>
      </c>
      <c r="IP2349" s="99" t="s">
        <v>2406</v>
      </c>
      <c r="IQ2349" s="511"/>
    </row>
    <row r="2350" spans="1:251" s="99" customFormat="1" x14ac:dyDescent="0.25">
      <c r="A2350" s="99">
        <v>111</v>
      </c>
      <c r="B2350" s="99" t="s">
        <v>2384</v>
      </c>
      <c r="C2350" s="99">
        <v>12</v>
      </c>
      <c r="D2350" s="99">
        <v>2014</v>
      </c>
      <c r="E2350" s="99">
        <v>2012</v>
      </c>
      <c r="F2350" s="99">
        <v>11</v>
      </c>
      <c r="G2350" s="99" t="s">
        <v>2341</v>
      </c>
      <c r="H2350" s="99" t="s">
        <v>2840</v>
      </c>
      <c r="I2350" s="99">
        <v>-34.837381000000001</v>
      </c>
      <c r="J2350" s="99">
        <v>-63.127822000000002</v>
      </c>
      <c r="K2350" s="99">
        <v>123.4</v>
      </c>
      <c r="M2350" s="99">
        <v>16.3</v>
      </c>
      <c r="O2350" s="99">
        <v>859</v>
      </c>
      <c r="Q2350" s="100" t="s">
        <v>1741</v>
      </c>
      <c r="R2350" s="100" t="s">
        <v>1991</v>
      </c>
      <c r="S2350" s="100"/>
      <c r="U2350" s="100" t="s">
        <v>1383</v>
      </c>
      <c r="V2350" s="100" t="s">
        <v>1722</v>
      </c>
      <c r="W2350" s="100" t="s">
        <v>1383</v>
      </c>
      <c r="X2350" s="100" t="s">
        <v>1383</v>
      </c>
      <c r="Y2350" s="351"/>
      <c r="Z2350" s="351"/>
      <c r="AB2350" s="99" t="s">
        <v>2346</v>
      </c>
      <c r="AF2350" s="100" t="s">
        <v>2400</v>
      </c>
      <c r="AG2350" s="99" t="s">
        <v>2354</v>
      </c>
      <c r="AH2350" s="99" t="s">
        <v>132</v>
      </c>
      <c r="AI2350" s="99" t="s">
        <v>133</v>
      </c>
      <c r="AJ2350" s="99" t="s">
        <v>133</v>
      </c>
      <c r="AK2350" s="99" t="s">
        <v>944</v>
      </c>
      <c r="AL2350" s="99" t="s">
        <v>944</v>
      </c>
      <c r="AQ2350" s="99">
        <v>46</v>
      </c>
      <c r="AU2350" s="99">
        <v>3</v>
      </c>
      <c r="BB2350" s="99" t="s">
        <v>2853</v>
      </c>
      <c r="BR2350" s="99">
        <v>25.7</v>
      </c>
      <c r="BS2350" s="99">
        <v>27.8</v>
      </c>
      <c r="BV2350" s="99" t="s">
        <v>2105</v>
      </c>
      <c r="IO2350" s="99" t="s">
        <v>2405</v>
      </c>
      <c r="IP2350" s="99" t="s">
        <v>2406</v>
      </c>
      <c r="IQ2350" s="511"/>
    </row>
    <row r="2351" spans="1:251" s="99" customFormat="1" x14ac:dyDescent="0.25">
      <c r="A2351" s="99">
        <v>111</v>
      </c>
      <c r="B2351" s="99" t="s">
        <v>2384</v>
      </c>
      <c r="C2351" s="99">
        <v>12</v>
      </c>
      <c r="D2351" s="99">
        <v>2014</v>
      </c>
      <c r="E2351" s="99">
        <v>2012</v>
      </c>
      <c r="F2351" s="99">
        <v>11</v>
      </c>
      <c r="G2351" s="99" t="s">
        <v>2341</v>
      </c>
      <c r="H2351" s="99" t="s">
        <v>2840</v>
      </c>
      <c r="I2351" s="99">
        <v>-34.837381000000001</v>
      </c>
      <c r="J2351" s="99">
        <v>-63.127822000000002</v>
      </c>
      <c r="K2351" s="99">
        <v>123.4</v>
      </c>
      <c r="M2351" s="99">
        <v>16.3</v>
      </c>
      <c r="O2351" s="99">
        <v>859</v>
      </c>
      <c r="Q2351" s="100" t="s">
        <v>1991</v>
      </c>
      <c r="R2351" s="100" t="s">
        <v>1991</v>
      </c>
      <c r="S2351" s="100"/>
      <c r="U2351" s="100" t="s">
        <v>1383</v>
      </c>
      <c r="V2351" s="100" t="s">
        <v>1722</v>
      </c>
      <c r="W2351" s="100" t="s">
        <v>1383</v>
      </c>
      <c r="X2351" s="100" t="s">
        <v>1383</v>
      </c>
      <c r="Y2351" s="351"/>
      <c r="Z2351" s="351"/>
      <c r="AB2351" s="99" t="s">
        <v>2346</v>
      </c>
      <c r="AF2351" s="100" t="s">
        <v>2400</v>
      </c>
      <c r="AG2351" s="99" t="s">
        <v>2354</v>
      </c>
      <c r="AH2351" s="99" t="s">
        <v>132</v>
      </c>
      <c r="AI2351" s="99" t="s">
        <v>133</v>
      </c>
      <c r="AJ2351" s="99" t="s">
        <v>133</v>
      </c>
      <c r="AK2351" s="99" t="s">
        <v>944</v>
      </c>
      <c r="AL2351" s="99" t="s">
        <v>944</v>
      </c>
      <c r="AQ2351" s="99">
        <v>46</v>
      </c>
      <c r="AU2351" s="99">
        <v>3</v>
      </c>
      <c r="BB2351" s="99" t="s">
        <v>2853</v>
      </c>
      <c r="BR2351" s="99">
        <v>29.3</v>
      </c>
      <c r="BS2351" s="99">
        <v>28.6</v>
      </c>
      <c r="BV2351" s="99" t="s">
        <v>2105</v>
      </c>
      <c r="IO2351" s="99" t="s">
        <v>2405</v>
      </c>
      <c r="IP2351" s="99" t="s">
        <v>2406</v>
      </c>
      <c r="IQ2351" s="511"/>
    </row>
    <row r="2352" spans="1:251" s="99" customFormat="1" x14ac:dyDescent="0.25">
      <c r="A2352" s="99">
        <v>111</v>
      </c>
      <c r="B2352" s="99" t="s">
        <v>2384</v>
      </c>
      <c r="C2352" s="99">
        <v>12</v>
      </c>
      <c r="D2352" s="99">
        <v>2014</v>
      </c>
      <c r="E2352" s="99">
        <v>2012</v>
      </c>
      <c r="F2352" s="99">
        <v>11</v>
      </c>
      <c r="G2352" s="99" t="s">
        <v>2341</v>
      </c>
      <c r="H2352" s="99" t="s">
        <v>2840</v>
      </c>
      <c r="I2352" s="99">
        <v>-34.837381000000001</v>
      </c>
      <c r="J2352" s="99">
        <v>-63.127822000000002</v>
      </c>
      <c r="K2352" s="99">
        <v>123.4</v>
      </c>
      <c r="M2352" s="99">
        <v>16.3</v>
      </c>
      <c r="O2352" s="99">
        <v>859</v>
      </c>
      <c r="Q2352" s="100" t="s">
        <v>1984</v>
      </c>
      <c r="R2352" s="100" t="s">
        <v>1991</v>
      </c>
      <c r="S2352" s="100"/>
      <c r="U2352" s="100" t="s">
        <v>1383</v>
      </c>
      <c r="V2352" s="100" t="s">
        <v>1722</v>
      </c>
      <c r="W2352" s="100" t="s">
        <v>1383</v>
      </c>
      <c r="X2352" s="100" t="s">
        <v>1383</v>
      </c>
      <c r="Y2352" s="351"/>
      <c r="Z2352" s="351"/>
      <c r="AB2352" s="99" t="s">
        <v>2346</v>
      </c>
      <c r="AF2352" s="100" t="s">
        <v>2400</v>
      </c>
      <c r="AG2352" s="99" t="s">
        <v>2354</v>
      </c>
      <c r="AH2352" s="99" t="s">
        <v>132</v>
      </c>
      <c r="AI2352" s="99" t="s">
        <v>133</v>
      </c>
      <c r="AJ2352" s="99" t="s">
        <v>133</v>
      </c>
      <c r="AK2352" s="99" t="s">
        <v>944</v>
      </c>
      <c r="AL2352" s="99" t="s">
        <v>944</v>
      </c>
      <c r="AQ2352" s="99">
        <v>46</v>
      </c>
      <c r="AU2352" s="99">
        <v>3</v>
      </c>
      <c r="BB2352" s="99" t="s">
        <v>2853</v>
      </c>
      <c r="BR2352" s="99">
        <v>23.5</v>
      </c>
      <c r="BS2352" s="99">
        <v>21.1</v>
      </c>
      <c r="BV2352" s="99" t="s">
        <v>2105</v>
      </c>
      <c r="IO2352" s="99" t="s">
        <v>2405</v>
      </c>
      <c r="IP2352" s="99" t="s">
        <v>2406</v>
      </c>
      <c r="IQ2352" s="511"/>
    </row>
    <row r="2353" spans="1:251" s="99" customFormat="1" x14ac:dyDescent="0.25">
      <c r="A2353" s="99">
        <v>111</v>
      </c>
      <c r="B2353" s="99" t="s">
        <v>2384</v>
      </c>
      <c r="C2353" s="99">
        <v>12</v>
      </c>
      <c r="D2353" s="99">
        <v>2014</v>
      </c>
      <c r="E2353" s="99">
        <v>2012</v>
      </c>
      <c r="F2353" s="99">
        <v>11</v>
      </c>
      <c r="G2353" s="99" t="s">
        <v>2341</v>
      </c>
      <c r="H2353" s="99" t="s">
        <v>2840</v>
      </c>
      <c r="I2353" s="99">
        <v>-34.837381000000001</v>
      </c>
      <c r="J2353" s="99">
        <v>-63.127822000000002</v>
      </c>
      <c r="K2353" s="99">
        <v>123.4</v>
      </c>
      <c r="M2353" s="99">
        <v>16.3</v>
      </c>
      <c r="O2353" s="99">
        <v>859</v>
      </c>
      <c r="Q2353" s="100" t="s">
        <v>1741</v>
      </c>
      <c r="R2353" s="100" t="s">
        <v>1991</v>
      </c>
      <c r="S2353" s="100"/>
      <c r="U2353" s="100" t="s">
        <v>1383</v>
      </c>
      <c r="V2353" s="100" t="s">
        <v>1722</v>
      </c>
      <c r="W2353" s="100" t="s">
        <v>1383</v>
      </c>
      <c r="X2353" s="100" t="s">
        <v>1383</v>
      </c>
      <c r="Y2353" s="351"/>
      <c r="Z2353" s="351"/>
      <c r="AB2353" s="99" t="s">
        <v>2346</v>
      </c>
      <c r="AF2353" s="100" t="s">
        <v>2400</v>
      </c>
      <c r="AG2353" s="99" t="s">
        <v>2354</v>
      </c>
      <c r="AH2353" s="99" t="s">
        <v>132</v>
      </c>
      <c r="AI2353" s="99" t="s">
        <v>133</v>
      </c>
      <c r="AJ2353" s="99" t="s">
        <v>133</v>
      </c>
      <c r="AK2353" s="99" t="s">
        <v>944</v>
      </c>
      <c r="AL2353" s="99" t="s">
        <v>944</v>
      </c>
      <c r="AQ2353" s="99">
        <v>0</v>
      </c>
      <c r="AU2353" s="99">
        <v>3</v>
      </c>
      <c r="BB2353" s="99" t="s">
        <v>2853</v>
      </c>
      <c r="BR2353" s="99">
        <v>25.7</v>
      </c>
      <c r="BS2353" s="99">
        <v>26.2</v>
      </c>
      <c r="BV2353" s="99" t="s">
        <v>2105</v>
      </c>
      <c r="IO2353" s="99" t="s">
        <v>2405</v>
      </c>
      <c r="IP2353" s="99" t="s">
        <v>2406</v>
      </c>
      <c r="IQ2353" s="511"/>
    </row>
    <row r="2354" spans="1:251" s="99" customFormat="1" x14ac:dyDescent="0.25">
      <c r="A2354" s="99">
        <v>111</v>
      </c>
      <c r="B2354" s="99" t="s">
        <v>2384</v>
      </c>
      <c r="C2354" s="99">
        <v>12</v>
      </c>
      <c r="D2354" s="99">
        <v>2014</v>
      </c>
      <c r="E2354" s="99">
        <v>2012</v>
      </c>
      <c r="F2354" s="99">
        <v>11</v>
      </c>
      <c r="G2354" s="99" t="s">
        <v>2341</v>
      </c>
      <c r="H2354" s="99" t="s">
        <v>2840</v>
      </c>
      <c r="I2354" s="99">
        <v>-34.837381000000001</v>
      </c>
      <c r="J2354" s="99">
        <v>-63.127822000000002</v>
      </c>
      <c r="K2354" s="99">
        <v>123.4</v>
      </c>
      <c r="M2354" s="99">
        <v>16.3</v>
      </c>
      <c r="O2354" s="99">
        <v>859</v>
      </c>
      <c r="Q2354" s="100" t="s">
        <v>1991</v>
      </c>
      <c r="R2354" s="100" t="s">
        <v>1991</v>
      </c>
      <c r="S2354" s="100"/>
      <c r="U2354" s="100" t="s">
        <v>1383</v>
      </c>
      <c r="V2354" s="100" t="s">
        <v>1722</v>
      </c>
      <c r="W2354" s="100" t="s">
        <v>1383</v>
      </c>
      <c r="X2354" s="100" t="s">
        <v>1383</v>
      </c>
      <c r="Y2354" s="351"/>
      <c r="Z2354" s="351"/>
      <c r="AB2354" s="99" t="s">
        <v>2346</v>
      </c>
      <c r="AF2354" s="100" t="s">
        <v>2400</v>
      </c>
      <c r="AG2354" s="99" t="s">
        <v>2354</v>
      </c>
      <c r="AH2354" s="99" t="s">
        <v>132</v>
      </c>
      <c r="AI2354" s="99" t="s">
        <v>133</v>
      </c>
      <c r="AJ2354" s="99" t="s">
        <v>133</v>
      </c>
      <c r="AK2354" s="99" t="s">
        <v>944</v>
      </c>
      <c r="AL2354" s="99" t="s">
        <v>944</v>
      </c>
      <c r="AQ2354" s="99">
        <v>0</v>
      </c>
      <c r="AU2354" s="99">
        <v>3</v>
      </c>
      <c r="BB2354" s="99" t="s">
        <v>2853</v>
      </c>
      <c r="BR2354" s="99">
        <v>29.3</v>
      </c>
      <c r="BS2354" s="99">
        <v>32.1</v>
      </c>
      <c r="BV2354" s="99" t="s">
        <v>2105</v>
      </c>
      <c r="IO2354" s="99" t="s">
        <v>2405</v>
      </c>
      <c r="IP2354" s="99" t="s">
        <v>2406</v>
      </c>
      <c r="IQ2354" s="511"/>
    </row>
    <row r="2355" spans="1:251" s="99" customFormat="1" x14ac:dyDescent="0.25">
      <c r="A2355" s="99">
        <v>111</v>
      </c>
      <c r="B2355" s="99" t="s">
        <v>2384</v>
      </c>
      <c r="C2355" s="99">
        <v>12</v>
      </c>
      <c r="D2355" s="99">
        <v>2014</v>
      </c>
      <c r="E2355" s="99">
        <v>2012</v>
      </c>
      <c r="F2355" s="99">
        <v>11</v>
      </c>
      <c r="G2355" s="99" t="s">
        <v>2341</v>
      </c>
      <c r="H2355" s="99" t="s">
        <v>2840</v>
      </c>
      <c r="I2355" s="99">
        <v>-34.837381000000001</v>
      </c>
      <c r="J2355" s="99">
        <v>-63.127822000000002</v>
      </c>
      <c r="K2355" s="99">
        <v>123.4</v>
      </c>
      <c r="M2355" s="99">
        <v>16.3</v>
      </c>
      <c r="O2355" s="99">
        <v>859</v>
      </c>
      <c r="Q2355" s="100" t="s">
        <v>1984</v>
      </c>
      <c r="R2355" s="100" t="s">
        <v>1991</v>
      </c>
      <c r="S2355" s="100"/>
      <c r="U2355" s="100" t="s">
        <v>1383</v>
      </c>
      <c r="V2355" s="100" t="s">
        <v>1722</v>
      </c>
      <c r="W2355" s="100" t="s">
        <v>1383</v>
      </c>
      <c r="X2355" s="100" t="s">
        <v>1383</v>
      </c>
      <c r="Y2355" s="351"/>
      <c r="Z2355" s="351"/>
      <c r="AB2355" s="99" t="s">
        <v>2346</v>
      </c>
      <c r="AF2355" s="100" t="s">
        <v>2400</v>
      </c>
      <c r="AG2355" s="99" t="s">
        <v>2354</v>
      </c>
      <c r="AH2355" s="99" t="s">
        <v>132</v>
      </c>
      <c r="AI2355" s="99" t="s">
        <v>133</v>
      </c>
      <c r="AJ2355" s="99" t="s">
        <v>133</v>
      </c>
      <c r="AK2355" s="99" t="s">
        <v>944</v>
      </c>
      <c r="AL2355" s="99" t="s">
        <v>944</v>
      </c>
      <c r="AQ2355" s="99">
        <v>0</v>
      </c>
      <c r="AU2355" s="99">
        <v>3</v>
      </c>
      <c r="BB2355" s="99" t="s">
        <v>2853</v>
      </c>
      <c r="BR2355" s="99">
        <v>23.5</v>
      </c>
      <c r="BS2355" s="99">
        <v>23.9</v>
      </c>
      <c r="BV2355" s="99" t="s">
        <v>2105</v>
      </c>
      <c r="IO2355" s="99" t="s">
        <v>2405</v>
      </c>
      <c r="IP2355" s="99" t="s">
        <v>2406</v>
      </c>
      <c r="IQ2355" s="511"/>
    </row>
    <row r="2356" spans="1:251" s="99" customFormat="1" x14ac:dyDescent="0.25">
      <c r="A2356" s="99">
        <v>111</v>
      </c>
      <c r="B2356" s="99" t="s">
        <v>2384</v>
      </c>
      <c r="C2356" s="99">
        <v>12</v>
      </c>
      <c r="D2356" s="99">
        <v>2014</v>
      </c>
      <c r="E2356" s="99">
        <v>2012</v>
      </c>
      <c r="F2356" s="99">
        <v>11</v>
      </c>
      <c r="G2356" s="99" t="s">
        <v>2341</v>
      </c>
      <c r="H2356" s="99" t="s">
        <v>2840</v>
      </c>
      <c r="I2356" s="99">
        <v>-34.837381000000001</v>
      </c>
      <c r="J2356" s="99">
        <v>-63.127822000000002</v>
      </c>
      <c r="K2356" s="99">
        <v>123.4</v>
      </c>
      <c r="M2356" s="99">
        <v>16.3</v>
      </c>
      <c r="O2356" s="99">
        <v>859</v>
      </c>
      <c r="Q2356" s="100" t="s">
        <v>1741</v>
      </c>
      <c r="R2356" s="100" t="s">
        <v>1991</v>
      </c>
      <c r="S2356" s="100"/>
      <c r="U2356" s="100" t="s">
        <v>1383</v>
      </c>
      <c r="V2356" s="100" t="s">
        <v>1722</v>
      </c>
      <c r="W2356" s="100" t="s">
        <v>1383</v>
      </c>
      <c r="X2356" s="100" t="s">
        <v>1383</v>
      </c>
      <c r="Y2356" s="351"/>
      <c r="Z2356" s="351"/>
      <c r="AB2356" s="99" t="s">
        <v>2346</v>
      </c>
      <c r="AF2356" s="100" t="s">
        <v>2400</v>
      </c>
      <c r="AG2356" s="99" t="s">
        <v>2354</v>
      </c>
      <c r="AH2356" s="99" t="s">
        <v>132</v>
      </c>
      <c r="AI2356" s="99" t="s">
        <v>159</v>
      </c>
      <c r="AJ2356" s="99" t="s">
        <v>159</v>
      </c>
      <c r="AK2356" s="99" t="s">
        <v>2345</v>
      </c>
      <c r="AL2356" s="99" t="s">
        <v>2345</v>
      </c>
      <c r="AQ2356" s="99">
        <v>46</v>
      </c>
      <c r="AU2356" s="99">
        <v>3</v>
      </c>
      <c r="BB2356" s="99" t="s">
        <v>2853</v>
      </c>
      <c r="BR2356" s="99">
        <v>25.4</v>
      </c>
      <c r="BS2356" s="99">
        <v>25.9</v>
      </c>
      <c r="BV2356" s="99" t="s">
        <v>2105</v>
      </c>
      <c r="IO2356" s="99" t="s">
        <v>2405</v>
      </c>
      <c r="IP2356" s="99" t="s">
        <v>2406</v>
      </c>
      <c r="IQ2356" s="511"/>
    </row>
    <row r="2357" spans="1:251" s="99" customFormat="1" x14ac:dyDescent="0.25">
      <c r="A2357" s="99">
        <v>111</v>
      </c>
      <c r="B2357" s="99" t="s">
        <v>2384</v>
      </c>
      <c r="C2357" s="99">
        <v>12</v>
      </c>
      <c r="D2357" s="99">
        <v>2014</v>
      </c>
      <c r="E2357" s="99">
        <v>2012</v>
      </c>
      <c r="F2357" s="99">
        <v>11</v>
      </c>
      <c r="G2357" s="99" t="s">
        <v>2341</v>
      </c>
      <c r="H2357" s="99" t="s">
        <v>2840</v>
      </c>
      <c r="I2357" s="99">
        <v>-34.837381000000001</v>
      </c>
      <c r="J2357" s="99">
        <v>-63.127822000000002</v>
      </c>
      <c r="K2357" s="99">
        <v>123.4</v>
      </c>
      <c r="M2357" s="99">
        <v>16.3</v>
      </c>
      <c r="O2357" s="99">
        <v>859</v>
      </c>
      <c r="Q2357" s="100" t="s">
        <v>1991</v>
      </c>
      <c r="R2357" s="100" t="s">
        <v>1991</v>
      </c>
      <c r="S2357" s="100"/>
      <c r="U2357" s="100" t="s">
        <v>1383</v>
      </c>
      <c r="V2357" s="100" t="s">
        <v>1722</v>
      </c>
      <c r="W2357" s="100" t="s">
        <v>1383</v>
      </c>
      <c r="X2357" s="100" t="s">
        <v>1383</v>
      </c>
      <c r="Y2357" s="351"/>
      <c r="Z2357" s="351"/>
      <c r="AB2357" s="99" t="s">
        <v>2346</v>
      </c>
      <c r="AF2357" s="100" t="s">
        <v>2400</v>
      </c>
      <c r="AG2357" s="99" t="s">
        <v>2354</v>
      </c>
      <c r="AH2357" s="99" t="s">
        <v>132</v>
      </c>
      <c r="AI2357" s="99" t="s">
        <v>159</v>
      </c>
      <c r="AJ2357" s="99" t="s">
        <v>159</v>
      </c>
      <c r="AK2357" s="99" t="s">
        <v>2345</v>
      </c>
      <c r="AL2357" s="99" t="s">
        <v>2345</v>
      </c>
      <c r="AQ2357" s="99">
        <v>46</v>
      </c>
      <c r="AU2357" s="99">
        <v>3</v>
      </c>
      <c r="BB2357" s="99" t="s">
        <v>2853</v>
      </c>
      <c r="BR2357" s="99">
        <v>28.3</v>
      </c>
      <c r="BS2357" s="99">
        <v>29.9</v>
      </c>
      <c r="BV2357" s="99" t="s">
        <v>2105</v>
      </c>
      <c r="IO2357" s="99" t="s">
        <v>2405</v>
      </c>
      <c r="IP2357" s="99" t="s">
        <v>2406</v>
      </c>
      <c r="IQ2357" s="511"/>
    </row>
    <row r="2358" spans="1:251" s="99" customFormat="1" x14ac:dyDescent="0.25">
      <c r="A2358" s="99">
        <v>111</v>
      </c>
      <c r="B2358" s="99" t="s">
        <v>2384</v>
      </c>
      <c r="C2358" s="99">
        <v>12</v>
      </c>
      <c r="D2358" s="99">
        <v>2014</v>
      </c>
      <c r="E2358" s="99">
        <v>2012</v>
      </c>
      <c r="F2358" s="99">
        <v>11</v>
      </c>
      <c r="G2358" s="99" t="s">
        <v>2341</v>
      </c>
      <c r="H2358" s="99" t="s">
        <v>2840</v>
      </c>
      <c r="I2358" s="99">
        <v>-34.837381000000001</v>
      </c>
      <c r="J2358" s="99">
        <v>-63.127822000000002</v>
      </c>
      <c r="K2358" s="99">
        <v>123.4</v>
      </c>
      <c r="M2358" s="99">
        <v>16.3</v>
      </c>
      <c r="O2358" s="99">
        <v>859</v>
      </c>
      <c r="Q2358" s="100" t="s">
        <v>1984</v>
      </c>
      <c r="R2358" s="100" t="s">
        <v>1991</v>
      </c>
      <c r="S2358" s="100"/>
      <c r="U2358" s="100" t="s">
        <v>1383</v>
      </c>
      <c r="V2358" s="100" t="s">
        <v>1722</v>
      </c>
      <c r="W2358" s="100" t="s">
        <v>1383</v>
      </c>
      <c r="X2358" s="100" t="s">
        <v>1383</v>
      </c>
      <c r="Y2358" s="351"/>
      <c r="Z2358" s="351"/>
      <c r="AB2358" s="99" t="s">
        <v>2346</v>
      </c>
      <c r="AF2358" s="100" t="s">
        <v>2400</v>
      </c>
      <c r="AG2358" s="99" t="s">
        <v>2354</v>
      </c>
      <c r="AH2358" s="99" t="s">
        <v>132</v>
      </c>
      <c r="AI2358" s="99" t="s">
        <v>159</v>
      </c>
      <c r="AJ2358" s="99" t="s">
        <v>159</v>
      </c>
      <c r="AK2358" s="99" t="s">
        <v>2345</v>
      </c>
      <c r="AL2358" s="99" t="s">
        <v>2345</v>
      </c>
      <c r="AQ2358" s="99">
        <v>46</v>
      </c>
      <c r="AU2358" s="99">
        <v>3</v>
      </c>
      <c r="BB2358" s="99" t="s">
        <v>2853</v>
      </c>
      <c r="BR2358" s="99">
        <v>24.8</v>
      </c>
      <c r="BS2358" s="99">
        <v>21.8</v>
      </c>
      <c r="BV2358" s="99" t="s">
        <v>2105</v>
      </c>
      <c r="IO2358" s="99" t="s">
        <v>2405</v>
      </c>
      <c r="IP2358" s="99" t="s">
        <v>2406</v>
      </c>
      <c r="IQ2358" s="511"/>
    </row>
    <row r="2359" spans="1:251" s="99" customFormat="1" x14ac:dyDescent="0.25">
      <c r="A2359" s="99">
        <v>111</v>
      </c>
      <c r="B2359" s="99" t="s">
        <v>2384</v>
      </c>
      <c r="C2359" s="99">
        <v>12</v>
      </c>
      <c r="D2359" s="99">
        <v>2014</v>
      </c>
      <c r="E2359" s="99">
        <v>2012</v>
      </c>
      <c r="F2359" s="99">
        <v>11</v>
      </c>
      <c r="G2359" s="99" t="s">
        <v>2341</v>
      </c>
      <c r="H2359" s="99" t="s">
        <v>2840</v>
      </c>
      <c r="I2359" s="99">
        <v>-34.837381000000001</v>
      </c>
      <c r="J2359" s="99">
        <v>-63.127822000000002</v>
      </c>
      <c r="K2359" s="99">
        <v>123.4</v>
      </c>
      <c r="M2359" s="99">
        <v>16.3</v>
      </c>
      <c r="O2359" s="99">
        <v>859</v>
      </c>
      <c r="Q2359" s="100" t="s">
        <v>1741</v>
      </c>
      <c r="R2359" s="100" t="s">
        <v>1991</v>
      </c>
      <c r="S2359" s="100"/>
      <c r="U2359" s="100" t="s">
        <v>1383</v>
      </c>
      <c r="V2359" s="100" t="s">
        <v>1722</v>
      </c>
      <c r="W2359" s="100" t="s">
        <v>1383</v>
      </c>
      <c r="X2359" s="100" t="s">
        <v>1383</v>
      </c>
      <c r="Y2359" s="351"/>
      <c r="Z2359" s="351"/>
      <c r="AB2359" s="99" t="s">
        <v>2346</v>
      </c>
      <c r="AF2359" s="100" t="s">
        <v>2400</v>
      </c>
      <c r="AG2359" s="99" t="s">
        <v>2354</v>
      </c>
      <c r="AH2359" s="99" t="s">
        <v>132</v>
      </c>
      <c r="AI2359" s="99" t="s">
        <v>159</v>
      </c>
      <c r="AJ2359" s="99" t="s">
        <v>159</v>
      </c>
      <c r="AK2359" s="99" t="s">
        <v>2345</v>
      </c>
      <c r="AL2359" s="99" t="s">
        <v>2345</v>
      </c>
      <c r="AQ2359" s="99">
        <v>0</v>
      </c>
      <c r="AU2359" s="99">
        <v>3</v>
      </c>
      <c r="BB2359" s="99" t="s">
        <v>2853</v>
      </c>
      <c r="BR2359" s="99">
        <v>25.4</v>
      </c>
      <c r="BS2359" s="99">
        <v>28.4</v>
      </c>
      <c r="BV2359" s="99" t="s">
        <v>2105</v>
      </c>
      <c r="IO2359" s="99" t="s">
        <v>2405</v>
      </c>
      <c r="IP2359" s="99" t="s">
        <v>2406</v>
      </c>
      <c r="IQ2359" s="511"/>
    </row>
    <row r="2360" spans="1:251" s="99" customFormat="1" x14ac:dyDescent="0.25">
      <c r="A2360" s="99">
        <v>111</v>
      </c>
      <c r="B2360" s="99" t="s">
        <v>2384</v>
      </c>
      <c r="C2360" s="99">
        <v>12</v>
      </c>
      <c r="D2360" s="99">
        <v>2014</v>
      </c>
      <c r="E2360" s="99">
        <v>2012</v>
      </c>
      <c r="F2360" s="99">
        <v>11</v>
      </c>
      <c r="G2360" s="99" t="s">
        <v>2341</v>
      </c>
      <c r="H2360" s="99" t="s">
        <v>2840</v>
      </c>
      <c r="I2360" s="99">
        <v>-34.837381000000001</v>
      </c>
      <c r="J2360" s="99">
        <v>-63.127822000000002</v>
      </c>
      <c r="K2360" s="99">
        <v>123.4</v>
      </c>
      <c r="M2360" s="99">
        <v>16.3</v>
      </c>
      <c r="O2360" s="99">
        <v>859</v>
      </c>
      <c r="Q2360" s="100" t="s">
        <v>1991</v>
      </c>
      <c r="R2360" s="100" t="s">
        <v>1991</v>
      </c>
      <c r="S2360" s="100"/>
      <c r="U2360" s="100" t="s">
        <v>1383</v>
      </c>
      <c r="V2360" s="100" t="s">
        <v>1722</v>
      </c>
      <c r="W2360" s="100" t="s">
        <v>1383</v>
      </c>
      <c r="X2360" s="100" t="s">
        <v>1383</v>
      </c>
      <c r="Y2360" s="351"/>
      <c r="Z2360" s="351"/>
      <c r="AB2360" s="99" t="s">
        <v>2346</v>
      </c>
      <c r="AF2360" s="100" t="s">
        <v>2400</v>
      </c>
      <c r="AG2360" s="99" t="s">
        <v>2354</v>
      </c>
      <c r="AH2360" s="99" t="s">
        <v>132</v>
      </c>
      <c r="AI2360" s="99" t="s">
        <v>159</v>
      </c>
      <c r="AJ2360" s="99" t="s">
        <v>159</v>
      </c>
      <c r="AK2360" s="99" t="s">
        <v>2345</v>
      </c>
      <c r="AL2360" s="99" t="s">
        <v>2345</v>
      </c>
      <c r="AQ2360" s="99">
        <v>0</v>
      </c>
      <c r="AU2360" s="99">
        <v>3</v>
      </c>
      <c r="BB2360" s="99" t="s">
        <v>2853</v>
      </c>
      <c r="BR2360" s="99">
        <v>28.3</v>
      </c>
      <c r="BS2360" s="99">
        <v>31.9</v>
      </c>
      <c r="BV2360" s="99" t="s">
        <v>2105</v>
      </c>
      <c r="IO2360" s="99" t="s">
        <v>2405</v>
      </c>
      <c r="IP2360" s="99" t="s">
        <v>2406</v>
      </c>
      <c r="IQ2360" s="511"/>
    </row>
    <row r="2361" spans="1:251" s="99" customFormat="1" x14ac:dyDescent="0.25">
      <c r="A2361" s="99">
        <v>111</v>
      </c>
      <c r="B2361" s="99" t="s">
        <v>2384</v>
      </c>
      <c r="C2361" s="99">
        <v>12</v>
      </c>
      <c r="D2361" s="99">
        <v>2014</v>
      </c>
      <c r="E2361" s="99">
        <v>2012</v>
      </c>
      <c r="F2361" s="99">
        <v>11</v>
      </c>
      <c r="G2361" s="99" t="s">
        <v>2341</v>
      </c>
      <c r="H2361" s="99" t="s">
        <v>2840</v>
      </c>
      <c r="I2361" s="99">
        <v>-34.837381000000001</v>
      </c>
      <c r="J2361" s="99">
        <v>-63.127822000000002</v>
      </c>
      <c r="K2361" s="99">
        <v>123.4</v>
      </c>
      <c r="M2361" s="99">
        <v>16.3</v>
      </c>
      <c r="O2361" s="99">
        <v>859</v>
      </c>
      <c r="Q2361" s="100" t="s">
        <v>1984</v>
      </c>
      <c r="R2361" s="100" t="s">
        <v>1991</v>
      </c>
      <c r="S2361" s="100"/>
      <c r="U2361" s="100" t="s">
        <v>1383</v>
      </c>
      <c r="V2361" s="100" t="s">
        <v>1722</v>
      </c>
      <c r="W2361" s="100" t="s">
        <v>1383</v>
      </c>
      <c r="X2361" s="100" t="s">
        <v>1383</v>
      </c>
      <c r="Y2361" s="351"/>
      <c r="Z2361" s="351"/>
      <c r="AB2361" s="99" t="s">
        <v>2346</v>
      </c>
      <c r="AF2361" s="100" t="s">
        <v>2400</v>
      </c>
      <c r="AG2361" s="99" t="s">
        <v>2354</v>
      </c>
      <c r="AH2361" s="99" t="s">
        <v>132</v>
      </c>
      <c r="AI2361" s="99" t="s">
        <v>159</v>
      </c>
      <c r="AJ2361" s="99" t="s">
        <v>159</v>
      </c>
      <c r="AK2361" s="99" t="s">
        <v>2345</v>
      </c>
      <c r="AL2361" s="99" t="s">
        <v>2345</v>
      </c>
      <c r="AQ2361" s="99">
        <v>0</v>
      </c>
      <c r="AU2361" s="99">
        <v>3</v>
      </c>
      <c r="BB2361" s="99" t="s">
        <v>2853</v>
      </c>
      <c r="BR2361" s="99">
        <v>24.8</v>
      </c>
      <c r="BS2361" s="99">
        <v>21.9</v>
      </c>
      <c r="BV2361" s="99" t="s">
        <v>2105</v>
      </c>
      <c r="IO2361" s="99" t="s">
        <v>2405</v>
      </c>
      <c r="IP2361" s="99" t="s">
        <v>2406</v>
      </c>
      <c r="IQ2361" s="511"/>
    </row>
    <row r="2362" spans="1:251" s="99" customFormat="1" x14ac:dyDescent="0.25">
      <c r="A2362" s="99">
        <v>111</v>
      </c>
      <c r="B2362" s="99" t="s">
        <v>2385</v>
      </c>
      <c r="C2362" s="99">
        <v>15</v>
      </c>
      <c r="D2362" s="99">
        <v>2012</v>
      </c>
      <c r="E2362" s="99">
        <v>2010</v>
      </c>
      <c r="F2362" s="99" t="s">
        <v>2396</v>
      </c>
      <c r="G2362" s="99" t="s">
        <v>2341</v>
      </c>
      <c r="H2362" s="99" t="s">
        <v>2840</v>
      </c>
      <c r="I2362" s="99">
        <v>-34.924981000000002</v>
      </c>
      <c r="J2362" s="99">
        <v>-62.646369</v>
      </c>
      <c r="K2362" s="99">
        <v>110.6</v>
      </c>
      <c r="M2362" s="99">
        <v>16</v>
      </c>
      <c r="O2362" s="99">
        <v>892</v>
      </c>
      <c r="Q2362" s="100" t="s">
        <v>1867</v>
      </c>
      <c r="R2362" s="100" t="s">
        <v>1867</v>
      </c>
      <c r="S2362" s="100"/>
      <c r="U2362" s="100" t="s">
        <v>1383</v>
      </c>
      <c r="V2362" s="100" t="s">
        <v>1722</v>
      </c>
      <c r="W2362" s="100" t="s">
        <v>1383</v>
      </c>
      <c r="X2362" s="100" t="s">
        <v>1383</v>
      </c>
      <c r="Y2362" s="351"/>
      <c r="Z2362" s="351"/>
      <c r="AB2362" s="99" t="s">
        <v>2346</v>
      </c>
      <c r="AF2362" s="100" t="s">
        <v>2400</v>
      </c>
      <c r="AG2362" s="99" t="s">
        <v>521</v>
      </c>
      <c r="AH2362" s="99" t="s">
        <v>1585</v>
      </c>
      <c r="AI2362" s="99" t="s">
        <v>159</v>
      </c>
      <c r="AJ2362" s="99" t="s">
        <v>159</v>
      </c>
      <c r="AK2362" s="99" t="s">
        <v>2345</v>
      </c>
      <c r="AL2362" s="99" t="s">
        <v>2345</v>
      </c>
      <c r="AQ2362" s="99">
        <v>0</v>
      </c>
      <c r="AU2362" s="99">
        <v>3</v>
      </c>
      <c r="BA2362" s="99" t="s">
        <v>227</v>
      </c>
      <c r="BB2362" s="99" t="s">
        <v>2853</v>
      </c>
      <c r="BM2362" s="99">
        <v>1.1399999999999999</v>
      </c>
      <c r="BN2362" s="99">
        <v>1.1666666666666701</v>
      </c>
      <c r="BR2362" s="99">
        <v>34</v>
      </c>
      <c r="BS2362" s="99">
        <v>34.9</v>
      </c>
      <c r="BV2362" s="99" t="s">
        <v>2105</v>
      </c>
      <c r="IO2362" s="99" t="s">
        <v>2405</v>
      </c>
      <c r="IP2362" s="99" t="s">
        <v>2406</v>
      </c>
      <c r="IQ2362" s="511"/>
    </row>
    <row r="2363" spans="1:251" s="99" customFormat="1" x14ac:dyDescent="0.25">
      <c r="A2363" s="99">
        <v>111</v>
      </c>
      <c r="B2363" s="99" t="s">
        <v>2385</v>
      </c>
      <c r="C2363" s="99">
        <v>15</v>
      </c>
      <c r="D2363" s="99">
        <v>2012</v>
      </c>
      <c r="E2363" s="99">
        <v>2010</v>
      </c>
      <c r="F2363" s="99" t="s">
        <v>2396</v>
      </c>
      <c r="G2363" s="99" t="s">
        <v>2341</v>
      </c>
      <c r="H2363" s="99" t="s">
        <v>2840</v>
      </c>
      <c r="I2363" s="99">
        <v>-34.924981000000002</v>
      </c>
      <c r="J2363" s="99">
        <v>-62.646369</v>
      </c>
      <c r="K2363" s="99">
        <v>110.6</v>
      </c>
      <c r="M2363" s="99">
        <v>16</v>
      </c>
      <c r="O2363" s="99">
        <v>892</v>
      </c>
      <c r="Q2363" s="100" t="s">
        <v>1867</v>
      </c>
      <c r="R2363" s="100" t="s">
        <v>1867</v>
      </c>
      <c r="S2363" s="100"/>
      <c r="U2363" s="100" t="s">
        <v>1383</v>
      </c>
      <c r="V2363" s="100" t="s">
        <v>1722</v>
      </c>
      <c r="W2363" s="100" t="s">
        <v>1383</v>
      </c>
      <c r="X2363" s="100" t="s">
        <v>1383</v>
      </c>
      <c r="Y2363" s="351"/>
      <c r="Z2363" s="351"/>
      <c r="AB2363" s="99" t="s">
        <v>2346</v>
      </c>
      <c r="AF2363" s="100" t="s">
        <v>2400</v>
      </c>
      <c r="AG2363" s="99" t="s">
        <v>521</v>
      </c>
      <c r="AH2363" s="99" t="s">
        <v>1585</v>
      </c>
      <c r="AI2363" s="99" t="s">
        <v>159</v>
      </c>
      <c r="AJ2363" s="99" t="s">
        <v>159</v>
      </c>
      <c r="AK2363" s="99" t="s">
        <v>2345</v>
      </c>
      <c r="AL2363" s="99" t="s">
        <v>2345</v>
      </c>
      <c r="AQ2363" s="99">
        <v>0</v>
      </c>
      <c r="AU2363" s="99">
        <v>3</v>
      </c>
      <c r="BA2363" s="99" t="s">
        <v>228</v>
      </c>
      <c r="BB2363" s="99" t="s">
        <v>2853</v>
      </c>
      <c r="BM2363" s="99">
        <v>1.1399999999999999</v>
      </c>
      <c r="BN2363" s="99">
        <v>1.1666666666666701</v>
      </c>
      <c r="BR2363" s="99">
        <v>34</v>
      </c>
      <c r="BS2363" s="99">
        <v>36.9</v>
      </c>
      <c r="BV2363" s="99" t="s">
        <v>2105</v>
      </c>
      <c r="IO2363" s="99" t="s">
        <v>2405</v>
      </c>
      <c r="IP2363" s="99" t="s">
        <v>2406</v>
      </c>
      <c r="IQ2363" s="511"/>
    </row>
    <row r="2364" spans="1:251" s="99" customFormat="1" x14ac:dyDescent="0.25">
      <c r="A2364" s="99">
        <v>111</v>
      </c>
      <c r="B2364" s="99" t="s">
        <v>2385</v>
      </c>
      <c r="C2364" s="99">
        <v>15</v>
      </c>
      <c r="D2364" s="99">
        <v>2012</v>
      </c>
      <c r="E2364" s="99">
        <v>2010</v>
      </c>
      <c r="F2364" s="99" t="s">
        <v>2396</v>
      </c>
      <c r="G2364" s="99" t="s">
        <v>2341</v>
      </c>
      <c r="H2364" s="99" t="s">
        <v>2840</v>
      </c>
      <c r="I2364" s="99">
        <v>-34.924981000000002</v>
      </c>
      <c r="J2364" s="99">
        <v>-62.646369</v>
      </c>
      <c r="K2364" s="99">
        <v>110.6</v>
      </c>
      <c r="M2364" s="99">
        <v>16</v>
      </c>
      <c r="O2364" s="99">
        <v>892</v>
      </c>
      <c r="Q2364" s="100" t="s">
        <v>1867</v>
      </c>
      <c r="R2364" s="100" t="s">
        <v>1867</v>
      </c>
      <c r="S2364" s="100"/>
      <c r="U2364" s="100" t="s">
        <v>1383</v>
      </c>
      <c r="V2364" s="100" t="s">
        <v>1722</v>
      </c>
      <c r="W2364" s="100" t="s">
        <v>1383</v>
      </c>
      <c r="X2364" s="100" t="s">
        <v>1383</v>
      </c>
      <c r="Y2364" s="351"/>
      <c r="Z2364" s="351"/>
      <c r="AB2364" s="99" t="s">
        <v>2346</v>
      </c>
      <c r="AF2364" s="100" t="s">
        <v>2400</v>
      </c>
      <c r="AG2364" s="99" t="s">
        <v>521</v>
      </c>
      <c r="AH2364" s="99" t="s">
        <v>1585</v>
      </c>
      <c r="AI2364" s="99" t="s">
        <v>159</v>
      </c>
      <c r="AJ2364" s="99" t="s">
        <v>159</v>
      </c>
      <c r="AK2364" s="99" t="s">
        <v>2345</v>
      </c>
      <c r="AL2364" s="99" t="s">
        <v>2345</v>
      </c>
      <c r="AQ2364" s="99">
        <v>0</v>
      </c>
      <c r="AU2364" s="99">
        <v>3</v>
      </c>
      <c r="BA2364" s="99" t="s">
        <v>2358</v>
      </c>
      <c r="BB2364" s="99" t="s">
        <v>2853</v>
      </c>
      <c r="BM2364" s="99">
        <v>1.1399999999999999</v>
      </c>
      <c r="BN2364" s="99">
        <v>1.1666666666666701</v>
      </c>
      <c r="BR2364" s="99">
        <v>34</v>
      </c>
      <c r="BS2364" s="99">
        <v>38.299999999999997</v>
      </c>
      <c r="BV2364" s="99" t="s">
        <v>2105</v>
      </c>
      <c r="IO2364" s="99" t="s">
        <v>2405</v>
      </c>
      <c r="IP2364" s="99" t="s">
        <v>2406</v>
      </c>
      <c r="IQ2364" s="511"/>
    </row>
    <row r="2365" spans="1:251" s="99" customFormat="1" x14ac:dyDescent="0.25">
      <c r="A2365" s="99">
        <v>111</v>
      </c>
      <c r="B2365" s="99" t="s">
        <v>2385</v>
      </c>
      <c r="C2365" s="99">
        <v>15</v>
      </c>
      <c r="D2365" s="99">
        <v>2012</v>
      </c>
      <c r="E2365" s="99">
        <v>2010</v>
      </c>
      <c r="F2365" s="99" t="s">
        <v>2396</v>
      </c>
      <c r="G2365" s="99" t="s">
        <v>2341</v>
      </c>
      <c r="H2365" s="99" t="s">
        <v>2840</v>
      </c>
      <c r="I2365" s="99">
        <v>-34.924981000000002</v>
      </c>
      <c r="J2365" s="99">
        <v>-62.646369</v>
      </c>
      <c r="K2365" s="99">
        <v>110.6</v>
      </c>
      <c r="M2365" s="99">
        <v>16</v>
      </c>
      <c r="O2365" s="99">
        <v>892</v>
      </c>
      <c r="Q2365" s="100" t="s">
        <v>1867</v>
      </c>
      <c r="R2365" s="100" t="s">
        <v>1867</v>
      </c>
      <c r="S2365" s="100"/>
      <c r="U2365" s="100" t="s">
        <v>1383</v>
      </c>
      <c r="V2365" s="100" t="s">
        <v>1722</v>
      </c>
      <c r="W2365" s="100" t="s">
        <v>1383</v>
      </c>
      <c r="X2365" s="100" t="s">
        <v>1383</v>
      </c>
      <c r="Y2365" s="351"/>
      <c r="Z2365" s="351"/>
      <c r="AB2365" s="99" t="s">
        <v>2346</v>
      </c>
      <c r="AF2365" s="100" t="s">
        <v>2400</v>
      </c>
      <c r="AG2365" s="99" t="s">
        <v>521</v>
      </c>
      <c r="AH2365" s="99" t="s">
        <v>1585</v>
      </c>
      <c r="AI2365" s="99" t="s">
        <v>159</v>
      </c>
      <c r="AJ2365" s="99" t="s">
        <v>159</v>
      </c>
      <c r="AK2365" s="99" t="s">
        <v>2345</v>
      </c>
      <c r="AL2365" s="99" t="s">
        <v>2345</v>
      </c>
      <c r="AQ2365" s="99">
        <v>46</v>
      </c>
      <c r="AU2365" s="99">
        <v>3</v>
      </c>
      <c r="BA2365" s="99" t="s">
        <v>227</v>
      </c>
      <c r="BB2365" s="99" t="s">
        <v>2853</v>
      </c>
      <c r="BM2365" s="99">
        <v>1.1399999999999999</v>
      </c>
      <c r="BN2365" s="99">
        <v>1.1666666666666701</v>
      </c>
      <c r="BR2365" s="99">
        <v>34.299999999999997</v>
      </c>
      <c r="BS2365" s="99">
        <v>35.700000000000003</v>
      </c>
      <c r="BV2365" s="99" t="s">
        <v>2105</v>
      </c>
      <c r="IO2365" s="99" t="s">
        <v>2405</v>
      </c>
      <c r="IP2365" s="99" t="s">
        <v>2406</v>
      </c>
      <c r="IQ2365" s="511"/>
    </row>
    <row r="2366" spans="1:251" s="99" customFormat="1" x14ac:dyDescent="0.25">
      <c r="A2366" s="99">
        <v>111</v>
      </c>
      <c r="B2366" s="99" t="s">
        <v>2385</v>
      </c>
      <c r="C2366" s="99">
        <v>15</v>
      </c>
      <c r="D2366" s="99">
        <v>2012</v>
      </c>
      <c r="E2366" s="99">
        <v>2010</v>
      </c>
      <c r="F2366" s="99" t="s">
        <v>2396</v>
      </c>
      <c r="G2366" s="99" t="s">
        <v>2341</v>
      </c>
      <c r="H2366" s="99" t="s">
        <v>2840</v>
      </c>
      <c r="I2366" s="99">
        <v>-34.924981000000002</v>
      </c>
      <c r="J2366" s="99">
        <v>-62.646369</v>
      </c>
      <c r="K2366" s="99">
        <v>110.6</v>
      </c>
      <c r="M2366" s="99">
        <v>16</v>
      </c>
      <c r="O2366" s="99">
        <v>892</v>
      </c>
      <c r="Q2366" s="100" t="s">
        <v>1867</v>
      </c>
      <c r="R2366" s="100" t="s">
        <v>1867</v>
      </c>
      <c r="S2366" s="100"/>
      <c r="U2366" s="100" t="s">
        <v>1383</v>
      </c>
      <c r="V2366" s="100" t="s">
        <v>1722</v>
      </c>
      <c r="W2366" s="100" t="s">
        <v>1383</v>
      </c>
      <c r="X2366" s="100" t="s">
        <v>1383</v>
      </c>
      <c r="Y2366" s="351"/>
      <c r="Z2366" s="351"/>
      <c r="AB2366" s="99" t="s">
        <v>2346</v>
      </c>
      <c r="AF2366" s="100" t="s">
        <v>2400</v>
      </c>
      <c r="AG2366" s="99" t="s">
        <v>521</v>
      </c>
      <c r="AH2366" s="99" t="s">
        <v>1585</v>
      </c>
      <c r="AI2366" s="99" t="s">
        <v>159</v>
      </c>
      <c r="AJ2366" s="99" t="s">
        <v>159</v>
      </c>
      <c r="AK2366" s="99" t="s">
        <v>2345</v>
      </c>
      <c r="AL2366" s="99" t="s">
        <v>2345</v>
      </c>
      <c r="AQ2366" s="99">
        <v>46</v>
      </c>
      <c r="AU2366" s="99">
        <v>3</v>
      </c>
      <c r="BA2366" s="99" t="s">
        <v>228</v>
      </c>
      <c r="BB2366" s="99" t="s">
        <v>2853</v>
      </c>
      <c r="BM2366" s="99">
        <v>1.1399999999999999</v>
      </c>
      <c r="BN2366" s="99">
        <v>1.1666666666666701</v>
      </c>
      <c r="BR2366" s="99">
        <v>34.299999999999997</v>
      </c>
      <c r="BS2366" s="99">
        <v>38.200000000000003</v>
      </c>
      <c r="BV2366" s="99" t="s">
        <v>2105</v>
      </c>
      <c r="IO2366" s="99" t="s">
        <v>2405</v>
      </c>
      <c r="IP2366" s="99" t="s">
        <v>2406</v>
      </c>
      <c r="IQ2366" s="511"/>
    </row>
    <row r="2367" spans="1:251" s="99" customFormat="1" x14ac:dyDescent="0.25">
      <c r="A2367" s="99">
        <v>111</v>
      </c>
      <c r="B2367" s="99" t="s">
        <v>2385</v>
      </c>
      <c r="C2367" s="99">
        <v>15</v>
      </c>
      <c r="D2367" s="99">
        <v>2012</v>
      </c>
      <c r="E2367" s="99">
        <v>2010</v>
      </c>
      <c r="F2367" s="99" t="s">
        <v>2396</v>
      </c>
      <c r="G2367" s="99" t="s">
        <v>2341</v>
      </c>
      <c r="H2367" s="99" t="s">
        <v>2840</v>
      </c>
      <c r="I2367" s="99">
        <v>-34.924981000000002</v>
      </c>
      <c r="J2367" s="99">
        <v>-62.646369</v>
      </c>
      <c r="K2367" s="99">
        <v>110.6</v>
      </c>
      <c r="M2367" s="99">
        <v>16</v>
      </c>
      <c r="O2367" s="99">
        <v>892</v>
      </c>
      <c r="Q2367" s="100" t="s">
        <v>1867</v>
      </c>
      <c r="R2367" s="100" t="s">
        <v>1867</v>
      </c>
      <c r="S2367" s="100"/>
      <c r="U2367" s="100" t="s">
        <v>1383</v>
      </c>
      <c r="V2367" s="100" t="s">
        <v>1722</v>
      </c>
      <c r="W2367" s="100" t="s">
        <v>1383</v>
      </c>
      <c r="X2367" s="100" t="s">
        <v>1383</v>
      </c>
      <c r="Y2367" s="351"/>
      <c r="Z2367" s="351"/>
      <c r="AB2367" s="99" t="s">
        <v>2346</v>
      </c>
      <c r="AF2367" s="100" t="s">
        <v>2400</v>
      </c>
      <c r="AG2367" s="99" t="s">
        <v>521</v>
      </c>
      <c r="AH2367" s="99" t="s">
        <v>1585</v>
      </c>
      <c r="AI2367" s="99" t="s">
        <v>159</v>
      </c>
      <c r="AJ2367" s="99" t="s">
        <v>159</v>
      </c>
      <c r="AK2367" s="99" t="s">
        <v>2345</v>
      </c>
      <c r="AL2367" s="99" t="s">
        <v>2345</v>
      </c>
      <c r="AQ2367" s="99">
        <v>46</v>
      </c>
      <c r="AU2367" s="99">
        <v>3</v>
      </c>
      <c r="BA2367" s="99" t="s">
        <v>2358</v>
      </c>
      <c r="BB2367" s="99" t="s">
        <v>2853</v>
      </c>
      <c r="BM2367" s="99">
        <v>1.1399999999999999</v>
      </c>
      <c r="BN2367" s="99">
        <v>1.1666666666666701</v>
      </c>
      <c r="BR2367" s="99">
        <v>34.299999999999997</v>
      </c>
      <c r="BS2367" s="99">
        <v>38.9</v>
      </c>
      <c r="BV2367" s="99" t="s">
        <v>2105</v>
      </c>
      <c r="IO2367" s="99" t="s">
        <v>2405</v>
      </c>
      <c r="IP2367" s="99" t="s">
        <v>2406</v>
      </c>
      <c r="IQ2367" s="511"/>
    </row>
    <row r="2368" spans="1:251" s="99" customFormat="1" x14ac:dyDescent="0.25">
      <c r="A2368" s="99">
        <v>111</v>
      </c>
      <c r="B2368" s="99" t="s">
        <v>2385</v>
      </c>
      <c r="C2368" s="99">
        <v>15</v>
      </c>
      <c r="D2368" s="99">
        <v>2012</v>
      </c>
      <c r="E2368" s="99">
        <v>2010</v>
      </c>
      <c r="F2368" s="99" t="s">
        <v>2396</v>
      </c>
      <c r="G2368" s="99" t="s">
        <v>2341</v>
      </c>
      <c r="H2368" s="99" t="s">
        <v>2840</v>
      </c>
      <c r="I2368" s="99">
        <v>-34.924981000000002</v>
      </c>
      <c r="J2368" s="99">
        <v>-62.646369</v>
      </c>
      <c r="K2368" s="99">
        <v>110.6</v>
      </c>
      <c r="M2368" s="99">
        <v>16</v>
      </c>
      <c r="O2368" s="99">
        <v>892</v>
      </c>
      <c r="Q2368" s="100" t="s">
        <v>1867</v>
      </c>
      <c r="R2368" s="100" t="s">
        <v>1867</v>
      </c>
      <c r="S2368" s="100"/>
      <c r="U2368" s="100" t="s">
        <v>1383</v>
      </c>
      <c r="V2368" s="100" t="s">
        <v>1722</v>
      </c>
      <c r="W2368" s="100" t="s">
        <v>1383</v>
      </c>
      <c r="X2368" s="100" t="s">
        <v>1383</v>
      </c>
      <c r="Y2368" s="351"/>
      <c r="Z2368" s="351"/>
      <c r="AB2368" s="99" t="s">
        <v>2346</v>
      </c>
      <c r="AF2368" s="100" t="s">
        <v>2400</v>
      </c>
      <c r="AG2368" s="99" t="s">
        <v>2354</v>
      </c>
      <c r="AH2368" s="99" t="s">
        <v>132</v>
      </c>
      <c r="AI2368" s="99" t="s">
        <v>159</v>
      </c>
      <c r="AJ2368" s="99" t="s">
        <v>159</v>
      </c>
      <c r="AK2368" s="99" t="s">
        <v>2345</v>
      </c>
      <c r="AL2368" s="99" t="s">
        <v>2345</v>
      </c>
      <c r="AQ2368" s="99">
        <v>0</v>
      </c>
      <c r="AU2368" s="99">
        <v>3</v>
      </c>
      <c r="BA2368" s="99" t="s">
        <v>227</v>
      </c>
      <c r="BB2368" s="99" t="s">
        <v>2853</v>
      </c>
      <c r="BM2368" s="99">
        <v>1.1399999999999999</v>
      </c>
      <c r="BN2368" s="99">
        <v>1.1666666666666701</v>
      </c>
      <c r="BR2368" s="99">
        <v>34</v>
      </c>
      <c r="BS2368" s="99">
        <v>34.6</v>
      </c>
      <c r="BV2368" s="99" t="s">
        <v>2105</v>
      </c>
      <c r="IO2368" s="99" t="s">
        <v>2405</v>
      </c>
      <c r="IP2368" s="99" t="s">
        <v>2406</v>
      </c>
      <c r="IQ2368" s="511"/>
    </row>
    <row r="2369" spans="1:251" s="99" customFormat="1" x14ac:dyDescent="0.25">
      <c r="A2369" s="99">
        <v>111</v>
      </c>
      <c r="B2369" s="99" t="s">
        <v>2385</v>
      </c>
      <c r="C2369" s="99">
        <v>15</v>
      </c>
      <c r="D2369" s="99">
        <v>2012</v>
      </c>
      <c r="E2369" s="99">
        <v>2010</v>
      </c>
      <c r="F2369" s="99" t="s">
        <v>2396</v>
      </c>
      <c r="G2369" s="99" t="s">
        <v>2341</v>
      </c>
      <c r="H2369" s="99" t="s">
        <v>2840</v>
      </c>
      <c r="I2369" s="99">
        <v>-34.924981000000002</v>
      </c>
      <c r="J2369" s="99">
        <v>-62.646369</v>
      </c>
      <c r="K2369" s="99">
        <v>110.6</v>
      </c>
      <c r="M2369" s="99">
        <v>16</v>
      </c>
      <c r="O2369" s="99">
        <v>892</v>
      </c>
      <c r="Q2369" s="100" t="s">
        <v>1867</v>
      </c>
      <c r="R2369" s="100" t="s">
        <v>1867</v>
      </c>
      <c r="S2369" s="100"/>
      <c r="U2369" s="100" t="s">
        <v>1383</v>
      </c>
      <c r="V2369" s="100" t="s">
        <v>1722</v>
      </c>
      <c r="W2369" s="100" t="s">
        <v>1383</v>
      </c>
      <c r="X2369" s="100" t="s">
        <v>1383</v>
      </c>
      <c r="Y2369" s="351"/>
      <c r="Z2369" s="351"/>
      <c r="AB2369" s="99" t="s">
        <v>2346</v>
      </c>
      <c r="AF2369" s="100" t="s">
        <v>2400</v>
      </c>
      <c r="AG2369" s="99" t="s">
        <v>2354</v>
      </c>
      <c r="AH2369" s="99" t="s">
        <v>132</v>
      </c>
      <c r="AI2369" s="99" t="s">
        <v>159</v>
      </c>
      <c r="AJ2369" s="99" t="s">
        <v>159</v>
      </c>
      <c r="AK2369" s="99" t="s">
        <v>2345</v>
      </c>
      <c r="AL2369" s="99" t="s">
        <v>2345</v>
      </c>
      <c r="AQ2369" s="99">
        <v>0</v>
      </c>
      <c r="AU2369" s="99">
        <v>3</v>
      </c>
      <c r="BA2369" s="99" t="s">
        <v>228</v>
      </c>
      <c r="BB2369" s="99" t="s">
        <v>2853</v>
      </c>
      <c r="BM2369" s="99">
        <v>1.1399999999999999</v>
      </c>
      <c r="BN2369" s="99">
        <v>1.1666666666666701</v>
      </c>
      <c r="BR2369" s="99">
        <v>34</v>
      </c>
      <c r="BS2369" s="99">
        <v>38.700000000000003</v>
      </c>
      <c r="BV2369" s="99" t="s">
        <v>2105</v>
      </c>
      <c r="IO2369" s="99" t="s">
        <v>2405</v>
      </c>
      <c r="IP2369" s="99" t="s">
        <v>2406</v>
      </c>
      <c r="IQ2369" s="511"/>
    </row>
    <row r="2370" spans="1:251" s="99" customFormat="1" x14ac:dyDescent="0.25">
      <c r="A2370" s="99">
        <v>111</v>
      </c>
      <c r="B2370" s="99" t="s">
        <v>2385</v>
      </c>
      <c r="C2370" s="99">
        <v>15</v>
      </c>
      <c r="D2370" s="99">
        <v>2012</v>
      </c>
      <c r="E2370" s="99">
        <v>2010</v>
      </c>
      <c r="F2370" s="99" t="s">
        <v>2396</v>
      </c>
      <c r="G2370" s="99" t="s">
        <v>2341</v>
      </c>
      <c r="H2370" s="99" t="s">
        <v>2840</v>
      </c>
      <c r="I2370" s="99">
        <v>-34.924981000000002</v>
      </c>
      <c r="J2370" s="99">
        <v>-62.646369</v>
      </c>
      <c r="K2370" s="99">
        <v>110.6</v>
      </c>
      <c r="M2370" s="99">
        <v>16</v>
      </c>
      <c r="O2370" s="99">
        <v>892</v>
      </c>
      <c r="Q2370" s="100" t="s">
        <v>1867</v>
      </c>
      <c r="R2370" s="100" t="s">
        <v>1867</v>
      </c>
      <c r="S2370" s="100"/>
      <c r="U2370" s="100" t="s">
        <v>1383</v>
      </c>
      <c r="V2370" s="100" t="s">
        <v>1722</v>
      </c>
      <c r="W2370" s="100" t="s">
        <v>1383</v>
      </c>
      <c r="X2370" s="100" t="s">
        <v>1383</v>
      </c>
      <c r="Y2370" s="351"/>
      <c r="Z2370" s="351"/>
      <c r="AB2370" s="99" t="s">
        <v>2346</v>
      </c>
      <c r="AF2370" s="100" t="s">
        <v>2400</v>
      </c>
      <c r="AG2370" s="99" t="s">
        <v>2354</v>
      </c>
      <c r="AH2370" s="99" t="s">
        <v>132</v>
      </c>
      <c r="AI2370" s="99" t="s">
        <v>159</v>
      </c>
      <c r="AJ2370" s="99" t="s">
        <v>159</v>
      </c>
      <c r="AK2370" s="99" t="s">
        <v>2345</v>
      </c>
      <c r="AL2370" s="99" t="s">
        <v>2345</v>
      </c>
      <c r="AQ2370" s="99">
        <v>0</v>
      </c>
      <c r="AU2370" s="99">
        <v>3</v>
      </c>
      <c r="BA2370" s="99" t="s">
        <v>2358</v>
      </c>
      <c r="BB2370" s="99" t="s">
        <v>2853</v>
      </c>
      <c r="BM2370" s="99">
        <v>1.1399999999999999</v>
      </c>
      <c r="BN2370" s="99">
        <v>1.1666666666666701</v>
      </c>
      <c r="BR2370" s="99">
        <v>34</v>
      </c>
      <c r="BS2370" s="99">
        <v>38.299999999999997</v>
      </c>
      <c r="BV2370" s="99" t="s">
        <v>2105</v>
      </c>
      <c r="IO2370" s="99" t="s">
        <v>2405</v>
      </c>
      <c r="IP2370" s="99" t="s">
        <v>2406</v>
      </c>
      <c r="IQ2370" s="511"/>
    </row>
    <row r="2371" spans="1:251" s="99" customFormat="1" x14ac:dyDescent="0.25">
      <c r="A2371" s="99">
        <v>111</v>
      </c>
      <c r="B2371" s="99" t="s">
        <v>2385</v>
      </c>
      <c r="C2371" s="99">
        <v>15</v>
      </c>
      <c r="D2371" s="99">
        <v>2012</v>
      </c>
      <c r="E2371" s="99">
        <v>2010</v>
      </c>
      <c r="F2371" s="99" t="s">
        <v>2396</v>
      </c>
      <c r="G2371" s="99" t="s">
        <v>2341</v>
      </c>
      <c r="H2371" s="99" t="s">
        <v>2840</v>
      </c>
      <c r="I2371" s="99">
        <v>-34.924981000000002</v>
      </c>
      <c r="J2371" s="99">
        <v>-62.646369</v>
      </c>
      <c r="K2371" s="99">
        <v>110.6</v>
      </c>
      <c r="M2371" s="99">
        <v>16</v>
      </c>
      <c r="O2371" s="99">
        <v>892</v>
      </c>
      <c r="Q2371" s="100" t="s">
        <v>1867</v>
      </c>
      <c r="R2371" s="100" t="s">
        <v>1867</v>
      </c>
      <c r="S2371" s="100"/>
      <c r="U2371" s="100" t="s">
        <v>1383</v>
      </c>
      <c r="V2371" s="100" t="s">
        <v>1722</v>
      </c>
      <c r="W2371" s="100" t="s">
        <v>1383</v>
      </c>
      <c r="X2371" s="100" t="s">
        <v>1383</v>
      </c>
      <c r="Y2371" s="351"/>
      <c r="Z2371" s="351"/>
      <c r="AB2371" s="99" t="s">
        <v>2346</v>
      </c>
      <c r="AF2371" s="100" t="s">
        <v>2400</v>
      </c>
      <c r="AG2371" s="99" t="s">
        <v>2354</v>
      </c>
      <c r="AH2371" s="99" t="s">
        <v>132</v>
      </c>
      <c r="AI2371" s="99" t="s">
        <v>159</v>
      </c>
      <c r="AJ2371" s="99" t="s">
        <v>159</v>
      </c>
      <c r="AK2371" s="99" t="s">
        <v>2345</v>
      </c>
      <c r="AL2371" s="99" t="s">
        <v>2345</v>
      </c>
      <c r="AQ2371" s="99">
        <v>46</v>
      </c>
      <c r="AU2371" s="99">
        <v>3</v>
      </c>
      <c r="BA2371" s="99" t="s">
        <v>227</v>
      </c>
      <c r="BB2371" s="99" t="s">
        <v>2853</v>
      </c>
      <c r="BM2371" s="99">
        <v>1.1399999999999999</v>
      </c>
      <c r="BN2371" s="99">
        <v>1.1666666666666701</v>
      </c>
      <c r="BR2371" s="99">
        <v>34.299999999999997</v>
      </c>
      <c r="BS2371" s="99">
        <v>36.6</v>
      </c>
      <c r="BV2371" s="99" t="s">
        <v>2105</v>
      </c>
      <c r="IO2371" s="99" t="s">
        <v>2405</v>
      </c>
      <c r="IP2371" s="99" t="s">
        <v>2406</v>
      </c>
      <c r="IQ2371" s="511"/>
    </row>
    <row r="2372" spans="1:251" s="99" customFormat="1" x14ac:dyDescent="0.25">
      <c r="A2372" s="99">
        <v>111</v>
      </c>
      <c r="B2372" s="99" t="s">
        <v>2385</v>
      </c>
      <c r="C2372" s="99">
        <v>15</v>
      </c>
      <c r="D2372" s="99">
        <v>2012</v>
      </c>
      <c r="E2372" s="99">
        <v>2010</v>
      </c>
      <c r="F2372" s="99" t="s">
        <v>2396</v>
      </c>
      <c r="G2372" s="99" t="s">
        <v>2341</v>
      </c>
      <c r="H2372" s="99" t="s">
        <v>2840</v>
      </c>
      <c r="I2372" s="99">
        <v>-34.924981000000002</v>
      </c>
      <c r="J2372" s="99">
        <v>-62.646369</v>
      </c>
      <c r="K2372" s="99">
        <v>110.6</v>
      </c>
      <c r="M2372" s="99">
        <v>16</v>
      </c>
      <c r="O2372" s="99">
        <v>892</v>
      </c>
      <c r="Q2372" s="100" t="s">
        <v>1867</v>
      </c>
      <c r="R2372" s="100" t="s">
        <v>1867</v>
      </c>
      <c r="S2372" s="100"/>
      <c r="U2372" s="100" t="s">
        <v>1383</v>
      </c>
      <c r="V2372" s="100" t="s">
        <v>1722</v>
      </c>
      <c r="W2372" s="100" t="s">
        <v>1383</v>
      </c>
      <c r="X2372" s="100" t="s">
        <v>1383</v>
      </c>
      <c r="Y2372" s="351"/>
      <c r="Z2372" s="351"/>
      <c r="AB2372" s="99" t="s">
        <v>2346</v>
      </c>
      <c r="AF2372" s="100" t="s">
        <v>2400</v>
      </c>
      <c r="AG2372" s="99" t="s">
        <v>2354</v>
      </c>
      <c r="AH2372" s="99" t="s">
        <v>132</v>
      </c>
      <c r="AI2372" s="99" t="s">
        <v>159</v>
      </c>
      <c r="AJ2372" s="99" t="s">
        <v>159</v>
      </c>
      <c r="AK2372" s="99" t="s">
        <v>2345</v>
      </c>
      <c r="AL2372" s="99" t="s">
        <v>2345</v>
      </c>
      <c r="AQ2372" s="99">
        <v>46</v>
      </c>
      <c r="AU2372" s="99">
        <v>3</v>
      </c>
      <c r="BA2372" s="99" t="s">
        <v>228</v>
      </c>
      <c r="BB2372" s="99" t="s">
        <v>2853</v>
      </c>
      <c r="BM2372" s="99">
        <v>1.1399999999999999</v>
      </c>
      <c r="BN2372" s="99">
        <v>1.1666666666666701</v>
      </c>
      <c r="BR2372" s="99">
        <v>34.299999999999997</v>
      </c>
      <c r="BS2372" s="99">
        <v>38.4</v>
      </c>
      <c r="BV2372" s="99" t="s">
        <v>2105</v>
      </c>
      <c r="IO2372" s="99" t="s">
        <v>2405</v>
      </c>
      <c r="IP2372" s="99" t="s">
        <v>2406</v>
      </c>
      <c r="IQ2372" s="511"/>
    </row>
    <row r="2373" spans="1:251" s="99" customFormat="1" x14ac:dyDescent="0.25">
      <c r="A2373" s="99">
        <v>111</v>
      </c>
      <c r="B2373" s="99" t="s">
        <v>2385</v>
      </c>
      <c r="C2373" s="99">
        <v>15</v>
      </c>
      <c r="D2373" s="99">
        <v>2012</v>
      </c>
      <c r="E2373" s="99">
        <v>2010</v>
      </c>
      <c r="F2373" s="99" t="s">
        <v>2396</v>
      </c>
      <c r="G2373" s="99" t="s">
        <v>2341</v>
      </c>
      <c r="H2373" s="99" t="s">
        <v>2840</v>
      </c>
      <c r="I2373" s="99">
        <v>-34.924981000000002</v>
      </c>
      <c r="J2373" s="99">
        <v>-62.646369</v>
      </c>
      <c r="K2373" s="99">
        <v>110.6</v>
      </c>
      <c r="M2373" s="99">
        <v>16</v>
      </c>
      <c r="O2373" s="99">
        <v>892</v>
      </c>
      <c r="Q2373" s="100" t="s">
        <v>1867</v>
      </c>
      <c r="R2373" s="100" t="s">
        <v>1867</v>
      </c>
      <c r="S2373" s="100"/>
      <c r="U2373" s="100" t="s">
        <v>1383</v>
      </c>
      <c r="V2373" s="100" t="s">
        <v>1722</v>
      </c>
      <c r="W2373" s="100" t="s">
        <v>1383</v>
      </c>
      <c r="X2373" s="100" t="s">
        <v>1383</v>
      </c>
      <c r="Y2373" s="351"/>
      <c r="Z2373" s="351"/>
      <c r="AB2373" s="99" t="s">
        <v>2346</v>
      </c>
      <c r="AF2373" s="100" t="s">
        <v>2400</v>
      </c>
      <c r="AG2373" s="99" t="s">
        <v>2354</v>
      </c>
      <c r="AH2373" s="99" t="s">
        <v>132</v>
      </c>
      <c r="AI2373" s="99" t="s">
        <v>159</v>
      </c>
      <c r="AJ2373" s="99" t="s">
        <v>159</v>
      </c>
      <c r="AK2373" s="99" t="s">
        <v>2345</v>
      </c>
      <c r="AL2373" s="99" t="s">
        <v>2345</v>
      </c>
      <c r="AQ2373" s="99">
        <v>46</v>
      </c>
      <c r="AU2373" s="99">
        <v>3</v>
      </c>
      <c r="BA2373" s="99" t="s">
        <v>2358</v>
      </c>
      <c r="BB2373" s="99" t="s">
        <v>2853</v>
      </c>
      <c r="BM2373" s="99">
        <v>1.1399999999999999</v>
      </c>
      <c r="BN2373" s="99">
        <v>1.1666666666666701</v>
      </c>
      <c r="BR2373" s="99">
        <v>34.299999999999997</v>
      </c>
      <c r="BS2373" s="99">
        <v>42.6</v>
      </c>
      <c r="BV2373" s="99" t="s">
        <v>2105</v>
      </c>
      <c r="IO2373" s="99" t="s">
        <v>2405</v>
      </c>
      <c r="IP2373" s="99" t="s">
        <v>2406</v>
      </c>
      <c r="IQ2373" s="511"/>
    </row>
    <row r="2374" spans="1:251" s="99" customFormat="1" x14ac:dyDescent="0.25">
      <c r="A2374" s="99">
        <v>111</v>
      </c>
      <c r="B2374" s="99" t="s">
        <v>2385</v>
      </c>
      <c r="C2374" s="99">
        <v>15</v>
      </c>
      <c r="D2374" s="99">
        <v>2012</v>
      </c>
      <c r="E2374" s="99">
        <v>2010</v>
      </c>
      <c r="F2374" s="99" t="s">
        <v>2396</v>
      </c>
      <c r="G2374" s="99" t="s">
        <v>2341</v>
      </c>
      <c r="H2374" s="99" t="s">
        <v>2840</v>
      </c>
      <c r="I2374" s="99">
        <v>-34.924981000000002</v>
      </c>
      <c r="J2374" s="99">
        <v>-62.646369</v>
      </c>
      <c r="K2374" s="99">
        <v>110.6</v>
      </c>
      <c r="M2374" s="99">
        <v>16</v>
      </c>
      <c r="O2374" s="99">
        <v>892</v>
      </c>
      <c r="Q2374" s="100" t="s">
        <v>1867</v>
      </c>
      <c r="R2374" s="100" t="s">
        <v>1867</v>
      </c>
      <c r="S2374" s="100"/>
      <c r="U2374" s="100" t="s">
        <v>1383</v>
      </c>
      <c r="V2374" s="100" t="s">
        <v>1722</v>
      </c>
      <c r="W2374" s="100" t="s">
        <v>1383</v>
      </c>
      <c r="X2374" s="100" t="s">
        <v>1383</v>
      </c>
      <c r="Y2374" s="351"/>
      <c r="Z2374" s="351"/>
      <c r="AB2374" s="99" t="s">
        <v>2346</v>
      </c>
      <c r="AF2374" s="100" t="s">
        <v>2400</v>
      </c>
      <c r="AG2374" s="99" t="s">
        <v>2359</v>
      </c>
      <c r="AH2374" s="99" t="s">
        <v>132</v>
      </c>
      <c r="AI2374" s="99" t="s">
        <v>159</v>
      </c>
      <c r="AJ2374" s="99" t="s">
        <v>159</v>
      </c>
      <c r="AK2374" s="99" t="s">
        <v>2345</v>
      </c>
      <c r="AL2374" s="99" t="s">
        <v>2345</v>
      </c>
      <c r="AQ2374" s="99">
        <v>0</v>
      </c>
      <c r="AU2374" s="99">
        <v>3</v>
      </c>
      <c r="BA2374" s="99" t="s">
        <v>227</v>
      </c>
      <c r="BB2374" s="99" t="s">
        <v>2853</v>
      </c>
      <c r="BM2374" s="99">
        <v>1.1399999999999999</v>
      </c>
      <c r="BN2374" s="99">
        <v>1.1666666666666701</v>
      </c>
      <c r="BR2374" s="99">
        <v>34</v>
      </c>
      <c r="BS2374" s="99">
        <v>36.200000000000003</v>
      </c>
      <c r="BV2374" s="99" t="s">
        <v>2105</v>
      </c>
      <c r="IO2374" s="99" t="s">
        <v>2405</v>
      </c>
      <c r="IP2374" s="99" t="s">
        <v>2406</v>
      </c>
      <c r="IQ2374" s="511"/>
    </row>
    <row r="2375" spans="1:251" s="99" customFormat="1" x14ac:dyDescent="0.25">
      <c r="A2375" s="99">
        <v>111</v>
      </c>
      <c r="B2375" s="99" t="s">
        <v>2385</v>
      </c>
      <c r="C2375" s="99">
        <v>15</v>
      </c>
      <c r="D2375" s="99">
        <v>2012</v>
      </c>
      <c r="E2375" s="99">
        <v>2010</v>
      </c>
      <c r="F2375" s="99" t="s">
        <v>2396</v>
      </c>
      <c r="G2375" s="99" t="s">
        <v>2341</v>
      </c>
      <c r="H2375" s="99" t="s">
        <v>2840</v>
      </c>
      <c r="I2375" s="99">
        <v>-34.924981000000002</v>
      </c>
      <c r="J2375" s="99">
        <v>-62.646369</v>
      </c>
      <c r="K2375" s="99">
        <v>110.6</v>
      </c>
      <c r="M2375" s="99">
        <v>16</v>
      </c>
      <c r="O2375" s="99">
        <v>892</v>
      </c>
      <c r="Q2375" s="100" t="s">
        <v>1867</v>
      </c>
      <c r="R2375" s="100" t="s">
        <v>1867</v>
      </c>
      <c r="S2375" s="100"/>
      <c r="U2375" s="100" t="s">
        <v>1383</v>
      </c>
      <c r="V2375" s="100" t="s">
        <v>1722</v>
      </c>
      <c r="W2375" s="100" t="s">
        <v>1383</v>
      </c>
      <c r="X2375" s="100" t="s">
        <v>1383</v>
      </c>
      <c r="Y2375" s="351"/>
      <c r="Z2375" s="351"/>
      <c r="AB2375" s="99" t="s">
        <v>2346</v>
      </c>
      <c r="AF2375" s="100" t="s">
        <v>2400</v>
      </c>
      <c r="AG2375" s="99" t="s">
        <v>2359</v>
      </c>
      <c r="AH2375" s="99" t="s">
        <v>132</v>
      </c>
      <c r="AI2375" s="99" t="s">
        <v>159</v>
      </c>
      <c r="AJ2375" s="99" t="s">
        <v>159</v>
      </c>
      <c r="AK2375" s="99" t="s">
        <v>2345</v>
      </c>
      <c r="AL2375" s="99" t="s">
        <v>2345</v>
      </c>
      <c r="AQ2375" s="99">
        <v>0</v>
      </c>
      <c r="AU2375" s="99">
        <v>3</v>
      </c>
      <c r="BA2375" s="99" t="s">
        <v>228</v>
      </c>
      <c r="BB2375" s="99" t="s">
        <v>2853</v>
      </c>
      <c r="BM2375" s="99">
        <v>1.1399999999999999</v>
      </c>
      <c r="BN2375" s="99">
        <v>1.1666666666666701</v>
      </c>
      <c r="BR2375" s="99">
        <v>34</v>
      </c>
      <c r="BS2375" s="99">
        <v>38.1</v>
      </c>
      <c r="BV2375" s="99" t="s">
        <v>2105</v>
      </c>
      <c r="IO2375" s="99" t="s">
        <v>2405</v>
      </c>
      <c r="IP2375" s="99" t="s">
        <v>2406</v>
      </c>
      <c r="IQ2375" s="511"/>
    </row>
    <row r="2376" spans="1:251" s="99" customFormat="1" x14ac:dyDescent="0.25">
      <c r="A2376" s="99">
        <v>111</v>
      </c>
      <c r="B2376" s="99" t="s">
        <v>2385</v>
      </c>
      <c r="C2376" s="99">
        <v>15</v>
      </c>
      <c r="D2376" s="99">
        <v>2012</v>
      </c>
      <c r="E2376" s="99">
        <v>2010</v>
      </c>
      <c r="F2376" s="99" t="s">
        <v>2396</v>
      </c>
      <c r="G2376" s="99" t="s">
        <v>2341</v>
      </c>
      <c r="H2376" s="99" t="s">
        <v>2840</v>
      </c>
      <c r="I2376" s="99">
        <v>-34.924981000000002</v>
      </c>
      <c r="J2376" s="99">
        <v>-62.646369</v>
      </c>
      <c r="K2376" s="99">
        <v>110.6</v>
      </c>
      <c r="M2376" s="99">
        <v>16</v>
      </c>
      <c r="O2376" s="99">
        <v>892</v>
      </c>
      <c r="Q2376" s="100" t="s">
        <v>1867</v>
      </c>
      <c r="R2376" s="100" t="s">
        <v>1867</v>
      </c>
      <c r="S2376" s="100"/>
      <c r="U2376" s="100" t="s">
        <v>1383</v>
      </c>
      <c r="V2376" s="100" t="s">
        <v>1722</v>
      </c>
      <c r="W2376" s="100" t="s">
        <v>1383</v>
      </c>
      <c r="X2376" s="100" t="s">
        <v>1383</v>
      </c>
      <c r="Y2376" s="351"/>
      <c r="Z2376" s="351"/>
      <c r="AB2376" s="99" t="s">
        <v>2346</v>
      </c>
      <c r="AF2376" s="100" t="s">
        <v>2400</v>
      </c>
      <c r="AG2376" s="99" t="s">
        <v>2359</v>
      </c>
      <c r="AH2376" s="99" t="s">
        <v>132</v>
      </c>
      <c r="AI2376" s="99" t="s">
        <v>159</v>
      </c>
      <c r="AJ2376" s="99" t="s">
        <v>159</v>
      </c>
      <c r="AK2376" s="99" t="s">
        <v>2345</v>
      </c>
      <c r="AL2376" s="99" t="s">
        <v>2345</v>
      </c>
      <c r="AQ2376" s="99">
        <v>0</v>
      </c>
      <c r="AU2376" s="99">
        <v>3</v>
      </c>
      <c r="BA2376" s="99" t="s">
        <v>2358</v>
      </c>
      <c r="BB2376" s="99" t="s">
        <v>2853</v>
      </c>
      <c r="BM2376" s="99">
        <v>1.1399999999999999</v>
      </c>
      <c r="BN2376" s="99">
        <v>1.1666666666666701</v>
      </c>
      <c r="BR2376" s="99">
        <v>34</v>
      </c>
      <c r="BS2376" s="99">
        <v>37.6</v>
      </c>
      <c r="BV2376" s="99" t="s">
        <v>2105</v>
      </c>
      <c r="IO2376" s="99" t="s">
        <v>2405</v>
      </c>
      <c r="IP2376" s="99" t="s">
        <v>2406</v>
      </c>
      <c r="IQ2376" s="511"/>
    </row>
    <row r="2377" spans="1:251" s="99" customFormat="1" x14ac:dyDescent="0.25">
      <c r="A2377" s="99">
        <v>111</v>
      </c>
      <c r="B2377" s="99" t="s">
        <v>2385</v>
      </c>
      <c r="C2377" s="99">
        <v>15</v>
      </c>
      <c r="D2377" s="99">
        <v>2012</v>
      </c>
      <c r="E2377" s="99">
        <v>2010</v>
      </c>
      <c r="F2377" s="99" t="s">
        <v>2396</v>
      </c>
      <c r="G2377" s="99" t="s">
        <v>2341</v>
      </c>
      <c r="H2377" s="99" t="s">
        <v>2840</v>
      </c>
      <c r="I2377" s="99">
        <v>-34.924981000000002</v>
      </c>
      <c r="J2377" s="99">
        <v>-62.646369</v>
      </c>
      <c r="K2377" s="99">
        <v>110.6</v>
      </c>
      <c r="M2377" s="99">
        <v>16</v>
      </c>
      <c r="O2377" s="99">
        <v>892</v>
      </c>
      <c r="Q2377" s="100" t="s">
        <v>1867</v>
      </c>
      <c r="R2377" s="100" t="s">
        <v>1867</v>
      </c>
      <c r="S2377" s="100"/>
      <c r="U2377" s="100" t="s">
        <v>1383</v>
      </c>
      <c r="V2377" s="100" t="s">
        <v>1722</v>
      </c>
      <c r="W2377" s="100" t="s">
        <v>1383</v>
      </c>
      <c r="X2377" s="100" t="s">
        <v>1383</v>
      </c>
      <c r="Y2377" s="351"/>
      <c r="Z2377" s="351"/>
      <c r="AB2377" s="99" t="s">
        <v>2346</v>
      </c>
      <c r="AF2377" s="100" t="s">
        <v>2400</v>
      </c>
      <c r="AG2377" s="99" t="s">
        <v>2359</v>
      </c>
      <c r="AH2377" s="99" t="s">
        <v>132</v>
      </c>
      <c r="AI2377" s="99" t="s">
        <v>159</v>
      </c>
      <c r="AJ2377" s="99" t="s">
        <v>159</v>
      </c>
      <c r="AK2377" s="99" t="s">
        <v>2345</v>
      </c>
      <c r="AL2377" s="99" t="s">
        <v>2345</v>
      </c>
      <c r="AQ2377" s="99">
        <v>46</v>
      </c>
      <c r="AU2377" s="99">
        <v>3</v>
      </c>
      <c r="BA2377" s="99" t="s">
        <v>227</v>
      </c>
      <c r="BB2377" s="99" t="s">
        <v>2853</v>
      </c>
      <c r="BM2377" s="99">
        <v>1.1399999999999999</v>
      </c>
      <c r="BN2377" s="99">
        <v>1.1666666666666701</v>
      </c>
      <c r="BR2377" s="99">
        <v>34.299999999999997</v>
      </c>
      <c r="BS2377" s="99">
        <v>38.9</v>
      </c>
      <c r="BV2377" s="99" t="s">
        <v>2105</v>
      </c>
      <c r="IO2377" s="99" t="s">
        <v>2405</v>
      </c>
      <c r="IP2377" s="99" t="s">
        <v>2406</v>
      </c>
      <c r="IQ2377" s="511"/>
    </row>
    <row r="2378" spans="1:251" s="99" customFormat="1" x14ac:dyDescent="0.25">
      <c r="A2378" s="99">
        <v>111</v>
      </c>
      <c r="B2378" s="99" t="s">
        <v>2385</v>
      </c>
      <c r="C2378" s="99">
        <v>15</v>
      </c>
      <c r="D2378" s="99">
        <v>2012</v>
      </c>
      <c r="E2378" s="99">
        <v>2010</v>
      </c>
      <c r="F2378" s="99" t="s">
        <v>2396</v>
      </c>
      <c r="G2378" s="99" t="s">
        <v>2341</v>
      </c>
      <c r="H2378" s="99" t="s">
        <v>2840</v>
      </c>
      <c r="I2378" s="99">
        <v>-34.924981000000002</v>
      </c>
      <c r="J2378" s="99">
        <v>-62.646369</v>
      </c>
      <c r="K2378" s="99">
        <v>110.6</v>
      </c>
      <c r="M2378" s="99">
        <v>16</v>
      </c>
      <c r="O2378" s="99">
        <v>892</v>
      </c>
      <c r="Q2378" s="100" t="s">
        <v>1867</v>
      </c>
      <c r="R2378" s="100" t="s">
        <v>1867</v>
      </c>
      <c r="S2378" s="100"/>
      <c r="U2378" s="100" t="s">
        <v>1383</v>
      </c>
      <c r="V2378" s="100" t="s">
        <v>1722</v>
      </c>
      <c r="W2378" s="100" t="s">
        <v>1383</v>
      </c>
      <c r="X2378" s="100" t="s">
        <v>1383</v>
      </c>
      <c r="Y2378" s="351"/>
      <c r="Z2378" s="351"/>
      <c r="AB2378" s="99" t="s">
        <v>2346</v>
      </c>
      <c r="AF2378" s="100" t="s">
        <v>2400</v>
      </c>
      <c r="AG2378" s="99" t="s">
        <v>2359</v>
      </c>
      <c r="AH2378" s="99" t="s">
        <v>132</v>
      </c>
      <c r="AI2378" s="99" t="s">
        <v>159</v>
      </c>
      <c r="AJ2378" s="99" t="s">
        <v>159</v>
      </c>
      <c r="AK2378" s="99" t="s">
        <v>2345</v>
      </c>
      <c r="AL2378" s="99" t="s">
        <v>2345</v>
      </c>
      <c r="AQ2378" s="99">
        <v>46</v>
      </c>
      <c r="AU2378" s="99">
        <v>3</v>
      </c>
      <c r="BA2378" s="99" t="s">
        <v>228</v>
      </c>
      <c r="BB2378" s="99" t="s">
        <v>2853</v>
      </c>
      <c r="BM2378" s="99">
        <v>1.1399999999999999</v>
      </c>
      <c r="BN2378" s="99">
        <v>1.1666666666666701</v>
      </c>
      <c r="BR2378" s="99">
        <v>34.299999999999997</v>
      </c>
      <c r="BS2378" s="99">
        <v>35.799999999999997</v>
      </c>
      <c r="BV2378" s="99" t="s">
        <v>2105</v>
      </c>
      <c r="IO2378" s="99" t="s">
        <v>2405</v>
      </c>
      <c r="IP2378" s="99" t="s">
        <v>2406</v>
      </c>
      <c r="IQ2378" s="511"/>
    </row>
    <row r="2379" spans="1:251" s="99" customFormat="1" x14ac:dyDescent="0.25">
      <c r="A2379" s="99">
        <v>111</v>
      </c>
      <c r="B2379" s="99" t="s">
        <v>2385</v>
      </c>
      <c r="C2379" s="99">
        <v>15</v>
      </c>
      <c r="D2379" s="99">
        <v>2012</v>
      </c>
      <c r="E2379" s="99">
        <v>2010</v>
      </c>
      <c r="F2379" s="99" t="s">
        <v>2396</v>
      </c>
      <c r="G2379" s="99" t="s">
        <v>2341</v>
      </c>
      <c r="H2379" s="99" t="s">
        <v>2840</v>
      </c>
      <c r="I2379" s="99">
        <v>-34.924981000000002</v>
      </c>
      <c r="J2379" s="99">
        <v>-62.646369</v>
      </c>
      <c r="K2379" s="99">
        <v>110.6</v>
      </c>
      <c r="M2379" s="99">
        <v>16</v>
      </c>
      <c r="O2379" s="99">
        <v>892</v>
      </c>
      <c r="Q2379" s="100" t="s">
        <v>1867</v>
      </c>
      <c r="R2379" s="100" t="s">
        <v>1867</v>
      </c>
      <c r="S2379" s="100"/>
      <c r="U2379" s="100" t="s">
        <v>1383</v>
      </c>
      <c r="V2379" s="100" t="s">
        <v>1722</v>
      </c>
      <c r="W2379" s="100" t="s">
        <v>1383</v>
      </c>
      <c r="X2379" s="100" t="s">
        <v>1383</v>
      </c>
      <c r="Y2379" s="351"/>
      <c r="Z2379" s="351"/>
      <c r="AB2379" s="99" t="s">
        <v>2346</v>
      </c>
      <c r="AF2379" s="100" t="s">
        <v>2400</v>
      </c>
      <c r="AG2379" s="99" t="s">
        <v>2359</v>
      </c>
      <c r="AH2379" s="99" t="s">
        <v>132</v>
      </c>
      <c r="AI2379" s="99" t="s">
        <v>159</v>
      </c>
      <c r="AJ2379" s="99" t="s">
        <v>159</v>
      </c>
      <c r="AK2379" s="99" t="s">
        <v>2345</v>
      </c>
      <c r="AL2379" s="99" t="s">
        <v>2345</v>
      </c>
      <c r="AQ2379" s="99">
        <v>46</v>
      </c>
      <c r="AU2379" s="99">
        <v>3</v>
      </c>
      <c r="BA2379" s="99" t="s">
        <v>2358</v>
      </c>
      <c r="BB2379" s="99" t="s">
        <v>2853</v>
      </c>
      <c r="BM2379" s="99">
        <v>1.1399999999999999</v>
      </c>
      <c r="BN2379" s="99">
        <v>1.1666666666666701</v>
      </c>
      <c r="BR2379" s="99">
        <v>34.299999999999997</v>
      </c>
      <c r="BS2379" s="99">
        <v>38.6</v>
      </c>
      <c r="BV2379" s="99" t="s">
        <v>2105</v>
      </c>
      <c r="IO2379" s="99" t="s">
        <v>2405</v>
      </c>
      <c r="IP2379" s="99" t="s">
        <v>2406</v>
      </c>
      <c r="IQ2379" s="511"/>
    </row>
    <row r="2380" spans="1:251" s="99" customFormat="1" x14ac:dyDescent="0.25">
      <c r="A2380" s="99">
        <v>111</v>
      </c>
      <c r="B2380" s="99" t="s">
        <v>2386</v>
      </c>
      <c r="C2380" s="99">
        <v>22</v>
      </c>
      <c r="D2380" s="99">
        <v>2010</v>
      </c>
      <c r="E2380" s="99">
        <v>2008</v>
      </c>
      <c r="F2380" s="99" t="s">
        <v>2397</v>
      </c>
      <c r="G2380" s="99" t="s">
        <v>2341</v>
      </c>
      <c r="H2380" s="99" t="s">
        <v>2840</v>
      </c>
      <c r="I2380" s="99">
        <v>-34.967044000000001</v>
      </c>
      <c r="J2380" s="99">
        <v>-63.277233000000003</v>
      </c>
      <c r="K2380" s="99">
        <v>118.7</v>
      </c>
      <c r="M2380" s="99">
        <v>17.399999999999999</v>
      </c>
      <c r="O2380" s="99">
        <v>915</v>
      </c>
      <c r="Q2380" s="100" t="s">
        <v>1986</v>
      </c>
      <c r="R2380" s="100" t="s">
        <v>1724</v>
      </c>
      <c r="S2380" s="100"/>
      <c r="U2380" s="100" t="s">
        <v>1383</v>
      </c>
      <c r="V2380" s="100" t="s">
        <v>1722</v>
      </c>
      <c r="W2380" s="100" t="s">
        <v>1383</v>
      </c>
      <c r="X2380" s="100" t="s">
        <v>1383</v>
      </c>
      <c r="Y2380" s="351"/>
      <c r="Z2380" s="351"/>
      <c r="AB2380" s="99" t="s">
        <v>2342</v>
      </c>
      <c r="AF2380" s="100" t="s">
        <v>1356</v>
      </c>
      <c r="AH2380" s="99" t="s">
        <v>1617</v>
      </c>
      <c r="AK2380" s="99" t="s">
        <v>2360</v>
      </c>
      <c r="AL2380" s="99" t="s">
        <v>2360</v>
      </c>
      <c r="AU2380" s="99">
        <v>3</v>
      </c>
      <c r="BB2380" s="99" t="s">
        <v>2853</v>
      </c>
      <c r="BM2380" s="99">
        <v>1.1299999999999999</v>
      </c>
      <c r="BN2380" s="99">
        <v>1.06</v>
      </c>
      <c r="BR2380" s="99">
        <v>36</v>
      </c>
      <c r="BS2380" s="99">
        <v>37.9</v>
      </c>
      <c r="BV2380" s="99" t="s">
        <v>2105</v>
      </c>
      <c r="IO2380" s="99" t="s">
        <v>2405</v>
      </c>
      <c r="IP2380" s="99" t="s">
        <v>2406</v>
      </c>
      <c r="IQ2380" s="511"/>
    </row>
    <row r="2381" spans="1:251" s="126" customFormat="1" x14ac:dyDescent="0.25">
      <c r="A2381" s="126">
        <v>111</v>
      </c>
      <c r="B2381" s="126" t="s">
        <v>2387</v>
      </c>
      <c r="C2381" s="126">
        <v>28</v>
      </c>
      <c r="D2381" s="126">
        <v>2014</v>
      </c>
      <c r="E2381" s="126">
        <v>2012</v>
      </c>
      <c r="F2381" s="126" t="s">
        <v>2854</v>
      </c>
      <c r="G2381" s="126" t="s">
        <v>2341</v>
      </c>
      <c r="H2381" s="126" t="s">
        <v>2840</v>
      </c>
      <c r="I2381" s="126">
        <v>-34.558522000000004</v>
      </c>
      <c r="J2381" s="126">
        <v>-59.142755999999999</v>
      </c>
      <c r="K2381" s="126">
        <v>31.1</v>
      </c>
      <c r="M2381" s="126">
        <v>16.3</v>
      </c>
      <c r="O2381" s="126">
        <v>859</v>
      </c>
      <c r="Q2381" s="478" t="s">
        <v>1852</v>
      </c>
      <c r="R2381" s="478" t="s">
        <v>1991</v>
      </c>
      <c r="S2381" s="478"/>
      <c r="U2381" s="478" t="s">
        <v>1383</v>
      </c>
      <c r="V2381" s="478" t="s">
        <v>1722</v>
      </c>
      <c r="W2381" s="478" t="s">
        <v>1383</v>
      </c>
      <c r="X2381" s="478" t="s">
        <v>1383</v>
      </c>
      <c r="Y2381" s="479"/>
      <c r="Z2381" s="479"/>
      <c r="AB2381" s="126" t="s">
        <v>241</v>
      </c>
      <c r="AC2381" s="126">
        <v>6</v>
      </c>
      <c r="AD2381" s="126">
        <v>2.2999999999999998</v>
      </c>
      <c r="AF2381" s="478" t="s">
        <v>2403</v>
      </c>
      <c r="AG2381" s="126" t="s">
        <v>521</v>
      </c>
      <c r="AH2381" s="126" t="s">
        <v>1585</v>
      </c>
      <c r="AI2381" s="126" t="s">
        <v>159</v>
      </c>
      <c r="AJ2381" s="126" t="s">
        <v>159</v>
      </c>
      <c r="AK2381" s="126" t="s">
        <v>2345</v>
      </c>
      <c r="AL2381" s="126" t="s">
        <v>2345</v>
      </c>
      <c r="AU2381" s="126">
        <v>3</v>
      </c>
      <c r="AW2381" s="126" t="s">
        <v>142</v>
      </c>
      <c r="BA2381" s="126" t="s">
        <v>2361</v>
      </c>
      <c r="BB2381" s="126" t="s">
        <v>2853</v>
      </c>
      <c r="BM2381" s="126">
        <v>1.46</v>
      </c>
      <c r="BN2381" s="126">
        <v>1.4566666666666701</v>
      </c>
      <c r="BR2381" s="126">
        <v>37</v>
      </c>
      <c r="BS2381" s="126">
        <v>42.5</v>
      </c>
      <c r="BV2381" s="126" t="s">
        <v>2105</v>
      </c>
      <c r="IO2381" s="126" t="s">
        <v>2405</v>
      </c>
      <c r="IP2381" s="126" t="s">
        <v>2406</v>
      </c>
      <c r="IQ2381" s="480"/>
    </row>
    <row r="2382" spans="1:251" s="126" customFormat="1" x14ac:dyDescent="0.25">
      <c r="A2382" s="126">
        <v>111</v>
      </c>
      <c r="B2382" s="126" t="s">
        <v>2387</v>
      </c>
      <c r="C2382" s="126">
        <v>28</v>
      </c>
      <c r="D2382" s="126">
        <v>2014</v>
      </c>
      <c r="E2382" s="126">
        <v>2012</v>
      </c>
      <c r="F2382" s="126" t="s">
        <v>2854</v>
      </c>
      <c r="G2382" s="126" t="s">
        <v>2341</v>
      </c>
      <c r="H2382" s="126" t="s">
        <v>2840</v>
      </c>
      <c r="I2382" s="126">
        <v>-34.558522000000004</v>
      </c>
      <c r="J2382" s="126">
        <v>-59.142755999999999</v>
      </c>
      <c r="K2382" s="126">
        <v>31.1</v>
      </c>
      <c r="M2382" s="126">
        <v>16.3</v>
      </c>
      <c r="O2382" s="126">
        <v>859</v>
      </c>
      <c r="Q2382" s="478" t="s">
        <v>1852</v>
      </c>
      <c r="R2382" s="478" t="s">
        <v>1991</v>
      </c>
      <c r="S2382" s="478"/>
      <c r="U2382" s="478" t="s">
        <v>1383</v>
      </c>
      <c r="V2382" s="478" t="s">
        <v>1722</v>
      </c>
      <c r="W2382" s="478" t="s">
        <v>1383</v>
      </c>
      <c r="X2382" s="478" t="s">
        <v>1383</v>
      </c>
      <c r="Y2382" s="479"/>
      <c r="Z2382" s="479"/>
      <c r="AB2382" s="126" t="s">
        <v>241</v>
      </c>
      <c r="AC2382" s="126">
        <v>6</v>
      </c>
      <c r="AD2382" s="126">
        <v>2.2999999999999998</v>
      </c>
      <c r="AF2382" s="478" t="s">
        <v>2403</v>
      </c>
      <c r="AG2382" s="126" t="s">
        <v>2354</v>
      </c>
      <c r="AH2382" s="126" t="s">
        <v>132</v>
      </c>
      <c r="AI2382" s="126" t="s">
        <v>159</v>
      </c>
      <c r="AJ2382" s="126" t="s">
        <v>159</v>
      </c>
      <c r="AK2382" s="126" t="s">
        <v>2345</v>
      </c>
      <c r="AL2382" s="126" t="s">
        <v>2345</v>
      </c>
      <c r="AU2382" s="126">
        <v>3</v>
      </c>
      <c r="AW2382" s="126" t="s">
        <v>142</v>
      </c>
      <c r="BA2382" s="126" t="s">
        <v>2361</v>
      </c>
      <c r="BB2382" s="126" t="s">
        <v>2853</v>
      </c>
      <c r="BM2382" s="126">
        <v>1.46</v>
      </c>
      <c r="BN2382" s="126">
        <v>1.4566666666666701</v>
      </c>
      <c r="BR2382" s="126">
        <v>37</v>
      </c>
      <c r="BS2382" s="126">
        <v>40.5</v>
      </c>
      <c r="BV2382" s="126" t="s">
        <v>2105</v>
      </c>
      <c r="IO2382" s="126" t="s">
        <v>2405</v>
      </c>
      <c r="IP2382" s="126" t="s">
        <v>2406</v>
      </c>
      <c r="IQ2382" s="480"/>
    </row>
    <row r="2383" spans="1:251" s="126" customFormat="1" x14ac:dyDescent="0.25">
      <c r="A2383" s="126">
        <v>111</v>
      </c>
      <c r="B2383" s="126" t="s">
        <v>2387</v>
      </c>
      <c r="C2383" s="126">
        <v>28</v>
      </c>
      <c r="D2383" s="126">
        <v>2014</v>
      </c>
      <c r="E2383" s="126">
        <v>2012</v>
      </c>
      <c r="F2383" s="126" t="s">
        <v>2854</v>
      </c>
      <c r="G2383" s="126" t="s">
        <v>2341</v>
      </c>
      <c r="H2383" s="126" t="s">
        <v>2840</v>
      </c>
      <c r="I2383" s="126">
        <v>-34.558522000000004</v>
      </c>
      <c r="J2383" s="126">
        <v>-59.142755999999999</v>
      </c>
      <c r="K2383" s="126">
        <v>31.1</v>
      </c>
      <c r="M2383" s="126">
        <v>16.3</v>
      </c>
      <c r="O2383" s="126">
        <v>859</v>
      </c>
      <c r="Q2383" s="478" t="s">
        <v>1852</v>
      </c>
      <c r="R2383" s="478" t="s">
        <v>1991</v>
      </c>
      <c r="S2383" s="478"/>
      <c r="U2383" s="478" t="s">
        <v>1383</v>
      </c>
      <c r="V2383" s="478" t="s">
        <v>1722</v>
      </c>
      <c r="W2383" s="478" t="s">
        <v>1383</v>
      </c>
      <c r="X2383" s="478" t="s">
        <v>1383</v>
      </c>
      <c r="Y2383" s="479"/>
      <c r="Z2383" s="479"/>
      <c r="AB2383" s="126" t="s">
        <v>241</v>
      </c>
      <c r="AC2383" s="126">
        <v>6</v>
      </c>
      <c r="AD2383" s="126">
        <v>2.2999999999999998</v>
      </c>
      <c r="AF2383" s="478" t="s">
        <v>2403</v>
      </c>
      <c r="AG2383" s="126" t="s">
        <v>2359</v>
      </c>
      <c r="AH2383" s="126" t="s">
        <v>132</v>
      </c>
      <c r="AI2383" s="126" t="s">
        <v>159</v>
      </c>
      <c r="AJ2383" s="126" t="s">
        <v>159</v>
      </c>
      <c r="AK2383" s="126" t="s">
        <v>2345</v>
      </c>
      <c r="AL2383" s="126" t="s">
        <v>2345</v>
      </c>
      <c r="AU2383" s="126">
        <v>3</v>
      </c>
      <c r="AW2383" s="126" t="s">
        <v>142</v>
      </c>
      <c r="BA2383" s="126" t="s">
        <v>2361</v>
      </c>
      <c r="BB2383" s="126" t="s">
        <v>2853</v>
      </c>
      <c r="BM2383" s="126">
        <v>1.46</v>
      </c>
      <c r="BN2383" s="126">
        <v>1.4566666666666701</v>
      </c>
      <c r="BR2383" s="126">
        <v>37</v>
      </c>
      <c r="BS2383" s="126">
        <v>39.799999999999997</v>
      </c>
      <c r="BV2383" s="126" t="s">
        <v>2105</v>
      </c>
      <c r="IO2383" s="126" t="s">
        <v>2405</v>
      </c>
      <c r="IP2383" s="126" t="s">
        <v>2406</v>
      </c>
      <c r="IQ2383" s="480"/>
    </row>
    <row r="2384" spans="1:251" s="99" customFormat="1" x14ac:dyDescent="0.25">
      <c r="A2384" s="99">
        <v>111</v>
      </c>
      <c r="B2384" s="99" t="s">
        <v>2388</v>
      </c>
      <c r="C2384" s="99">
        <v>7</v>
      </c>
      <c r="D2384" s="99">
        <v>2012</v>
      </c>
      <c r="E2384" s="99">
        <v>2010</v>
      </c>
      <c r="F2384" s="99" t="s">
        <v>2394</v>
      </c>
      <c r="G2384" s="99" t="s">
        <v>2341</v>
      </c>
      <c r="H2384" s="99" t="s">
        <v>2840</v>
      </c>
      <c r="I2384" s="99">
        <v>-37.419421999999997</v>
      </c>
      <c r="J2384" s="99">
        <v>-62.009036000000002</v>
      </c>
      <c r="K2384" s="99">
        <v>227</v>
      </c>
      <c r="M2384" s="99">
        <v>16.3</v>
      </c>
      <c r="O2384" s="99">
        <v>859</v>
      </c>
      <c r="Q2384" s="100" t="s">
        <v>1991</v>
      </c>
      <c r="R2384" s="100" t="s">
        <v>1741</v>
      </c>
      <c r="S2384" s="100"/>
      <c r="U2384" s="100" t="s">
        <v>1383</v>
      </c>
      <c r="V2384" s="100" t="s">
        <v>1722</v>
      </c>
      <c r="W2384" s="100" t="s">
        <v>1383</v>
      </c>
      <c r="X2384" s="100" t="s">
        <v>1383</v>
      </c>
      <c r="Y2384" s="351"/>
      <c r="Z2384" s="351"/>
      <c r="AB2384" s="99" t="s">
        <v>2346</v>
      </c>
      <c r="AF2384" s="100" t="s">
        <v>2400</v>
      </c>
      <c r="AG2384" s="99" t="s">
        <v>2347</v>
      </c>
      <c r="AH2384" s="99" t="s">
        <v>1585</v>
      </c>
      <c r="AI2384" s="99" t="s">
        <v>159</v>
      </c>
      <c r="AJ2384" s="99" t="s">
        <v>159</v>
      </c>
      <c r="AK2384" s="99" t="s">
        <v>2345</v>
      </c>
      <c r="AL2384" s="99" t="s">
        <v>2345</v>
      </c>
      <c r="AQ2384" s="99">
        <v>46</v>
      </c>
      <c r="AU2384" s="99">
        <v>3</v>
      </c>
      <c r="BA2384" s="99" t="s">
        <v>2348</v>
      </c>
      <c r="BB2384" s="99" t="s">
        <v>2853</v>
      </c>
      <c r="BM2384" s="99">
        <v>1.35</v>
      </c>
      <c r="BN2384" s="99">
        <v>1.31833333333333</v>
      </c>
      <c r="BR2384" s="99">
        <v>57</v>
      </c>
      <c r="BS2384" s="99">
        <v>65.5</v>
      </c>
      <c r="BV2384" s="99" t="s">
        <v>2105</v>
      </c>
      <c r="IO2384" s="99" t="s">
        <v>2405</v>
      </c>
      <c r="IP2384" s="99" t="s">
        <v>2406</v>
      </c>
      <c r="IQ2384" s="511"/>
    </row>
    <row r="2385" spans="1:251" s="99" customFormat="1" x14ac:dyDescent="0.25">
      <c r="A2385" s="99">
        <v>111</v>
      </c>
      <c r="B2385" s="99" t="s">
        <v>2388</v>
      </c>
      <c r="C2385" s="99">
        <v>7</v>
      </c>
      <c r="D2385" s="99">
        <v>2012</v>
      </c>
      <c r="E2385" s="99">
        <v>2010</v>
      </c>
      <c r="F2385" s="99" t="s">
        <v>2394</v>
      </c>
      <c r="G2385" s="99" t="s">
        <v>2341</v>
      </c>
      <c r="H2385" s="99" t="s">
        <v>2840</v>
      </c>
      <c r="I2385" s="99">
        <v>-37.419421999999997</v>
      </c>
      <c r="J2385" s="99">
        <v>-62.009036000000002</v>
      </c>
      <c r="K2385" s="99">
        <v>227</v>
      </c>
      <c r="M2385" s="99">
        <v>16.3</v>
      </c>
      <c r="O2385" s="99">
        <v>859</v>
      </c>
      <c r="Q2385" s="100" t="s">
        <v>1991</v>
      </c>
      <c r="R2385" s="100" t="s">
        <v>1741</v>
      </c>
      <c r="S2385" s="100"/>
      <c r="U2385" s="100" t="s">
        <v>1383</v>
      </c>
      <c r="V2385" s="100" t="s">
        <v>1722</v>
      </c>
      <c r="W2385" s="100" t="s">
        <v>1383</v>
      </c>
      <c r="X2385" s="100" t="s">
        <v>1383</v>
      </c>
      <c r="Y2385" s="351"/>
      <c r="Z2385" s="351"/>
      <c r="AB2385" s="99" t="s">
        <v>2346</v>
      </c>
      <c r="AF2385" s="100" t="s">
        <v>2400</v>
      </c>
      <c r="AG2385" s="99" t="s">
        <v>2347</v>
      </c>
      <c r="AH2385" s="99" t="s">
        <v>1585</v>
      </c>
      <c r="AI2385" s="99" t="s">
        <v>159</v>
      </c>
      <c r="AJ2385" s="99" t="s">
        <v>159</v>
      </c>
      <c r="AK2385" s="99" t="s">
        <v>2345</v>
      </c>
      <c r="AL2385" s="99" t="s">
        <v>2345</v>
      </c>
      <c r="AQ2385" s="99">
        <v>46</v>
      </c>
      <c r="AU2385" s="99">
        <v>3</v>
      </c>
      <c r="BA2385" s="99" t="s">
        <v>2349</v>
      </c>
      <c r="BB2385" s="99" t="s">
        <v>2853</v>
      </c>
      <c r="BM2385" s="99">
        <v>1.35</v>
      </c>
      <c r="BN2385" s="99">
        <v>1.31833333333333</v>
      </c>
      <c r="BR2385" s="99">
        <v>57</v>
      </c>
      <c r="BS2385" s="99">
        <v>65.900000000000006</v>
      </c>
      <c r="BV2385" s="99" t="s">
        <v>2105</v>
      </c>
      <c r="IO2385" s="99" t="s">
        <v>2405</v>
      </c>
      <c r="IP2385" s="99" t="s">
        <v>2406</v>
      </c>
      <c r="IQ2385" s="511"/>
    </row>
    <row r="2386" spans="1:251" s="99" customFormat="1" x14ac:dyDescent="0.25">
      <c r="A2386" s="99">
        <v>111</v>
      </c>
      <c r="B2386" s="99" t="s">
        <v>2388</v>
      </c>
      <c r="C2386" s="99">
        <v>7</v>
      </c>
      <c r="D2386" s="99">
        <v>2012</v>
      </c>
      <c r="E2386" s="99">
        <v>2010</v>
      </c>
      <c r="F2386" s="99" t="s">
        <v>2394</v>
      </c>
      <c r="G2386" s="99" t="s">
        <v>2341</v>
      </c>
      <c r="H2386" s="99" t="s">
        <v>2840</v>
      </c>
      <c r="I2386" s="99">
        <v>-37.419421999999997</v>
      </c>
      <c r="J2386" s="99">
        <v>-62.009036000000002</v>
      </c>
      <c r="K2386" s="99">
        <v>227</v>
      </c>
      <c r="M2386" s="99">
        <v>16.3</v>
      </c>
      <c r="O2386" s="99">
        <v>859</v>
      </c>
      <c r="Q2386" s="100" t="s">
        <v>1991</v>
      </c>
      <c r="R2386" s="100" t="s">
        <v>1741</v>
      </c>
      <c r="S2386" s="100"/>
      <c r="U2386" s="100" t="s">
        <v>1383</v>
      </c>
      <c r="V2386" s="100" t="s">
        <v>1722</v>
      </c>
      <c r="W2386" s="100" t="s">
        <v>1383</v>
      </c>
      <c r="X2386" s="100" t="s">
        <v>1383</v>
      </c>
      <c r="Y2386" s="351"/>
      <c r="Z2386" s="351"/>
      <c r="AB2386" s="99" t="s">
        <v>2346</v>
      </c>
      <c r="AF2386" s="100" t="s">
        <v>2400</v>
      </c>
      <c r="AG2386" s="99" t="s">
        <v>2347</v>
      </c>
      <c r="AH2386" s="99" t="s">
        <v>1585</v>
      </c>
      <c r="AI2386" s="99" t="s">
        <v>159</v>
      </c>
      <c r="AJ2386" s="99" t="s">
        <v>159</v>
      </c>
      <c r="AK2386" s="99" t="s">
        <v>2345</v>
      </c>
      <c r="AL2386" s="99" t="s">
        <v>2345</v>
      </c>
      <c r="AQ2386" s="99">
        <v>46</v>
      </c>
      <c r="AU2386" s="99">
        <v>3</v>
      </c>
      <c r="BA2386" s="99" t="s">
        <v>2350</v>
      </c>
      <c r="BB2386" s="99" t="s">
        <v>2853</v>
      </c>
      <c r="BM2386" s="99">
        <v>1.35</v>
      </c>
      <c r="BN2386" s="99">
        <v>1.31833333333333</v>
      </c>
      <c r="BR2386" s="99">
        <v>57</v>
      </c>
      <c r="BS2386" s="99">
        <v>63.6</v>
      </c>
      <c r="BV2386" s="99" t="s">
        <v>2105</v>
      </c>
      <c r="IO2386" s="99" t="s">
        <v>2405</v>
      </c>
      <c r="IP2386" s="99" t="s">
        <v>2406</v>
      </c>
      <c r="IQ2386" s="511"/>
    </row>
    <row r="2387" spans="1:251" s="126" customFormat="1" x14ac:dyDescent="0.25">
      <c r="A2387" s="126">
        <v>111</v>
      </c>
      <c r="B2387" s="126" t="s">
        <v>2389</v>
      </c>
      <c r="C2387" s="126">
        <v>41</v>
      </c>
      <c r="D2387" s="126">
        <v>2012</v>
      </c>
      <c r="E2387" s="126">
        <v>2010</v>
      </c>
      <c r="F2387" s="126" t="s">
        <v>2399</v>
      </c>
      <c r="G2387" s="126" t="s">
        <v>2362</v>
      </c>
      <c r="H2387" s="126" t="s">
        <v>2840</v>
      </c>
      <c r="I2387" s="126">
        <v>-34.115667000000002</v>
      </c>
      <c r="J2387" s="126">
        <v>-63.366039000000001</v>
      </c>
      <c r="K2387" s="126">
        <v>138.6</v>
      </c>
      <c r="M2387" s="126">
        <v>16.8</v>
      </c>
      <c r="O2387" s="126">
        <v>1022</v>
      </c>
      <c r="Q2387" s="478" t="s">
        <v>1986</v>
      </c>
      <c r="R2387" s="478" t="s">
        <v>1729</v>
      </c>
      <c r="S2387" s="478"/>
      <c r="T2387" s="126" t="s">
        <v>2365</v>
      </c>
      <c r="U2387" s="478" t="s">
        <v>1383</v>
      </c>
      <c r="V2387" s="478" t="s">
        <v>1722</v>
      </c>
      <c r="W2387" s="478" t="s">
        <v>1383</v>
      </c>
      <c r="X2387" s="478" t="s">
        <v>1383</v>
      </c>
      <c r="Y2387" s="479"/>
      <c r="Z2387" s="479"/>
      <c r="AB2387" s="126" t="s">
        <v>1759</v>
      </c>
      <c r="AF2387" s="478" t="s">
        <v>1356</v>
      </c>
      <c r="AG2387" s="126" t="s">
        <v>521</v>
      </c>
      <c r="AH2387" s="126" t="s">
        <v>1585</v>
      </c>
      <c r="AI2387" s="126" t="s">
        <v>133</v>
      </c>
      <c r="AJ2387" s="126" t="s">
        <v>133</v>
      </c>
      <c r="AK2387" s="126" t="s">
        <v>2363</v>
      </c>
      <c r="AL2387" s="126" t="s">
        <v>2363</v>
      </c>
      <c r="AR2387" s="126">
        <v>32</v>
      </c>
      <c r="AU2387" s="126">
        <v>3</v>
      </c>
      <c r="BA2387" s="126" t="s">
        <v>2364</v>
      </c>
      <c r="BB2387" s="126" t="s">
        <v>2853</v>
      </c>
      <c r="BM2387" s="126">
        <v>1.18333333333333</v>
      </c>
      <c r="BN2387" s="126">
        <v>1.1825000000000001</v>
      </c>
      <c r="BR2387" s="126">
        <v>39.700000000000003</v>
      </c>
      <c r="BS2387" s="126">
        <v>42.1</v>
      </c>
      <c r="BV2387" s="126" t="s">
        <v>2105</v>
      </c>
      <c r="IO2387" s="126" t="s">
        <v>2405</v>
      </c>
      <c r="IP2387" s="126" t="s">
        <v>2406</v>
      </c>
      <c r="IQ2387" s="480"/>
    </row>
    <row r="2388" spans="1:251" s="126" customFormat="1" x14ac:dyDescent="0.25">
      <c r="A2388" s="126">
        <v>111</v>
      </c>
      <c r="B2388" s="126" t="s">
        <v>2389</v>
      </c>
      <c r="C2388" s="126">
        <v>41</v>
      </c>
      <c r="D2388" s="126">
        <v>2012</v>
      </c>
      <c r="E2388" s="126">
        <v>2010</v>
      </c>
      <c r="F2388" s="126" t="s">
        <v>2399</v>
      </c>
      <c r="G2388" s="126" t="s">
        <v>2362</v>
      </c>
      <c r="H2388" s="126" t="s">
        <v>2840</v>
      </c>
      <c r="I2388" s="126">
        <v>-34.115667000000002</v>
      </c>
      <c r="J2388" s="126">
        <v>-63.366039000000001</v>
      </c>
      <c r="K2388" s="126">
        <v>138.6</v>
      </c>
      <c r="M2388" s="126">
        <v>16.8</v>
      </c>
      <c r="O2388" s="126">
        <v>1022</v>
      </c>
      <c r="Q2388" s="478" t="s">
        <v>1986</v>
      </c>
      <c r="R2388" s="478" t="s">
        <v>1729</v>
      </c>
      <c r="S2388" s="478"/>
      <c r="T2388" s="126" t="s">
        <v>2366</v>
      </c>
      <c r="U2388" s="478" t="s">
        <v>1383</v>
      </c>
      <c r="V2388" s="478" t="s">
        <v>1722</v>
      </c>
      <c r="W2388" s="478" t="s">
        <v>1383</v>
      </c>
      <c r="X2388" s="478" t="s">
        <v>1383</v>
      </c>
      <c r="Y2388" s="479"/>
      <c r="Z2388" s="479"/>
      <c r="AB2388" s="126" t="s">
        <v>1759</v>
      </c>
      <c r="AF2388" s="478" t="s">
        <v>1356</v>
      </c>
      <c r="AG2388" s="126" t="s">
        <v>521</v>
      </c>
      <c r="AH2388" s="126" t="s">
        <v>1585</v>
      </c>
      <c r="AI2388" s="126" t="s">
        <v>133</v>
      </c>
      <c r="AJ2388" s="126" t="s">
        <v>133</v>
      </c>
      <c r="AK2388" s="126" t="s">
        <v>2363</v>
      </c>
      <c r="AL2388" s="126" t="s">
        <v>2363</v>
      </c>
      <c r="AR2388" s="126">
        <v>32</v>
      </c>
      <c r="AU2388" s="126">
        <v>3</v>
      </c>
      <c r="BA2388" s="126" t="s">
        <v>2364</v>
      </c>
      <c r="BB2388" s="126" t="s">
        <v>2853</v>
      </c>
      <c r="BM2388" s="126">
        <v>1.18333333333333</v>
      </c>
      <c r="BN2388" s="126">
        <v>1.1825000000000001</v>
      </c>
      <c r="BR2388" s="126">
        <v>42</v>
      </c>
      <c r="BS2388" s="126">
        <v>43.2</v>
      </c>
      <c r="BV2388" s="126" t="s">
        <v>2105</v>
      </c>
      <c r="IO2388" s="126" t="s">
        <v>2405</v>
      </c>
      <c r="IP2388" s="126" t="s">
        <v>2406</v>
      </c>
      <c r="IQ2388" s="480"/>
    </row>
    <row r="2389" spans="1:251" s="126" customFormat="1" x14ac:dyDescent="0.25">
      <c r="A2389" s="126">
        <v>111</v>
      </c>
      <c r="B2389" s="126" t="s">
        <v>2389</v>
      </c>
      <c r="C2389" s="126">
        <v>41</v>
      </c>
      <c r="D2389" s="126">
        <v>2012</v>
      </c>
      <c r="E2389" s="126">
        <v>2010</v>
      </c>
      <c r="F2389" s="126" t="s">
        <v>2399</v>
      </c>
      <c r="G2389" s="126" t="s">
        <v>2362</v>
      </c>
      <c r="H2389" s="126" t="s">
        <v>2840</v>
      </c>
      <c r="I2389" s="126">
        <v>-34.115667000000002</v>
      </c>
      <c r="J2389" s="126">
        <v>-63.366039000000001</v>
      </c>
      <c r="K2389" s="126">
        <v>138.6</v>
      </c>
      <c r="M2389" s="126">
        <v>16.8</v>
      </c>
      <c r="O2389" s="126">
        <v>1022</v>
      </c>
      <c r="Q2389" s="478" t="s">
        <v>1856</v>
      </c>
      <c r="R2389" s="478" t="s">
        <v>1729</v>
      </c>
      <c r="S2389" s="478"/>
      <c r="T2389" s="126" t="s">
        <v>2365</v>
      </c>
      <c r="U2389" s="478" t="s">
        <v>1383</v>
      </c>
      <c r="V2389" s="478" t="s">
        <v>1722</v>
      </c>
      <c r="W2389" s="478" t="s">
        <v>1383</v>
      </c>
      <c r="X2389" s="478" t="s">
        <v>1383</v>
      </c>
      <c r="Y2389" s="479"/>
      <c r="Z2389" s="479"/>
      <c r="AB2389" s="126" t="s">
        <v>1759</v>
      </c>
      <c r="AF2389" s="478" t="s">
        <v>1356</v>
      </c>
      <c r="AG2389" s="126" t="s">
        <v>521</v>
      </c>
      <c r="AH2389" s="126" t="s">
        <v>1585</v>
      </c>
      <c r="AI2389" s="126" t="s">
        <v>159</v>
      </c>
      <c r="AJ2389" s="126" t="s">
        <v>159</v>
      </c>
      <c r="AK2389" s="126" t="s">
        <v>2363</v>
      </c>
      <c r="AL2389" s="126" t="s">
        <v>2363</v>
      </c>
      <c r="AU2389" s="126">
        <v>3</v>
      </c>
      <c r="BA2389" s="126" t="s">
        <v>2367</v>
      </c>
      <c r="BB2389" s="126" t="s">
        <v>2853</v>
      </c>
      <c r="BM2389" s="126">
        <v>1.18333333333333</v>
      </c>
      <c r="BN2389" s="126">
        <v>1.1825000000000001</v>
      </c>
      <c r="BR2389" s="126">
        <v>39.1</v>
      </c>
      <c r="BS2389" s="126">
        <v>40.4</v>
      </c>
      <c r="BV2389" s="126" t="s">
        <v>2105</v>
      </c>
      <c r="IO2389" s="126" t="s">
        <v>2405</v>
      </c>
      <c r="IP2389" s="126" t="s">
        <v>2406</v>
      </c>
      <c r="IQ2389" s="480"/>
    </row>
    <row r="2390" spans="1:251" s="126" customFormat="1" x14ac:dyDescent="0.25">
      <c r="A2390" s="126">
        <v>111</v>
      </c>
      <c r="B2390" s="126" t="s">
        <v>2389</v>
      </c>
      <c r="C2390" s="126">
        <v>41</v>
      </c>
      <c r="D2390" s="126">
        <v>2011</v>
      </c>
      <c r="E2390" s="126">
        <v>2009</v>
      </c>
      <c r="F2390" s="126" t="s">
        <v>2399</v>
      </c>
      <c r="G2390" s="126" t="s">
        <v>2362</v>
      </c>
      <c r="H2390" s="126" t="s">
        <v>2840</v>
      </c>
      <c r="I2390" s="126">
        <v>-34.115667000000002</v>
      </c>
      <c r="J2390" s="126">
        <v>-63.366039000000001</v>
      </c>
      <c r="K2390" s="126">
        <v>138.6</v>
      </c>
      <c r="M2390" s="126">
        <v>16.8</v>
      </c>
      <c r="O2390" s="126">
        <v>1022</v>
      </c>
      <c r="Q2390" s="478" t="s">
        <v>1856</v>
      </c>
      <c r="R2390" s="478" t="s">
        <v>1729</v>
      </c>
      <c r="S2390" s="478"/>
      <c r="T2390" s="126" t="s">
        <v>2368</v>
      </c>
      <c r="U2390" s="478" t="s">
        <v>1383</v>
      </c>
      <c r="V2390" s="478" t="s">
        <v>1722</v>
      </c>
      <c r="W2390" s="478" t="s">
        <v>1383</v>
      </c>
      <c r="X2390" s="478" t="s">
        <v>1383</v>
      </c>
      <c r="Y2390" s="479"/>
      <c r="Z2390" s="479"/>
      <c r="AB2390" s="126" t="s">
        <v>1759</v>
      </c>
      <c r="AF2390" s="478" t="s">
        <v>1356</v>
      </c>
      <c r="AG2390" s="126" t="s">
        <v>521</v>
      </c>
      <c r="AH2390" s="126" t="s">
        <v>1585</v>
      </c>
      <c r="AI2390" s="126" t="s">
        <v>159</v>
      </c>
      <c r="AJ2390" s="126" t="s">
        <v>159</v>
      </c>
      <c r="AK2390" s="126" t="s">
        <v>2363</v>
      </c>
      <c r="AL2390" s="126" t="s">
        <v>2363</v>
      </c>
      <c r="AU2390" s="126">
        <v>3</v>
      </c>
      <c r="BA2390" s="126" t="s">
        <v>2367</v>
      </c>
      <c r="BB2390" s="126" t="s">
        <v>2853</v>
      </c>
      <c r="BM2390" s="126">
        <v>1.18333333333333</v>
      </c>
      <c r="BN2390" s="126">
        <v>1.1825000000000001</v>
      </c>
      <c r="BR2390" s="126">
        <v>39.9</v>
      </c>
      <c r="BS2390" s="126">
        <v>41.9</v>
      </c>
      <c r="BV2390" s="126" t="s">
        <v>2105</v>
      </c>
      <c r="IO2390" s="126" t="s">
        <v>2405</v>
      </c>
      <c r="IP2390" s="126" t="s">
        <v>2406</v>
      </c>
      <c r="IQ2390" s="480"/>
    </row>
    <row r="2391" spans="1:251" s="126" customFormat="1" x14ac:dyDescent="0.25">
      <c r="A2391" s="126">
        <v>111</v>
      </c>
      <c r="B2391" s="126" t="s">
        <v>2389</v>
      </c>
      <c r="C2391" s="126">
        <v>41</v>
      </c>
      <c r="D2391" s="126">
        <v>2011</v>
      </c>
      <c r="E2391" s="126">
        <v>2009</v>
      </c>
      <c r="F2391" s="126" t="s">
        <v>2399</v>
      </c>
      <c r="G2391" s="126" t="s">
        <v>2362</v>
      </c>
      <c r="H2391" s="126" t="s">
        <v>2840</v>
      </c>
      <c r="I2391" s="126">
        <v>-34.115667000000002</v>
      </c>
      <c r="J2391" s="126">
        <v>-63.366039000000001</v>
      </c>
      <c r="K2391" s="126">
        <v>138.6</v>
      </c>
      <c r="M2391" s="126">
        <v>16.8</v>
      </c>
      <c r="O2391" s="126">
        <v>1022</v>
      </c>
      <c r="Q2391" s="478" t="s">
        <v>1986</v>
      </c>
      <c r="R2391" s="478" t="s">
        <v>1729</v>
      </c>
      <c r="S2391" s="478"/>
      <c r="T2391" s="126" t="s">
        <v>2365</v>
      </c>
      <c r="U2391" s="478" t="s">
        <v>1383</v>
      </c>
      <c r="V2391" s="478" t="s">
        <v>1722</v>
      </c>
      <c r="W2391" s="478" t="s">
        <v>1383</v>
      </c>
      <c r="X2391" s="478" t="s">
        <v>1383</v>
      </c>
      <c r="Y2391" s="479"/>
      <c r="Z2391" s="479"/>
      <c r="AB2391" s="126" t="s">
        <v>1759</v>
      </c>
      <c r="AF2391" s="478" t="s">
        <v>1356</v>
      </c>
      <c r="AG2391" s="126" t="s">
        <v>2369</v>
      </c>
      <c r="AH2391" s="126" t="s">
        <v>1586</v>
      </c>
      <c r="AI2391" s="126" t="s">
        <v>133</v>
      </c>
      <c r="AJ2391" s="126" t="s">
        <v>133</v>
      </c>
      <c r="AK2391" s="126" t="s">
        <v>2363</v>
      </c>
      <c r="AL2391" s="126" t="s">
        <v>2363</v>
      </c>
      <c r="AR2391" s="126">
        <v>32</v>
      </c>
      <c r="AU2391" s="126">
        <v>3</v>
      </c>
      <c r="BA2391" s="126" t="s">
        <v>2364</v>
      </c>
      <c r="BB2391" s="126" t="s">
        <v>2853</v>
      </c>
      <c r="BM2391" s="126">
        <v>1.18333333333333</v>
      </c>
      <c r="BN2391" s="126">
        <v>1.1825000000000001</v>
      </c>
      <c r="BR2391" s="126">
        <v>39.700000000000003</v>
      </c>
      <c r="BS2391" s="126">
        <v>42.5</v>
      </c>
      <c r="BV2391" s="126" t="s">
        <v>2105</v>
      </c>
      <c r="IO2391" s="126" t="s">
        <v>2405</v>
      </c>
      <c r="IP2391" s="126" t="s">
        <v>2406</v>
      </c>
      <c r="IQ2391" s="480"/>
    </row>
    <row r="2392" spans="1:251" s="126" customFormat="1" x14ac:dyDescent="0.25">
      <c r="A2392" s="126">
        <v>111</v>
      </c>
      <c r="B2392" s="126" t="s">
        <v>2389</v>
      </c>
      <c r="C2392" s="126">
        <v>41</v>
      </c>
      <c r="D2392" s="126">
        <v>2011</v>
      </c>
      <c r="E2392" s="126">
        <v>2009</v>
      </c>
      <c r="F2392" s="126" t="s">
        <v>2399</v>
      </c>
      <c r="G2392" s="126" t="s">
        <v>2362</v>
      </c>
      <c r="H2392" s="126" t="s">
        <v>2840</v>
      </c>
      <c r="I2392" s="126">
        <v>-34.115667000000002</v>
      </c>
      <c r="J2392" s="126">
        <v>-63.366039000000001</v>
      </c>
      <c r="K2392" s="126">
        <v>138.6</v>
      </c>
      <c r="M2392" s="126">
        <v>16.8</v>
      </c>
      <c r="O2392" s="126">
        <v>1022</v>
      </c>
      <c r="Q2392" s="478" t="s">
        <v>1986</v>
      </c>
      <c r="R2392" s="478" t="s">
        <v>1729</v>
      </c>
      <c r="S2392" s="478"/>
      <c r="T2392" s="126" t="s">
        <v>2366</v>
      </c>
      <c r="U2392" s="478" t="s">
        <v>1383</v>
      </c>
      <c r="V2392" s="478" t="s">
        <v>1722</v>
      </c>
      <c r="W2392" s="478" t="s">
        <v>1383</v>
      </c>
      <c r="X2392" s="478" t="s">
        <v>1383</v>
      </c>
      <c r="Y2392" s="479"/>
      <c r="Z2392" s="479"/>
      <c r="AB2392" s="126" t="s">
        <v>1759</v>
      </c>
      <c r="AF2392" s="478" t="s">
        <v>1356</v>
      </c>
      <c r="AG2392" s="126" t="s">
        <v>2369</v>
      </c>
      <c r="AH2392" s="126" t="s">
        <v>1586</v>
      </c>
      <c r="AI2392" s="126" t="s">
        <v>133</v>
      </c>
      <c r="AJ2392" s="126" t="s">
        <v>133</v>
      </c>
      <c r="AK2392" s="126" t="s">
        <v>2363</v>
      </c>
      <c r="AL2392" s="126" t="s">
        <v>2363</v>
      </c>
      <c r="AR2392" s="126">
        <v>32</v>
      </c>
      <c r="AU2392" s="126">
        <v>3</v>
      </c>
      <c r="BA2392" s="126" t="s">
        <v>2364</v>
      </c>
      <c r="BB2392" s="126" t="s">
        <v>2853</v>
      </c>
      <c r="BM2392" s="126">
        <v>1.18333333333333</v>
      </c>
      <c r="BN2392" s="126">
        <v>1.1825000000000001</v>
      </c>
      <c r="BR2392" s="126">
        <v>42</v>
      </c>
      <c r="BS2392" s="126">
        <v>43.6</v>
      </c>
      <c r="BV2392" s="126" t="s">
        <v>2105</v>
      </c>
      <c r="IO2392" s="126" t="s">
        <v>2405</v>
      </c>
      <c r="IP2392" s="126" t="s">
        <v>2406</v>
      </c>
      <c r="IQ2392" s="480"/>
    </row>
    <row r="2393" spans="1:251" s="126" customFormat="1" x14ac:dyDescent="0.25">
      <c r="A2393" s="126">
        <v>111</v>
      </c>
      <c r="B2393" s="126" t="s">
        <v>2389</v>
      </c>
      <c r="C2393" s="126">
        <v>41</v>
      </c>
      <c r="D2393" s="126">
        <v>2011</v>
      </c>
      <c r="E2393" s="126">
        <v>2009</v>
      </c>
      <c r="F2393" s="126" t="s">
        <v>2399</v>
      </c>
      <c r="G2393" s="126" t="s">
        <v>2362</v>
      </c>
      <c r="H2393" s="126" t="s">
        <v>2840</v>
      </c>
      <c r="I2393" s="126">
        <v>-34.115667000000002</v>
      </c>
      <c r="J2393" s="126">
        <v>-63.366039000000001</v>
      </c>
      <c r="K2393" s="126">
        <v>138.6</v>
      </c>
      <c r="M2393" s="126">
        <v>16.8</v>
      </c>
      <c r="O2393" s="126">
        <v>1022</v>
      </c>
      <c r="Q2393" s="478" t="s">
        <v>1856</v>
      </c>
      <c r="R2393" s="478" t="s">
        <v>1729</v>
      </c>
      <c r="S2393" s="478"/>
      <c r="T2393" s="126" t="s">
        <v>2365</v>
      </c>
      <c r="U2393" s="478" t="s">
        <v>1383</v>
      </c>
      <c r="V2393" s="478" t="s">
        <v>1722</v>
      </c>
      <c r="W2393" s="478" t="s">
        <v>1383</v>
      </c>
      <c r="X2393" s="478" t="s">
        <v>1383</v>
      </c>
      <c r="Y2393" s="479"/>
      <c r="Z2393" s="479"/>
      <c r="AB2393" s="126" t="s">
        <v>1759</v>
      </c>
      <c r="AF2393" s="478" t="s">
        <v>1356</v>
      </c>
      <c r="AG2393" s="126" t="s">
        <v>2369</v>
      </c>
      <c r="AH2393" s="126" t="s">
        <v>1586</v>
      </c>
      <c r="AI2393" s="126" t="s">
        <v>159</v>
      </c>
      <c r="AJ2393" s="126" t="s">
        <v>159</v>
      </c>
      <c r="AK2393" s="126" t="s">
        <v>2370</v>
      </c>
      <c r="AL2393" s="126" t="s">
        <v>2370</v>
      </c>
      <c r="AU2393" s="126">
        <v>3</v>
      </c>
      <c r="BA2393" s="126" t="s">
        <v>2367</v>
      </c>
      <c r="BB2393" s="126" t="s">
        <v>2853</v>
      </c>
      <c r="BM2393" s="126">
        <v>1.18333333333333</v>
      </c>
      <c r="BN2393" s="126">
        <v>1.1825000000000001</v>
      </c>
      <c r="BR2393" s="126">
        <v>39.1</v>
      </c>
      <c r="BS2393" s="126">
        <v>40.700000000000003</v>
      </c>
      <c r="BV2393" s="126" t="s">
        <v>2105</v>
      </c>
      <c r="IO2393" s="126" t="s">
        <v>2405</v>
      </c>
      <c r="IP2393" s="126" t="s">
        <v>2406</v>
      </c>
      <c r="IQ2393" s="480"/>
    </row>
    <row r="2394" spans="1:251" s="126" customFormat="1" x14ac:dyDescent="0.25">
      <c r="A2394" s="126">
        <v>111</v>
      </c>
      <c r="B2394" s="126" t="s">
        <v>2389</v>
      </c>
      <c r="C2394" s="126">
        <v>41</v>
      </c>
      <c r="D2394" s="126">
        <v>2011</v>
      </c>
      <c r="E2394" s="126">
        <v>2009</v>
      </c>
      <c r="F2394" s="126" t="s">
        <v>2399</v>
      </c>
      <c r="G2394" s="126" t="s">
        <v>2362</v>
      </c>
      <c r="H2394" s="126" t="s">
        <v>2840</v>
      </c>
      <c r="I2394" s="126">
        <v>-34.115667000000002</v>
      </c>
      <c r="J2394" s="126">
        <v>-63.366039000000001</v>
      </c>
      <c r="K2394" s="126">
        <v>138.6</v>
      </c>
      <c r="M2394" s="126">
        <v>16.8</v>
      </c>
      <c r="O2394" s="126">
        <v>1022</v>
      </c>
      <c r="Q2394" s="478" t="s">
        <v>1856</v>
      </c>
      <c r="R2394" s="478" t="s">
        <v>1729</v>
      </c>
      <c r="S2394" s="478"/>
      <c r="T2394" s="126" t="s">
        <v>2368</v>
      </c>
      <c r="U2394" s="478" t="s">
        <v>1383</v>
      </c>
      <c r="V2394" s="478" t="s">
        <v>1722</v>
      </c>
      <c r="W2394" s="478" t="s">
        <v>1383</v>
      </c>
      <c r="X2394" s="478" t="s">
        <v>1383</v>
      </c>
      <c r="Y2394" s="479"/>
      <c r="Z2394" s="479"/>
      <c r="AB2394" s="126" t="s">
        <v>1759</v>
      </c>
      <c r="AF2394" s="478" t="s">
        <v>1356</v>
      </c>
      <c r="AG2394" s="126" t="s">
        <v>2369</v>
      </c>
      <c r="AH2394" s="126" t="s">
        <v>1586</v>
      </c>
      <c r="AI2394" s="126" t="s">
        <v>159</v>
      </c>
      <c r="AJ2394" s="126" t="s">
        <v>159</v>
      </c>
      <c r="AK2394" s="126" t="s">
        <v>2370</v>
      </c>
      <c r="AL2394" s="126" t="s">
        <v>2370</v>
      </c>
      <c r="AU2394" s="126">
        <v>3</v>
      </c>
      <c r="BA2394" s="126" t="s">
        <v>2367</v>
      </c>
      <c r="BB2394" s="126" t="s">
        <v>2853</v>
      </c>
      <c r="BM2394" s="126">
        <v>1.18333333333333</v>
      </c>
      <c r="BN2394" s="126">
        <v>1.1825000000000001</v>
      </c>
      <c r="BR2394" s="126">
        <v>39.9</v>
      </c>
      <c r="BS2394" s="126">
        <v>39.700000000000003</v>
      </c>
      <c r="BV2394" s="126" t="s">
        <v>2105</v>
      </c>
      <c r="IO2394" s="126" t="s">
        <v>2405</v>
      </c>
      <c r="IP2394" s="126" t="s">
        <v>2406</v>
      </c>
      <c r="IQ2394" s="480"/>
    </row>
    <row r="2395" spans="1:251" s="126" customFormat="1" x14ac:dyDescent="0.25">
      <c r="A2395" s="126">
        <v>111</v>
      </c>
      <c r="B2395" s="126" t="s">
        <v>2389</v>
      </c>
      <c r="C2395" s="126">
        <v>41</v>
      </c>
      <c r="D2395" s="126">
        <v>2011</v>
      </c>
      <c r="E2395" s="126">
        <v>2009</v>
      </c>
      <c r="F2395" s="126" t="s">
        <v>2399</v>
      </c>
      <c r="G2395" s="126" t="s">
        <v>2362</v>
      </c>
      <c r="H2395" s="126" t="s">
        <v>2840</v>
      </c>
      <c r="I2395" s="126">
        <v>-34.115667000000002</v>
      </c>
      <c r="J2395" s="126">
        <v>-63.366039000000001</v>
      </c>
      <c r="K2395" s="126">
        <v>138.6</v>
      </c>
      <c r="M2395" s="126">
        <v>16.8</v>
      </c>
      <c r="O2395" s="126">
        <v>1022</v>
      </c>
      <c r="Q2395" s="478" t="s">
        <v>1986</v>
      </c>
      <c r="R2395" s="478" t="s">
        <v>1729</v>
      </c>
      <c r="S2395" s="478"/>
      <c r="T2395" s="126" t="s">
        <v>2365</v>
      </c>
      <c r="U2395" s="478" t="s">
        <v>1383</v>
      </c>
      <c r="V2395" s="478" t="s">
        <v>1722</v>
      </c>
      <c r="W2395" s="478" t="s">
        <v>1383</v>
      </c>
      <c r="X2395" s="478" t="s">
        <v>1383</v>
      </c>
      <c r="Y2395" s="479"/>
      <c r="Z2395" s="479"/>
      <c r="AB2395" s="126" t="s">
        <v>1759</v>
      </c>
      <c r="AF2395" s="478" t="s">
        <v>1356</v>
      </c>
      <c r="AG2395" s="126" t="s">
        <v>2371</v>
      </c>
      <c r="AI2395" s="126" t="s">
        <v>133</v>
      </c>
      <c r="AJ2395" s="126" t="s">
        <v>133</v>
      </c>
      <c r="AK2395" s="126" t="s">
        <v>2370</v>
      </c>
      <c r="AL2395" s="126" t="s">
        <v>2370</v>
      </c>
      <c r="AR2395" s="126">
        <v>32</v>
      </c>
      <c r="AU2395" s="126">
        <v>3</v>
      </c>
      <c r="BA2395" s="126" t="s">
        <v>2364</v>
      </c>
      <c r="BB2395" s="126" t="s">
        <v>2853</v>
      </c>
      <c r="BM2395" s="126">
        <v>1.18333333333333</v>
      </c>
      <c r="BN2395" s="126">
        <v>1.1825000000000001</v>
      </c>
      <c r="BR2395" s="126">
        <v>39.700000000000003</v>
      </c>
      <c r="BS2395" s="126">
        <v>45.4</v>
      </c>
      <c r="BV2395" s="126" t="s">
        <v>2105</v>
      </c>
      <c r="IO2395" s="126" t="s">
        <v>2405</v>
      </c>
      <c r="IP2395" s="126" t="s">
        <v>2406</v>
      </c>
      <c r="IQ2395" s="480"/>
    </row>
    <row r="2396" spans="1:251" s="126" customFormat="1" x14ac:dyDescent="0.25">
      <c r="A2396" s="126">
        <v>111</v>
      </c>
      <c r="B2396" s="126" t="s">
        <v>2389</v>
      </c>
      <c r="C2396" s="126">
        <v>41</v>
      </c>
      <c r="D2396" s="126">
        <v>2011</v>
      </c>
      <c r="E2396" s="126">
        <v>2009</v>
      </c>
      <c r="F2396" s="126" t="s">
        <v>2399</v>
      </c>
      <c r="G2396" s="126" t="s">
        <v>2362</v>
      </c>
      <c r="H2396" s="126" t="s">
        <v>2840</v>
      </c>
      <c r="I2396" s="126">
        <v>-34.115667000000002</v>
      </c>
      <c r="J2396" s="126">
        <v>-63.366039000000001</v>
      </c>
      <c r="K2396" s="126">
        <v>138.6</v>
      </c>
      <c r="M2396" s="126">
        <v>16.8</v>
      </c>
      <c r="O2396" s="126">
        <v>1022</v>
      </c>
      <c r="Q2396" s="478" t="s">
        <v>1986</v>
      </c>
      <c r="R2396" s="478" t="s">
        <v>1729</v>
      </c>
      <c r="S2396" s="478"/>
      <c r="T2396" s="126" t="s">
        <v>2366</v>
      </c>
      <c r="U2396" s="478" t="s">
        <v>1383</v>
      </c>
      <c r="V2396" s="478" t="s">
        <v>1722</v>
      </c>
      <c r="W2396" s="478" t="s">
        <v>1383</v>
      </c>
      <c r="X2396" s="478" t="s">
        <v>1383</v>
      </c>
      <c r="Y2396" s="479"/>
      <c r="Z2396" s="479"/>
      <c r="AB2396" s="126" t="s">
        <v>1759</v>
      </c>
      <c r="AF2396" s="478" t="s">
        <v>1356</v>
      </c>
      <c r="AG2396" s="126" t="s">
        <v>2371</v>
      </c>
      <c r="AI2396" s="126" t="s">
        <v>133</v>
      </c>
      <c r="AJ2396" s="126" t="s">
        <v>133</v>
      </c>
      <c r="AK2396" s="126" t="s">
        <v>2370</v>
      </c>
      <c r="AL2396" s="126" t="s">
        <v>2370</v>
      </c>
      <c r="AR2396" s="126">
        <v>32</v>
      </c>
      <c r="AU2396" s="126">
        <v>3</v>
      </c>
      <c r="BA2396" s="126" t="s">
        <v>2364</v>
      </c>
      <c r="BB2396" s="126" t="s">
        <v>2853</v>
      </c>
      <c r="BM2396" s="126">
        <v>1.18333333333333</v>
      </c>
      <c r="BN2396" s="126">
        <v>1.1825000000000001</v>
      </c>
      <c r="BR2396" s="126">
        <v>42</v>
      </c>
      <c r="BS2396" s="126">
        <v>45.7</v>
      </c>
      <c r="BV2396" s="126" t="s">
        <v>2105</v>
      </c>
      <c r="IO2396" s="126" t="s">
        <v>2405</v>
      </c>
      <c r="IP2396" s="126" t="s">
        <v>2406</v>
      </c>
      <c r="IQ2396" s="480"/>
    </row>
    <row r="2397" spans="1:251" s="126" customFormat="1" x14ac:dyDescent="0.25">
      <c r="A2397" s="126">
        <v>111</v>
      </c>
      <c r="B2397" s="126" t="s">
        <v>2389</v>
      </c>
      <c r="C2397" s="126">
        <v>41</v>
      </c>
      <c r="D2397" s="126">
        <v>2011</v>
      </c>
      <c r="E2397" s="126">
        <v>2009</v>
      </c>
      <c r="F2397" s="126" t="s">
        <v>2399</v>
      </c>
      <c r="G2397" s="126" t="s">
        <v>2362</v>
      </c>
      <c r="H2397" s="126" t="s">
        <v>2840</v>
      </c>
      <c r="I2397" s="126">
        <v>-34.115667000000002</v>
      </c>
      <c r="J2397" s="126">
        <v>-63.366039000000001</v>
      </c>
      <c r="K2397" s="126">
        <v>138.6</v>
      </c>
      <c r="M2397" s="126">
        <v>16.8</v>
      </c>
      <c r="O2397" s="126">
        <v>1022</v>
      </c>
      <c r="Q2397" s="478" t="s">
        <v>1856</v>
      </c>
      <c r="R2397" s="478" t="s">
        <v>1729</v>
      </c>
      <c r="S2397" s="478"/>
      <c r="T2397" s="126" t="s">
        <v>2365</v>
      </c>
      <c r="U2397" s="478" t="s">
        <v>1383</v>
      </c>
      <c r="V2397" s="478" t="s">
        <v>1722</v>
      </c>
      <c r="W2397" s="478" t="s">
        <v>1383</v>
      </c>
      <c r="X2397" s="478" t="s">
        <v>1383</v>
      </c>
      <c r="Y2397" s="479"/>
      <c r="Z2397" s="479"/>
      <c r="AB2397" s="126" t="s">
        <v>1759</v>
      </c>
      <c r="AF2397" s="478" t="s">
        <v>1356</v>
      </c>
      <c r="AG2397" s="126" t="s">
        <v>2371</v>
      </c>
      <c r="AI2397" s="126" t="s">
        <v>159</v>
      </c>
      <c r="AJ2397" s="126" t="s">
        <v>159</v>
      </c>
      <c r="AK2397" s="126" t="s">
        <v>2370</v>
      </c>
      <c r="AL2397" s="126" t="s">
        <v>2370</v>
      </c>
      <c r="AU2397" s="126">
        <v>3</v>
      </c>
      <c r="BA2397" s="126" t="s">
        <v>2367</v>
      </c>
      <c r="BB2397" s="126" t="s">
        <v>2853</v>
      </c>
      <c r="BM2397" s="126">
        <v>1.18333333333333</v>
      </c>
      <c r="BN2397" s="126">
        <v>1.1825000000000001</v>
      </c>
      <c r="BR2397" s="126">
        <v>39.1</v>
      </c>
      <c r="BS2397" s="126">
        <v>43.8</v>
      </c>
      <c r="BV2397" s="126" t="s">
        <v>2105</v>
      </c>
      <c r="IO2397" s="126" t="s">
        <v>2405</v>
      </c>
      <c r="IP2397" s="126" t="s">
        <v>2406</v>
      </c>
      <c r="IQ2397" s="480"/>
    </row>
    <row r="2398" spans="1:251" s="126" customFormat="1" x14ac:dyDescent="0.25">
      <c r="A2398" s="126">
        <v>111</v>
      </c>
      <c r="B2398" s="126" t="s">
        <v>2389</v>
      </c>
      <c r="C2398" s="126">
        <v>41</v>
      </c>
      <c r="D2398" s="126">
        <v>2011</v>
      </c>
      <c r="E2398" s="126">
        <v>2009</v>
      </c>
      <c r="F2398" s="126" t="s">
        <v>2399</v>
      </c>
      <c r="G2398" s="126" t="s">
        <v>2362</v>
      </c>
      <c r="H2398" s="126" t="s">
        <v>2840</v>
      </c>
      <c r="I2398" s="126">
        <v>-34.115667000000002</v>
      </c>
      <c r="J2398" s="126">
        <v>-63.366039000000001</v>
      </c>
      <c r="K2398" s="126">
        <v>138.6</v>
      </c>
      <c r="M2398" s="126">
        <v>16.8</v>
      </c>
      <c r="O2398" s="126">
        <v>1022</v>
      </c>
      <c r="Q2398" s="478" t="s">
        <v>1856</v>
      </c>
      <c r="R2398" s="478" t="s">
        <v>1729</v>
      </c>
      <c r="S2398" s="478"/>
      <c r="T2398" s="126" t="s">
        <v>2368</v>
      </c>
      <c r="U2398" s="478" t="s">
        <v>1383</v>
      </c>
      <c r="V2398" s="478" t="s">
        <v>1722</v>
      </c>
      <c r="W2398" s="478" t="s">
        <v>1383</v>
      </c>
      <c r="X2398" s="478" t="s">
        <v>1383</v>
      </c>
      <c r="Y2398" s="479"/>
      <c r="Z2398" s="479"/>
      <c r="AB2398" s="126" t="s">
        <v>1759</v>
      </c>
      <c r="AF2398" s="478" t="s">
        <v>1356</v>
      </c>
      <c r="AG2398" s="126" t="s">
        <v>2371</v>
      </c>
      <c r="AI2398" s="126" t="s">
        <v>159</v>
      </c>
      <c r="AJ2398" s="126" t="s">
        <v>159</v>
      </c>
      <c r="AK2398" s="126" t="s">
        <v>2370</v>
      </c>
      <c r="AL2398" s="126" t="s">
        <v>2370</v>
      </c>
      <c r="AU2398" s="126">
        <v>3</v>
      </c>
      <c r="BA2398" s="126" t="s">
        <v>2367</v>
      </c>
      <c r="BB2398" s="126" t="s">
        <v>2853</v>
      </c>
      <c r="BM2398" s="126">
        <v>1.18333333333333</v>
      </c>
      <c r="BN2398" s="126">
        <v>1.1825000000000001</v>
      </c>
      <c r="BR2398" s="126">
        <v>39.9</v>
      </c>
      <c r="BS2398" s="126">
        <v>41.4</v>
      </c>
      <c r="BV2398" s="126" t="s">
        <v>2105</v>
      </c>
      <c r="IO2398" s="126" t="s">
        <v>2405</v>
      </c>
      <c r="IP2398" s="126" t="s">
        <v>2406</v>
      </c>
      <c r="IQ2398" s="480"/>
    </row>
    <row r="2399" spans="1:251" s="126" customFormat="1" x14ac:dyDescent="0.25">
      <c r="A2399" s="126">
        <v>111</v>
      </c>
      <c r="B2399" s="126" t="s">
        <v>2389</v>
      </c>
      <c r="C2399" s="126">
        <v>41</v>
      </c>
      <c r="D2399" s="126">
        <v>2011</v>
      </c>
      <c r="E2399" s="126">
        <v>2009</v>
      </c>
      <c r="F2399" s="126" t="s">
        <v>2399</v>
      </c>
      <c r="G2399" s="126" t="s">
        <v>2362</v>
      </c>
      <c r="H2399" s="126" t="s">
        <v>2840</v>
      </c>
      <c r="I2399" s="126">
        <v>-34.115667000000002</v>
      </c>
      <c r="J2399" s="126">
        <v>-63.366039000000001</v>
      </c>
      <c r="K2399" s="126">
        <v>138.6</v>
      </c>
      <c r="M2399" s="126">
        <v>16.8</v>
      </c>
      <c r="O2399" s="126">
        <v>1022</v>
      </c>
      <c r="Q2399" s="478" t="s">
        <v>1986</v>
      </c>
      <c r="R2399" s="478" t="s">
        <v>1729</v>
      </c>
      <c r="S2399" s="478"/>
      <c r="T2399" s="126" t="s">
        <v>2365</v>
      </c>
      <c r="U2399" s="478" t="s">
        <v>1383</v>
      </c>
      <c r="V2399" s="478" t="s">
        <v>1722</v>
      </c>
      <c r="W2399" s="478" t="s">
        <v>1383</v>
      </c>
      <c r="X2399" s="478" t="s">
        <v>1383</v>
      </c>
      <c r="Y2399" s="479"/>
      <c r="Z2399" s="479"/>
      <c r="AB2399" s="126" t="s">
        <v>1759</v>
      </c>
      <c r="AF2399" s="478" t="s">
        <v>1356</v>
      </c>
      <c r="AG2399" s="126" t="s">
        <v>2372</v>
      </c>
      <c r="AI2399" s="126" t="s">
        <v>133</v>
      </c>
      <c r="AJ2399" s="126" t="s">
        <v>133</v>
      </c>
      <c r="AK2399" s="126" t="s">
        <v>2370</v>
      </c>
      <c r="AL2399" s="126" t="s">
        <v>2370</v>
      </c>
      <c r="AR2399" s="126">
        <v>32</v>
      </c>
      <c r="AU2399" s="126">
        <v>3</v>
      </c>
      <c r="BA2399" s="126" t="s">
        <v>2364</v>
      </c>
      <c r="BB2399" s="126" t="s">
        <v>2853</v>
      </c>
      <c r="BM2399" s="126">
        <v>1.18333333333333</v>
      </c>
      <c r="BN2399" s="126">
        <v>1.1825000000000001</v>
      </c>
      <c r="BR2399" s="126">
        <v>39.700000000000003</v>
      </c>
      <c r="BS2399" s="126">
        <v>41.5</v>
      </c>
      <c r="BV2399" s="126" t="s">
        <v>2105</v>
      </c>
      <c r="IO2399" s="126" t="s">
        <v>2405</v>
      </c>
      <c r="IP2399" s="126" t="s">
        <v>2406</v>
      </c>
      <c r="IQ2399" s="480"/>
    </row>
    <row r="2400" spans="1:251" s="126" customFormat="1" x14ac:dyDescent="0.25">
      <c r="A2400" s="126">
        <v>111</v>
      </c>
      <c r="B2400" s="126" t="s">
        <v>2389</v>
      </c>
      <c r="C2400" s="126">
        <v>41</v>
      </c>
      <c r="D2400" s="126">
        <v>2011</v>
      </c>
      <c r="E2400" s="126">
        <v>2009</v>
      </c>
      <c r="F2400" s="126" t="s">
        <v>2399</v>
      </c>
      <c r="G2400" s="126" t="s">
        <v>2362</v>
      </c>
      <c r="H2400" s="126" t="s">
        <v>2840</v>
      </c>
      <c r="I2400" s="126">
        <v>-34.115667000000002</v>
      </c>
      <c r="J2400" s="126">
        <v>-63.366039000000001</v>
      </c>
      <c r="K2400" s="126">
        <v>138.6</v>
      </c>
      <c r="M2400" s="126">
        <v>16.8</v>
      </c>
      <c r="O2400" s="126">
        <v>1022</v>
      </c>
      <c r="Q2400" s="478" t="s">
        <v>1986</v>
      </c>
      <c r="R2400" s="478" t="s">
        <v>1729</v>
      </c>
      <c r="S2400" s="478"/>
      <c r="T2400" s="126" t="s">
        <v>2366</v>
      </c>
      <c r="U2400" s="478" t="s">
        <v>1383</v>
      </c>
      <c r="V2400" s="478" t="s">
        <v>1722</v>
      </c>
      <c r="W2400" s="478" t="s">
        <v>1383</v>
      </c>
      <c r="X2400" s="478" t="s">
        <v>1383</v>
      </c>
      <c r="Y2400" s="479"/>
      <c r="Z2400" s="479"/>
      <c r="AB2400" s="126" t="s">
        <v>1759</v>
      </c>
      <c r="AF2400" s="478" t="s">
        <v>1356</v>
      </c>
      <c r="AG2400" s="126" t="s">
        <v>2372</v>
      </c>
      <c r="AI2400" s="126" t="s">
        <v>133</v>
      </c>
      <c r="AJ2400" s="126" t="s">
        <v>133</v>
      </c>
      <c r="AK2400" s="126" t="s">
        <v>2370</v>
      </c>
      <c r="AL2400" s="126" t="s">
        <v>2370</v>
      </c>
      <c r="AR2400" s="126">
        <v>32</v>
      </c>
      <c r="AU2400" s="126">
        <v>3</v>
      </c>
      <c r="BA2400" s="126" t="s">
        <v>2364</v>
      </c>
      <c r="BB2400" s="126" t="s">
        <v>2853</v>
      </c>
      <c r="BM2400" s="126">
        <v>1.18333333333333</v>
      </c>
      <c r="BN2400" s="126">
        <v>1.1825000000000001</v>
      </c>
      <c r="BR2400" s="126">
        <v>42</v>
      </c>
      <c r="BS2400" s="126">
        <v>45.1</v>
      </c>
      <c r="BV2400" s="126" t="s">
        <v>2105</v>
      </c>
      <c r="IO2400" s="126" t="s">
        <v>2405</v>
      </c>
      <c r="IP2400" s="126" t="s">
        <v>2406</v>
      </c>
      <c r="IQ2400" s="480"/>
    </row>
    <row r="2401" spans="1:251" s="126" customFormat="1" x14ac:dyDescent="0.25">
      <c r="A2401" s="126">
        <v>111</v>
      </c>
      <c r="B2401" s="126" t="s">
        <v>2389</v>
      </c>
      <c r="C2401" s="126">
        <v>41</v>
      </c>
      <c r="D2401" s="126">
        <v>2011</v>
      </c>
      <c r="E2401" s="126">
        <v>2009</v>
      </c>
      <c r="F2401" s="126" t="s">
        <v>2399</v>
      </c>
      <c r="G2401" s="126" t="s">
        <v>2362</v>
      </c>
      <c r="H2401" s="126" t="s">
        <v>2840</v>
      </c>
      <c r="I2401" s="126">
        <v>-34.115667000000002</v>
      </c>
      <c r="J2401" s="126">
        <v>-63.366039000000001</v>
      </c>
      <c r="K2401" s="126">
        <v>138.6</v>
      </c>
      <c r="M2401" s="126">
        <v>16.8</v>
      </c>
      <c r="O2401" s="126">
        <v>1022</v>
      </c>
      <c r="Q2401" s="478" t="s">
        <v>1856</v>
      </c>
      <c r="R2401" s="478" t="s">
        <v>1729</v>
      </c>
      <c r="S2401" s="478"/>
      <c r="T2401" s="126" t="s">
        <v>2365</v>
      </c>
      <c r="U2401" s="478" t="s">
        <v>1383</v>
      </c>
      <c r="V2401" s="478" t="s">
        <v>1722</v>
      </c>
      <c r="W2401" s="478" t="s">
        <v>1383</v>
      </c>
      <c r="X2401" s="478" t="s">
        <v>1383</v>
      </c>
      <c r="Y2401" s="479"/>
      <c r="Z2401" s="479"/>
      <c r="AB2401" s="126" t="s">
        <v>1759</v>
      </c>
      <c r="AF2401" s="478" t="s">
        <v>1356</v>
      </c>
      <c r="AG2401" s="126" t="s">
        <v>2372</v>
      </c>
      <c r="AI2401" s="126" t="s">
        <v>159</v>
      </c>
      <c r="AJ2401" s="126" t="s">
        <v>159</v>
      </c>
      <c r="AK2401" s="126" t="s">
        <v>2370</v>
      </c>
      <c r="AL2401" s="126" t="s">
        <v>2370</v>
      </c>
      <c r="AU2401" s="126">
        <v>3</v>
      </c>
      <c r="BA2401" s="126" t="s">
        <v>2367</v>
      </c>
      <c r="BB2401" s="126" t="s">
        <v>2853</v>
      </c>
      <c r="BM2401" s="126">
        <v>1.18333333333333</v>
      </c>
      <c r="BN2401" s="126">
        <v>1.1825000000000001</v>
      </c>
      <c r="BR2401" s="126">
        <v>39.1</v>
      </c>
      <c r="BS2401" s="126">
        <v>40.9</v>
      </c>
      <c r="BV2401" s="126" t="s">
        <v>2105</v>
      </c>
      <c r="IO2401" s="126" t="s">
        <v>2405</v>
      </c>
      <c r="IP2401" s="126" t="s">
        <v>2406</v>
      </c>
      <c r="IQ2401" s="480"/>
    </row>
    <row r="2402" spans="1:251" s="126" customFormat="1" x14ac:dyDescent="0.25">
      <c r="A2402" s="126">
        <v>111</v>
      </c>
      <c r="B2402" s="126" t="s">
        <v>2389</v>
      </c>
      <c r="C2402" s="126">
        <v>41</v>
      </c>
      <c r="D2402" s="126">
        <v>2011</v>
      </c>
      <c r="E2402" s="126">
        <v>2009</v>
      </c>
      <c r="F2402" s="126" t="s">
        <v>2399</v>
      </c>
      <c r="G2402" s="126" t="s">
        <v>2362</v>
      </c>
      <c r="H2402" s="126" t="s">
        <v>2840</v>
      </c>
      <c r="I2402" s="126">
        <v>-34.115667000000002</v>
      </c>
      <c r="J2402" s="126">
        <v>-63.366039000000001</v>
      </c>
      <c r="K2402" s="126">
        <v>138.6</v>
      </c>
      <c r="M2402" s="126">
        <v>16.8</v>
      </c>
      <c r="O2402" s="126">
        <v>1022</v>
      </c>
      <c r="Q2402" s="478" t="s">
        <v>1856</v>
      </c>
      <c r="R2402" s="478" t="s">
        <v>1729</v>
      </c>
      <c r="S2402" s="478"/>
      <c r="T2402" s="126" t="s">
        <v>2368</v>
      </c>
      <c r="U2402" s="478" t="s">
        <v>1383</v>
      </c>
      <c r="V2402" s="478" t="s">
        <v>1722</v>
      </c>
      <c r="W2402" s="478" t="s">
        <v>1383</v>
      </c>
      <c r="X2402" s="478" t="s">
        <v>1383</v>
      </c>
      <c r="Y2402" s="479"/>
      <c r="Z2402" s="479"/>
      <c r="AB2402" s="126" t="s">
        <v>1759</v>
      </c>
      <c r="AF2402" s="478" t="s">
        <v>1356</v>
      </c>
      <c r="AG2402" s="126" t="s">
        <v>2372</v>
      </c>
      <c r="AI2402" s="126" t="s">
        <v>159</v>
      </c>
      <c r="AJ2402" s="126" t="s">
        <v>159</v>
      </c>
      <c r="AK2402" s="126" t="s">
        <v>2370</v>
      </c>
      <c r="AL2402" s="126" t="s">
        <v>2370</v>
      </c>
      <c r="AU2402" s="126">
        <v>3</v>
      </c>
      <c r="BA2402" s="126" t="s">
        <v>2367</v>
      </c>
      <c r="BB2402" s="126" t="s">
        <v>2853</v>
      </c>
      <c r="BM2402" s="126">
        <v>1.18333333333333</v>
      </c>
      <c r="BN2402" s="126">
        <v>1.1825000000000001</v>
      </c>
      <c r="BR2402" s="126">
        <v>39.9</v>
      </c>
      <c r="BS2402" s="126">
        <v>40.700000000000003</v>
      </c>
      <c r="BV2402" s="126" t="s">
        <v>2105</v>
      </c>
      <c r="IO2402" s="126" t="s">
        <v>2405</v>
      </c>
      <c r="IP2402" s="126" t="s">
        <v>2406</v>
      </c>
      <c r="IQ2402" s="480"/>
    </row>
    <row r="2403" spans="1:251" s="126" customFormat="1" x14ac:dyDescent="0.25">
      <c r="A2403" s="126">
        <v>111</v>
      </c>
      <c r="B2403" s="126" t="s">
        <v>2389</v>
      </c>
      <c r="C2403" s="126">
        <v>41</v>
      </c>
      <c r="D2403" s="126">
        <v>2011</v>
      </c>
      <c r="E2403" s="126">
        <v>2009</v>
      </c>
      <c r="F2403" s="126" t="s">
        <v>2399</v>
      </c>
      <c r="G2403" s="126" t="s">
        <v>2362</v>
      </c>
      <c r="H2403" s="126" t="s">
        <v>2840</v>
      </c>
      <c r="I2403" s="126">
        <v>-34.115667000000002</v>
      </c>
      <c r="J2403" s="126">
        <v>-63.366039000000001</v>
      </c>
      <c r="K2403" s="126">
        <v>138.6</v>
      </c>
      <c r="M2403" s="126">
        <v>16.8</v>
      </c>
      <c r="O2403" s="126">
        <v>1022</v>
      </c>
      <c r="Q2403" s="478" t="s">
        <v>1986</v>
      </c>
      <c r="R2403" s="478" t="s">
        <v>1729</v>
      </c>
      <c r="S2403" s="478"/>
      <c r="T2403" s="126" t="s">
        <v>2365</v>
      </c>
      <c r="U2403" s="478" t="s">
        <v>1383</v>
      </c>
      <c r="V2403" s="478" t="s">
        <v>1722</v>
      </c>
      <c r="W2403" s="478" t="s">
        <v>1383</v>
      </c>
      <c r="X2403" s="478" t="s">
        <v>1383</v>
      </c>
      <c r="Y2403" s="479"/>
      <c r="Z2403" s="479"/>
      <c r="AB2403" s="126" t="s">
        <v>1759</v>
      </c>
      <c r="AF2403" s="478" t="s">
        <v>1356</v>
      </c>
      <c r="AG2403" s="126" t="s">
        <v>2240</v>
      </c>
      <c r="AH2403" s="126" t="s">
        <v>1131</v>
      </c>
      <c r="AI2403" s="126" t="s">
        <v>133</v>
      </c>
      <c r="AJ2403" s="126" t="s">
        <v>133</v>
      </c>
      <c r="AK2403" s="126" t="s">
        <v>2370</v>
      </c>
      <c r="AL2403" s="126" t="s">
        <v>2370</v>
      </c>
      <c r="AR2403" s="126">
        <v>32</v>
      </c>
      <c r="AU2403" s="126">
        <v>3</v>
      </c>
      <c r="BA2403" s="126" t="s">
        <v>2364</v>
      </c>
      <c r="BB2403" s="126" t="s">
        <v>2853</v>
      </c>
      <c r="BM2403" s="126">
        <v>1.18333333333333</v>
      </c>
      <c r="BN2403" s="126">
        <v>1.1825000000000001</v>
      </c>
      <c r="BR2403" s="126">
        <v>39.700000000000003</v>
      </c>
      <c r="BS2403" s="126">
        <v>41.5</v>
      </c>
      <c r="BV2403" s="126" t="s">
        <v>2105</v>
      </c>
      <c r="IO2403" s="126" t="s">
        <v>2405</v>
      </c>
      <c r="IP2403" s="126" t="s">
        <v>2406</v>
      </c>
      <c r="IQ2403" s="480"/>
    </row>
    <row r="2404" spans="1:251" s="126" customFormat="1" x14ac:dyDescent="0.25">
      <c r="A2404" s="126">
        <v>111</v>
      </c>
      <c r="B2404" s="126" t="s">
        <v>2389</v>
      </c>
      <c r="C2404" s="126">
        <v>41</v>
      </c>
      <c r="D2404" s="126">
        <v>2011</v>
      </c>
      <c r="E2404" s="126">
        <v>2009</v>
      </c>
      <c r="F2404" s="126" t="s">
        <v>2399</v>
      </c>
      <c r="G2404" s="126" t="s">
        <v>2362</v>
      </c>
      <c r="H2404" s="126" t="s">
        <v>2840</v>
      </c>
      <c r="I2404" s="126">
        <v>-34.115667000000002</v>
      </c>
      <c r="J2404" s="126">
        <v>-63.366039000000001</v>
      </c>
      <c r="K2404" s="126">
        <v>138.6</v>
      </c>
      <c r="M2404" s="126">
        <v>16.8</v>
      </c>
      <c r="O2404" s="126">
        <v>1022</v>
      </c>
      <c r="Q2404" s="478" t="s">
        <v>1986</v>
      </c>
      <c r="R2404" s="478" t="s">
        <v>1729</v>
      </c>
      <c r="S2404" s="478"/>
      <c r="T2404" s="126" t="s">
        <v>2366</v>
      </c>
      <c r="U2404" s="478" t="s">
        <v>1383</v>
      </c>
      <c r="V2404" s="478" t="s">
        <v>1722</v>
      </c>
      <c r="W2404" s="478" t="s">
        <v>1383</v>
      </c>
      <c r="X2404" s="478" t="s">
        <v>1383</v>
      </c>
      <c r="Y2404" s="479"/>
      <c r="Z2404" s="479"/>
      <c r="AB2404" s="126" t="s">
        <v>1759</v>
      </c>
      <c r="AF2404" s="478" t="s">
        <v>1356</v>
      </c>
      <c r="AG2404" s="126" t="s">
        <v>2240</v>
      </c>
      <c r="AH2404" s="126" t="s">
        <v>1131</v>
      </c>
      <c r="AI2404" s="126" t="s">
        <v>133</v>
      </c>
      <c r="AJ2404" s="126" t="s">
        <v>133</v>
      </c>
      <c r="AK2404" s="126" t="s">
        <v>2370</v>
      </c>
      <c r="AL2404" s="126" t="s">
        <v>2370</v>
      </c>
      <c r="AR2404" s="126">
        <v>32</v>
      </c>
      <c r="AU2404" s="126">
        <v>3</v>
      </c>
      <c r="BA2404" s="126" t="s">
        <v>2364</v>
      </c>
      <c r="BB2404" s="126" t="s">
        <v>2853</v>
      </c>
      <c r="BM2404" s="126">
        <v>1.18333333333333</v>
      </c>
      <c r="BN2404" s="126">
        <v>1.1825000000000001</v>
      </c>
      <c r="BR2404" s="126">
        <v>42</v>
      </c>
      <c r="BS2404" s="126">
        <v>42.8</v>
      </c>
      <c r="BV2404" s="126" t="s">
        <v>2105</v>
      </c>
      <c r="IO2404" s="126" t="s">
        <v>2405</v>
      </c>
      <c r="IP2404" s="126" t="s">
        <v>2406</v>
      </c>
      <c r="IQ2404" s="480"/>
    </row>
    <row r="2405" spans="1:251" s="126" customFormat="1" x14ac:dyDescent="0.25">
      <c r="A2405" s="126">
        <v>111</v>
      </c>
      <c r="B2405" s="126" t="s">
        <v>2389</v>
      </c>
      <c r="C2405" s="126">
        <v>41</v>
      </c>
      <c r="D2405" s="126">
        <v>2011</v>
      </c>
      <c r="E2405" s="126">
        <v>2009</v>
      </c>
      <c r="F2405" s="126" t="s">
        <v>2399</v>
      </c>
      <c r="G2405" s="126" t="s">
        <v>2362</v>
      </c>
      <c r="H2405" s="126" t="s">
        <v>2840</v>
      </c>
      <c r="I2405" s="126">
        <v>-34.115667000000002</v>
      </c>
      <c r="J2405" s="126">
        <v>-63.366039000000001</v>
      </c>
      <c r="K2405" s="126">
        <v>138.6</v>
      </c>
      <c r="M2405" s="126">
        <v>16.8</v>
      </c>
      <c r="O2405" s="126">
        <v>1022</v>
      </c>
      <c r="Q2405" s="478" t="s">
        <v>1856</v>
      </c>
      <c r="R2405" s="478" t="s">
        <v>1729</v>
      </c>
      <c r="S2405" s="478"/>
      <c r="T2405" s="126" t="s">
        <v>2365</v>
      </c>
      <c r="U2405" s="478" t="s">
        <v>1383</v>
      </c>
      <c r="V2405" s="478" t="s">
        <v>1722</v>
      </c>
      <c r="W2405" s="478" t="s">
        <v>1383</v>
      </c>
      <c r="X2405" s="478" t="s">
        <v>1383</v>
      </c>
      <c r="Y2405" s="479"/>
      <c r="Z2405" s="479"/>
      <c r="AB2405" s="126" t="s">
        <v>1759</v>
      </c>
      <c r="AF2405" s="478" t="s">
        <v>1356</v>
      </c>
      <c r="AG2405" s="126" t="s">
        <v>2240</v>
      </c>
      <c r="AH2405" s="126" t="s">
        <v>1131</v>
      </c>
      <c r="AI2405" s="126" t="s">
        <v>159</v>
      </c>
      <c r="AJ2405" s="126" t="s">
        <v>159</v>
      </c>
      <c r="AK2405" s="126" t="s">
        <v>2370</v>
      </c>
      <c r="AL2405" s="126" t="s">
        <v>2370</v>
      </c>
      <c r="AU2405" s="126">
        <v>3</v>
      </c>
      <c r="BA2405" s="126" t="s">
        <v>2367</v>
      </c>
      <c r="BB2405" s="126" t="s">
        <v>2853</v>
      </c>
      <c r="BM2405" s="126">
        <v>1.18333333333333</v>
      </c>
      <c r="BN2405" s="126">
        <v>1.1825000000000001</v>
      </c>
      <c r="BR2405" s="126">
        <v>39.1</v>
      </c>
      <c r="BS2405" s="126">
        <v>40</v>
      </c>
      <c r="BV2405" s="126" t="s">
        <v>2105</v>
      </c>
      <c r="IO2405" s="126" t="s">
        <v>2405</v>
      </c>
      <c r="IP2405" s="126" t="s">
        <v>2406</v>
      </c>
      <c r="IQ2405" s="480"/>
    </row>
    <row r="2406" spans="1:251" s="126" customFormat="1" x14ac:dyDescent="0.25">
      <c r="A2406" s="126">
        <v>111</v>
      </c>
      <c r="B2406" s="126" t="s">
        <v>2389</v>
      </c>
      <c r="C2406" s="126">
        <v>41</v>
      </c>
      <c r="D2406" s="126">
        <v>2011</v>
      </c>
      <c r="E2406" s="126">
        <v>2009</v>
      </c>
      <c r="F2406" s="126" t="s">
        <v>2399</v>
      </c>
      <c r="G2406" s="126" t="s">
        <v>2362</v>
      </c>
      <c r="H2406" s="126" t="s">
        <v>2840</v>
      </c>
      <c r="I2406" s="126">
        <v>-34.115667000000002</v>
      </c>
      <c r="J2406" s="126">
        <v>-63.366039000000001</v>
      </c>
      <c r="K2406" s="126">
        <v>138.6</v>
      </c>
      <c r="M2406" s="126">
        <v>16.8</v>
      </c>
      <c r="O2406" s="126">
        <v>1022</v>
      </c>
      <c r="Q2406" s="478" t="s">
        <v>1856</v>
      </c>
      <c r="R2406" s="478" t="s">
        <v>1729</v>
      </c>
      <c r="S2406" s="478"/>
      <c r="T2406" s="126" t="s">
        <v>2368</v>
      </c>
      <c r="U2406" s="478" t="s">
        <v>1383</v>
      </c>
      <c r="V2406" s="478" t="s">
        <v>1722</v>
      </c>
      <c r="W2406" s="478" t="s">
        <v>1383</v>
      </c>
      <c r="X2406" s="478" t="s">
        <v>1383</v>
      </c>
      <c r="Y2406" s="479"/>
      <c r="Z2406" s="479"/>
      <c r="AB2406" s="126" t="s">
        <v>1759</v>
      </c>
      <c r="AF2406" s="478" t="s">
        <v>1356</v>
      </c>
      <c r="AG2406" s="126" t="s">
        <v>2240</v>
      </c>
      <c r="AH2406" s="126" t="s">
        <v>1131</v>
      </c>
      <c r="AI2406" s="126" t="s">
        <v>159</v>
      </c>
      <c r="AJ2406" s="126" t="s">
        <v>159</v>
      </c>
      <c r="AK2406" s="126" t="s">
        <v>2370</v>
      </c>
      <c r="AL2406" s="126" t="s">
        <v>2370</v>
      </c>
      <c r="AU2406" s="126">
        <v>3</v>
      </c>
      <c r="BA2406" s="126" t="s">
        <v>2367</v>
      </c>
      <c r="BB2406" s="126" t="s">
        <v>2853</v>
      </c>
      <c r="BM2406" s="126">
        <v>1.18333333333333</v>
      </c>
      <c r="BN2406" s="126">
        <v>1.1825000000000001</v>
      </c>
      <c r="BR2406" s="126">
        <v>39.9</v>
      </c>
      <c r="BS2406" s="126">
        <v>40.299999999999997</v>
      </c>
      <c r="BV2406" s="126" t="s">
        <v>2105</v>
      </c>
      <c r="IO2406" s="126" t="s">
        <v>2405</v>
      </c>
      <c r="IP2406" s="126" t="s">
        <v>2406</v>
      </c>
      <c r="IQ2406" s="480"/>
    </row>
    <row r="2407" spans="1:251" s="126" customFormat="1" x14ac:dyDescent="0.25">
      <c r="A2407" s="126">
        <v>111</v>
      </c>
      <c r="B2407" s="126" t="s">
        <v>2389</v>
      </c>
      <c r="C2407" s="126">
        <v>41</v>
      </c>
      <c r="D2407" s="126">
        <v>2011</v>
      </c>
      <c r="E2407" s="126">
        <v>2009</v>
      </c>
      <c r="F2407" s="126" t="s">
        <v>2399</v>
      </c>
      <c r="G2407" s="126" t="s">
        <v>2362</v>
      </c>
      <c r="H2407" s="126" t="s">
        <v>2840</v>
      </c>
      <c r="I2407" s="126">
        <v>-34.115667000000002</v>
      </c>
      <c r="J2407" s="126">
        <v>-63.366039000000001</v>
      </c>
      <c r="K2407" s="126">
        <v>138.6</v>
      </c>
      <c r="M2407" s="126">
        <v>16.8</v>
      </c>
      <c r="O2407" s="126">
        <v>1022</v>
      </c>
      <c r="Q2407" s="478" t="s">
        <v>1986</v>
      </c>
      <c r="R2407" s="478" t="s">
        <v>1729</v>
      </c>
      <c r="S2407" s="478"/>
      <c r="T2407" s="126" t="s">
        <v>2365</v>
      </c>
      <c r="U2407" s="478" t="s">
        <v>1383</v>
      </c>
      <c r="V2407" s="478" t="s">
        <v>1722</v>
      </c>
      <c r="W2407" s="478" t="s">
        <v>1383</v>
      </c>
      <c r="X2407" s="478" t="s">
        <v>1383</v>
      </c>
      <c r="Y2407" s="479"/>
      <c r="Z2407" s="479"/>
      <c r="AB2407" s="126" t="s">
        <v>1759</v>
      </c>
      <c r="AF2407" s="478" t="s">
        <v>1356</v>
      </c>
      <c r="AG2407" s="126" t="s">
        <v>2373</v>
      </c>
      <c r="AI2407" s="126" t="s">
        <v>133</v>
      </c>
      <c r="AJ2407" s="126" t="s">
        <v>133</v>
      </c>
      <c r="AK2407" s="126" t="s">
        <v>2370</v>
      </c>
      <c r="AL2407" s="126" t="s">
        <v>2370</v>
      </c>
      <c r="AR2407" s="126">
        <v>32</v>
      </c>
      <c r="AU2407" s="126">
        <v>3</v>
      </c>
      <c r="BA2407" s="126" t="s">
        <v>2364</v>
      </c>
      <c r="BB2407" s="126" t="s">
        <v>2853</v>
      </c>
      <c r="BM2407" s="126">
        <v>1.18333333333333</v>
      </c>
      <c r="BN2407" s="126">
        <v>1.1825000000000001</v>
      </c>
      <c r="BR2407" s="126">
        <v>39.700000000000003</v>
      </c>
      <c r="BS2407" s="126">
        <v>43.1</v>
      </c>
      <c r="BV2407" s="126" t="s">
        <v>2105</v>
      </c>
      <c r="IO2407" s="126" t="s">
        <v>2405</v>
      </c>
      <c r="IP2407" s="126" t="s">
        <v>2406</v>
      </c>
      <c r="IQ2407" s="480"/>
    </row>
    <row r="2408" spans="1:251" s="126" customFormat="1" x14ac:dyDescent="0.25">
      <c r="A2408" s="126">
        <v>111</v>
      </c>
      <c r="B2408" s="126" t="s">
        <v>2389</v>
      </c>
      <c r="C2408" s="126">
        <v>41</v>
      </c>
      <c r="D2408" s="126">
        <v>2011</v>
      </c>
      <c r="E2408" s="126">
        <v>2009</v>
      </c>
      <c r="F2408" s="126" t="s">
        <v>2399</v>
      </c>
      <c r="G2408" s="126" t="s">
        <v>2362</v>
      </c>
      <c r="H2408" s="126" t="s">
        <v>2840</v>
      </c>
      <c r="I2408" s="126">
        <v>-34.115667000000002</v>
      </c>
      <c r="J2408" s="126">
        <v>-63.366039000000001</v>
      </c>
      <c r="K2408" s="126">
        <v>138.6</v>
      </c>
      <c r="M2408" s="126">
        <v>16.8</v>
      </c>
      <c r="O2408" s="126">
        <v>1022</v>
      </c>
      <c r="Q2408" s="478" t="s">
        <v>1986</v>
      </c>
      <c r="R2408" s="478" t="s">
        <v>1729</v>
      </c>
      <c r="S2408" s="478"/>
      <c r="T2408" s="126" t="s">
        <v>2366</v>
      </c>
      <c r="U2408" s="478" t="s">
        <v>1383</v>
      </c>
      <c r="V2408" s="478" t="s">
        <v>1722</v>
      </c>
      <c r="W2408" s="478" t="s">
        <v>1383</v>
      </c>
      <c r="X2408" s="478" t="s">
        <v>1383</v>
      </c>
      <c r="Y2408" s="479"/>
      <c r="Z2408" s="479"/>
      <c r="AB2408" s="126" t="s">
        <v>1759</v>
      </c>
      <c r="AF2408" s="478" t="s">
        <v>1356</v>
      </c>
      <c r="AG2408" s="126" t="s">
        <v>2373</v>
      </c>
      <c r="AI2408" s="126" t="s">
        <v>133</v>
      </c>
      <c r="AJ2408" s="126" t="s">
        <v>133</v>
      </c>
      <c r="AK2408" s="126" t="s">
        <v>2370</v>
      </c>
      <c r="AL2408" s="126" t="s">
        <v>2370</v>
      </c>
      <c r="AR2408" s="126">
        <v>32</v>
      </c>
      <c r="AU2408" s="126">
        <v>3</v>
      </c>
      <c r="BA2408" s="126" t="s">
        <v>2364</v>
      </c>
      <c r="BB2408" s="126" t="s">
        <v>2853</v>
      </c>
      <c r="BM2408" s="126">
        <v>1.18333333333333</v>
      </c>
      <c r="BN2408" s="126">
        <v>1.1825000000000001</v>
      </c>
      <c r="BR2408" s="126">
        <v>42</v>
      </c>
      <c r="BS2408" s="126">
        <v>42.3</v>
      </c>
      <c r="BV2408" s="126" t="s">
        <v>2105</v>
      </c>
      <c r="IO2408" s="126" t="s">
        <v>2405</v>
      </c>
      <c r="IP2408" s="126" t="s">
        <v>2406</v>
      </c>
      <c r="IQ2408" s="480"/>
    </row>
    <row r="2409" spans="1:251" s="126" customFormat="1" x14ac:dyDescent="0.25">
      <c r="A2409" s="126">
        <v>111</v>
      </c>
      <c r="B2409" s="126" t="s">
        <v>2389</v>
      </c>
      <c r="C2409" s="126">
        <v>41</v>
      </c>
      <c r="D2409" s="126">
        <v>2011</v>
      </c>
      <c r="E2409" s="126">
        <v>2009</v>
      </c>
      <c r="F2409" s="126" t="s">
        <v>2399</v>
      </c>
      <c r="G2409" s="126" t="s">
        <v>2362</v>
      </c>
      <c r="H2409" s="126" t="s">
        <v>2840</v>
      </c>
      <c r="I2409" s="126">
        <v>-34.115667000000002</v>
      </c>
      <c r="J2409" s="126">
        <v>-63.366039000000001</v>
      </c>
      <c r="K2409" s="126">
        <v>138.6</v>
      </c>
      <c r="M2409" s="126">
        <v>16.8</v>
      </c>
      <c r="O2409" s="126">
        <v>1022</v>
      </c>
      <c r="Q2409" s="478" t="s">
        <v>1856</v>
      </c>
      <c r="R2409" s="478" t="s">
        <v>1729</v>
      </c>
      <c r="S2409" s="478"/>
      <c r="T2409" s="126" t="s">
        <v>2365</v>
      </c>
      <c r="U2409" s="478" t="s">
        <v>1383</v>
      </c>
      <c r="V2409" s="478" t="s">
        <v>1722</v>
      </c>
      <c r="W2409" s="478" t="s">
        <v>1383</v>
      </c>
      <c r="X2409" s="478" t="s">
        <v>1383</v>
      </c>
      <c r="Y2409" s="479"/>
      <c r="Z2409" s="479"/>
      <c r="AB2409" s="126" t="s">
        <v>1759</v>
      </c>
      <c r="AF2409" s="478" t="s">
        <v>1356</v>
      </c>
      <c r="AG2409" s="126" t="s">
        <v>2373</v>
      </c>
      <c r="AI2409" s="126" t="s">
        <v>159</v>
      </c>
      <c r="AJ2409" s="126" t="s">
        <v>159</v>
      </c>
      <c r="AK2409" s="126" t="s">
        <v>2370</v>
      </c>
      <c r="AL2409" s="126" t="s">
        <v>2370</v>
      </c>
      <c r="AU2409" s="126">
        <v>3</v>
      </c>
      <c r="BA2409" s="126" t="s">
        <v>2367</v>
      </c>
      <c r="BB2409" s="126" t="s">
        <v>2853</v>
      </c>
      <c r="BM2409" s="126">
        <v>1.18333333333333</v>
      </c>
      <c r="BN2409" s="126">
        <v>1.1825000000000001</v>
      </c>
      <c r="BR2409" s="126">
        <v>39.1</v>
      </c>
      <c r="BS2409" s="126">
        <v>39</v>
      </c>
      <c r="BV2409" s="126" t="s">
        <v>2105</v>
      </c>
      <c r="IO2409" s="126" t="s">
        <v>2405</v>
      </c>
      <c r="IP2409" s="126" t="s">
        <v>2406</v>
      </c>
      <c r="IQ2409" s="480"/>
    </row>
    <row r="2410" spans="1:251" s="126" customFormat="1" x14ac:dyDescent="0.25">
      <c r="A2410" s="126">
        <v>111</v>
      </c>
      <c r="B2410" s="126" t="s">
        <v>2389</v>
      </c>
      <c r="C2410" s="126">
        <v>41</v>
      </c>
      <c r="D2410" s="126">
        <v>2011</v>
      </c>
      <c r="E2410" s="126">
        <v>2009</v>
      </c>
      <c r="F2410" s="126" t="s">
        <v>2399</v>
      </c>
      <c r="G2410" s="126" t="s">
        <v>2362</v>
      </c>
      <c r="H2410" s="126" t="s">
        <v>2840</v>
      </c>
      <c r="I2410" s="126">
        <v>-34.115667000000002</v>
      </c>
      <c r="J2410" s="126">
        <v>-63.366039000000001</v>
      </c>
      <c r="K2410" s="126">
        <v>138.6</v>
      </c>
      <c r="M2410" s="126">
        <v>16.8</v>
      </c>
      <c r="O2410" s="126">
        <v>1022</v>
      </c>
      <c r="Q2410" s="478" t="s">
        <v>1856</v>
      </c>
      <c r="R2410" s="478" t="s">
        <v>1729</v>
      </c>
      <c r="S2410" s="478"/>
      <c r="T2410" s="126" t="s">
        <v>2368</v>
      </c>
      <c r="U2410" s="478" t="s">
        <v>1383</v>
      </c>
      <c r="V2410" s="478" t="s">
        <v>1722</v>
      </c>
      <c r="W2410" s="478" t="s">
        <v>1383</v>
      </c>
      <c r="X2410" s="478" t="s">
        <v>1383</v>
      </c>
      <c r="Y2410" s="479"/>
      <c r="Z2410" s="479"/>
      <c r="AB2410" s="126" t="s">
        <v>1759</v>
      </c>
      <c r="AF2410" s="478" t="s">
        <v>1356</v>
      </c>
      <c r="AG2410" s="126" t="s">
        <v>2373</v>
      </c>
      <c r="AI2410" s="126" t="s">
        <v>159</v>
      </c>
      <c r="AJ2410" s="126" t="s">
        <v>159</v>
      </c>
      <c r="AK2410" s="126" t="s">
        <v>2370</v>
      </c>
      <c r="AL2410" s="126" t="s">
        <v>2370</v>
      </c>
      <c r="AU2410" s="126">
        <v>3</v>
      </c>
      <c r="BA2410" s="126" t="s">
        <v>2367</v>
      </c>
      <c r="BB2410" s="126" t="s">
        <v>2853</v>
      </c>
      <c r="BM2410" s="126">
        <v>1.18333333333333</v>
      </c>
      <c r="BN2410" s="126">
        <v>1.1825000000000001</v>
      </c>
      <c r="BR2410" s="126">
        <v>39.9</v>
      </c>
      <c r="BS2410" s="126">
        <v>40.299999999999997</v>
      </c>
      <c r="BV2410" s="126" t="s">
        <v>2105</v>
      </c>
      <c r="IO2410" s="126" t="s">
        <v>2405</v>
      </c>
      <c r="IP2410" s="126" t="s">
        <v>2406</v>
      </c>
      <c r="IQ2410" s="480"/>
    </row>
    <row r="2411" spans="1:251" s="126" customFormat="1" x14ac:dyDescent="0.25">
      <c r="A2411" s="126">
        <v>111</v>
      </c>
      <c r="B2411" s="126" t="s">
        <v>2389</v>
      </c>
      <c r="C2411" s="126">
        <v>41</v>
      </c>
      <c r="D2411" s="126">
        <v>2011</v>
      </c>
      <c r="E2411" s="126">
        <v>2009</v>
      </c>
      <c r="F2411" s="126" t="s">
        <v>2399</v>
      </c>
      <c r="G2411" s="126" t="s">
        <v>2362</v>
      </c>
      <c r="H2411" s="126" t="s">
        <v>2840</v>
      </c>
      <c r="I2411" s="126">
        <v>-34.115667000000002</v>
      </c>
      <c r="J2411" s="126">
        <v>-63.366039000000001</v>
      </c>
      <c r="K2411" s="126">
        <v>138.6</v>
      </c>
      <c r="M2411" s="126">
        <v>16.8</v>
      </c>
      <c r="O2411" s="126">
        <v>1022</v>
      </c>
      <c r="Q2411" s="478" t="s">
        <v>1986</v>
      </c>
      <c r="R2411" s="478" t="s">
        <v>1729</v>
      </c>
      <c r="S2411" s="478"/>
      <c r="T2411" s="126" t="s">
        <v>2365</v>
      </c>
      <c r="U2411" s="478" t="s">
        <v>1383</v>
      </c>
      <c r="V2411" s="478" t="s">
        <v>1722</v>
      </c>
      <c r="W2411" s="478" t="s">
        <v>1383</v>
      </c>
      <c r="X2411" s="478" t="s">
        <v>1383</v>
      </c>
      <c r="Y2411" s="479"/>
      <c r="Z2411" s="479"/>
      <c r="AB2411" s="126" t="s">
        <v>1759</v>
      </c>
      <c r="AF2411" s="478" t="s">
        <v>1356</v>
      </c>
      <c r="AG2411" s="126" t="s">
        <v>2359</v>
      </c>
      <c r="AH2411" s="126" t="s">
        <v>132</v>
      </c>
      <c r="AI2411" s="126" t="s">
        <v>133</v>
      </c>
      <c r="AJ2411" s="126" t="s">
        <v>133</v>
      </c>
      <c r="AK2411" s="126" t="s">
        <v>2370</v>
      </c>
      <c r="AL2411" s="126" t="s">
        <v>2370</v>
      </c>
      <c r="AR2411" s="126">
        <v>32</v>
      </c>
      <c r="AU2411" s="126">
        <v>3</v>
      </c>
      <c r="BA2411" s="126" t="s">
        <v>2364</v>
      </c>
      <c r="BB2411" s="126" t="s">
        <v>2853</v>
      </c>
      <c r="BM2411" s="126">
        <v>1.18333333333333</v>
      </c>
      <c r="BN2411" s="126">
        <v>1.1825000000000001</v>
      </c>
      <c r="BR2411" s="126">
        <v>39.700000000000003</v>
      </c>
      <c r="BS2411" s="126">
        <v>42</v>
      </c>
      <c r="BV2411" s="126" t="s">
        <v>2105</v>
      </c>
      <c r="IO2411" s="126" t="s">
        <v>2405</v>
      </c>
      <c r="IP2411" s="126" t="s">
        <v>2406</v>
      </c>
      <c r="IQ2411" s="480"/>
    </row>
    <row r="2412" spans="1:251" s="126" customFormat="1" x14ac:dyDescent="0.25">
      <c r="A2412" s="126">
        <v>111</v>
      </c>
      <c r="B2412" s="126" t="s">
        <v>2389</v>
      </c>
      <c r="C2412" s="126">
        <v>41</v>
      </c>
      <c r="D2412" s="126">
        <v>2011</v>
      </c>
      <c r="E2412" s="126">
        <v>2009</v>
      </c>
      <c r="F2412" s="126" t="s">
        <v>2399</v>
      </c>
      <c r="G2412" s="126" t="s">
        <v>2362</v>
      </c>
      <c r="H2412" s="126" t="s">
        <v>2840</v>
      </c>
      <c r="I2412" s="126">
        <v>-34.115667000000002</v>
      </c>
      <c r="J2412" s="126">
        <v>-63.366039000000001</v>
      </c>
      <c r="K2412" s="126">
        <v>138.6</v>
      </c>
      <c r="M2412" s="126">
        <v>16.8</v>
      </c>
      <c r="O2412" s="126">
        <v>1022</v>
      </c>
      <c r="Q2412" s="478" t="s">
        <v>1986</v>
      </c>
      <c r="R2412" s="478" t="s">
        <v>1729</v>
      </c>
      <c r="S2412" s="478"/>
      <c r="T2412" s="126" t="s">
        <v>2366</v>
      </c>
      <c r="U2412" s="478" t="s">
        <v>1383</v>
      </c>
      <c r="V2412" s="478" t="s">
        <v>1722</v>
      </c>
      <c r="W2412" s="478" t="s">
        <v>1383</v>
      </c>
      <c r="X2412" s="478" t="s">
        <v>1383</v>
      </c>
      <c r="Y2412" s="479"/>
      <c r="Z2412" s="479"/>
      <c r="AB2412" s="126" t="s">
        <v>1759</v>
      </c>
      <c r="AF2412" s="478" t="s">
        <v>1356</v>
      </c>
      <c r="AG2412" s="126" t="s">
        <v>2359</v>
      </c>
      <c r="AH2412" s="126" t="s">
        <v>132</v>
      </c>
      <c r="AI2412" s="126" t="s">
        <v>133</v>
      </c>
      <c r="AJ2412" s="126" t="s">
        <v>133</v>
      </c>
      <c r="AK2412" s="126" t="s">
        <v>2370</v>
      </c>
      <c r="AL2412" s="126" t="s">
        <v>2370</v>
      </c>
      <c r="AR2412" s="126">
        <v>32</v>
      </c>
      <c r="AU2412" s="126">
        <v>3</v>
      </c>
      <c r="BA2412" s="126" t="s">
        <v>2364</v>
      </c>
      <c r="BB2412" s="126" t="s">
        <v>2853</v>
      </c>
      <c r="BM2412" s="126">
        <v>1.18333333333333</v>
      </c>
      <c r="BN2412" s="126">
        <v>1.1825000000000001</v>
      </c>
      <c r="BR2412" s="126">
        <v>42</v>
      </c>
      <c r="BS2412" s="126">
        <v>40.6</v>
      </c>
      <c r="BV2412" s="126" t="s">
        <v>2105</v>
      </c>
      <c r="IO2412" s="126" t="s">
        <v>2405</v>
      </c>
      <c r="IP2412" s="126" t="s">
        <v>2406</v>
      </c>
      <c r="IQ2412" s="480"/>
    </row>
    <row r="2413" spans="1:251" s="126" customFormat="1" x14ac:dyDescent="0.25">
      <c r="A2413" s="126">
        <v>111</v>
      </c>
      <c r="B2413" s="126" t="s">
        <v>2389</v>
      </c>
      <c r="C2413" s="126">
        <v>41</v>
      </c>
      <c r="D2413" s="126">
        <v>2011</v>
      </c>
      <c r="E2413" s="126">
        <v>2009</v>
      </c>
      <c r="F2413" s="126" t="s">
        <v>2399</v>
      </c>
      <c r="G2413" s="126" t="s">
        <v>2362</v>
      </c>
      <c r="H2413" s="126" t="s">
        <v>2840</v>
      </c>
      <c r="I2413" s="126">
        <v>-34.115667000000002</v>
      </c>
      <c r="J2413" s="126">
        <v>-63.366039000000001</v>
      </c>
      <c r="K2413" s="126">
        <v>138.6</v>
      </c>
      <c r="M2413" s="126">
        <v>16.8</v>
      </c>
      <c r="O2413" s="126">
        <v>1022</v>
      </c>
      <c r="Q2413" s="478" t="s">
        <v>1856</v>
      </c>
      <c r="R2413" s="478" t="s">
        <v>1729</v>
      </c>
      <c r="S2413" s="478"/>
      <c r="T2413" s="126" t="s">
        <v>2365</v>
      </c>
      <c r="U2413" s="478" t="s">
        <v>1383</v>
      </c>
      <c r="V2413" s="478" t="s">
        <v>1722</v>
      </c>
      <c r="W2413" s="478" t="s">
        <v>1383</v>
      </c>
      <c r="X2413" s="478" t="s">
        <v>1383</v>
      </c>
      <c r="Y2413" s="479"/>
      <c r="Z2413" s="479"/>
      <c r="AB2413" s="126" t="s">
        <v>1759</v>
      </c>
      <c r="AF2413" s="478" t="s">
        <v>1356</v>
      </c>
      <c r="AG2413" s="126" t="s">
        <v>2359</v>
      </c>
      <c r="AH2413" s="126" t="s">
        <v>132</v>
      </c>
      <c r="AI2413" s="126" t="s">
        <v>159</v>
      </c>
      <c r="AJ2413" s="126" t="s">
        <v>159</v>
      </c>
      <c r="AK2413" s="126" t="s">
        <v>2370</v>
      </c>
      <c r="AL2413" s="126" t="s">
        <v>2370</v>
      </c>
      <c r="AU2413" s="126">
        <v>3</v>
      </c>
      <c r="BA2413" s="126" t="s">
        <v>2367</v>
      </c>
      <c r="BB2413" s="126" t="s">
        <v>2853</v>
      </c>
      <c r="BM2413" s="126">
        <v>1.18333333333333</v>
      </c>
      <c r="BN2413" s="126">
        <v>1.1825000000000001</v>
      </c>
      <c r="BR2413" s="126">
        <v>39.1</v>
      </c>
      <c r="BS2413" s="126">
        <v>40.9</v>
      </c>
      <c r="BV2413" s="126" t="s">
        <v>2105</v>
      </c>
      <c r="IO2413" s="126" t="s">
        <v>2405</v>
      </c>
      <c r="IP2413" s="126" t="s">
        <v>2406</v>
      </c>
      <c r="IQ2413" s="480"/>
    </row>
    <row r="2414" spans="1:251" s="126" customFormat="1" x14ac:dyDescent="0.25">
      <c r="A2414" s="126">
        <v>111</v>
      </c>
      <c r="B2414" s="126" t="s">
        <v>2389</v>
      </c>
      <c r="C2414" s="126">
        <v>41</v>
      </c>
      <c r="D2414" s="126">
        <v>2011</v>
      </c>
      <c r="E2414" s="126">
        <v>2009</v>
      </c>
      <c r="F2414" s="126" t="s">
        <v>2399</v>
      </c>
      <c r="G2414" s="126" t="s">
        <v>2362</v>
      </c>
      <c r="H2414" s="126" t="s">
        <v>2840</v>
      </c>
      <c r="I2414" s="126">
        <v>-34.115667000000002</v>
      </c>
      <c r="J2414" s="126">
        <v>-63.366039000000001</v>
      </c>
      <c r="K2414" s="126">
        <v>138.6</v>
      </c>
      <c r="M2414" s="126">
        <v>16.8</v>
      </c>
      <c r="O2414" s="126">
        <v>1022</v>
      </c>
      <c r="Q2414" s="478" t="s">
        <v>1856</v>
      </c>
      <c r="R2414" s="478" t="s">
        <v>1729</v>
      </c>
      <c r="S2414" s="478"/>
      <c r="T2414" s="126" t="s">
        <v>2368</v>
      </c>
      <c r="U2414" s="478" t="s">
        <v>1383</v>
      </c>
      <c r="V2414" s="478" t="s">
        <v>1722</v>
      </c>
      <c r="W2414" s="478" t="s">
        <v>1383</v>
      </c>
      <c r="X2414" s="478" t="s">
        <v>1383</v>
      </c>
      <c r="Y2414" s="479"/>
      <c r="Z2414" s="479"/>
      <c r="AB2414" s="126" t="s">
        <v>1759</v>
      </c>
      <c r="AF2414" s="478" t="s">
        <v>1356</v>
      </c>
      <c r="AG2414" s="126" t="s">
        <v>2359</v>
      </c>
      <c r="AH2414" s="126" t="s">
        <v>132</v>
      </c>
      <c r="AI2414" s="126" t="s">
        <v>159</v>
      </c>
      <c r="AJ2414" s="126" t="s">
        <v>159</v>
      </c>
      <c r="AK2414" s="126" t="s">
        <v>2370</v>
      </c>
      <c r="AL2414" s="126" t="s">
        <v>2370</v>
      </c>
      <c r="AU2414" s="126">
        <v>3</v>
      </c>
      <c r="BA2414" s="126" t="s">
        <v>2367</v>
      </c>
      <c r="BB2414" s="126" t="s">
        <v>2853</v>
      </c>
      <c r="BM2414" s="126">
        <v>1.18333333333333</v>
      </c>
      <c r="BN2414" s="126">
        <v>1.1825000000000001</v>
      </c>
      <c r="BR2414" s="126">
        <v>39.9</v>
      </c>
      <c r="BS2414" s="126">
        <v>42</v>
      </c>
      <c r="BV2414" s="126" t="s">
        <v>2105</v>
      </c>
      <c r="IO2414" s="126" t="s">
        <v>2405</v>
      </c>
      <c r="IP2414" s="126" t="s">
        <v>2406</v>
      </c>
      <c r="IQ2414" s="480"/>
    </row>
    <row r="2415" spans="1:251" s="126" customFormat="1" x14ac:dyDescent="0.25">
      <c r="A2415" s="126">
        <v>111</v>
      </c>
      <c r="B2415" s="126" t="s">
        <v>2389</v>
      </c>
      <c r="C2415" s="126">
        <v>41</v>
      </c>
      <c r="D2415" s="126">
        <v>2011</v>
      </c>
      <c r="E2415" s="126">
        <v>2009</v>
      </c>
      <c r="F2415" s="126" t="s">
        <v>2399</v>
      </c>
      <c r="G2415" s="126" t="s">
        <v>2362</v>
      </c>
      <c r="H2415" s="126" t="s">
        <v>2840</v>
      </c>
      <c r="I2415" s="126">
        <v>-34.115667000000002</v>
      </c>
      <c r="J2415" s="126">
        <v>-63.366039000000001</v>
      </c>
      <c r="K2415" s="126">
        <v>138.6</v>
      </c>
      <c r="M2415" s="126">
        <v>16.8</v>
      </c>
      <c r="O2415" s="126">
        <v>1022</v>
      </c>
      <c r="Q2415" s="478" t="s">
        <v>1986</v>
      </c>
      <c r="R2415" s="478" t="s">
        <v>1729</v>
      </c>
      <c r="S2415" s="478"/>
      <c r="T2415" s="126" t="s">
        <v>2365</v>
      </c>
      <c r="U2415" s="478" t="s">
        <v>1383</v>
      </c>
      <c r="V2415" s="478" t="s">
        <v>1722</v>
      </c>
      <c r="W2415" s="478" t="s">
        <v>1383</v>
      </c>
      <c r="X2415" s="478" t="s">
        <v>1383</v>
      </c>
      <c r="Y2415" s="479"/>
      <c r="Z2415" s="479"/>
      <c r="AB2415" s="126" t="s">
        <v>1759</v>
      </c>
      <c r="AF2415" s="478" t="s">
        <v>1356</v>
      </c>
      <c r="AG2415" s="126" t="s">
        <v>2374</v>
      </c>
      <c r="AH2415" s="126" t="s">
        <v>578</v>
      </c>
      <c r="AI2415" s="126" t="s">
        <v>133</v>
      </c>
      <c r="AJ2415" s="126" t="s">
        <v>133</v>
      </c>
      <c r="AK2415" s="126" t="s">
        <v>2370</v>
      </c>
      <c r="AL2415" s="126" t="s">
        <v>2370</v>
      </c>
      <c r="AR2415" s="126">
        <v>32</v>
      </c>
      <c r="AU2415" s="126">
        <v>3</v>
      </c>
      <c r="BA2415" s="126" t="s">
        <v>2364</v>
      </c>
      <c r="BB2415" s="126" t="s">
        <v>2853</v>
      </c>
      <c r="BM2415" s="126">
        <v>1.18333333333333</v>
      </c>
      <c r="BN2415" s="126">
        <v>1.1825000000000001</v>
      </c>
      <c r="BR2415" s="126">
        <v>39.700000000000003</v>
      </c>
      <c r="BS2415" s="126">
        <v>44.7</v>
      </c>
      <c r="BV2415" s="126" t="s">
        <v>2105</v>
      </c>
      <c r="IO2415" s="126" t="s">
        <v>2405</v>
      </c>
      <c r="IP2415" s="126" t="s">
        <v>2406</v>
      </c>
      <c r="IQ2415" s="480"/>
    </row>
    <row r="2416" spans="1:251" s="126" customFormat="1" x14ac:dyDescent="0.25">
      <c r="A2416" s="126">
        <v>111</v>
      </c>
      <c r="B2416" s="126" t="s">
        <v>2389</v>
      </c>
      <c r="C2416" s="126">
        <v>41</v>
      </c>
      <c r="D2416" s="126">
        <v>2011</v>
      </c>
      <c r="E2416" s="126">
        <v>2009</v>
      </c>
      <c r="F2416" s="126" t="s">
        <v>2399</v>
      </c>
      <c r="G2416" s="126" t="s">
        <v>2362</v>
      </c>
      <c r="H2416" s="126" t="s">
        <v>2840</v>
      </c>
      <c r="I2416" s="126">
        <v>-34.115667000000002</v>
      </c>
      <c r="J2416" s="126">
        <v>-63.366039000000001</v>
      </c>
      <c r="K2416" s="126">
        <v>138.6</v>
      </c>
      <c r="M2416" s="126">
        <v>16.8</v>
      </c>
      <c r="O2416" s="126">
        <v>1022</v>
      </c>
      <c r="Q2416" s="478" t="s">
        <v>1986</v>
      </c>
      <c r="R2416" s="478" t="s">
        <v>1729</v>
      </c>
      <c r="S2416" s="478"/>
      <c r="T2416" s="126" t="s">
        <v>2366</v>
      </c>
      <c r="U2416" s="478" t="s">
        <v>1383</v>
      </c>
      <c r="V2416" s="478" t="s">
        <v>1722</v>
      </c>
      <c r="W2416" s="478" t="s">
        <v>1383</v>
      </c>
      <c r="X2416" s="478" t="s">
        <v>1383</v>
      </c>
      <c r="Y2416" s="479"/>
      <c r="Z2416" s="479"/>
      <c r="AB2416" s="126" t="s">
        <v>1759</v>
      </c>
      <c r="AF2416" s="478" t="s">
        <v>1356</v>
      </c>
      <c r="AG2416" s="126" t="s">
        <v>2374</v>
      </c>
      <c r="AH2416" s="126" t="s">
        <v>578</v>
      </c>
      <c r="AI2416" s="126" t="s">
        <v>133</v>
      </c>
      <c r="AJ2416" s="126" t="s">
        <v>133</v>
      </c>
      <c r="AK2416" s="126" t="s">
        <v>2370</v>
      </c>
      <c r="AL2416" s="126" t="s">
        <v>2370</v>
      </c>
      <c r="AR2416" s="126">
        <v>32</v>
      </c>
      <c r="AU2416" s="126">
        <v>3</v>
      </c>
      <c r="BA2416" s="126" t="s">
        <v>2364</v>
      </c>
      <c r="BB2416" s="126" t="s">
        <v>2853</v>
      </c>
      <c r="BM2416" s="126">
        <v>1.18333333333333</v>
      </c>
      <c r="BN2416" s="126">
        <v>1.1825000000000001</v>
      </c>
      <c r="BR2416" s="126">
        <v>42</v>
      </c>
      <c r="BS2416" s="126">
        <v>40.4</v>
      </c>
      <c r="BV2416" s="126" t="s">
        <v>2105</v>
      </c>
      <c r="IO2416" s="126" t="s">
        <v>2405</v>
      </c>
      <c r="IP2416" s="126" t="s">
        <v>2406</v>
      </c>
      <c r="IQ2416" s="480"/>
    </row>
    <row r="2417" spans="1:251" s="126" customFormat="1" x14ac:dyDescent="0.25">
      <c r="A2417" s="126">
        <v>111</v>
      </c>
      <c r="B2417" s="126" t="s">
        <v>2389</v>
      </c>
      <c r="C2417" s="126">
        <v>41</v>
      </c>
      <c r="D2417" s="126">
        <v>2011</v>
      </c>
      <c r="E2417" s="126">
        <v>2009</v>
      </c>
      <c r="F2417" s="126" t="s">
        <v>2399</v>
      </c>
      <c r="G2417" s="126" t="s">
        <v>2362</v>
      </c>
      <c r="H2417" s="126" t="s">
        <v>2840</v>
      </c>
      <c r="I2417" s="126">
        <v>-34.115667000000002</v>
      </c>
      <c r="J2417" s="126">
        <v>-63.366039000000001</v>
      </c>
      <c r="K2417" s="126">
        <v>138.6</v>
      </c>
      <c r="M2417" s="126">
        <v>16.8</v>
      </c>
      <c r="O2417" s="126">
        <v>1022</v>
      </c>
      <c r="Q2417" s="478" t="s">
        <v>1856</v>
      </c>
      <c r="R2417" s="478" t="s">
        <v>1729</v>
      </c>
      <c r="S2417" s="478"/>
      <c r="T2417" s="126" t="s">
        <v>2365</v>
      </c>
      <c r="U2417" s="478" t="s">
        <v>1383</v>
      </c>
      <c r="V2417" s="478" t="s">
        <v>1722</v>
      </c>
      <c r="W2417" s="478" t="s">
        <v>1383</v>
      </c>
      <c r="X2417" s="478" t="s">
        <v>1383</v>
      </c>
      <c r="Y2417" s="479"/>
      <c r="Z2417" s="479"/>
      <c r="AB2417" s="126" t="s">
        <v>1759</v>
      </c>
      <c r="AF2417" s="478" t="s">
        <v>1356</v>
      </c>
      <c r="AG2417" s="126" t="s">
        <v>2374</v>
      </c>
      <c r="AH2417" s="126" t="s">
        <v>578</v>
      </c>
      <c r="AI2417" s="126" t="s">
        <v>159</v>
      </c>
      <c r="AJ2417" s="126" t="s">
        <v>159</v>
      </c>
      <c r="AK2417" s="126" t="s">
        <v>2370</v>
      </c>
      <c r="AL2417" s="126" t="s">
        <v>2370</v>
      </c>
      <c r="AU2417" s="126">
        <v>3</v>
      </c>
      <c r="BA2417" s="126" t="s">
        <v>2367</v>
      </c>
      <c r="BB2417" s="126" t="s">
        <v>2853</v>
      </c>
      <c r="BM2417" s="126">
        <v>1.18333333333333</v>
      </c>
      <c r="BN2417" s="126">
        <v>1.1825000000000001</v>
      </c>
      <c r="BR2417" s="126">
        <v>39.1</v>
      </c>
      <c r="BS2417" s="126">
        <v>39.9</v>
      </c>
      <c r="BV2417" s="126" t="s">
        <v>2105</v>
      </c>
      <c r="IO2417" s="126" t="s">
        <v>2405</v>
      </c>
      <c r="IP2417" s="126" t="s">
        <v>2406</v>
      </c>
      <c r="IQ2417" s="480"/>
    </row>
    <row r="2418" spans="1:251" s="126" customFormat="1" x14ac:dyDescent="0.25">
      <c r="A2418" s="126">
        <v>111</v>
      </c>
      <c r="B2418" s="126" t="s">
        <v>2389</v>
      </c>
      <c r="C2418" s="126">
        <v>41</v>
      </c>
      <c r="D2418" s="126">
        <v>2011</v>
      </c>
      <c r="E2418" s="126">
        <v>2009</v>
      </c>
      <c r="F2418" s="126" t="s">
        <v>2399</v>
      </c>
      <c r="G2418" s="126" t="s">
        <v>2362</v>
      </c>
      <c r="H2418" s="126" t="s">
        <v>2840</v>
      </c>
      <c r="I2418" s="126">
        <v>-34.115667000000002</v>
      </c>
      <c r="J2418" s="126">
        <v>-63.366039000000001</v>
      </c>
      <c r="K2418" s="126">
        <v>138.6</v>
      </c>
      <c r="M2418" s="126">
        <v>16.8</v>
      </c>
      <c r="O2418" s="126">
        <v>1022</v>
      </c>
      <c r="Q2418" s="478" t="s">
        <v>1856</v>
      </c>
      <c r="R2418" s="478" t="s">
        <v>1729</v>
      </c>
      <c r="S2418" s="478"/>
      <c r="T2418" s="126" t="s">
        <v>2368</v>
      </c>
      <c r="U2418" s="478" t="s">
        <v>1383</v>
      </c>
      <c r="V2418" s="478" t="s">
        <v>1722</v>
      </c>
      <c r="W2418" s="478" t="s">
        <v>1383</v>
      </c>
      <c r="X2418" s="478" t="s">
        <v>1383</v>
      </c>
      <c r="Y2418" s="479"/>
      <c r="Z2418" s="479"/>
      <c r="AB2418" s="126" t="s">
        <v>1759</v>
      </c>
      <c r="AF2418" s="478" t="s">
        <v>1356</v>
      </c>
      <c r="AG2418" s="126" t="s">
        <v>2374</v>
      </c>
      <c r="AH2418" s="126" t="s">
        <v>578</v>
      </c>
      <c r="AI2418" s="126" t="s">
        <v>159</v>
      </c>
      <c r="AJ2418" s="126" t="s">
        <v>159</v>
      </c>
      <c r="AK2418" s="126" t="s">
        <v>2370</v>
      </c>
      <c r="AL2418" s="126" t="s">
        <v>2370</v>
      </c>
      <c r="AU2418" s="126">
        <v>3</v>
      </c>
      <c r="BA2418" s="126" t="s">
        <v>2367</v>
      </c>
      <c r="BB2418" s="126" t="s">
        <v>2853</v>
      </c>
      <c r="BM2418" s="126">
        <v>1.18333333333333</v>
      </c>
      <c r="BN2418" s="126">
        <v>1.1825000000000001</v>
      </c>
      <c r="BR2418" s="126">
        <v>39.9</v>
      </c>
      <c r="BS2418" s="126">
        <v>41</v>
      </c>
      <c r="BV2418" s="126" t="s">
        <v>2105</v>
      </c>
      <c r="IO2418" s="126" t="s">
        <v>2405</v>
      </c>
      <c r="IP2418" s="126" t="s">
        <v>2406</v>
      </c>
      <c r="IQ2418" s="480"/>
    </row>
    <row r="2419" spans="1:251" s="126" customFormat="1" x14ac:dyDescent="0.25">
      <c r="A2419" s="126">
        <v>111</v>
      </c>
      <c r="B2419" s="126" t="s">
        <v>2390</v>
      </c>
      <c r="C2419" s="126">
        <v>43</v>
      </c>
      <c r="D2419" s="126">
        <v>2013</v>
      </c>
      <c r="E2419" s="126">
        <v>2011</v>
      </c>
      <c r="F2419" s="126">
        <v>43</v>
      </c>
      <c r="G2419" s="126" t="s">
        <v>2362</v>
      </c>
      <c r="H2419" s="126" t="s">
        <v>2840</v>
      </c>
      <c r="I2419" s="126">
        <v>-32.514592</v>
      </c>
      <c r="J2419" s="126">
        <v>-62.124814000000001</v>
      </c>
      <c r="K2419" s="126">
        <v>112.2</v>
      </c>
      <c r="M2419" s="126">
        <v>16</v>
      </c>
      <c r="O2419" s="126">
        <v>987</v>
      </c>
      <c r="Q2419" s="478" t="s">
        <v>1729</v>
      </c>
      <c r="R2419" s="478" t="s">
        <v>1729</v>
      </c>
      <c r="S2419" s="478"/>
      <c r="T2419" s="126" t="s">
        <v>2855</v>
      </c>
      <c r="U2419" s="478" t="s">
        <v>1383</v>
      </c>
      <c r="V2419" s="478" t="s">
        <v>1722</v>
      </c>
      <c r="W2419" s="478" t="s">
        <v>1383</v>
      </c>
      <c r="X2419" s="478" t="s">
        <v>1383</v>
      </c>
      <c r="Y2419" s="479"/>
      <c r="Z2419" s="479"/>
      <c r="AB2419" s="126" t="s">
        <v>2375</v>
      </c>
      <c r="AD2419" s="126">
        <v>2.46</v>
      </c>
      <c r="AF2419" s="478" t="s">
        <v>2404</v>
      </c>
      <c r="AG2419" s="126" t="s">
        <v>521</v>
      </c>
      <c r="AH2419" s="126" t="s">
        <v>1585</v>
      </c>
      <c r="AI2419" s="126" t="s">
        <v>159</v>
      </c>
      <c r="AJ2419" s="126" t="s">
        <v>159</v>
      </c>
      <c r="AK2419" s="126" t="s">
        <v>2345</v>
      </c>
      <c r="AL2419" s="126" t="s">
        <v>2345</v>
      </c>
      <c r="AU2419" s="126">
        <v>3</v>
      </c>
      <c r="AW2419" s="126" t="s">
        <v>142</v>
      </c>
      <c r="BA2419" s="126" t="s">
        <v>2349</v>
      </c>
      <c r="BB2419" s="126" t="s">
        <v>2853</v>
      </c>
      <c r="BR2419" s="126">
        <v>39.299999999999997</v>
      </c>
      <c r="BS2419" s="126">
        <v>37.200000000000003</v>
      </c>
      <c r="BV2419" s="126" t="s">
        <v>2105</v>
      </c>
      <c r="IO2419" s="126" t="s">
        <v>2405</v>
      </c>
      <c r="IP2419" s="126" t="s">
        <v>2406</v>
      </c>
      <c r="IQ2419" s="480"/>
    </row>
    <row r="2420" spans="1:251" s="126" customFormat="1" x14ac:dyDescent="0.25">
      <c r="A2420" s="126">
        <v>111</v>
      </c>
      <c r="B2420" s="126" t="s">
        <v>2390</v>
      </c>
      <c r="C2420" s="126">
        <v>43</v>
      </c>
      <c r="D2420" s="126">
        <v>2013</v>
      </c>
      <c r="E2420" s="126">
        <v>2011</v>
      </c>
      <c r="F2420" s="126">
        <v>43</v>
      </c>
      <c r="G2420" s="126" t="s">
        <v>2362</v>
      </c>
      <c r="H2420" s="126" t="s">
        <v>2840</v>
      </c>
      <c r="I2420" s="126">
        <v>-32.514592</v>
      </c>
      <c r="J2420" s="126">
        <v>-62.124814000000001</v>
      </c>
      <c r="K2420" s="126">
        <v>112.2</v>
      </c>
      <c r="M2420" s="126">
        <v>16</v>
      </c>
      <c r="O2420" s="126">
        <v>987</v>
      </c>
      <c r="Q2420" s="478" t="s">
        <v>1729</v>
      </c>
      <c r="R2420" s="478" t="s">
        <v>1729</v>
      </c>
      <c r="S2420" s="478"/>
      <c r="T2420" s="126" t="s">
        <v>2855</v>
      </c>
      <c r="U2420" s="478" t="s">
        <v>1383</v>
      </c>
      <c r="V2420" s="478" t="s">
        <v>1722</v>
      </c>
      <c r="W2420" s="478" t="s">
        <v>1383</v>
      </c>
      <c r="X2420" s="478" t="s">
        <v>1383</v>
      </c>
      <c r="Y2420" s="479"/>
      <c r="Z2420" s="479"/>
      <c r="AB2420" s="126" t="s">
        <v>2375</v>
      </c>
      <c r="AD2420" s="126">
        <v>2.46</v>
      </c>
      <c r="AF2420" s="478" t="s">
        <v>2404</v>
      </c>
      <c r="AG2420" s="126" t="s">
        <v>2359</v>
      </c>
      <c r="AH2420" s="126" t="s">
        <v>132</v>
      </c>
      <c r="AI2420" s="126" t="s">
        <v>159</v>
      </c>
      <c r="AJ2420" s="126" t="s">
        <v>159</v>
      </c>
      <c r="AK2420" s="126" t="s">
        <v>2345</v>
      </c>
      <c r="AL2420" s="126" t="s">
        <v>2345</v>
      </c>
      <c r="AU2420" s="126">
        <v>3</v>
      </c>
      <c r="AW2420" s="126" t="s">
        <v>142</v>
      </c>
      <c r="BA2420" s="126" t="s">
        <v>2349</v>
      </c>
      <c r="BB2420" s="126" t="s">
        <v>2853</v>
      </c>
      <c r="BR2420" s="126">
        <v>39.299999999999997</v>
      </c>
      <c r="BS2420" s="126">
        <v>39.700000000000003</v>
      </c>
      <c r="BV2420" s="126" t="s">
        <v>2105</v>
      </c>
      <c r="IO2420" s="126" t="s">
        <v>2405</v>
      </c>
      <c r="IP2420" s="126" t="s">
        <v>2406</v>
      </c>
      <c r="IQ2420" s="480"/>
    </row>
    <row r="2421" spans="1:251" s="126" customFormat="1" x14ac:dyDescent="0.25">
      <c r="A2421" s="126">
        <v>111</v>
      </c>
      <c r="B2421" s="126" t="s">
        <v>2391</v>
      </c>
      <c r="C2421" s="126">
        <v>55</v>
      </c>
      <c r="D2421" s="126">
        <v>2013</v>
      </c>
      <c r="E2421" s="126">
        <v>2011</v>
      </c>
      <c r="F2421" s="126">
        <v>50</v>
      </c>
      <c r="G2421" s="126" t="s">
        <v>2376</v>
      </c>
      <c r="H2421" s="126" t="s">
        <v>2840</v>
      </c>
      <c r="I2421" s="126">
        <v>-35.352843999999997</v>
      </c>
      <c r="J2421" s="126">
        <v>-63.630094</v>
      </c>
      <c r="K2421" s="126">
        <v>125</v>
      </c>
      <c r="M2421" s="126">
        <v>17.7</v>
      </c>
      <c r="O2421" s="126">
        <v>993</v>
      </c>
      <c r="Q2421" s="478" t="s">
        <v>1735</v>
      </c>
      <c r="R2421" s="478" t="s">
        <v>1735</v>
      </c>
      <c r="S2421" s="478"/>
      <c r="U2421" s="478" t="s">
        <v>1383</v>
      </c>
      <c r="V2421" s="478" t="s">
        <v>1722</v>
      </c>
      <c r="W2421" s="478" t="s">
        <v>1383</v>
      </c>
      <c r="X2421" s="478" t="s">
        <v>1383</v>
      </c>
      <c r="Y2421" s="479"/>
      <c r="Z2421" s="479"/>
      <c r="AB2421" s="126" t="s">
        <v>2342</v>
      </c>
      <c r="AF2421" s="478" t="s">
        <v>1356</v>
      </c>
      <c r="AG2421" s="126" t="s">
        <v>2377</v>
      </c>
      <c r="AH2421" s="126" t="s">
        <v>1585</v>
      </c>
      <c r="AI2421" s="126" t="s">
        <v>159</v>
      </c>
      <c r="AJ2421" s="126" t="s">
        <v>159</v>
      </c>
      <c r="AK2421" s="126" t="s">
        <v>2378</v>
      </c>
      <c r="AL2421" s="126" t="s">
        <v>2378</v>
      </c>
      <c r="AU2421" s="126">
        <v>3</v>
      </c>
      <c r="BA2421" s="126" t="s">
        <v>2379</v>
      </c>
      <c r="BB2421" s="126" t="s">
        <v>2853</v>
      </c>
      <c r="BR2421" s="126">
        <v>52.2</v>
      </c>
      <c r="BS2421" s="126">
        <v>53.5</v>
      </c>
      <c r="BV2421" s="126" t="s">
        <v>2105</v>
      </c>
      <c r="IO2421" s="126" t="s">
        <v>2405</v>
      </c>
      <c r="IP2421" s="126" t="s">
        <v>2406</v>
      </c>
      <c r="IQ2421" s="480"/>
    </row>
    <row r="2422" spans="1:251" s="126" customFormat="1" x14ac:dyDescent="0.25">
      <c r="A2422" s="126">
        <v>111</v>
      </c>
      <c r="B2422" s="126" t="s">
        <v>2391</v>
      </c>
      <c r="C2422" s="126">
        <v>55</v>
      </c>
      <c r="D2422" s="126">
        <v>2013</v>
      </c>
      <c r="E2422" s="126">
        <v>2011</v>
      </c>
      <c r="F2422" s="126">
        <v>50</v>
      </c>
      <c r="G2422" s="126" t="s">
        <v>2376</v>
      </c>
      <c r="H2422" s="126" t="s">
        <v>2840</v>
      </c>
      <c r="I2422" s="126">
        <v>-35.352843999999997</v>
      </c>
      <c r="J2422" s="126">
        <v>-63.630094</v>
      </c>
      <c r="K2422" s="126">
        <v>125</v>
      </c>
      <c r="M2422" s="126">
        <v>17.7</v>
      </c>
      <c r="O2422" s="126">
        <v>993</v>
      </c>
      <c r="Q2422" s="478" t="s">
        <v>1735</v>
      </c>
      <c r="R2422" s="478" t="s">
        <v>1735</v>
      </c>
      <c r="S2422" s="478"/>
      <c r="U2422" s="478" t="s">
        <v>1383</v>
      </c>
      <c r="V2422" s="478" t="s">
        <v>1722</v>
      </c>
      <c r="W2422" s="478" t="s">
        <v>1383</v>
      </c>
      <c r="X2422" s="478" t="s">
        <v>1383</v>
      </c>
      <c r="Y2422" s="479"/>
      <c r="Z2422" s="479"/>
      <c r="AB2422" s="126" t="s">
        <v>2342</v>
      </c>
      <c r="AF2422" s="478" t="s">
        <v>1356</v>
      </c>
      <c r="AG2422" s="126" t="s">
        <v>2377</v>
      </c>
      <c r="AH2422" s="126" t="s">
        <v>1585</v>
      </c>
      <c r="AI2422" s="126" t="s">
        <v>159</v>
      </c>
      <c r="AJ2422" s="126" t="s">
        <v>159</v>
      </c>
      <c r="AK2422" s="126" t="s">
        <v>2345</v>
      </c>
      <c r="AL2422" s="126" t="s">
        <v>2345</v>
      </c>
      <c r="AU2422" s="126">
        <v>3</v>
      </c>
      <c r="BA2422" s="126" t="s">
        <v>2380</v>
      </c>
      <c r="BB2422" s="126" t="s">
        <v>2853</v>
      </c>
      <c r="BR2422" s="126">
        <v>49.4</v>
      </c>
      <c r="BS2422" s="126">
        <v>50.7</v>
      </c>
      <c r="BV2422" s="126" t="s">
        <v>2105</v>
      </c>
      <c r="IO2422" s="126" t="s">
        <v>2405</v>
      </c>
      <c r="IP2422" s="126" t="s">
        <v>2406</v>
      </c>
      <c r="IQ2422" s="480"/>
    </row>
    <row r="2423" spans="1:251" s="126" customFormat="1" x14ac:dyDescent="0.25">
      <c r="A2423" s="126">
        <v>111</v>
      </c>
      <c r="B2423" s="126" t="s">
        <v>2392</v>
      </c>
      <c r="C2423" s="126">
        <v>28</v>
      </c>
      <c r="D2423" s="126">
        <v>2013</v>
      </c>
      <c r="E2423" s="126">
        <v>2011</v>
      </c>
      <c r="F2423" s="126" t="s">
        <v>2398</v>
      </c>
      <c r="G2423" s="126" t="s">
        <v>2341</v>
      </c>
      <c r="H2423" s="126" t="s">
        <v>2840</v>
      </c>
      <c r="I2423" s="126">
        <v>-34.558522000000004</v>
      </c>
      <c r="J2423" s="126">
        <v>-59.142755999999999</v>
      </c>
      <c r="K2423" s="126">
        <v>31.1</v>
      </c>
      <c r="M2423" s="126">
        <v>16.3</v>
      </c>
      <c r="O2423" s="126">
        <v>859</v>
      </c>
      <c r="Q2423" s="478" t="s">
        <v>1867</v>
      </c>
      <c r="R2423" s="478" t="s">
        <v>1991</v>
      </c>
      <c r="S2423" s="478"/>
      <c r="T2423" s="126" t="s">
        <v>2856</v>
      </c>
      <c r="U2423" s="478" t="s">
        <v>1383</v>
      </c>
      <c r="V2423" s="478" t="s">
        <v>1722</v>
      </c>
      <c r="W2423" s="478" t="s">
        <v>1383</v>
      </c>
      <c r="X2423" s="478" t="s">
        <v>1383</v>
      </c>
      <c r="Y2423" s="479"/>
      <c r="Z2423" s="479"/>
      <c r="AB2423" s="126" t="s">
        <v>241</v>
      </c>
      <c r="AC2423" s="126">
        <v>6</v>
      </c>
      <c r="AD2423" s="126">
        <v>2.8</v>
      </c>
      <c r="AF2423" s="478" t="s">
        <v>2403</v>
      </c>
      <c r="AG2423" s="126" t="s">
        <v>521</v>
      </c>
      <c r="AH2423" s="126" t="s">
        <v>1585</v>
      </c>
      <c r="AI2423" s="126" t="s">
        <v>159</v>
      </c>
      <c r="AJ2423" s="126" t="s">
        <v>159</v>
      </c>
      <c r="AK2423" s="126" t="s">
        <v>2345</v>
      </c>
      <c r="AL2423" s="126" t="s">
        <v>2345</v>
      </c>
      <c r="AU2423" s="126">
        <v>4</v>
      </c>
      <c r="BA2423" s="126" t="s">
        <v>2361</v>
      </c>
      <c r="BB2423" s="126" t="s">
        <v>2853</v>
      </c>
      <c r="BM2423" s="126">
        <v>1.46</v>
      </c>
      <c r="BN2423" s="126">
        <v>1.4566666666666701</v>
      </c>
      <c r="BR2423" s="126">
        <v>38.4</v>
      </c>
      <c r="BS2423" s="126">
        <v>43.1</v>
      </c>
      <c r="BV2423" s="126" t="s">
        <v>2105</v>
      </c>
      <c r="IO2423" s="126" t="s">
        <v>2405</v>
      </c>
      <c r="IP2423" s="126" t="s">
        <v>2406</v>
      </c>
      <c r="IQ2423" s="480"/>
    </row>
    <row r="2424" spans="1:251" s="126" customFormat="1" x14ac:dyDescent="0.25">
      <c r="A2424" s="126">
        <v>111</v>
      </c>
      <c r="B2424" s="126" t="s">
        <v>2392</v>
      </c>
      <c r="C2424" s="126">
        <v>28</v>
      </c>
      <c r="D2424" s="126">
        <v>2013</v>
      </c>
      <c r="E2424" s="126">
        <v>2011</v>
      </c>
      <c r="F2424" s="126" t="s">
        <v>2398</v>
      </c>
      <c r="G2424" s="126" t="s">
        <v>2341</v>
      </c>
      <c r="H2424" s="126" t="s">
        <v>2840</v>
      </c>
      <c r="I2424" s="126">
        <v>-34.558522000000004</v>
      </c>
      <c r="J2424" s="126">
        <v>-59.142755999999999</v>
      </c>
      <c r="K2424" s="126">
        <v>31.1</v>
      </c>
      <c r="M2424" s="126">
        <v>16.3</v>
      </c>
      <c r="O2424" s="126">
        <v>859</v>
      </c>
      <c r="Q2424" s="478" t="s">
        <v>1867</v>
      </c>
      <c r="R2424" s="478" t="s">
        <v>1991</v>
      </c>
      <c r="S2424" s="478"/>
      <c r="T2424" s="126" t="s">
        <v>2856</v>
      </c>
      <c r="U2424" s="478" t="s">
        <v>1383</v>
      </c>
      <c r="V2424" s="478" t="s">
        <v>1722</v>
      </c>
      <c r="W2424" s="478" t="s">
        <v>1383</v>
      </c>
      <c r="X2424" s="478" t="s">
        <v>1383</v>
      </c>
      <c r="Y2424" s="479"/>
      <c r="Z2424" s="479"/>
      <c r="AB2424" s="126" t="s">
        <v>241</v>
      </c>
      <c r="AC2424" s="126">
        <v>6</v>
      </c>
      <c r="AD2424" s="126">
        <v>2.8</v>
      </c>
      <c r="AF2424" s="478" t="s">
        <v>2403</v>
      </c>
      <c r="AG2424" s="126" t="s">
        <v>2354</v>
      </c>
      <c r="AH2424" s="126" t="s">
        <v>132</v>
      </c>
      <c r="AI2424" s="126" t="s">
        <v>159</v>
      </c>
      <c r="AJ2424" s="126" t="s">
        <v>159</v>
      </c>
      <c r="AK2424" s="126" t="s">
        <v>2345</v>
      </c>
      <c r="AL2424" s="126" t="s">
        <v>2345</v>
      </c>
      <c r="AU2424" s="126">
        <v>4</v>
      </c>
      <c r="BA2424" s="126" t="s">
        <v>2361</v>
      </c>
      <c r="BB2424" s="126" t="s">
        <v>2853</v>
      </c>
      <c r="BM2424" s="126">
        <v>1.46</v>
      </c>
      <c r="BN2424" s="126">
        <v>1.4566666666666701</v>
      </c>
      <c r="BR2424" s="126">
        <v>38.4</v>
      </c>
      <c r="BS2424" s="126">
        <v>42.4</v>
      </c>
      <c r="BV2424" s="126" t="s">
        <v>2105</v>
      </c>
      <c r="IO2424" s="126" t="s">
        <v>2405</v>
      </c>
      <c r="IP2424" s="126" t="s">
        <v>2406</v>
      </c>
      <c r="IQ2424" s="480"/>
    </row>
    <row r="2425" spans="1:251" s="126" customFormat="1" x14ac:dyDescent="0.25">
      <c r="A2425" s="126">
        <v>111</v>
      </c>
      <c r="B2425" s="126" t="s">
        <v>2392</v>
      </c>
      <c r="C2425" s="126">
        <v>28</v>
      </c>
      <c r="D2425" s="126">
        <v>2013</v>
      </c>
      <c r="E2425" s="126">
        <v>2011</v>
      </c>
      <c r="F2425" s="126" t="s">
        <v>2398</v>
      </c>
      <c r="G2425" s="126" t="s">
        <v>2341</v>
      </c>
      <c r="H2425" s="126" t="s">
        <v>2840</v>
      </c>
      <c r="I2425" s="126">
        <v>-34.558522000000004</v>
      </c>
      <c r="J2425" s="126">
        <v>-59.142755999999999</v>
      </c>
      <c r="K2425" s="126">
        <v>31.1</v>
      </c>
      <c r="M2425" s="126">
        <v>16.3</v>
      </c>
      <c r="O2425" s="126">
        <v>859</v>
      </c>
      <c r="Q2425" s="478" t="s">
        <v>1867</v>
      </c>
      <c r="R2425" s="478" t="s">
        <v>1991</v>
      </c>
      <c r="S2425" s="478"/>
      <c r="T2425" s="126" t="s">
        <v>2856</v>
      </c>
      <c r="U2425" s="478" t="s">
        <v>1383</v>
      </c>
      <c r="V2425" s="478" t="s">
        <v>1722</v>
      </c>
      <c r="W2425" s="478" t="s">
        <v>1383</v>
      </c>
      <c r="X2425" s="478" t="s">
        <v>1383</v>
      </c>
      <c r="Y2425" s="479"/>
      <c r="Z2425" s="479"/>
      <c r="AB2425" s="126" t="s">
        <v>241</v>
      </c>
      <c r="AC2425" s="126">
        <v>6</v>
      </c>
      <c r="AD2425" s="126">
        <v>2.8</v>
      </c>
      <c r="AF2425" s="478" t="s">
        <v>2403</v>
      </c>
      <c r="AG2425" s="126" t="s">
        <v>2359</v>
      </c>
      <c r="AH2425" s="126" t="s">
        <v>132</v>
      </c>
      <c r="AI2425" s="126" t="s">
        <v>159</v>
      </c>
      <c r="AJ2425" s="126" t="s">
        <v>159</v>
      </c>
      <c r="AK2425" s="126" t="s">
        <v>2345</v>
      </c>
      <c r="AL2425" s="126" t="s">
        <v>2345</v>
      </c>
      <c r="AU2425" s="126">
        <v>4</v>
      </c>
      <c r="BA2425" s="126" t="s">
        <v>2361</v>
      </c>
      <c r="BB2425" s="126" t="s">
        <v>2853</v>
      </c>
      <c r="BM2425" s="126">
        <v>1.46</v>
      </c>
      <c r="BN2425" s="126">
        <v>1.4566666666666701</v>
      </c>
      <c r="BR2425" s="126">
        <v>38.4</v>
      </c>
      <c r="BS2425" s="126">
        <v>39.5</v>
      </c>
      <c r="BV2425" s="126" t="s">
        <v>2105</v>
      </c>
      <c r="IO2425" s="126" t="s">
        <v>2405</v>
      </c>
      <c r="IP2425" s="126" t="s">
        <v>2406</v>
      </c>
      <c r="IQ2425" s="480"/>
    </row>
    <row r="2426" spans="1:251" s="24" customFormat="1" x14ac:dyDescent="0.25">
      <c r="A2426" s="24">
        <v>112</v>
      </c>
      <c r="B2426" s="24" t="s">
        <v>2407</v>
      </c>
      <c r="C2426" s="24" t="s">
        <v>2408</v>
      </c>
      <c r="D2426" s="24">
        <v>2013</v>
      </c>
      <c r="E2426" s="24">
        <v>2012</v>
      </c>
      <c r="F2426" s="24" t="s">
        <v>152</v>
      </c>
      <c r="G2426" s="24" t="s">
        <v>2409</v>
      </c>
      <c r="H2426" s="24" t="s">
        <v>2838</v>
      </c>
      <c r="I2426" s="24">
        <f t="shared" ref="I2426:I2438" si="310">56.5</f>
        <v>56.5</v>
      </c>
      <c r="J2426" s="24">
        <f t="shared" ref="J2426:J2438" si="311">9+35/60</f>
        <v>9.5833333333333339</v>
      </c>
      <c r="K2426" s="24">
        <v>34.200000000000003</v>
      </c>
      <c r="M2426" s="24">
        <v>7.3</v>
      </c>
      <c r="O2426" s="24">
        <v>626</v>
      </c>
      <c r="Q2426" s="42" t="s">
        <v>1852</v>
      </c>
      <c r="R2426" s="42" t="s">
        <v>1852</v>
      </c>
      <c r="T2426" s="42" t="s">
        <v>1855</v>
      </c>
      <c r="U2426" s="42" t="s">
        <v>1383</v>
      </c>
      <c r="V2426" s="42" t="s">
        <v>1722</v>
      </c>
      <c r="W2426" s="42" t="s">
        <v>1383</v>
      </c>
      <c r="X2426" s="42" t="s">
        <v>1383</v>
      </c>
      <c r="Z2426" s="321">
        <v>75</v>
      </c>
      <c r="AA2426" s="321">
        <v>13</v>
      </c>
      <c r="AB2426" s="24" t="s">
        <v>241</v>
      </c>
      <c r="AD2426" s="24">
        <v>3.1</v>
      </c>
      <c r="AF2426" s="24" t="s">
        <v>2410</v>
      </c>
      <c r="AG2426" s="24" t="s">
        <v>2416</v>
      </c>
      <c r="AH2426" s="24" t="s">
        <v>1131</v>
      </c>
      <c r="AI2426" s="24" t="s">
        <v>1055</v>
      </c>
      <c r="AJ2426" s="24" t="s">
        <v>1621</v>
      </c>
      <c r="AK2426" s="24" t="s">
        <v>178</v>
      </c>
      <c r="AL2426" s="24" t="s">
        <v>178</v>
      </c>
      <c r="AM2426" s="24" t="s">
        <v>178</v>
      </c>
      <c r="AN2426" s="24" t="s">
        <v>2412</v>
      </c>
      <c r="AO2426" s="24" t="s">
        <v>2412</v>
      </c>
      <c r="AP2426" s="24" t="s">
        <v>178</v>
      </c>
      <c r="AT2426" s="24" t="s">
        <v>161</v>
      </c>
      <c r="AU2426" s="24">
        <v>3</v>
      </c>
      <c r="AV2426" s="24">
        <f t="shared" ref="AV2426:AV2438" si="312">72/3/2</f>
        <v>12</v>
      </c>
      <c r="AW2426" s="24" t="s">
        <v>2411</v>
      </c>
      <c r="BM2426" s="395"/>
      <c r="BN2426" s="395"/>
      <c r="BR2426" s="395"/>
      <c r="BS2426" s="395"/>
      <c r="DF2426" s="24">
        <v>8.49</v>
      </c>
      <c r="DG2426" s="24">
        <v>7.84</v>
      </c>
      <c r="DH2426" s="24">
        <f>(8.994-DF2426)*SQRT(3)</f>
        <v>0.87295360701471336</v>
      </c>
      <c r="DI2426" s="24">
        <f>(8.383-DG2426)*SQRT(3)</f>
        <v>0.94050358850989901</v>
      </c>
      <c r="DJ2426" s="24" t="s">
        <v>932</v>
      </c>
      <c r="IO2426" s="24" t="s">
        <v>2417</v>
      </c>
      <c r="IQ2426" s="249"/>
    </row>
    <row r="2427" spans="1:251" s="24" customFormat="1" x14ac:dyDescent="0.25">
      <c r="A2427" s="24">
        <v>112</v>
      </c>
      <c r="B2427" s="24" t="s">
        <v>2407</v>
      </c>
      <c r="C2427" s="24" t="s">
        <v>2408</v>
      </c>
      <c r="D2427" s="24">
        <v>2013</v>
      </c>
      <c r="E2427" s="24">
        <v>2012</v>
      </c>
      <c r="F2427" s="24" t="s">
        <v>152</v>
      </c>
      <c r="G2427" s="24" t="s">
        <v>2409</v>
      </c>
      <c r="H2427" s="24" t="s">
        <v>2838</v>
      </c>
      <c r="I2427" s="24">
        <f t="shared" si="310"/>
        <v>56.5</v>
      </c>
      <c r="J2427" s="24">
        <f t="shared" si="311"/>
        <v>9.5833333333333339</v>
      </c>
      <c r="K2427" s="24">
        <v>34.200000000000003</v>
      </c>
      <c r="M2427" s="24">
        <v>7.3</v>
      </c>
      <c r="O2427" s="24">
        <v>626</v>
      </c>
      <c r="Q2427" s="42" t="s">
        <v>1852</v>
      </c>
      <c r="R2427" s="42" t="s">
        <v>1852</v>
      </c>
      <c r="T2427" s="42" t="s">
        <v>1855</v>
      </c>
      <c r="U2427" s="42" t="s">
        <v>1383</v>
      </c>
      <c r="V2427" s="42" t="s">
        <v>1722</v>
      </c>
      <c r="W2427" s="42" t="s">
        <v>1383</v>
      </c>
      <c r="X2427" s="42" t="s">
        <v>1383</v>
      </c>
      <c r="Z2427" s="321">
        <v>75</v>
      </c>
      <c r="AA2427" s="321">
        <v>13</v>
      </c>
      <c r="AB2427" s="24" t="s">
        <v>241</v>
      </c>
      <c r="AD2427" s="24">
        <v>3.1</v>
      </c>
      <c r="AF2427" s="24" t="s">
        <v>2410</v>
      </c>
      <c r="AG2427" s="24" t="s">
        <v>2416</v>
      </c>
      <c r="AH2427" s="24" t="s">
        <v>1131</v>
      </c>
      <c r="AI2427" s="24" t="s">
        <v>1055</v>
      </c>
      <c r="AJ2427" s="24" t="s">
        <v>1621</v>
      </c>
      <c r="AK2427" s="24" t="s">
        <v>178</v>
      </c>
      <c r="AL2427" s="24" t="s">
        <v>178</v>
      </c>
      <c r="AM2427" s="24" t="s">
        <v>178</v>
      </c>
      <c r="AN2427" s="24" t="s">
        <v>2316</v>
      </c>
      <c r="AO2427" s="24" t="s">
        <v>2316</v>
      </c>
      <c r="AP2427" s="24" t="s">
        <v>178</v>
      </c>
      <c r="AT2427" s="24" t="s">
        <v>161</v>
      </c>
      <c r="AU2427" s="24">
        <v>3</v>
      </c>
      <c r="AV2427" s="24">
        <f t="shared" si="312"/>
        <v>12</v>
      </c>
      <c r="AW2427" s="24" t="s">
        <v>2411</v>
      </c>
      <c r="BM2427" s="395"/>
      <c r="BN2427" s="395"/>
      <c r="BR2427" s="395"/>
      <c r="BS2427" s="395"/>
      <c r="DF2427" s="24">
        <v>8.01</v>
      </c>
      <c r="DG2427" s="24">
        <v>9.39</v>
      </c>
      <c r="DH2427" s="24">
        <f>(8.52-DF2427)*SQRT(3)</f>
        <v>0.88334591186012701</v>
      </c>
      <c r="DI2427" s="24">
        <f>(9.9-DG2427)*SQRT(3)</f>
        <v>0.88334591186012701</v>
      </c>
      <c r="DJ2427" s="24" t="s">
        <v>932</v>
      </c>
      <c r="IO2427" s="24" t="s">
        <v>2417</v>
      </c>
      <c r="IQ2427" s="249"/>
    </row>
    <row r="2428" spans="1:251" s="24" customFormat="1" x14ac:dyDescent="0.25">
      <c r="A2428" s="24">
        <v>112</v>
      </c>
      <c r="B2428" s="24" t="s">
        <v>2407</v>
      </c>
      <c r="C2428" s="24" t="s">
        <v>2408</v>
      </c>
      <c r="D2428" s="24">
        <v>2013</v>
      </c>
      <c r="E2428" s="24">
        <v>2012</v>
      </c>
      <c r="F2428" s="24" t="s">
        <v>152</v>
      </c>
      <c r="G2428" s="24" t="s">
        <v>2409</v>
      </c>
      <c r="H2428" s="24" t="s">
        <v>2838</v>
      </c>
      <c r="I2428" s="24">
        <f t="shared" si="310"/>
        <v>56.5</v>
      </c>
      <c r="J2428" s="24">
        <f t="shared" si="311"/>
        <v>9.5833333333333339</v>
      </c>
      <c r="K2428" s="24">
        <v>34.200000000000003</v>
      </c>
      <c r="M2428" s="24">
        <v>7.3</v>
      </c>
      <c r="O2428" s="24">
        <v>626</v>
      </c>
      <c r="Q2428" s="42" t="s">
        <v>1852</v>
      </c>
      <c r="R2428" s="42" t="s">
        <v>1852</v>
      </c>
      <c r="T2428" s="42" t="s">
        <v>1855</v>
      </c>
      <c r="U2428" s="42" t="s">
        <v>1383</v>
      </c>
      <c r="V2428" s="42" t="s">
        <v>1722</v>
      </c>
      <c r="W2428" s="42" t="s">
        <v>1383</v>
      </c>
      <c r="X2428" s="42" t="s">
        <v>1383</v>
      </c>
      <c r="Z2428" s="321">
        <v>75</v>
      </c>
      <c r="AA2428" s="321">
        <v>13</v>
      </c>
      <c r="AB2428" s="24" t="s">
        <v>241</v>
      </c>
      <c r="AD2428" s="24">
        <v>3.1</v>
      </c>
      <c r="AF2428" s="24" t="s">
        <v>2410</v>
      </c>
      <c r="AG2428" s="24" t="s">
        <v>2416</v>
      </c>
      <c r="AH2428" s="24" t="s">
        <v>1131</v>
      </c>
      <c r="AI2428" s="24" t="s">
        <v>1055</v>
      </c>
      <c r="AJ2428" s="24" t="s">
        <v>1621</v>
      </c>
      <c r="AK2428" s="24" t="s">
        <v>178</v>
      </c>
      <c r="AL2428" s="24" t="s">
        <v>178</v>
      </c>
      <c r="AM2428" s="24" t="s">
        <v>178</v>
      </c>
      <c r="AN2428" s="24" t="s">
        <v>2413</v>
      </c>
      <c r="AO2428" s="24" t="s">
        <v>2413</v>
      </c>
      <c r="AP2428" s="24" t="s">
        <v>178</v>
      </c>
      <c r="AT2428" s="24" t="s">
        <v>161</v>
      </c>
      <c r="AU2428" s="24">
        <v>3</v>
      </c>
      <c r="AV2428" s="24">
        <f t="shared" si="312"/>
        <v>12</v>
      </c>
      <c r="AW2428" s="24" t="s">
        <v>2411</v>
      </c>
      <c r="BM2428" s="395"/>
      <c r="BN2428" s="395"/>
      <c r="BR2428" s="395"/>
      <c r="BS2428" s="395"/>
      <c r="DF2428" s="24">
        <v>5.8</v>
      </c>
      <c r="DG2428" s="24">
        <v>6.24</v>
      </c>
      <c r="DH2428" s="24">
        <f>(6.383-DF2428)*SQRT(3)</f>
        <v>1.0097856208126557</v>
      </c>
      <c r="DI2428" s="24">
        <f>(6.83-DG2428)*SQRT(3)</f>
        <v>1.0219099764656372</v>
      </c>
      <c r="DJ2428" s="24" t="s">
        <v>932</v>
      </c>
      <c r="IO2428" s="24" t="s">
        <v>2417</v>
      </c>
      <c r="IQ2428" s="249"/>
    </row>
    <row r="2429" spans="1:251" s="32" customFormat="1" x14ac:dyDescent="0.25">
      <c r="A2429" s="32">
        <v>112</v>
      </c>
      <c r="B2429" s="32" t="s">
        <v>2407</v>
      </c>
      <c r="C2429" s="32" t="s">
        <v>2408</v>
      </c>
      <c r="D2429" s="32">
        <v>2013</v>
      </c>
      <c r="E2429" s="32">
        <v>2012</v>
      </c>
      <c r="F2429" s="32" t="s">
        <v>152</v>
      </c>
      <c r="G2429" s="32" t="s">
        <v>2409</v>
      </c>
      <c r="H2429" s="24" t="s">
        <v>2838</v>
      </c>
      <c r="I2429" s="32">
        <f t="shared" si="310"/>
        <v>56.5</v>
      </c>
      <c r="J2429" s="32">
        <f t="shared" si="311"/>
        <v>9.5833333333333339</v>
      </c>
      <c r="K2429" s="32">
        <v>34.200000000000003</v>
      </c>
      <c r="M2429" s="32">
        <v>7.3</v>
      </c>
      <c r="O2429" s="32">
        <v>626</v>
      </c>
      <c r="Q2429" s="44" t="s">
        <v>1852</v>
      </c>
      <c r="R2429" s="44" t="s">
        <v>1852</v>
      </c>
      <c r="T2429" s="44" t="s">
        <v>1855</v>
      </c>
      <c r="U2429" s="44" t="s">
        <v>1392</v>
      </c>
      <c r="V2429" s="44" t="s">
        <v>1726</v>
      </c>
      <c r="W2429" s="44" t="s">
        <v>1392</v>
      </c>
      <c r="X2429" s="44" t="s">
        <v>1383</v>
      </c>
      <c r="Z2429" s="323">
        <v>75</v>
      </c>
      <c r="AA2429" s="323">
        <v>13</v>
      </c>
      <c r="AB2429" s="32" t="s">
        <v>241</v>
      </c>
      <c r="AD2429" s="32">
        <v>3.1</v>
      </c>
      <c r="AF2429" s="32" t="s">
        <v>2410</v>
      </c>
      <c r="AG2429" s="32" t="s">
        <v>2416</v>
      </c>
      <c r="AH2429" s="32" t="s">
        <v>1131</v>
      </c>
      <c r="AI2429" s="32" t="s">
        <v>1055</v>
      </c>
      <c r="AJ2429" s="32" t="s">
        <v>1621</v>
      </c>
      <c r="AK2429" s="32" t="s">
        <v>178</v>
      </c>
      <c r="AL2429" s="32" t="s">
        <v>178</v>
      </c>
      <c r="AM2429" s="32" t="s">
        <v>178</v>
      </c>
      <c r="AN2429" s="32" t="s">
        <v>2418</v>
      </c>
      <c r="AO2429" s="32" t="s">
        <v>2418</v>
      </c>
      <c r="AP2429" s="32" t="s">
        <v>178</v>
      </c>
      <c r="AT2429" s="32" t="s">
        <v>161</v>
      </c>
      <c r="AU2429" s="32">
        <v>3</v>
      </c>
      <c r="AV2429" s="32">
        <f t="shared" si="312"/>
        <v>12</v>
      </c>
      <c r="AW2429" s="32" t="s">
        <v>2411</v>
      </c>
      <c r="BM2429" s="397"/>
      <c r="BN2429" s="397"/>
      <c r="BR2429" s="397">
        <f>22.3/10</f>
        <v>2.23</v>
      </c>
      <c r="BS2429" s="397">
        <f>21.4/10</f>
        <v>2.1399999999999997</v>
      </c>
      <c r="BV2429" s="32" t="s">
        <v>2420</v>
      </c>
      <c r="BW2429" s="32">
        <f>1.94*1000</f>
        <v>1940</v>
      </c>
      <c r="BX2429" s="32">
        <f>1.84*1000</f>
        <v>1840</v>
      </c>
      <c r="CA2429" s="32" t="s">
        <v>2423</v>
      </c>
      <c r="CC2429" s="32">
        <f>41000</f>
        <v>41000</v>
      </c>
      <c r="CD2429" s="32">
        <v>39900</v>
      </c>
      <c r="CF2429" s="32" t="s">
        <v>2294</v>
      </c>
      <c r="CG2429" s="32">
        <f>260*1000</f>
        <v>260000</v>
      </c>
      <c r="CH2429" s="32">
        <f>299*1000</f>
        <v>299000</v>
      </c>
      <c r="CK2429" s="32" t="s">
        <v>2294</v>
      </c>
      <c r="CL2429" s="32">
        <v>5.97</v>
      </c>
      <c r="CM2429" s="32">
        <v>5.87</v>
      </c>
      <c r="DP2429" s="32">
        <v>0.48</v>
      </c>
      <c r="DQ2429" s="32">
        <v>0.46</v>
      </c>
      <c r="DT2429" s="32" t="s">
        <v>2426</v>
      </c>
      <c r="IA2429" s="32">
        <f>0.415*1000</f>
        <v>415</v>
      </c>
      <c r="IB2429" s="32">
        <f>0.434*1000</f>
        <v>434</v>
      </c>
      <c r="IE2429" s="32" t="s">
        <v>2424</v>
      </c>
      <c r="IO2429" s="32" t="s">
        <v>2417</v>
      </c>
      <c r="IQ2429" s="243"/>
    </row>
    <row r="2430" spans="1:251" s="32" customFormat="1" x14ac:dyDescent="0.25">
      <c r="A2430" s="32">
        <v>112</v>
      </c>
      <c r="B2430" s="32" t="s">
        <v>2407</v>
      </c>
      <c r="C2430" s="32" t="s">
        <v>2408</v>
      </c>
      <c r="D2430" s="32">
        <v>2013</v>
      </c>
      <c r="E2430" s="32">
        <v>2012</v>
      </c>
      <c r="F2430" s="32" t="s">
        <v>152</v>
      </c>
      <c r="G2430" s="32" t="s">
        <v>2409</v>
      </c>
      <c r="H2430" s="24" t="s">
        <v>2838</v>
      </c>
      <c r="I2430" s="32">
        <f t="shared" si="310"/>
        <v>56.5</v>
      </c>
      <c r="J2430" s="32">
        <f t="shared" si="311"/>
        <v>9.5833333333333339</v>
      </c>
      <c r="K2430" s="32">
        <v>34.200000000000003</v>
      </c>
      <c r="M2430" s="32">
        <v>7.3</v>
      </c>
      <c r="O2430" s="32">
        <v>626</v>
      </c>
      <c r="Q2430" s="44" t="s">
        <v>1852</v>
      </c>
      <c r="R2430" s="44" t="s">
        <v>1852</v>
      </c>
      <c r="T2430" s="44" t="s">
        <v>1855</v>
      </c>
      <c r="U2430" s="44" t="s">
        <v>1396</v>
      </c>
      <c r="V2430" s="44" t="s">
        <v>1726</v>
      </c>
      <c r="W2430" s="44" t="s">
        <v>1392</v>
      </c>
      <c r="X2430" s="44" t="s">
        <v>1383</v>
      </c>
      <c r="Z2430" s="323">
        <v>75</v>
      </c>
      <c r="AA2430" s="323">
        <v>13</v>
      </c>
      <c r="AB2430" s="32" t="s">
        <v>241</v>
      </c>
      <c r="AD2430" s="32">
        <v>3.1</v>
      </c>
      <c r="AF2430" s="32" t="s">
        <v>2410</v>
      </c>
      <c r="AG2430" s="32" t="s">
        <v>2416</v>
      </c>
      <c r="AH2430" s="32" t="s">
        <v>1131</v>
      </c>
      <c r="AI2430" s="32" t="s">
        <v>1055</v>
      </c>
      <c r="AJ2430" s="32" t="s">
        <v>1621</v>
      </c>
      <c r="AK2430" s="32" t="s">
        <v>178</v>
      </c>
      <c r="AL2430" s="32" t="s">
        <v>178</v>
      </c>
      <c r="AM2430" s="32" t="s">
        <v>178</v>
      </c>
      <c r="AN2430" s="32" t="s">
        <v>2418</v>
      </c>
      <c r="AO2430" s="32" t="s">
        <v>2418</v>
      </c>
      <c r="AP2430" s="32" t="s">
        <v>178</v>
      </c>
      <c r="AT2430" s="32" t="s">
        <v>161</v>
      </c>
      <c r="AU2430" s="32">
        <v>3</v>
      </c>
      <c r="AV2430" s="32">
        <f t="shared" si="312"/>
        <v>12</v>
      </c>
      <c r="AW2430" s="32" t="s">
        <v>2411</v>
      </c>
      <c r="BM2430" s="397"/>
      <c r="BN2430" s="397"/>
      <c r="BR2430" s="397">
        <v>1.99</v>
      </c>
      <c r="BS2430" s="397">
        <v>1.94</v>
      </c>
      <c r="BV2430" s="32" t="s">
        <v>2420</v>
      </c>
      <c r="BW2430" s="32">
        <f>1.71*1000</f>
        <v>1710</v>
      </c>
      <c r="BX2430" s="32">
        <f>1.64*1000</f>
        <v>1640</v>
      </c>
      <c r="CA2430" s="32" t="s">
        <v>2423</v>
      </c>
      <c r="CC2430" s="32">
        <v>33100</v>
      </c>
      <c r="CD2430" s="32">
        <v>31600</v>
      </c>
      <c r="CF2430" s="32" t="s">
        <v>2294</v>
      </c>
      <c r="CG2430" s="32">
        <f>163*1000</f>
        <v>163000</v>
      </c>
      <c r="CH2430" s="32">
        <f>174*1000</f>
        <v>174000</v>
      </c>
      <c r="CK2430" s="32" t="s">
        <v>2294</v>
      </c>
      <c r="CL2430" s="32">
        <v>6.22</v>
      </c>
      <c r="CM2430" s="32">
        <v>6.17</v>
      </c>
      <c r="DP2430" s="32">
        <v>0.87</v>
      </c>
      <c r="DQ2430" s="32">
        <v>0.8</v>
      </c>
      <c r="DT2430" s="32" t="s">
        <v>2425</v>
      </c>
      <c r="IA2430" s="32">
        <f>0.372*1000</f>
        <v>372</v>
      </c>
      <c r="IB2430" s="32">
        <f>0.404*1000</f>
        <v>404</v>
      </c>
      <c r="IE2430" s="32" t="s">
        <v>2424</v>
      </c>
      <c r="IO2430" s="32" t="s">
        <v>2417</v>
      </c>
      <c r="IQ2430" s="243"/>
    </row>
    <row r="2431" spans="1:251" s="32" customFormat="1" x14ac:dyDescent="0.25">
      <c r="A2431" s="32">
        <v>112</v>
      </c>
      <c r="B2431" s="32" t="s">
        <v>2407</v>
      </c>
      <c r="C2431" s="32" t="s">
        <v>2408</v>
      </c>
      <c r="D2431" s="32">
        <v>2013</v>
      </c>
      <c r="E2431" s="32">
        <v>2012</v>
      </c>
      <c r="F2431" s="32" t="s">
        <v>152</v>
      </c>
      <c r="G2431" s="32" t="s">
        <v>2409</v>
      </c>
      <c r="H2431" s="24" t="s">
        <v>2838</v>
      </c>
      <c r="I2431" s="32">
        <f t="shared" si="310"/>
        <v>56.5</v>
      </c>
      <c r="J2431" s="32">
        <f t="shared" si="311"/>
        <v>9.5833333333333339</v>
      </c>
      <c r="K2431" s="32">
        <v>34.200000000000003</v>
      </c>
      <c r="M2431" s="32">
        <v>7.3</v>
      </c>
      <c r="O2431" s="32">
        <v>626</v>
      </c>
      <c r="Q2431" s="44" t="s">
        <v>1852</v>
      </c>
      <c r="R2431" s="44" t="s">
        <v>1852</v>
      </c>
      <c r="T2431" s="44" t="s">
        <v>1855</v>
      </c>
      <c r="U2431" s="44" t="s">
        <v>1387</v>
      </c>
      <c r="V2431" s="44" t="s">
        <v>1722</v>
      </c>
      <c r="W2431" s="44" t="s">
        <v>1392</v>
      </c>
      <c r="X2431" s="44" t="s">
        <v>1383</v>
      </c>
      <c r="Z2431" s="323">
        <v>75</v>
      </c>
      <c r="AA2431" s="323">
        <v>13</v>
      </c>
      <c r="AB2431" s="32" t="s">
        <v>241</v>
      </c>
      <c r="AD2431" s="32">
        <v>3.1</v>
      </c>
      <c r="AF2431" s="32" t="s">
        <v>2410</v>
      </c>
      <c r="AG2431" s="32" t="s">
        <v>2416</v>
      </c>
      <c r="AH2431" s="32" t="s">
        <v>1131</v>
      </c>
      <c r="AI2431" s="32" t="s">
        <v>1055</v>
      </c>
      <c r="AJ2431" s="32" t="s">
        <v>1621</v>
      </c>
      <c r="AK2431" s="32" t="s">
        <v>178</v>
      </c>
      <c r="AL2431" s="32" t="s">
        <v>178</v>
      </c>
      <c r="AM2431" s="32" t="s">
        <v>178</v>
      </c>
      <c r="AN2431" s="32" t="s">
        <v>2418</v>
      </c>
      <c r="AO2431" s="32" t="s">
        <v>2418</v>
      </c>
      <c r="AP2431" s="32" t="s">
        <v>178</v>
      </c>
      <c r="AT2431" s="32" t="s">
        <v>161</v>
      </c>
      <c r="AU2431" s="32">
        <v>3</v>
      </c>
      <c r="AV2431" s="32">
        <f t="shared" si="312"/>
        <v>12</v>
      </c>
      <c r="AW2431" s="32" t="s">
        <v>2411</v>
      </c>
      <c r="BM2431" s="397"/>
      <c r="BN2431" s="397"/>
      <c r="BR2431" s="397"/>
      <c r="BS2431" s="397"/>
      <c r="DP2431" s="32">
        <v>2.02</v>
      </c>
      <c r="DQ2431" s="32">
        <v>1.75</v>
      </c>
      <c r="DT2431" s="32" t="s">
        <v>2426</v>
      </c>
      <c r="IA2431" s="32">
        <f>0.415*1000</f>
        <v>415</v>
      </c>
      <c r="IB2431" s="32">
        <f>0.434*1000</f>
        <v>434</v>
      </c>
      <c r="IE2431" s="32" t="s">
        <v>2424</v>
      </c>
      <c r="IO2431" s="32" t="s">
        <v>2417</v>
      </c>
      <c r="IQ2431" s="243"/>
    </row>
    <row r="2432" spans="1:251" s="32" customFormat="1" x14ac:dyDescent="0.25">
      <c r="A2432" s="32">
        <v>112</v>
      </c>
      <c r="B2432" s="32" t="s">
        <v>2407</v>
      </c>
      <c r="C2432" s="32" t="s">
        <v>2408</v>
      </c>
      <c r="D2432" s="32">
        <v>2013</v>
      </c>
      <c r="E2432" s="32">
        <v>2012</v>
      </c>
      <c r="F2432" s="32" t="s">
        <v>152</v>
      </c>
      <c r="G2432" s="32" t="s">
        <v>2409</v>
      </c>
      <c r="H2432" s="24" t="s">
        <v>2838</v>
      </c>
      <c r="I2432" s="32">
        <f t="shared" si="310"/>
        <v>56.5</v>
      </c>
      <c r="J2432" s="32">
        <f t="shared" si="311"/>
        <v>9.5833333333333339</v>
      </c>
      <c r="K2432" s="32">
        <v>34.200000000000003</v>
      </c>
      <c r="M2432" s="32">
        <v>7.3</v>
      </c>
      <c r="O2432" s="32">
        <v>626</v>
      </c>
      <c r="Q2432" s="44" t="s">
        <v>1852</v>
      </c>
      <c r="R2432" s="44" t="s">
        <v>1852</v>
      </c>
      <c r="T2432" s="44" t="s">
        <v>1855</v>
      </c>
      <c r="U2432" s="44" t="s">
        <v>1388</v>
      </c>
      <c r="V2432" s="44" t="s">
        <v>1722</v>
      </c>
      <c r="W2432" s="44" t="s">
        <v>1392</v>
      </c>
      <c r="X2432" s="44" t="s">
        <v>1383</v>
      </c>
      <c r="Z2432" s="323">
        <v>75</v>
      </c>
      <c r="AA2432" s="323">
        <v>13</v>
      </c>
      <c r="AB2432" s="32" t="s">
        <v>241</v>
      </c>
      <c r="AD2432" s="32">
        <v>3.1</v>
      </c>
      <c r="AF2432" s="32" t="s">
        <v>2410</v>
      </c>
      <c r="AG2432" s="32" t="s">
        <v>2416</v>
      </c>
      <c r="AH2432" s="32" t="s">
        <v>1131</v>
      </c>
      <c r="AI2432" s="32" t="s">
        <v>1055</v>
      </c>
      <c r="AJ2432" s="32" t="s">
        <v>1621</v>
      </c>
      <c r="AK2432" s="32" t="s">
        <v>178</v>
      </c>
      <c r="AL2432" s="32" t="s">
        <v>178</v>
      </c>
      <c r="AM2432" s="32" t="s">
        <v>178</v>
      </c>
      <c r="AN2432" s="32" t="s">
        <v>2418</v>
      </c>
      <c r="AO2432" s="32" t="s">
        <v>2418</v>
      </c>
      <c r="AP2432" s="32" t="s">
        <v>178</v>
      </c>
      <c r="AT2432" s="32" t="s">
        <v>161</v>
      </c>
      <c r="AU2432" s="32">
        <v>3</v>
      </c>
      <c r="AV2432" s="32">
        <f t="shared" si="312"/>
        <v>12</v>
      </c>
      <c r="AW2432" s="32" t="s">
        <v>2411</v>
      </c>
      <c r="BM2432" s="397"/>
      <c r="BN2432" s="397"/>
      <c r="BR2432" s="397"/>
      <c r="BS2432" s="397"/>
      <c r="DP2432" s="32">
        <v>1.68</v>
      </c>
      <c r="DQ2432" s="32">
        <v>1.5</v>
      </c>
      <c r="DT2432" s="32" t="s">
        <v>2425</v>
      </c>
      <c r="IA2432" s="32">
        <f>0.372*1000</f>
        <v>372</v>
      </c>
      <c r="IB2432" s="32">
        <f>0.404*1000</f>
        <v>404</v>
      </c>
      <c r="IE2432" s="32" t="s">
        <v>2424</v>
      </c>
      <c r="IO2432" s="32" t="s">
        <v>2417</v>
      </c>
      <c r="IQ2432" s="243"/>
    </row>
    <row r="2433" spans="1:251" s="36" customFormat="1" x14ac:dyDescent="0.25">
      <c r="A2433" s="36">
        <v>113</v>
      </c>
      <c r="B2433" s="36" t="s">
        <v>2407</v>
      </c>
      <c r="C2433" s="36" t="s">
        <v>2408</v>
      </c>
      <c r="D2433" s="36">
        <v>2013</v>
      </c>
      <c r="E2433" s="36">
        <v>2012</v>
      </c>
      <c r="F2433" s="36" t="s">
        <v>152</v>
      </c>
      <c r="G2433" s="36" t="s">
        <v>2409</v>
      </c>
      <c r="H2433" s="36" t="s">
        <v>2838</v>
      </c>
      <c r="I2433" s="36">
        <f t="shared" si="310"/>
        <v>56.5</v>
      </c>
      <c r="J2433" s="36">
        <f t="shared" si="311"/>
        <v>9.5833333333333339</v>
      </c>
      <c r="K2433" s="36">
        <v>34.200000000000003</v>
      </c>
      <c r="M2433" s="36">
        <v>7.3</v>
      </c>
      <c r="O2433" s="36">
        <v>626</v>
      </c>
      <c r="Q2433" s="51" t="s">
        <v>1852</v>
      </c>
      <c r="R2433" s="51" t="s">
        <v>1852</v>
      </c>
      <c r="T2433" s="51" t="s">
        <v>1855</v>
      </c>
      <c r="U2433" s="51" t="s">
        <v>1398</v>
      </c>
      <c r="V2433" s="51" t="s">
        <v>1729</v>
      </c>
      <c r="W2433" s="51" t="s">
        <v>1383</v>
      </c>
      <c r="X2433" s="51" t="s">
        <v>1383</v>
      </c>
      <c r="Z2433" s="331">
        <v>75</v>
      </c>
      <c r="AA2433" s="331">
        <v>13</v>
      </c>
      <c r="AB2433" s="36" t="s">
        <v>241</v>
      </c>
      <c r="AD2433" s="36">
        <v>3.1</v>
      </c>
      <c r="AF2433" s="36" t="s">
        <v>2410</v>
      </c>
      <c r="AG2433" s="36" t="s">
        <v>2416</v>
      </c>
      <c r="AH2433" s="36" t="s">
        <v>1131</v>
      </c>
      <c r="AI2433" s="36" t="s">
        <v>1055</v>
      </c>
      <c r="AJ2433" s="36" t="s">
        <v>1621</v>
      </c>
      <c r="AK2433" s="36" t="s">
        <v>178</v>
      </c>
      <c r="AL2433" s="36" t="s">
        <v>178</v>
      </c>
      <c r="AM2433" s="36" t="s">
        <v>178</v>
      </c>
      <c r="AN2433" s="36" t="s">
        <v>2412</v>
      </c>
      <c r="AO2433" s="36" t="s">
        <v>2412</v>
      </c>
      <c r="AP2433" s="36" t="s">
        <v>178</v>
      </c>
      <c r="AT2433" s="36" t="s">
        <v>161</v>
      </c>
      <c r="AU2433" s="36">
        <v>3</v>
      </c>
      <c r="AV2433" s="36">
        <f t="shared" si="312"/>
        <v>12</v>
      </c>
      <c r="AW2433" s="36" t="s">
        <v>2411</v>
      </c>
      <c r="BM2433" s="407"/>
      <c r="BN2433" s="407"/>
      <c r="BR2433" s="407"/>
      <c r="BS2433" s="407"/>
      <c r="DK2433" s="36">
        <v>0.51</v>
      </c>
      <c r="DL2433" s="36">
        <v>0.52</v>
      </c>
      <c r="DO2433" s="36" t="s">
        <v>1019</v>
      </c>
      <c r="DU2433" s="36">
        <v>171</v>
      </c>
      <c r="DV2433" s="36">
        <v>170</v>
      </c>
      <c r="DY2433" s="36" t="s">
        <v>2429</v>
      </c>
      <c r="IQ2433" s="230"/>
    </row>
    <row r="2434" spans="1:251" s="36" customFormat="1" x14ac:dyDescent="0.25">
      <c r="A2434" s="36">
        <v>113</v>
      </c>
      <c r="B2434" s="36" t="s">
        <v>2407</v>
      </c>
      <c r="C2434" s="36" t="s">
        <v>2408</v>
      </c>
      <c r="D2434" s="36">
        <v>2013</v>
      </c>
      <c r="E2434" s="36">
        <v>2012</v>
      </c>
      <c r="F2434" s="36" t="s">
        <v>152</v>
      </c>
      <c r="G2434" s="36" t="s">
        <v>2409</v>
      </c>
      <c r="H2434" s="36" t="s">
        <v>2838</v>
      </c>
      <c r="I2434" s="36">
        <f t="shared" si="310"/>
        <v>56.5</v>
      </c>
      <c r="J2434" s="36">
        <f t="shared" si="311"/>
        <v>9.5833333333333339</v>
      </c>
      <c r="K2434" s="36">
        <v>34.200000000000003</v>
      </c>
      <c r="M2434" s="36">
        <v>7.3</v>
      </c>
      <c r="O2434" s="36">
        <v>626</v>
      </c>
      <c r="Q2434" s="51" t="s">
        <v>1852</v>
      </c>
      <c r="R2434" s="51" t="s">
        <v>1852</v>
      </c>
      <c r="T2434" s="51" t="s">
        <v>1855</v>
      </c>
      <c r="U2434" s="51" t="s">
        <v>1416</v>
      </c>
      <c r="V2434" s="51" t="s">
        <v>1726</v>
      </c>
      <c r="W2434" s="51" t="s">
        <v>1383</v>
      </c>
      <c r="X2434" s="51" t="s">
        <v>1383</v>
      </c>
      <c r="Z2434" s="331">
        <v>75</v>
      </c>
      <c r="AA2434" s="331">
        <v>13</v>
      </c>
      <c r="AB2434" s="36" t="s">
        <v>241</v>
      </c>
      <c r="AD2434" s="36">
        <v>3.1</v>
      </c>
      <c r="AF2434" s="36" t="s">
        <v>2410</v>
      </c>
      <c r="AG2434" s="36" t="s">
        <v>2416</v>
      </c>
      <c r="AH2434" s="36" t="s">
        <v>1131</v>
      </c>
      <c r="AI2434" s="36" t="s">
        <v>1055</v>
      </c>
      <c r="AJ2434" s="36" t="s">
        <v>1621</v>
      </c>
      <c r="AK2434" s="36" t="s">
        <v>178</v>
      </c>
      <c r="AL2434" s="36" t="s">
        <v>178</v>
      </c>
      <c r="AM2434" s="36" t="s">
        <v>178</v>
      </c>
      <c r="AN2434" s="36" t="s">
        <v>2412</v>
      </c>
      <c r="AO2434" s="36" t="s">
        <v>2412</v>
      </c>
      <c r="AP2434" s="36" t="s">
        <v>178</v>
      </c>
      <c r="AT2434" s="36" t="s">
        <v>161</v>
      </c>
      <c r="AU2434" s="36">
        <v>3</v>
      </c>
      <c r="AV2434" s="36">
        <f t="shared" si="312"/>
        <v>12</v>
      </c>
      <c r="AW2434" s="36" t="s">
        <v>2411</v>
      </c>
      <c r="BM2434" s="407"/>
      <c r="BN2434" s="407"/>
      <c r="BR2434" s="407"/>
      <c r="BS2434" s="407"/>
      <c r="DK2434" s="36">
        <v>0.48</v>
      </c>
      <c r="DL2434" s="36">
        <v>0.49</v>
      </c>
      <c r="DO2434" s="36" t="s">
        <v>1019</v>
      </c>
      <c r="IQ2434" s="230"/>
    </row>
    <row r="2435" spans="1:251" s="36" customFormat="1" x14ac:dyDescent="0.25">
      <c r="A2435" s="36">
        <v>113</v>
      </c>
      <c r="B2435" s="36" t="s">
        <v>2407</v>
      </c>
      <c r="C2435" s="36" t="s">
        <v>2408</v>
      </c>
      <c r="D2435" s="36">
        <v>2013</v>
      </c>
      <c r="E2435" s="36">
        <v>2012</v>
      </c>
      <c r="F2435" s="36" t="s">
        <v>152</v>
      </c>
      <c r="G2435" s="36" t="s">
        <v>2409</v>
      </c>
      <c r="H2435" s="36" t="s">
        <v>2838</v>
      </c>
      <c r="I2435" s="36">
        <f t="shared" si="310"/>
        <v>56.5</v>
      </c>
      <c r="J2435" s="36">
        <f t="shared" si="311"/>
        <v>9.5833333333333339</v>
      </c>
      <c r="K2435" s="36">
        <v>34.200000000000003</v>
      </c>
      <c r="M2435" s="36">
        <v>7.3</v>
      </c>
      <c r="O2435" s="36">
        <v>626</v>
      </c>
      <c r="Q2435" s="51" t="s">
        <v>1852</v>
      </c>
      <c r="R2435" s="51" t="s">
        <v>1852</v>
      </c>
      <c r="T2435" s="51" t="s">
        <v>1855</v>
      </c>
      <c r="U2435" s="51" t="s">
        <v>2428</v>
      </c>
      <c r="V2435" s="51" t="s">
        <v>1729</v>
      </c>
      <c r="W2435" s="51" t="s">
        <v>1383</v>
      </c>
      <c r="X2435" s="51" t="s">
        <v>1383</v>
      </c>
      <c r="Z2435" s="331">
        <v>75</v>
      </c>
      <c r="AA2435" s="331">
        <v>13</v>
      </c>
      <c r="AB2435" s="36" t="s">
        <v>241</v>
      </c>
      <c r="AD2435" s="36">
        <v>3.1</v>
      </c>
      <c r="AF2435" s="36" t="s">
        <v>2410</v>
      </c>
      <c r="AG2435" s="36" t="s">
        <v>2416</v>
      </c>
      <c r="AH2435" s="36" t="s">
        <v>1131</v>
      </c>
      <c r="AI2435" s="36" t="s">
        <v>1055</v>
      </c>
      <c r="AJ2435" s="36" t="s">
        <v>1621</v>
      </c>
      <c r="AK2435" s="36" t="s">
        <v>178</v>
      </c>
      <c r="AL2435" s="36" t="s">
        <v>178</v>
      </c>
      <c r="AM2435" s="36" t="s">
        <v>178</v>
      </c>
      <c r="AN2435" s="36" t="s">
        <v>2412</v>
      </c>
      <c r="AO2435" s="36" t="s">
        <v>2412</v>
      </c>
      <c r="AP2435" s="36" t="s">
        <v>178</v>
      </c>
      <c r="AT2435" s="36" t="s">
        <v>161</v>
      </c>
      <c r="AU2435" s="36">
        <v>3</v>
      </c>
      <c r="AV2435" s="36">
        <f t="shared" si="312"/>
        <v>12</v>
      </c>
      <c r="AW2435" s="36" t="s">
        <v>2411</v>
      </c>
      <c r="BM2435" s="407"/>
      <c r="BN2435" s="407"/>
      <c r="BR2435" s="407"/>
      <c r="BS2435" s="407"/>
      <c r="DK2435" s="36">
        <v>0.47</v>
      </c>
      <c r="DL2435" s="36">
        <v>0.48</v>
      </c>
      <c r="DO2435" s="36" t="s">
        <v>1019</v>
      </c>
      <c r="IQ2435" s="230"/>
    </row>
    <row r="2436" spans="1:251" s="126" customFormat="1" x14ac:dyDescent="0.25">
      <c r="A2436" s="126">
        <v>113</v>
      </c>
      <c r="B2436" s="126" t="s">
        <v>2407</v>
      </c>
      <c r="C2436" s="126" t="s">
        <v>2408</v>
      </c>
      <c r="D2436" s="126">
        <v>2013</v>
      </c>
      <c r="E2436" s="126">
        <v>2012</v>
      </c>
      <c r="F2436" s="126" t="s">
        <v>152</v>
      </c>
      <c r="G2436" s="126" t="s">
        <v>2409</v>
      </c>
      <c r="H2436" s="36" t="s">
        <v>2838</v>
      </c>
      <c r="I2436" s="126">
        <f t="shared" si="310"/>
        <v>56.5</v>
      </c>
      <c r="J2436" s="126">
        <f t="shared" si="311"/>
        <v>9.5833333333333339</v>
      </c>
      <c r="K2436" s="126">
        <v>34.200000000000003</v>
      </c>
      <c r="M2436" s="126">
        <v>7.3</v>
      </c>
      <c r="O2436" s="126">
        <v>626</v>
      </c>
      <c r="Q2436" s="478" t="s">
        <v>1852</v>
      </c>
      <c r="R2436" s="478" t="s">
        <v>1852</v>
      </c>
      <c r="T2436" s="478" t="s">
        <v>1855</v>
      </c>
      <c r="U2436" s="478" t="s">
        <v>2430</v>
      </c>
      <c r="V2436" s="478" t="s">
        <v>1867</v>
      </c>
      <c r="W2436" s="478" t="s">
        <v>1383</v>
      </c>
      <c r="X2436" s="478" t="s">
        <v>1383</v>
      </c>
      <c r="Z2436" s="479">
        <v>75</v>
      </c>
      <c r="AA2436" s="479">
        <v>13</v>
      </c>
      <c r="AB2436" s="126" t="s">
        <v>241</v>
      </c>
      <c r="AD2436" s="126">
        <v>3.1</v>
      </c>
      <c r="AF2436" s="126" t="s">
        <v>2410</v>
      </c>
      <c r="AG2436" s="126" t="s">
        <v>2416</v>
      </c>
      <c r="AH2436" s="126" t="s">
        <v>1131</v>
      </c>
      <c r="AI2436" s="126" t="s">
        <v>1055</v>
      </c>
      <c r="AJ2436" s="126" t="s">
        <v>1621</v>
      </c>
      <c r="AK2436" s="126" t="s">
        <v>178</v>
      </c>
      <c r="AL2436" s="126" t="s">
        <v>178</v>
      </c>
      <c r="AM2436" s="126" t="s">
        <v>178</v>
      </c>
      <c r="AN2436" s="126" t="s">
        <v>2412</v>
      </c>
      <c r="AO2436" s="126" t="s">
        <v>2412</v>
      </c>
      <c r="AP2436" s="126" t="s">
        <v>178</v>
      </c>
      <c r="AT2436" s="126" t="s">
        <v>161</v>
      </c>
      <c r="AU2436" s="126">
        <v>3</v>
      </c>
      <c r="AV2436" s="126">
        <f t="shared" si="312"/>
        <v>12</v>
      </c>
      <c r="AW2436" s="126" t="s">
        <v>2411</v>
      </c>
      <c r="BM2436" s="481"/>
      <c r="BN2436" s="481"/>
      <c r="BR2436" s="481"/>
      <c r="BS2436" s="481"/>
      <c r="DK2436" s="126">
        <v>7.5</v>
      </c>
      <c r="DL2436" s="126">
        <v>12.6</v>
      </c>
      <c r="DO2436" s="126" t="s">
        <v>2433</v>
      </c>
      <c r="IQ2436" s="480"/>
    </row>
    <row r="2437" spans="1:251" s="126" customFormat="1" x14ac:dyDescent="0.25">
      <c r="A2437" s="126">
        <v>113</v>
      </c>
      <c r="B2437" s="126" t="s">
        <v>2407</v>
      </c>
      <c r="C2437" s="126" t="s">
        <v>2408</v>
      </c>
      <c r="D2437" s="126">
        <v>2013</v>
      </c>
      <c r="E2437" s="126">
        <v>2012</v>
      </c>
      <c r="F2437" s="126" t="s">
        <v>152</v>
      </c>
      <c r="G2437" s="126" t="s">
        <v>2409</v>
      </c>
      <c r="H2437" s="36" t="s">
        <v>2838</v>
      </c>
      <c r="I2437" s="126">
        <f t="shared" si="310"/>
        <v>56.5</v>
      </c>
      <c r="J2437" s="126">
        <f t="shared" si="311"/>
        <v>9.5833333333333339</v>
      </c>
      <c r="K2437" s="126">
        <v>34.200000000000003</v>
      </c>
      <c r="M2437" s="126">
        <v>7.3</v>
      </c>
      <c r="O2437" s="126">
        <v>626</v>
      </c>
      <c r="Q2437" s="478" t="s">
        <v>1852</v>
      </c>
      <c r="R2437" s="478" t="s">
        <v>1852</v>
      </c>
      <c r="T2437" s="478" t="s">
        <v>1855</v>
      </c>
      <c r="U2437" s="478" t="s">
        <v>2431</v>
      </c>
      <c r="V2437" s="478" t="s">
        <v>1867</v>
      </c>
      <c r="W2437" s="478" t="s">
        <v>1383</v>
      </c>
      <c r="X2437" s="478" t="s">
        <v>1383</v>
      </c>
      <c r="Z2437" s="479">
        <v>75</v>
      </c>
      <c r="AA2437" s="479">
        <v>13</v>
      </c>
      <c r="AB2437" s="126" t="s">
        <v>241</v>
      </c>
      <c r="AD2437" s="126">
        <v>3.1</v>
      </c>
      <c r="AF2437" s="126" t="s">
        <v>2410</v>
      </c>
      <c r="AG2437" s="126" t="s">
        <v>2416</v>
      </c>
      <c r="AH2437" s="126" t="s">
        <v>1131</v>
      </c>
      <c r="AI2437" s="126" t="s">
        <v>1055</v>
      </c>
      <c r="AJ2437" s="126" t="s">
        <v>1621</v>
      </c>
      <c r="AK2437" s="126" t="s">
        <v>178</v>
      </c>
      <c r="AL2437" s="126" t="s">
        <v>178</v>
      </c>
      <c r="AM2437" s="126" t="s">
        <v>178</v>
      </c>
      <c r="AN2437" s="126" t="s">
        <v>2412</v>
      </c>
      <c r="AO2437" s="126" t="s">
        <v>2412</v>
      </c>
      <c r="AP2437" s="126" t="s">
        <v>178</v>
      </c>
      <c r="AT2437" s="126" t="s">
        <v>161</v>
      </c>
      <c r="AU2437" s="126">
        <v>3</v>
      </c>
      <c r="AV2437" s="126">
        <f t="shared" si="312"/>
        <v>12</v>
      </c>
      <c r="AW2437" s="126" t="s">
        <v>2411</v>
      </c>
      <c r="BM2437" s="481"/>
      <c r="BN2437" s="481"/>
      <c r="BR2437" s="481"/>
      <c r="BS2437" s="481"/>
      <c r="DK2437" s="126">
        <v>8.3000000000000007</v>
      </c>
      <c r="DL2437" s="126">
        <v>20</v>
      </c>
      <c r="DO2437" s="126" t="s">
        <v>2434</v>
      </c>
      <c r="IQ2437" s="480"/>
    </row>
    <row r="2438" spans="1:251" s="126" customFormat="1" x14ac:dyDescent="0.25">
      <c r="A2438" s="126">
        <v>113</v>
      </c>
      <c r="B2438" s="126" t="s">
        <v>2407</v>
      </c>
      <c r="C2438" s="126" t="s">
        <v>2408</v>
      </c>
      <c r="D2438" s="126">
        <v>2013</v>
      </c>
      <c r="E2438" s="126">
        <v>2012</v>
      </c>
      <c r="F2438" s="126" t="s">
        <v>152</v>
      </c>
      <c r="G2438" s="126" t="s">
        <v>2409</v>
      </c>
      <c r="H2438" s="36" t="s">
        <v>2838</v>
      </c>
      <c r="I2438" s="126">
        <f t="shared" si="310"/>
        <v>56.5</v>
      </c>
      <c r="J2438" s="126">
        <f t="shared" si="311"/>
        <v>9.5833333333333339</v>
      </c>
      <c r="K2438" s="126">
        <v>34.200000000000003</v>
      </c>
      <c r="M2438" s="126">
        <v>7.3</v>
      </c>
      <c r="O2438" s="126">
        <v>626</v>
      </c>
      <c r="Q2438" s="478" t="s">
        <v>1852</v>
      </c>
      <c r="R2438" s="478" t="s">
        <v>1852</v>
      </c>
      <c r="T2438" s="478" t="s">
        <v>1855</v>
      </c>
      <c r="U2438" s="478" t="s">
        <v>2432</v>
      </c>
      <c r="V2438" s="478" t="s">
        <v>1726</v>
      </c>
      <c r="W2438" s="478" t="s">
        <v>1383</v>
      </c>
      <c r="X2438" s="478" t="s">
        <v>1383</v>
      </c>
      <c r="Z2438" s="479">
        <v>75</v>
      </c>
      <c r="AA2438" s="479">
        <v>13</v>
      </c>
      <c r="AB2438" s="126" t="s">
        <v>241</v>
      </c>
      <c r="AD2438" s="126">
        <v>3.1</v>
      </c>
      <c r="AF2438" s="126" t="s">
        <v>2410</v>
      </c>
      <c r="AG2438" s="126" t="s">
        <v>2416</v>
      </c>
      <c r="AH2438" s="126" t="s">
        <v>1131</v>
      </c>
      <c r="AI2438" s="126" t="s">
        <v>1055</v>
      </c>
      <c r="AJ2438" s="126" t="s">
        <v>1621</v>
      </c>
      <c r="AK2438" s="126" t="s">
        <v>178</v>
      </c>
      <c r="AL2438" s="126" t="s">
        <v>178</v>
      </c>
      <c r="AM2438" s="126" t="s">
        <v>178</v>
      </c>
      <c r="AN2438" s="126" t="s">
        <v>2412</v>
      </c>
      <c r="AO2438" s="126" t="s">
        <v>2412</v>
      </c>
      <c r="AP2438" s="126" t="s">
        <v>178</v>
      </c>
      <c r="AT2438" s="126" t="s">
        <v>161</v>
      </c>
      <c r="AU2438" s="126">
        <v>3</v>
      </c>
      <c r="AV2438" s="126">
        <f t="shared" si="312"/>
        <v>12</v>
      </c>
      <c r="AW2438" s="126" t="s">
        <v>2411</v>
      </c>
      <c r="BM2438" s="481"/>
      <c r="BN2438" s="481"/>
      <c r="BR2438" s="481"/>
      <c r="BS2438" s="481"/>
      <c r="DK2438" s="126">
        <v>5.8</v>
      </c>
      <c r="DL2438" s="126">
        <v>14.6</v>
      </c>
      <c r="DO2438" s="126" t="s">
        <v>2435</v>
      </c>
      <c r="IQ2438" s="480"/>
    </row>
    <row r="2439" spans="1:251" s="40" customFormat="1" x14ac:dyDescent="0.25">
      <c r="A2439" s="40">
        <v>114</v>
      </c>
      <c r="B2439" s="40" t="s">
        <v>2437</v>
      </c>
      <c r="C2439" s="40" t="s">
        <v>2438</v>
      </c>
      <c r="D2439" s="40">
        <v>2012</v>
      </c>
      <c r="E2439" s="40">
        <v>2007</v>
      </c>
      <c r="F2439" s="40" t="s">
        <v>2439</v>
      </c>
      <c r="G2439" s="40" t="s">
        <v>2443</v>
      </c>
      <c r="H2439" s="40" t="s">
        <v>2841</v>
      </c>
      <c r="I2439" s="40">
        <f>-28-56/60</f>
        <v>-28.933333333333334</v>
      </c>
      <c r="J2439" s="40">
        <f>115+17/60</f>
        <v>115.28333333333333</v>
      </c>
      <c r="K2439" s="40">
        <v>271</v>
      </c>
      <c r="O2439" s="40">
        <v>360</v>
      </c>
      <c r="Q2439" s="71" t="s">
        <v>1986</v>
      </c>
      <c r="R2439" s="71" t="s">
        <v>1735</v>
      </c>
      <c r="T2439" s="71" t="s">
        <v>2440</v>
      </c>
      <c r="U2439" s="71" t="s">
        <v>1383</v>
      </c>
      <c r="V2439" s="71" t="s">
        <v>1722</v>
      </c>
      <c r="W2439" s="71" t="s">
        <v>1383</v>
      </c>
      <c r="X2439" s="71" t="s">
        <v>1383</v>
      </c>
      <c r="Z2439" s="341">
        <v>95</v>
      </c>
      <c r="AA2439" s="341">
        <v>10</v>
      </c>
      <c r="AB2439" s="40" t="s">
        <v>2441</v>
      </c>
      <c r="AC2439" s="40">
        <v>5.4</v>
      </c>
      <c r="AD2439" s="40">
        <v>0.6</v>
      </c>
      <c r="AG2439" s="40" t="s">
        <v>2444</v>
      </c>
      <c r="AH2439" s="40" t="s">
        <v>1585</v>
      </c>
      <c r="AI2439" s="40" t="s">
        <v>117</v>
      </c>
      <c r="AJ2439" s="40" t="s">
        <v>117</v>
      </c>
      <c r="AK2439" s="40" t="s">
        <v>2447</v>
      </c>
      <c r="AL2439" s="40" t="s">
        <v>2447</v>
      </c>
      <c r="AM2439" s="40" t="s">
        <v>178</v>
      </c>
      <c r="AT2439" s="40" t="s">
        <v>161</v>
      </c>
      <c r="AU2439" s="40">
        <v>3</v>
      </c>
      <c r="AW2439" s="40" t="s">
        <v>142</v>
      </c>
      <c r="BM2439" s="416"/>
      <c r="BN2439" s="416"/>
      <c r="BR2439" s="416"/>
      <c r="BS2439" s="416"/>
      <c r="EO2439" s="40">
        <v>26</v>
      </c>
      <c r="EP2439" s="40">
        <v>22</v>
      </c>
      <c r="ES2439" s="40" t="s">
        <v>2449</v>
      </c>
      <c r="IQ2439" s="311"/>
    </row>
    <row r="2440" spans="1:251" s="40" customFormat="1" x14ac:dyDescent="0.25">
      <c r="A2440" s="40">
        <v>114</v>
      </c>
      <c r="B2440" s="40" t="s">
        <v>2437</v>
      </c>
      <c r="C2440" s="40" t="s">
        <v>2438</v>
      </c>
      <c r="D2440" s="40">
        <v>2012</v>
      </c>
      <c r="E2440" s="40">
        <v>2007</v>
      </c>
      <c r="F2440" s="40" t="s">
        <v>2439</v>
      </c>
      <c r="G2440" s="40" t="s">
        <v>2443</v>
      </c>
      <c r="H2440" s="40" t="s">
        <v>2841</v>
      </c>
      <c r="I2440" s="40">
        <f>-28-56/60</f>
        <v>-28.933333333333334</v>
      </c>
      <c r="J2440" s="40">
        <f>115+17/60</f>
        <v>115.28333333333333</v>
      </c>
      <c r="K2440" s="40">
        <v>271</v>
      </c>
      <c r="O2440" s="40">
        <v>360</v>
      </c>
      <c r="Q2440" s="71" t="s">
        <v>1986</v>
      </c>
      <c r="R2440" s="71" t="s">
        <v>1735</v>
      </c>
      <c r="T2440" s="71" t="s">
        <v>2440</v>
      </c>
      <c r="U2440" s="71" t="s">
        <v>1383</v>
      </c>
      <c r="V2440" s="71" t="s">
        <v>1722</v>
      </c>
      <c r="W2440" s="71" t="s">
        <v>1383</v>
      </c>
      <c r="X2440" s="71" t="s">
        <v>1383</v>
      </c>
      <c r="Z2440" s="341">
        <v>95</v>
      </c>
      <c r="AA2440" s="341">
        <v>10</v>
      </c>
      <c r="AB2440" s="40" t="s">
        <v>2441</v>
      </c>
      <c r="AC2440" s="40">
        <v>5.4</v>
      </c>
      <c r="AD2440" s="40">
        <v>0.6</v>
      </c>
      <c r="AG2440" s="40" t="s">
        <v>2445</v>
      </c>
      <c r="AH2440" s="40" t="s">
        <v>1131</v>
      </c>
      <c r="AI2440" s="40" t="s">
        <v>117</v>
      </c>
      <c r="AJ2440" s="40" t="s">
        <v>117</v>
      </c>
      <c r="AK2440" s="40" t="s">
        <v>2448</v>
      </c>
      <c r="AL2440" s="40" t="s">
        <v>2448</v>
      </c>
      <c r="AM2440" s="40" t="s">
        <v>178</v>
      </c>
      <c r="AT2440" s="40" t="s">
        <v>161</v>
      </c>
      <c r="AU2440" s="40">
        <v>3</v>
      </c>
      <c r="AW2440" s="40" t="s">
        <v>142</v>
      </c>
      <c r="BM2440" s="416"/>
      <c r="BN2440" s="416"/>
      <c r="BR2440" s="416"/>
      <c r="BS2440" s="416"/>
      <c r="EO2440" s="40">
        <v>26</v>
      </c>
      <c r="EP2440" s="40">
        <v>26</v>
      </c>
      <c r="ES2440" s="40" t="s">
        <v>2449</v>
      </c>
      <c r="IQ2440" s="311"/>
    </row>
    <row r="2441" spans="1:251" s="24" customFormat="1" x14ac:dyDescent="0.25">
      <c r="A2441" s="24">
        <v>114</v>
      </c>
      <c r="B2441" s="24" t="s">
        <v>2437</v>
      </c>
      <c r="C2441" s="24" t="s">
        <v>2438</v>
      </c>
      <c r="D2441" s="24">
        <v>2012</v>
      </c>
      <c r="E2441" s="24">
        <v>2007</v>
      </c>
      <c r="F2441" s="24" t="s">
        <v>2439</v>
      </c>
      <c r="G2441" s="24" t="s">
        <v>2442</v>
      </c>
      <c r="H2441" s="40" t="s">
        <v>2841</v>
      </c>
      <c r="I2441" s="24">
        <f>-31-38/60</f>
        <v>-31.633333333333333</v>
      </c>
      <c r="J2441" s="24">
        <f>117+14/60</f>
        <v>117.23333333333333</v>
      </c>
      <c r="K2441" s="24">
        <v>220</v>
      </c>
      <c r="O2441" s="24">
        <v>360</v>
      </c>
      <c r="Q2441" s="42" t="s">
        <v>1986</v>
      </c>
      <c r="R2441" s="42" t="s">
        <v>1735</v>
      </c>
      <c r="T2441" s="42" t="s">
        <v>2440</v>
      </c>
      <c r="U2441" s="42" t="s">
        <v>1383</v>
      </c>
      <c r="V2441" s="42" t="s">
        <v>1722</v>
      </c>
      <c r="W2441" s="42" t="s">
        <v>1383</v>
      </c>
      <c r="X2441" s="42" t="s">
        <v>1383</v>
      </c>
      <c r="Z2441" s="321">
        <v>60</v>
      </c>
      <c r="AA2441" s="321">
        <f>100-60-22</f>
        <v>18</v>
      </c>
      <c r="AB2441" s="24" t="s">
        <v>519</v>
      </c>
      <c r="AC2441" s="24">
        <v>6.6</v>
      </c>
      <c r="AD2441" s="24">
        <v>1</v>
      </c>
      <c r="AG2441" s="24" t="s">
        <v>2444</v>
      </c>
      <c r="AH2441" s="24" t="s">
        <v>1585</v>
      </c>
      <c r="AI2441" s="24" t="s">
        <v>117</v>
      </c>
      <c r="AJ2441" s="24" t="s">
        <v>117</v>
      </c>
      <c r="AK2441" s="24" t="s">
        <v>2447</v>
      </c>
      <c r="AL2441" s="24" t="s">
        <v>2447</v>
      </c>
      <c r="AM2441" s="24" t="s">
        <v>178</v>
      </c>
      <c r="AT2441" s="24" t="s">
        <v>161</v>
      </c>
      <c r="AU2441" s="24">
        <v>3</v>
      </c>
      <c r="AW2441" s="24" t="s">
        <v>142</v>
      </c>
      <c r="BM2441" s="395"/>
      <c r="BN2441" s="395"/>
      <c r="BR2441" s="395"/>
      <c r="BS2441" s="395"/>
      <c r="EO2441" s="24">
        <v>12</v>
      </c>
      <c r="EP2441" s="24">
        <v>7</v>
      </c>
      <c r="ES2441" s="24" t="s">
        <v>2449</v>
      </c>
      <c r="IQ2441" s="249"/>
    </row>
    <row r="2442" spans="1:251" s="24" customFormat="1" x14ac:dyDescent="0.25">
      <c r="A2442" s="24">
        <v>114</v>
      </c>
      <c r="B2442" s="24" t="s">
        <v>2437</v>
      </c>
      <c r="C2442" s="24" t="s">
        <v>2438</v>
      </c>
      <c r="D2442" s="24">
        <v>2012</v>
      </c>
      <c r="E2442" s="24">
        <v>2007</v>
      </c>
      <c r="F2442" s="24" t="s">
        <v>2439</v>
      </c>
      <c r="G2442" s="24" t="s">
        <v>2442</v>
      </c>
      <c r="H2442" s="40" t="s">
        <v>2841</v>
      </c>
      <c r="I2442" s="24">
        <f>-31-38/60</f>
        <v>-31.633333333333333</v>
      </c>
      <c r="J2442" s="24">
        <f>117+14/60</f>
        <v>117.23333333333333</v>
      </c>
      <c r="K2442" s="24">
        <v>220</v>
      </c>
      <c r="O2442" s="24">
        <v>360</v>
      </c>
      <c r="Q2442" s="42" t="s">
        <v>1986</v>
      </c>
      <c r="R2442" s="42" t="s">
        <v>1735</v>
      </c>
      <c r="T2442" s="42" t="s">
        <v>2440</v>
      </c>
      <c r="U2442" s="42" t="s">
        <v>1383</v>
      </c>
      <c r="V2442" s="42" t="s">
        <v>1722</v>
      </c>
      <c r="W2442" s="42" t="s">
        <v>1383</v>
      </c>
      <c r="X2442" s="42" t="s">
        <v>1383</v>
      </c>
      <c r="Z2442" s="321">
        <v>61</v>
      </c>
      <c r="AA2442" s="321">
        <f>100-60-22</f>
        <v>18</v>
      </c>
      <c r="AB2442" s="24" t="s">
        <v>519</v>
      </c>
      <c r="AC2442" s="24">
        <v>6.6</v>
      </c>
      <c r="AD2442" s="24">
        <v>1</v>
      </c>
      <c r="AG2442" s="24" t="s">
        <v>2445</v>
      </c>
      <c r="AH2442" s="24" t="s">
        <v>1131</v>
      </c>
      <c r="AI2442" s="24" t="s">
        <v>117</v>
      </c>
      <c r="AJ2442" s="24" t="s">
        <v>117</v>
      </c>
      <c r="AK2442" s="24" t="s">
        <v>2448</v>
      </c>
      <c r="AL2442" s="24" t="s">
        <v>2448</v>
      </c>
      <c r="AM2442" s="24" t="s">
        <v>178</v>
      </c>
      <c r="AT2442" s="24" t="s">
        <v>161</v>
      </c>
      <c r="AU2442" s="24">
        <v>3</v>
      </c>
      <c r="AW2442" s="24" t="s">
        <v>142</v>
      </c>
      <c r="BM2442" s="395"/>
      <c r="BN2442" s="395"/>
      <c r="BR2442" s="395"/>
      <c r="BS2442" s="395"/>
      <c r="EO2442" s="24">
        <v>12</v>
      </c>
      <c r="EP2442" s="24">
        <v>3</v>
      </c>
      <c r="ES2442" s="24" t="s">
        <v>2449</v>
      </c>
      <c r="IQ2442" s="249"/>
    </row>
    <row r="2443" spans="1:251" x14ac:dyDescent="0.25">
      <c r="A2443" s="37">
        <v>115</v>
      </c>
      <c r="B2443" s="37" t="s">
        <v>2620</v>
      </c>
      <c r="C2443" s="37" t="s">
        <v>2619</v>
      </c>
      <c r="D2443" s="37">
        <v>2009</v>
      </c>
      <c r="E2443" s="37">
        <v>2005</v>
      </c>
      <c r="F2443" s="37" t="s">
        <v>2623</v>
      </c>
      <c r="G2443" s="37" t="s">
        <v>2622</v>
      </c>
      <c r="H2443" s="37" t="s">
        <v>2841</v>
      </c>
      <c r="I2443" s="37">
        <v>-28.95</v>
      </c>
      <c r="J2443" s="37">
        <v>151.94</v>
      </c>
      <c r="K2443" s="37">
        <v>836.8</v>
      </c>
      <c r="Q2443" s="50" t="s">
        <v>1856</v>
      </c>
      <c r="R2443" s="50" t="s">
        <v>1735</v>
      </c>
      <c r="T2443" s="50" t="s">
        <v>2621</v>
      </c>
      <c r="U2443" s="50" t="s">
        <v>1415</v>
      </c>
      <c r="V2443" s="50" t="s">
        <v>1736</v>
      </c>
      <c r="W2443" s="50" t="s">
        <v>1415</v>
      </c>
      <c r="X2443" s="50" t="s">
        <v>1421</v>
      </c>
      <c r="AG2443" s="37" t="s">
        <v>528</v>
      </c>
      <c r="AH2443" s="37" t="s">
        <v>1585</v>
      </c>
      <c r="AI2443" s="37" t="s">
        <v>117</v>
      </c>
      <c r="AJ2443" s="37" t="s">
        <v>117</v>
      </c>
      <c r="AT2443" s="37" t="s">
        <v>161</v>
      </c>
      <c r="AU2443" s="37">
        <f>ROUND(AVERAGE(8,11,12),0)</f>
        <v>10</v>
      </c>
      <c r="AV2443" s="37">
        <v>2</v>
      </c>
      <c r="AW2443" s="37" t="s">
        <v>142</v>
      </c>
      <c r="BB2443" s="37" t="s">
        <v>2624</v>
      </c>
      <c r="BH2443" s="37">
        <f>2.32*1000</f>
        <v>2320</v>
      </c>
      <c r="BI2443" s="37">
        <v>2720</v>
      </c>
      <c r="BJ2443" s="37">
        <v>1170</v>
      </c>
      <c r="BK2443" s="37">
        <v>1200</v>
      </c>
      <c r="FD2443" s="37">
        <f>AVERAGE(166.67,157.97,173.91,163.77,155.07)</f>
        <v>163.47799999999998</v>
      </c>
      <c r="FE2443" s="37">
        <f>AVERAGE(152.52,122.3,145.3,165.47,147.76)</f>
        <v>146.67000000000002</v>
      </c>
      <c r="FH2443" s="37" t="s">
        <v>2627</v>
      </c>
    </row>
    <row r="2444" spans="1:251" x14ac:dyDescent="0.25">
      <c r="A2444" s="37">
        <v>115</v>
      </c>
      <c r="B2444" s="37" t="s">
        <v>2620</v>
      </c>
      <c r="C2444" s="37" t="s">
        <v>2619</v>
      </c>
      <c r="D2444" s="37">
        <v>2009</v>
      </c>
      <c r="E2444" s="37">
        <v>2005</v>
      </c>
      <c r="F2444" s="37" t="s">
        <v>2623</v>
      </c>
      <c r="G2444" s="37" t="s">
        <v>2622</v>
      </c>
      <c r="H2444" s="37" t="s">
        <v>2841</v>
      </c>
      <c r="I2444" s="37">
        <v>-28.95</v>
      </c>
      <c r="J2444" s="37">
        <v>151.94</v>
      </c>
      <c r="K2444" s="37">
        <v>836.8</v>
      </c>
      <c r="Q2444" s="50" t="s">
        <v>1856</v>
      </c>
      <c r="R2444" s="50" t="s">
        <v>1735</v>
      </c>
      <c r="T2444" s="50" t="s">
        <v>2621</v>
      </c>
      <c r="U2444" s="50" t="s">
        <v>1415</v>
      </c>
      <c r="V2444" s="50" t="s">
        <v>1736</v>
      </c>
      <c r="W2444" s="50" t="s">
        <v>1415</v>
      </c>
      <c r="X2444" s="50" t="s">
        <v>1421</v>
      </c>
      <c r="AG2444" s="37" t="s">
        <v>528</v>
      </c>
      <c r="AH2444" s="37" t="s">
        <v>1585</v>
      </c>
      <c r="AI2444" s="37" t="s">
        <v>117</v>
      </c>
      <c r="AJ2444" s="37" t="s">
        <v>117</v>
      </c>
      <c r="AT2444" s="37" t="s">
        <v>161</v>
      </c>
      <c r="AU2444" s="37">
        <f>ROUND(AVERAGE(8,11,12),0)</f>
        <v>10</v>
      </c>
      <c r="AV2444" s="37">
        <v>2</v>
      </c>
      <c r="AW2444" s="37" t="s">
        <v>142</v>
      </c>
      <c r="BB2444" s="37" t="s">
        <v>2625</v>
      </c>
      <c r="BH2444" s="37">
        <v>2330</v>
      </c>
      <c r="BI2444" s="37">
        <v>2390</v>
      </c>
      <c r="BJ2444" s="37">
        <v>760</v>
      </c>
      <c r="BK2444" s="37">
        <v>800</v>
      </c>
      <c r="FD2444" s="37">
        <f t="shared" ref="FD2444:FD2445" si="313">AVERAGE(166.67,157.97,173.91,163.77,155.07)</f>
        <v>163.47799999999998</v>
      </c>
      <c r="FE2444" s="37">
        <f>AVERAGE(171,95.65,117.39,97.1,117.39)</f>
        <v>119.70599999999999</v>
      </c>
      <c r="FH2444" s="37" t="s">
        <v>2627</v>
      </c>
    </row>
    <row r="2445" spans="1:251" x14ac:dyDescent="0.25">
      <c r="A2445" s="37">
        <v>115</v>
      </c>
      <c r="B2445" s="37" t="s">
        <v>2620</v>
      </c>
      <c r="C2445" s="37" t="s">
        <v>2619</v>
      </c>
      <c r="D2445" s="37">
        <v>2009</v>
      </c>
      <c r="E2445" s="37">
        <v>2005</v>
      </c>
      <c r="F2445" s="37" t="s">
        <v>2623</v>
      </c>
      <c r="G2445" s="37" t="s">
        <v>2622</v>
      </c>
      <c r="H2445" s="37" t="s">
        <v>2841</v>
      </c>
      <c r="I2445" s="37">
        <v>-28.95</v>
      </c>
      <c r="J2445" s="37">
        <v>151.94</v>
      </c>
      <c r="K2445" s="37">
        <v>836.8</v>
      </c>
      <c r="Q2445" s="50" t="s">
        <v>1856</v>
      </c>
      <c r="R2445" s="50" t="s">
        <v>1735</v>
      </c>
      <c r="T2445" s="50" t="s">
        <v>2621</v>
      </c>
      <c r="U2445" s="50" t="s">
        <v>1415</v>
      </c>
      <c r="V2445" s="50" t="s">
        <v>1736</v>
      </c>
      <c r="W2445" s="50" t="s">
        <v>1415</v>
      </c>
      <c r="X2445" s="50" t="s">
        <v>1421</v>
      </c>
      <c r="AG2445" s="37" t="s">
        <v>528</v>
      </c>
      <c r="AH2445" s="37" t="s">
        <v>1585</v>
      </c>
      <c r="AI2445" s="37" t="s">
        <v>117</v>
      </c>
      <c r="AJ2445" s="37" t="s">
        <v>117</v>
      </c>
      <c r="AT2445" s="37" t="s">
        <v>161</v>
      </c>
      <c r="AU2445" s="37">
        <f>ROUND(AVERAGE(8,11,12),0)</f>
        <v>10</v>
      </c>
      <c r="AV2445" s="37">
        <v>2</v>
      </c>
      <c r="AW2445" s="37" t="s">
        <v>142</v>
      </c>
      <c r="BB2445" s="37" t="s">
        <v>2626</v>
      </c>
      <c r="BH2445" s="37">
        <v>2290</v>
      </c>
      <c r="BI2445" s="37">
        <v>2460</v>
      </c>
      <c r="BJ2445" s="37">
        <v>930</v>
      </c>
      <c r="BK2445" s="37">
        <v>840</v>
      </c>
      <c r="FD2445" s="37">
        <f t="shared" si="313"/>
        <v>163.47799999999998</v>
      </c>
      <c r="FE2445" s="37">
        <f>AVERAGE(160.23,94.69,76.15,111.56,113.87)</f>
        <v>111.3</v>
      </c>
      <c r="FH2445" s="37" t="s">
        <v>2627</v>
      </c>
    </row>
    <row r="2446" spans="1:251" s="24" customFormat="1" x14ac:dyDescent="0.25">
      <c r="A2446" s="24">
        <v>116</v>
      </c>
      <c r="B2446" s="24" t="s">
        <v>2628</v>
      </c>
      <c r="C2446" s="24" t="s">
        <v>2629</v>
      </c>
      <c r="D2446" s="24">
        <v>2005</v>
      </c>
      <c r="E2446" s="24">
        <v>1997</v>
      </c>
      <c r="F2446" s="24" t="s">
        <v>2630</v>
      </c>
      <c r="G2446" s="24" t="s">
        <v>2631</v>
      </c>
      <c r="H2446" s="24" t="s">
        <v>2842</v>
      </c>
      <c r="I2446" s="24">
        <f t="shared" ref="I2446:I2465" si="314">9+25/60</f>
        <v>9.4166666666666661</v>
      </c>
      <c r="J2446" s="24">
        <f t="shared" ref="J2446:J2465" si="315">0-58/60</f>
        <v>-0.96666666666666667</v>
      </c>
      <c r="K2446" s="24">
        <v>183</v>
      </c>
      <c r="Q2446" s="42" t="s">
        <v>1986</v>
      </c>
      <c r="R2446" s="42" t="s">
        <v>1867</v>
      </c>
      <c r="S2446" s="42"/>
      <c r="T2446" s="42" t="s">
        <v>2632</v>
      </c>
      <c r="U2446" s="42" t="s">
        <v>1383</v>
      </c>
      <c r="V2446" s="42" t="s">
        <v>1722</v>
      </c>
      <c r="W2446" s="42" t="s">
        <v>1383</v>
      </c>
      <c r="X2446" s="42" t="s">
        <v>1383</v>
      </c>
      <c r="Z2446" s="321">
        <v>65.5</v>
      </c>
      <c r="AA2446" s="321">
        <v>22.02</v>
      </c>
      <c r="AB2446" s="24" t="s">
        <v>241</v>
      </c>
      <c r="AC2446" s="24">
        <v>5.26</v>
      </c>
      <c r="AD2446" s="24">
        <v>0.64</v>
      </c>
      <c r="AF2446" s="24" t="s">
        <v>2690</v>
      </c>
      <c r="AG2446" s="24" t="s">
        <v>2691</v>
      </c>
      <c r="AH2446" s="24" t="s">
        <v>578</v>
      </c>
      <c r="AI2446" s="24" t="s">
        <v>1650</v>
      </c>
      <c r="AJ2446" s="24" t="s">
        <v>133</v>
      </c>
      <c r="AQ2446" s="24" t="s">
        <v>178</v>
      </c>
      <c r="AR2446" s="24" t="s">
        <v>178</v>
      </c>
      <c r="AS2446" s="24" t="s">
        <v>178</v>
      </c>
      <c r="AT2446" s="24" t="s">
        <v>120</v>
      </c>
      <c r="AU2446" s="24">
        <v>3</v>
      </c>
      <c r="AW2446" s="24" t="s">
        <v>142</v>
      </c>
      <c r="AY2446" s="24">
        <v>682.5</v>
      </c>
      <c r="BB2446" s="24" t="s">
        <v>2688</v>
      </c>
      <c r="BH2446" s="24">
        <v>430</v>
      </c>
      <c r="BI2446" s="24">
        <v>1750</v>
      </c>
      <c r="BL2446" s="24" t="s">
        <v>2692</v>
      </c>
      <c r="BM2446" s="395"/>
      <c r="BN2446" s="395"/>
      <c r="BR2446" s="395">
        <v>0.60299999999999998</v>
      </c>
      <c r="BS2446" s="395">
        <v>0.87</v>
      </c>
      <c r="BW2446" s="24">
        <f>0.054*10000</f>
        <v>540</v>
      </c>
      <c r="BX2446" s="24">
        <v>1040</v>
      </c>
      <c r="CA2446" s="24" t="s">
        <v>2695</v>
      </c>
      <c r="CB2446" s="24">
        <v>9.67</v>
      </c>
      <c r="CC2446" s="24">
        <v>7.16</v>
      </c>
      <c r="CG2446" s="24">
        <v>53.3</v>
      </c>
      <c r="CH2446" s="24">
        <v>50.4</v>
      </c>
      <c r="CL2446" s="24">
        <v>5.04</v>
      </c>
      <c r="CM2446" s="24">
        <v>5.33</v>
      </c>
      <c r="CQ2446" s="24">
        <v>3.35</v>
      </c>
      <c r="CR2446" s="24">
        <v>4.04</v>
      </c>
      <c r="CU2446" s="24" t="s">
        <v>2696</v>
      </c>
      <c r="IQ2446" s="249"/>
    </row>
    <row r="2447" spans="1:251" s="24" customFormat="1" x14ac:dyDescent="0.25">
      <c r="A2447" s="24">
        <v>116</v>
      </c>
      <c r="B2447" s="24" t="s">
        <v>2628</v>
      </c>
      <c r="C2447" s="24" t="s">
        <v>2629</v>
      </c>
      <c r="D2447" s="24">
        <v>2005</v>
      </c>
      <c r="E2447" s="24">
        <v>1997</v>
      </c>
      <c r="F2447" s="24" t="s">
        <v>2630</v>
      </c>
      <c r="G2447" s="24" t="s">
        <v>2631</v>
      </c>
      <c r="H2447" s="24" t="s">
        <v>2842</v>
      </c>
      <c r="I2447" s="24">
        <f t="shared" si="314"/>
        <v>9.4166666666666661</v>
      </c>
      <c r="J2447" s="24">
        <f t="shared" si="315"/>
        <v>-0.96666666666666667</v>
      </c>
      <c r="K2447" s="24">
        <v>183</v>
      </c>
      <c r="Q2447" s="42" t="s">
        <v>1986</v>
      </c>
      <c r="R2447" s="42" t="s">
        <v>1867</v>
      </c>
      <c r="S2447" s="42"/>
      <c r="T2447" s="42" t="s">
        <v>2632</v>
      </c>
      <c r="U2447" s="42" t="s">
        <v>1383</v>
      </c>
      <c r="V2447" s="42" t="s">
        <v>1722</v>
      </c>
      <c r="W2447" s="42" t="s">
        <v>1383</v>
      </c>
      <c r="X2447" s="42" t="s">
        <v>1383</v>
      </c>
      <c r="Z2447" s="321">
        <v>65.5</v>
      </c>
      <c r="AA2447" s="321">
        <v>22.02</v>
      </c>
      <c r="AB2447" s="24" t="s">
        <v>241</v>
      </c>
      <c r="AC2447" s="24">
        <v>5.26</v>
      </c>
      <c r="AD2447" s="24">
        <v>0.64</v>
      </c>
      <c r="AF2447" s="24" t="s">
        <v>2690</v>
      </c>
      <c r="AG2447" s="24" t="s">
        <v>2691</v>
      </c>
      <c r="AH2447" s="24" t="s">
        <v>578</v>
      </c>
      <c r="AI2447" s="24" t="s">
        <v>1650</v>
      </c>
      <c r="AJ2447" s="24" t="s">
        <v>133</v>
      </c>
      <c r="AQ2447" s="24" t="s">
        <v>2697</v>
      </c>
      <c r="AR2447" s="24" t="s">
        <v>1438</v>
      </c>
      <c r="AS2447" s="24" t="s">
        <v>503</v>
      </c>
      <c r="AT2447" s="24" t="s">
        <v>120</v>
      </c>
      <c r="AU2447" s="24">
        <v>3</v>
      </c>
      <c r="AW2447" s="24" t="s">
        <v>142</v>
      </c>
      <c r="AY2447" s="24">
        <v>647.79999999999995</v>
      </c>
      <c r="BB2447" s="24" t="s">
        <v>2688</v>
      </c>
      <c r="BH2447" s="24">
        <v>430</v>
      </c>
      <c r="BI2447" s="24">
        <v>2390</v>
      </c>
      <c r="BL2447" s="24" t="s">
        <v>2693</v>
      </c>
      <c r="BM2447" s="395"/>
      <c r="BN2447" s="395"/>
      <c r="BR2447" s="395">
        <v>0.60299999999999998</v>
      </c>
      <c r="BS2447" s="395">
        <v>0.85699999999999998</v>
      </c>
      <c r="BW2447" s="24">
        <f t="shared" ref="BW2447:BW2448" si="316">0.054*10000</f>
        <v>540</v>
      </c>
      <c r="BX2447" s="24">
        <v>790</v>
      </c>
      <c r="CA2447" s="24" t="s">
        <v>2695</v>
      </c>
      <c r="CB2447" s="24">
        <v>9.67</v>
      </c>
      <c r="CC2447" s="24">
        <v>5.98</v>
      </c>
      <c r="CG2447" s="24">
        <v>53.3</v>
      </c>
      <c r="CH2447" s="24">
        <v>47.8</v>
      </c>
      <c r="CL2447" s="24">
        <v>5.04</v>
      </c>
      <c r="CM2447" s="24">
        <v>5.0599999999999996</v>
      </c>
      <c r="CQ2447" s="24">
        <v>3.35</v>
      </c>
      <c r="CR2447" s="24">
        <v>4</v>
      </c>
      <c r="CU2447" s="24" t="s">
        <v>2696</v>
      </c>
      <c r="IQ2447" s="249"/>
    </row>
    <row r="2448" spans="1:251" s="24" customFormat="1" x14ac:dyDescent="0.25">
      <c r="A2448" s="24">
        <v>116</v>
      </c>
      <c r="B2448" s="24" t="s">
        <v>2628</v>
      </c>
      <c r="C2448" s="24" t="s">
        <v>2629</v>
      </c>
      <c r="D2448" s="24">
        <v>2005</v>
      </c>
      <c r="E2448" s="24">
        <v>1997</v>
      </c>
      <c r="F2448" s="24" t="s">
        <v>2630</v>
      </c>
      <c r="G2448" s="24" t="s">
        <v>2631</v>
      </c>
      <c r="H2448" s="24" t="s">
        <v>2842</v>
      </c>
      <c r="I2448" s="24">
        <f t="shared" si="314"/>
        <v>9.4166666666666661</v>
      </c>
      <c r="J2448" s="24">
        <f t="shared" si="315"/>
        <v>-0.96666666666666667</v>
      </c>
      <c r="K2448" s="24">
        <v>183</v>
      </c>
      <c r="Q2448" s="42" t="s">
        <v>1986</v>
      </c>
      <c r="R2448" s="42" t="s">
        <v>1867</v>
      </c>
      <c r="S2448" s="42"/>
      <c r="T2448" s="42" t="s">
        <v>2632</v>
      </c>
      <c r="U2448" s="42" t="s">
        <v>1383</v>
      </c>
      <c r="V2448" s="42" t="s">
        <v>1722</v>
      </c>
      <c r="W2448" s="42" t="s">
        <v>1383</v>
      </c>
      <c r="X2448" s="42" t="s">
        <v>1383</v>
      </c>
      <c r="Z2448" s="321">
        <v>65.5</v>
      </c>
      <c r="AA2448" s="321">
        <v>22.02</v>
      </c>
      <c r="AB2448" s="24" t="s">
        <v>241</v>
      </c>
      <c r="AC2448" s="24">
        <v>5.26</v>
      </c>
      <c r="AD2448" s="24">
        <v>0.64</v>
      </c>
      <c r="AF2448" s="24" t="s">
        <v>2690</v>
      </c>
      <c r="AG2448" s="24" t="s">
        <v>2691</v>
      </c>
      <c r="AH2448" s="24" t="s">
        <v>578</v>
      </c>
      <c r="AI2448" s="24" t="s">
        <v>1650</v>
      </c>
      <c r="AJ2448" s="24" t="s">
        <v>133</v>
      </c>
      <c r="AQ2448" s="24" t="s">
        <v>178</v>
      </c>
      <c r="AR2448" s="24" t="s">
        <v>178</v>
      </c>
      <c r="AS2448" s="24" t="s">
        <v>178</v>
      </c>
      <c r="AT2448" s="24" t="s">
        <v>120</v>
      </c>
      <c r="AU2448" s="24">
        <v>3</v>
      </c>
      <c r="AW2448" s="24" t="s">
        <v>142</v>
      </c>
      <c r="AY2448" s="24">
        <v>687.1</v>
      </c>
      <c r="BB2448" s="24" t="s">
        <v>2688</v>
      </c>
      <c r="BH2448" s="24">
        <v>430</v>
      </c>
      <c r="BI2448" s="24">
        <v>1450</v>
      </c>
      <c r="BL2448" s="24" t="s">
        <v>2694</v>
      </c>
      <c r="BM2448" s="395"/>
      <c r="BN2448" s="395"/>
      <c r="BR2448" s="395">
        <v>0.60299999999999998</v>
      </c>
      <c r="BS2448" s="395">
        <v>0.86699999999999999</v>
      </c>
      <c r="BW2448" s="24">
        <f t="shared" si="316"/>
        <v>540</v>
      </c>
      <c r="BX2448" s="24">
        <v>1020</v>
      </c>
      <c r="CA2448" s="24" t="s">
        <v>2695</v>
      </c>
      <c r="CB2448" s="24">
        <v>9.67</v>
      </c>
      <c r="CC2448" s="24">
        <v>7.86</v>
      </c>
      <c r="CG2448" s="24">
        <v>53.3</v>
      </c>
      <c r="CH2448" s="24">
        <v>60.8</v>
      </c>
      <c r="CL2448" s="24">
        <v>5.04</v>
      </c>
      <c r="CM2448" s="24">
        <v>5.1100000000000003</v>
      </c>
      <c r="CQ2448" s="24">
        <v>3.35</v>
      </c>
      <c r="CR2448" s="24">
        <v>4.0199999999999996</v>
      </c>
      <c r="CU2448" s="24" t="s">
        <v>2696</v>
      </c>
      <c r="IQ2448" s="249"/>
    </row>
    <row r="2449" spans="1:251" s="101" customFormat="1" x14ac:dyDescent="0.25">
      <c r="A2449" s="101">
        <v>116</v>
      </c>
      <c r="B2449" s="101" t="s">
        <v>2628</v>
      </c>
      <c r="C2449" s="101" t="s">
        <v>2629</v>
      </c>
      <c r="D2449" s="101">
        <v>2005</v>
      </c>
      <c r="E2449" s="101">
        <v>1998</v>
      </c>
      <c r="F2449" s="101" t="s">
        <v>2630</v>
      </c>
      <c r="G2449" s="101" t="s">
        <v>2631</v>
      </c>
      <c r="H2449" s="24" t="s">
        <v>2842</v>
      </c>
      <c r="I2449" s="101">
        <f t="shared" si="314"/>
        <v>9.4166666666666661</v>
      </c>
      <c r="J2449" s="101">
        <f t="shared" si="315"/>
        <v>-0.96666666666666667</v>
      </c>
      <c r="K2449" s="101">
        <v>183</v>
      </c>
      <c r="Q2449" s="102" t="s">
        <v>1856</v>
      </c>
      <c r="R2449" s="102" t="s">
        <v>1867</v>
      </c>
      <c r="S2449" s="102"/>
      <c r="T2449" s="102" t="s">
        <v>2632</v>
      </c>
      <c r="U2449" s="102" t="s">
        <v>1383</v>
      </c>
      <c r="V2449" s="102" t="s">
        <v>1722</v>
      </c>
      <c r="W2449" s="102" t="s">
        <v>1383</v>
      </c>
      <c r="X2449" s="102" t="s">
        <v>1383</v>
      </c>
      <c r="Z2449" s="352">
        <v>65.5</v>
      </c>
      <c r="AA2449" s="352">
        <v>22.02</v>
      </c>
      <c r="AB2449" s="101" t="s">
        <v>241</v>
      </c>
      <c r="AC2449" s="101">
        <v>5.26</v>
      </c>
      <c r="AD2449" s="101">
        <v>0.64</v>
      </c>
      <c r="AF2449" s="101" t="s">
        <v>2690</v>
      </c>
      <c r="AG2449" s="101" t="s">
        <v>2691</v>
      </c>
      <c r="AH2449" s="101" t="s">
        <v>578</v>
      </c>
      <c r="AI2449" s="101" t="s">
        <v>1650</v>
      </c>
      <c r="AJ2449" s="101" t="s">
        <v>133</v>
      </c>
      <c r="AQ2449" s="24" t="s">
        <v>178</v>
      </c>
      <c r="AR2449" s="24" t="s">
        <v>178</v>
      </c>
      <c r="AS2449" s="24" t="s">
        <v>178</v>
      </c>
      <c r="AT2449" s="101" t="s">
        <v>120</v>
      </c>
      <c r="AU2449" s="101">
        <v>3</v>
      </c>
      <c r="AW2449" s="101" t="s">
        <v>142</v>
      </c>
      <c r="AY2449" s="101">
        <v>548.1</v>
      </c>
      <c r="BB2449" s="101" t="s">
        <v>2688</v>
      </c>
      <c r="BH2449" s="101">
        <v>390</v>
      </c>
      <c r="BI2449" s="101">
        <v>910</v>
      </c>
      <c r="BL2449" s="101" t="s">
        <v>2692</v>
      </c>
      <c r="BM2449" s="427"/>
      <c r="BN2449" s="427"/>
      <c r="BR2449" s="427"/>
      <c r="BS2449" s="427"/>
      <c r="IQ2449" s="177"/>
    </row>
    <row r="2450" spans="1:251" s="101" customFormat="1" x14ac:dyDescent="0.25">
      <c r="A2450" s="101">
        <v>116</v>
      </c>
      <c r="B2450" s="101" t="s">
        <v>2628</v>
      </c>
      <c r="C2450" s="101" t="s">
        <v>2629</v>
      </c>
      <c r="D2450" s="101">
        <v>2005</v>
      </c>
      <c r="E2450" s="101">
        <v>1998</v>
      </c>
      <c r="F2450" s="101" t="s">
        <v>2630</v>
      </c>
      <c r="G2450" s="101" t="s">
        <v>2631</v>
      </c>
      <c r="H2450" s="24" t="s">
        <v>2842</v>
      </c>
      <c r="I2450" s="101">
        <f t="shared" si="314"/>
        <v>9.4166666666666661</v>
      </c>
      <c r="J2450" s="101">
        <f t="shared" si="315"/>
        <v>-0.96666666666666667</v>
      </c>
      <c r="K2450" s="101">
        <v>183</v>
      </c>
      <c r="Q2450" s="102" t="s">
        <v>1856</v>
      </c>
      <c r="R2450" s="102" t="s">
        <v>1867</v>
      </c>
      <c r="S2450" s="102"/>
      <c r="T2450" s="102" t="s">
        <v>2632</v>
      </c>
      <c r="U2450" s="102" t="s">
        <v>1383</v>
      </c>
      <c r="V2450" s="102" t="s">
        <v>1722</v>
      </c>
      <c r="W2450" s="102" t="s">
        <v>1383</v>
      </c>
      <c r="X2450" s="102" t="s">
        <v>1383</v>
      </c>
      <c r="Z2450" s="352">
        <v>65.5</v>
      </c>
      <c r="AA2450" s="352">
        <v>22.02</v>
      </c>
      <c r="AB2450" s="101" t="s">
        <v>241</v>
      </c>
      <c r="AC2450" s="101">
        <v>5.26</v>
      </c>
      <c r="AD2450" s="101">
        <v>0.64</v>
      </c>
      <c r="AF2450" s="101" t="s">
        <v>2690</v>
      </c>
      <c r="AG2450" s="101" t="s">
        <v>2691</v>
      </c>
      <c r="AH2450" s="101" t="s">
        <v>578</v>
      </c>
      <c r="AI2450" s="101" t="s">
        <v>1650</v>
      </c>
      <c r="AJ2450" s="101" t="s">
        <v>133</v>
      </c>
      <c r="AQ2450" s="24" t="s">
        <v>2697</v>
      </c>
      <c r="AR2450" s="24" t="s">
        <v>1438</v>
      </c>
      <c r="AS2450" s="24" t="s">
        <v>503</v>
      </c>
      <c r="AT2450" s="101" t="s">
        <v>120</v>
      </c>
      <c r="AU2450" s="101">
        <v>3</v>
      </c>
      <c r="AW2450" s="101" t="s">
        <v>142</v>
      </c>
      <c r="AY2450" s="101">
        <v>543.9</v>
      </c>
      <c r="BB2450" s="101" t="s">
        <v>2688</v>
      </c>
      <c r="BH2450" s="101">
        <v>390</v>
      </c>
      <c r="BI2450" s="101">
        <v>1190</v>
      </c>
      <c r="BL2450" s="101" t="s">
        <v>2693</v>
      </c>
      <c r="BM2450" s="427"/>
      <c r="BN2450" s="427"/>
      <c r="BR2450" s="427"/>
      <c r="BS2450" s="427"/>
      <c r="IQ2450" s="177"/>
    </row>
    <row r="2451" spans="1:251" s="101" customFormat="1" x14ac:dyDescent="0.25">
      <c r="A2451" s="101">
        <v>116</v>
      </c>
      <c r="B2451" s="101" t="s">
        <v>2628</v>
      </c>
      <c r="C2451" s="101" t="s">
        <v>2629</v>
      </c>
      <c r="D2451" s="101">
        <v>2005</v>
      </c>
      <c r="E2451" s="101">
        <v>1998</v>
      </c>
      <c r="F2451" s="101" t="s">
        <v>2630</v>
      </c>
      <c r="G2451" s="101" t="s">
        <v>2631</v>
      </c>
      <c r="H2451" s="24" t="s">
        <v>2842</v>
      </c>
      <c r="I2451" s="101">
        <f t="shared" si="314"/>
        <v>9.4166666666666661</v>
      </c>
      <c r="J2451" s="101">
        <f t="shared" si="315"/>
        <v>-0.96666666666666667</v>
      </c>
      <c r="K2451" s="101">
        <v>183</v>
      </c>
      <c r="Q2451" s="102" t="s">
        <v>1856</v>
      </c>
      <c r="R2451" s="102" t="s">
        <v>1867</v>
      </c>
      <c r="S2451" s="102"/>
      <c r="T2451" s="102" t="s">
        <v>2632</v>
      </c>
      <c r="U2451" s="102" t="s">
        <v>1383</v>
      </c>
      <c r="V2451" s="102" t="s">
        <v>1722</v>
      </c>
      <c r="W2451" s="102" t="s">
        <v>1383</v>
      </c>
      <c r="X2451" s="102" t="s">
        <v>1383</v>
      </c>
      <c r="Z2451" s="352">
        <v>65.5</v>
      </c>
      <c r="AA2451" s="352">
        <v>22.02</v>
      </c>
      <c r="AB2451" s="101" t="s">
        <v>241</v>
      </c>
      <c r="AC2451" s="101">
        <v>5.26</v>
      </c>
      <c r="AD2451" s="101">
        <v>0.64</v>
      </c>
      <c r="AF2451" s="101" t="s">
        <v>2690</v>
      </c>
      <c r="AG2451" s="101" t="s">
        <v>2691</v>
      </c>
      <c r="AH2451" s="101" t="s">
        <v>578</v>
      </c>
      <c r="AI2451" s="101" t="s">
        <v>1650</v>
      </c>
      <c r="AJ2451" s="101" t="s">
        <v>133</v>
      </c>
      <c r="AQ2451" s="24" t="s">
        <v>178</v>
      </c>
      <c r="AR2451" s="24" t="s">
        <v>178</v>
      </c>
      <c r="AS2451" s="24" t="s">
        <v>178</v>
      </c>
      <c r="AT2451" s="101" t="s">
        <v>120</v>
      </c>
      <c r="AU2451" s="101">
        <v>3</v>
      </c>
      <c r="AW2451" s="101" t="s">
        <v>142</v>
      </c>
      <c r="AY2451" s="101">
        <v>555.5</v>
      </c>
      <c r="BB2451" s="101" t="s">
        <v>2688</v>
      </c>
      <c r="BH2451" s="101">
        <v>390</v>
      </c>
      <c r="BI2451" s="101">
        <v>890</v>
      </c>
      <c r="BL2451" s="101" t="s">
        <v>2694</v>
      </c>
      <c r="BM2451" s="427"/>
      <c r="BN2451" s="427"/>
      <c r="BR2451" s="427"/>
      <c r="BS2451" s="427"/>
      <c r="IQ2451" s="177"/>
    </row>
    <row r="2452" spans="1:251" s="32" customFormat="1" x14ac:dyDescent="0.25">
      <c r="A2452" s="32">
        <v>116</v>
      </c>
      <c r="B2452" s="32" t="s">
        <v>2628</v>
      </c>
      <c r="C2452" s="32" t="s">
        <v>2629</v>
      </c>
      <c r="D2452" s="32">
        <v>2005</v>
      </c>
      <c r="E2452" s="32">
        <v>1997</v>
      </c>
      <c r="F2452" s="32" t="s">
        <v>2630</v>
      </c>
      <c r="G2452" s="32" t="s">
        <v>2631</v>
      </c>
      <c r="H2452" s="24" t="s">
        <v>2842</v>
      </c>
      <c r="I2452" s="32">
        <f t="shared" si="314"/>
        <v>9.4166666666666661</v>
      </c>
      <c r="J2452" s="32">
        <f t="shared" si="315"/>
        <v>-0.96666666666666667</v>
      </c>
      <c r="K2452" s="32">
        <v>183</v>
      </c>
      <c r="Q2452" s="44" t="s">
        <v>1986</v>
      </c>
      <c r="R2452" s="44" t="s">
        <v>1867</v>
      </c>
      <c r="S2452" s="44"/>
      <c r="T2452" s="44" t="s">
        <v>2632</v>
      </c>
      <c r="U2452" s="44" t="s">
        <v>1383</v>
      </c>
      <c r="V2452" s="44" t="s">
        <v>1722</v>
      </c>
      <c r="W2452" s="44" t="s">
        <v>1383</v>
      </c>
      <c r="X2452" s="44" t="s">
        <v>1383</v>
      </c>
      <c r="Z2452" s="323">
        <v>76.25</v>
      </c>
      <c r="AA2452" s="323">
        <v>13.1</v>
      </c>
      <c r="AB2452" s="32" t="s">
        <v>176</v>
      </c>
      <c r="AC2452" s="32">
        <v>4.7699999999999996</v>
      </c>
      <c r="AD2452" s="32">
        <v>0.52</v>
      </c>
      <c r="AF2452" s="32" t="s">
        <v>2689</v>
      </c>
      <c r="AG2452" s="32" t="s">
        <v>2691</v>
      </c>
      <c r="AH2452" s="32" t="s">
        <v>578</v>
      </c>
      <c r="AI2452" s="32" t="s">
        <v>1650</v>
      </c>
      <c r="AJ2452" s="32" t="s">
        <v>133</v>
      </c>
      <c r="AQ2452" s="32" t="s">
        <v>178</v>
      </c>
      <c r="AR2452" s="32" t="s">
        <v>178</v>
      </c>
      <c r="AS2452" s="32" t="s">
        <v>178</v>
      </c>
      <c r="AT2452" s="32" t="s">
        <v>120</v>
      </c>
      <c r="AU2452" s="32">
        <v>3</v>
      </c>
      <c r="AW2452" s="32" t="s">
        <v>142</v>
      </c>
      <c r="AY2452" s="32">
        <v>647.29999999999995</v>
      </c>
      <c r="BB2452" s="32" t="s">
        <v>2687</v>
      </c>
      <c r="BH2452" s="32">
        <v>440</v>
      </c>
      <c r="BI2452" s="32">
        <v>1510</v>
      </c>
      <c r="BL2452" s="32" t="s">
        <v>2692</v>
      </c>
      <c r="BM2452" s="397"/>
      <c r="BN2452" s="397"/>
      <c r="BR2452" s="397">
        <v>0.53</v>
      </c>
      <c r="BS2452" s="397">
        <v>0.753</v>
      </c>
      <c r="BW2452" s="32">
        <v>450</v>
      </c>
      <c r="BX2452" s="32">
        <v>880</v>
      </c>
      <c r="CA2452" s="32" t="s">
        <v>2695</v>
      </c>
      <c r="CB2452" s="32">
        <v>10.14</v>
      </c>
      <c r="CC2452" s="32">
        <v>10.8</v>
      </c>
      <c r="CG2452" s="32">
        <v>52.8</v>
      </c>
      <c r="CH2452" s="32">
        <v>57</v>
      </c>
      <c r="CL2452" s="32">
        <v>4.91</v>
      </c>
      <c r="CM2452" s="32">
        <v>5.0599999999999996</v>
      </c>
      <c r="CQ2452" s="32">
        <v>3.66</v>
      </c>
      <c r="CR2452" s="32">
        <v>4.49</v>
      </c>
      <c r="CU2452" s="32" t="s">
        <v>2696</v>
      </c>
      <c r="IQ2452" s="243"/>
    </row>
    <row r="2453" spans="1:251" s="32" customFormat="1" x14ac:dyDescent="0.25">
      <c r="A2453" s="32">
        <v>116</v>
      </c>
      <c r="B2453" s="32" t="s">
        <v>2628</v>
      </c>
      <c r="C2453" s="32" t="s">
        <v>2629</v>
      </c>
      <c r="D2453" s="32">
        <v>2005</v>
      </c>
      <c r="E2453" s="32">
        <v>1997</v>
      </c>
      <c r="F2453" s="32" t="s">
        <v>2630</v>
      </c>
      <c r="G2453" s="32" t="s">
        <v>2631</v>
      </c>
      <c r="H2453" s="24" t="s">
        <v>2842</v>
      </c>
      <c r="I2453" s="32">
        <f t="shared" si="314"/>
        <v>9.4166666666666661</v>
      </c>
      <c r="J2453" s="32">
        <f t="shared" si="315"/>
        <v>-0.96666666666666667</v>
      </c>
      <c r="K2453" s="32">
        <v>183</v>
      </c>
      <c r="Q2453" s="44" t="s">
        <v>1986</v>
      </c>
      <c r="R2453" s="44" t="s">
        <v>1867</v>
      </c>
      <c r="S2453" s="44"/>
      <c r="T2453" s="44" t="s">
        <v>2632</v>
      </c>
      <c r="U2453" s="44" t="s">
        <v>1383</v>
      </c>
      <c r="V2453" s="44" t="s">
        <v>1722</v>
      </c>
      <c r="W2453" s="44" t="s">
        <v>1383</v>
      </c>
      <c r="X2453" s="44" t="s">
        <v>1383</v>
      </c>
      <c r="Z2453" s="323">
        <v>76.25</v>
      </c>
      <c r="AA2453" s="323">
        <v>13.1</v>
      </c>
      <c r="AB2453" s="32" t="s">
        <v>176</v>
      </c>
      <c r="AC2453" s="32">
        <v>4.7699999999999996</v>
      </c>
      <c r="AD2453" s="32">
        <v>0.52</v>
      </c>
      <c r="AF2453" s="32" t="s">
        <v>2689</v>
      </c>
      <c r="AG2453" s="32" t="s">
        <v>2691</v>
      </c>
      <c r="AH2453" s="32" t="s">
        <v>578</v>
      </c>
      <c r="AI2453" s="32" t="s">
        <v>1650</v>
      </c>
      <c r="AJ2453" s="32" t="s">
        <v>133</v>
      </c>
      <c r="AQ2453" s="32" t="s">
        <v>2697</v>
      </c>
      <c r="AR2453" s="32" t="s">
        <v>1438</v>
      </c>
      <c r="AS2453" s="32" t="s">
        <v>503</v>
      </c>
      <c r="AT2453" s="32" t="s">
        <v>120</v>
      </c>
      <c r="AU2453" s="32">
        <v>3</v>
      </c>
      <c r="AW2453" s="32" t="s">
        <v>142</v>
      </c>
      <c r="AY2453" s="32">
        <v>634.4</v>
      </c>
      <c r="BB2453" s="32" t="s">
        <v>2687</v>
      </c>
      <c r="BH2453" s="32">
        <v>440</v>
      </c>
      <c r="BI2453" s="32">
        <v>2020</v>
      </c>
      <c r="BL2453" s="32" t="s">
        <v>2693</v>
      </c>
      <c r="BM2453" s="397"/>
      <c r="BN2453" s="397"/>
      <c r="BR2453" s="397">
        <v>0.53</v>
      </c>
      <c r="BS2453" s="397">
        <v>0.68</v>
      </c>
      <c r="BW2453" s="32">
        <v>450</v>
      </c>
      <c r="BX2453" s="32">
        <v>800</v>
      </c>
      <c r="CA2453" s="32" t="s">
        <v>2695</v>
      </c>
      <c r="CB2453" s="32">
        <v>10.14</v>
      </c>
      <c r="CC2453" s="32">
        <v>8.33</v>
      </c>
      <c r="CG2453" s="32">
        <v>52.8</v>
      </c>
      <c r="CH2453" s="32">
        <v>46.2</v>
      </c>
      <c r="CL2453" s="32">
        <v>4.91</v>
      </c>
      <c r="CM2453" s="32">
        <v>4.8600000000000003</v>
      </c>
      <c r="CQ2453" s="32">
        <v>3.66</v>
      </c>
      <c r="CR2453" s="32">
        <v>4.21</v>
      </c>
      <c r="CU2453" s="32" t="s">
        <v>2696</v>
      </c>
      <c r="IQ2453" s="243"/>
    </row>
    <row r="2454" spans="1:251" s="32" customFormat="1" x14ac:dyDescent="0.25">
      <c r="A2454" s="32">
        <v>116</v>
      </c>
      <c r="B2454" s="32" t="s">
        <v>2628</v>
      </c>
      <c r="C2454" s="32" t="s">
        <v>2629</v>
      </c>
      <c r="D2454" s="32">
        <v>2005</v>
      </c>
      <c r="E2454" s="32">
        <v>1997</v>
      </c>
      <c r="F2454" s="32" t="s">
        <v>2630</v>
      </c>
      <c r="G2454" s="32" t="s">
        <v>2631</v>
      </c>
      <c r="H2454" s="24" t="s">
        <v>2842</v>
      </c>
      <c r="I2454" s="32">
        <f t="shared" si="314"/>
        <v>9.4166666666666661</v>
      </c>
      <c r="J2454" s="32">
        <f t="shared" si="315"/>
        <v>-0.96666666666666667</v>
      </c>
      <c r="K2454" s="32">
        <v>183</v>
      </c>
      <c r="Q2454" s="44" t="s">
        <v>1986</v>
      </c>
      <c r="R2454" s="44" t="s">
        <v>1867</v>
      </c>
      <c r="S2454" s="44"/>
      <c r="T2454" s="44" t="s">
        <v>2632</v>
      </c>
      <c r="U2454" s="44" t="s">
        <v>1383</v>
      </c>
      <c r="V2454" s="44" t="s">
        <v>1722</v>
      </c>
      <c r="W2454" s="44" t="s">
        <v>1383</v>
      </c>
      <c r="X2454" s="44" t="s">
        <v>1383</v>
      </c>
      <c r="Z2454" s="323">
        <v>76.25</v>
      </c>
      <c r="AA2454" s="323">
        <v>13.1</v>
      </c>
      <c r="AB2454" s="32" t="s">
        <v>176</v>
      </c>
      <c r="AC2454" s="32">
        <v>4.7699999999999996</v>
      </c>
      <c r="AD2454" s="32">
        <v>0.52</v>
      </c>
      <c r="AF2454" s="32" t="s">
        <v>2689</v>
      </c>
      <c r="AG2454" s="32" t="s">
        <v>2691</v>
      </c>
      <c r="AH2454" s="32" t="s">
        <v>578</v>
      </c>
      <c r="AI2454" s="32" t="s">
        <v>1650</v>
      </c>
      <c r="AJ2454" s="32" t="s">
        <v>133</v>
      </c>
      <c r="AQ2454" s="32" t="s">
        <v>178</v>
      </c>
      <c r="AR2454" s="32" t="s">
        <v>178</v>
      </c>
      <c r="AS2454" s="32" t="s">
        <v>178</v>
      </c>
      <c r="AT2454" s="32" t="s">
        <v>120</v>
      </c>
      <c r="AU2454" s="32">
        <v>3</v>
      </c>
      <c r="AW2454" s="32" t="s">
        <v>142</v>
      </c>
      <c r="AY2454" s="32">
        <v>615.4</v>
      </c>
      <c r="BB2454" s="32" t="s">
        <v>2687</v>
      </c>
      <c r="BH2454" s="32">
        <v>440</v>
      </c>
      <c r="BI2454" s="32">
        <v>1420</v>
      </c>
      <c r="BL2454" s="32" t="s">
        <v>2694</v>
      </c>
      <c r="BM2454" s="397"/>
      <c r="BN2454" s="397"/>
      <c r="BR2454" s="397">
        <v>0.53</v>
      </c>
      <c r="BS2454" s="397">
        <v>0.68300000000000005</v>
      </c>
      <c r="BW2454" s="32">
        <v>450</v>
      </c>
      <c r="BX2454" s="32">
        <v>750</v>
      </c>
      <c r="CA2454" s="32" t="s">
        <v>2695</v>
      </c>
      <c r="CB2454" s="32">
        <v>10.14</v>
      </c>
      <c r="CC2454" s="32">
        <v>10.02</v>
      </c>
      <c r="CG2454" s="32">
        <v>52.8</v>
      </c>
      <c r="CH2454" s="32">
        <v>43.8</v>
      </c>
      <c r="CL2454" s="32">
        <v>4.91</v>
      </c>
      <c r="CM2454" s="32">
        <v>5.09</v>
      </c>
      <c r="CQ2454" s="32">
        <v>3.66</v>
      </c>
      <c r="CR2454" s="32">
        <v>4.34</v>
      </c>
      <c r="CU2454" s="32" t="s">
        <v>2696</v>
      </c>
      <c r="IQ2454" s="243"/>
    </row>
    <row r="2455" spans="1:251" s="105" customFormat="1" x14ac:dyDescent="0.25">
      <c r="A2455" s="105">
        <v>116</v>
      </c>
      <c r="B2455" s="105" t="s">
        <v>2628</v>
      </c>
      <c r="C2455" s="105" t="s">
        <v>2629</v>
      </c>
      <c r="D2455" s="105">
        <v>2005</v>
      </c>
      <c r="E2455" s="101">
        <v>1998</v>
      </c>
      <c r="F2455" s="105" t="s">
        <v>2630</v>
      </c>
      <c r="G2455" s="105" t="s">
        <v>2631</v>
      </c>
      <c r="H2455" s="24" t="s">
        <v>2842</v>
      </c>
      <c r="I2455" s="105">
        <f t="shared" si="314"/>
        <v>9.4166666666666661</v>
      </c>
      <c r="J2455" s="105">
        <f t="shared" si="315"/>
        <v>-0.96666666666666667</v>
      </c>
      <c r="K2455" s="105">
        <v>183</v>
      </c>
      <c r="Q2455" s="106" t="s">
        <v>1856</v>
      </c>
      <c r="R2455" s="106" t="s">
        <v>1867</v>
      </c>
      <c r="S2455" s="106"/>
      <c r="T2455" s="106" t="s">
        <v>2632</v>
      </c>
      <c r="U2455" s="106" t="s">
        <v>1383</v>
      </c>
      <c r="V2455" s="106" t="s">
        <v>1722</v>
      </c>
      <c r="W2455" s="106" t="s">
        <v>1383</v>
      </c>
      <c r="X2455" s="106" t="s">
        <v>1383</v>
      </c>
      <c r="Z2455" s="354">
        <v>76.25</v>
      </c>
      <c r="AA2455" s="354">
        <v>13.1</v>
      </c>
      <c r="AB2455" s="105" t="s">
        <v>176</v>
      </c>
      <c r="AC2455" s="105">
        <v>4.7699999999999996</v>
      </c>
      <c r="AD2455" s="105">
        <v>0.52</v>
      </c>
      <c r="AF2455" s="105" t="s">
        <v>2689</v>
      </c>
      <c r="AG2455" s="105" t="s">
        <v>2691</v>
      </c>
      <c r="AH2455" s="105" t="s">
        <v>578</v>
      </c>
      <c r="AI2455" s="105" t="s">
        <v>1650</v>
      </c>
      <c r="AJ2455" s="105" t="s">
        <v>133</v>
      </c>
      <c r="AQ2455" s="105" t="s">
        <v>178</v>
      </c>
      <c r="AR2455" s="105" t="s">
        <v>178</v>
      </c>
      <c r="AS2455" s="105" t="s">
        <v>178</v>
      </c>
      <c r="AT2455" s="105" t="s">
        <v>120</v>
      </c>
      <c r="AU2455" s="105">
        <v>3</v>
      </c>
      <c r="AW2455" s="105" t="s">
        <v>142</v>
      </c>
      <c r="AY2455" s="105">
        <v>573.6</v>
      </c>
      <c r="BB2455" s="105" t="s">
        <v>2687</v>
      </c>
      <c r="BH2455" s="105">
        <v>410</v>
      </c>
      <c r="BI2455" s="105">
        <v>1020</v>
      </c>
      <c r="BL2455" s="105" t="s">
        <v>2692</v>
      </c>
      <c r="BM2455" s="429"/>
      <c r="BN2455" s="429"/>
      <c r="BR2455" s="429"/>
      <c r="BS2455" s="429"/>
      <c r="IQ2455" s="502"/>
    </row>
    <row r="2456" spans="1:251" s="105" customFormat="1" x14ac:dyDescent="0.25">
      <c r="A2456" s="105">
        <v>116</v>
      </c>
      <c r="B2456" s="105" t="s">
        <v>2628</v>
      </c>
      <c r="C2456" s="105" t="s">
        <v>2629</v>
      </c>
      <c r="D2456" s="105">
        <v>2005</v>
      </c>
      <c r="E2456" s="101">
        <v>1998</v>
      </c>
      <c r="F2456" s="105" t="s">
        <v>2630</v>
      </c>
      <c r="G2456" s="105" t="s">
        <v>2631</v>
      </c>
      <c r="H2456" s="24" t="s">
        <v>2842</v>
      </c>
      <c r="I2456" s="105">
        <f t="shared" si="314"/>
        <v>9.4166666666666661</v>
      </c>
      <c r="J2456" s="105">
        <f t="shared" si="315"/>
        <v>-0.96666666666666667</v>
      </c>
      <c r="K2456" s="105">
        <v>183</v>
      </c>
      <c r="Q2456" s="106" t="s">
        <v>1856</v>
      </c>
      <c r="R2456" s="106" t="s">
        <v>1867</v>
      </c>
      <c r="S2456" s="106"/>
      <c r="T2456" s="106" t="s">
        <v>2632</v>
      </c>
      <c r="U2456" s="106" t="s">
        <v>1383</v>
      </c>
      <c r="V2456" s="106" t="s">
        <v>1722</v>
      </c>
      <c r="W2456" s="106" t="s">
        <v>1383</v>
      </c>
      <c r="X2456" s="106" t="s">
        <v>1383</v>
      </c>
      <c r="Z2456" s="354">
        <v>76.25</v>
      </c>
      <c r="AA2456" s="354">
        <v>13.1</v>
      </c>
      <c r="AB2456" s="105" t="s">
        <v>176</v>
      </c>
      <c r="AC2456" s="105">
        <v>4.7699999999999996</v>
      </c>
      <c r="AD2456" s="105">
        <v>0.52</v>
      </c>
      <c r="AF2456" s="105" t="s">
        <v>2689</v>
      </c>
      <c r="AG2456" s="105" t="s">
        <v>2691</v>
      </c>
      <c r="AH2456" s="105" t="s">
        <v>578</v>
      </c>
      <c r="AI2456" s="105" t="s">
        <v>1650</v>
      </c>
      <c r="AJ2456" s="105" t="s">
        <v>133</v>
      </c>
      <c r="AQ2456" s="105" t="s">
        <v>2697</v>
      </c>
      <c r="AR2456" s="105" t="s">
        <v>1438</v>
      </c>
      <c r="AS2456" s="105" t="s">
        <v>503</v>
      </c>
      <c r="AT2456" s="105" t="s">
        <v>120</v>
      </c>
      <c r="AU2456" s="105">
        <v>3</v>
      </c>
      <c r="AW2456" s="105" t="s">
        <v>142</v>
      </c>
      <c r="AY2456" s="105">
        <v>527.29999999999995</v>
      </c>
      <c r="BB2456" s="105" t="s">
        <v>2687</v>
      </c>
      <c r="BH2456" s="105">
        <v>410</v>
      </c>
      <c r="BI2456" s="105">
        <v>1160</v>
      </c>
      <c r="BL2456" s="105" t="s">
        <v>2693</v>
      </c>
      <c r="BM2456" s="429"/>
      <c r="BN2456" s="429"/>
      <c r="BR2456" s="429"/>
      <c r="BS2456" s="429"/>
      <c r="IQ2456" s="502"/>
    </row>
    <row r="2457" spans="1:251" s="105" customFormat="1" x14ac:dyDescent="0.25">
      <c r="A2457" s="105">
        <v>116</v>
      </c>
      <c r="B2457" s="105" t="s">
        <v>2628</v>
      </c>
      <c r="C2457" s="105" t="s">
        <v>2629</v>
      </c>
      <c r="D2457" s="105">
        <v>2005</v>
      </c>
      <c r="E2457" s="101">
        <v>1998</v>
      </c>
      <c r="F2457" s="105" t="s">
        <v>2630</v>
      </c>
      <c r="G2457" s="105" t="s">
        <v>2631</v>
      </c>
      <c r="H2457" s="24" t="s">
        <v>2842</v>
      </c>
      <c r="I2457" s="105">
        <f t="shared" si="314"/>
        <v>9.4166666666666661</v>
      </c>
      <c r="J2457" s="105">
        <f t="shared" si="315"/>
        <v>-0.96666666666666667</v>
      </c>
      <c r="K2457" s="105">
        <v>183</v>
      </c>
      <c r="Q2457" s="106" t="s">
        <v>1856</v>
      </c>
      <c r="R2457" s="106" t="s">
        <v>1867</v>
      </c>
      <c r="S2457" s="106"/>
      <c r="T2457" s="106" t="s">
        <v>2632</v>
      </c>
      <c r="U2457" s="106" t="s">
        <v>1383</v>
      </c>
      <c r="V2457" s="106" t="s">
        <v>1722</v>
      </c>
      <c r="W2457" s="106" t="s">
        <v>1383</v>
      </c>
      <c r="X2457" s="106" t="s">
        <v>1383</v>
      </c>
      <c r="Z2457" s="354">
        <v>76.25</v>
      </c>
      <c r="AA2457" s="354">
        <v>13.1</v>
      </c>
      <c r="AB2457" s="105" t="s">
        <v>176</v>
      </c>
      <c r="AC2457" s="105">
        <v>4.7699999999999996</v>
      </c>
      <c r="AD2457" s="105">
        <v>0.52</v>
      </c>
      <c r="AF2457" s="105" t="s">
        <v>2689</v>
      </c>
      <c r="AG2457" s="105" t="s">
        <v>2691</v>
      </c>
      <c r="AH2457" s="105" t="s">
        <v>578</v>
      </c>
      <c r="AI2457" s="105" t="s">
        <v>1650</v>
      </c>
      <c r="AJ2457" s="105" t="s">
        <v>133</v>
      </c>
      <c r="AQ2457" s="105" t="s">
        <v>178</v>
      </c>
      <c r="AR2457" s="105" t="s">
        <v>178</v>
      </c>
      <c r="AS2457" s="105" t="s">
        <v>178</v>
      </c>
      <c r="AT2457" s="105" t="s">
        <v>120</v>
      </c>
      <c r="AU2457" s="105">
        <v>3</v>
      </c>
      <c r="AW2457" s="105" t="s">
        <v>142</v>
      </c>
      <c r="AY2457" s="105">
        <v>562</v>
      </c>
      <c r="BB2457" s="105" t="s">
        <v>2687</v>
      </c>
      <c r="BH2457" s="105">
        <v>410</v>
      </c>
      <c r="BI2457" s="105">
        <v>1170</v>
      </c>
      <c r="BL2457" s="105" t="s">
        <v>2694</v>
      </c>
      <c r="BM2457" s="429"/>
      <c r="BN2457" s="429"/>
      <c r="BR2457" s="429"/>
      <c r="BS2457" s="429"/>
      <c r="IQ2457" s="502"/>
    </row>
    <row r="2458" spans="1:251" s="36" customFormat="1" x14ac:dyDescent="0.25">
      <c r="A2458" s="36">
        <v>117</v>
      </c>
      <c r="B2458" s="36" t="s">
        <v>2628</v>
      </c>
      <c r="C2458" s="36" t="s">
        <v>2629</v>
      </c>
      <c r="D2458" s="36">
        <v>2005</v>
      </c>
      <c r="E2458" s="36">
        <v>1998</v>
      </c>
      <c r="F2458" s="36" t="s">
        <v>2630</v>
      </c>
      <c r="G2458" s="36" t="s">
        <v>2631</v>
      </c>
      <c r="H2458" s="36" t="s">
        <v>2842</v>
      </c>
      <c r="I2458" s="36">
        <f t="shared" si="314"/>
        <v>9.4166666666666661</v>
      </c>
      <c r="J2458" s="36">
        <f t="shared" si="315"/>
        <v>-0.96666666666666667</v>
      </c>
      <c r="K2458" s="36">
        <v>183</v>
      </c>
      <c r="O2458" s="36">
        <v>1000</v>
      </c>
      <c r="Q2458" s="51" t="s">
        <v>1856</v>
      </c>
      <c r="R2458" s="51" t="s">
        <v>1867</v>
      </c>
      <c r="S2458" s="51"/>
      <c r="T2458" s="51" t="s">
        <v>2632</v>
      </c>
      <c r="U2458" s="51" t="s">
        <v>1383</v>
      </c>
      <c r="V2458" s="51" t="s">
        <v>1722</v>
      </c>
      <c r="W2458" s="51" t="s">
        <v>1383</v>
      </c>
      <c r="X2458" s="51" t="s">
        <v>1383</v>
      </c>
      <c r="Z2458" s="331">
        <v>76.25</v>
      </c>
      <c r="AA2458" s="331">
        <v>13.1</v>
      </c>
      <c r="AB2458" s="36" t="s">
        <v>176</v>
      </c>
      <c r="AC2458" s="36">
        <v>4.7699999999999996</v>
      </c>
      <c r="AD2458" s="36">
        <v>0.52</v>
      </c>
      <c r="AF2458" s="36" t="s">
        <v>2689</v>
      </c>
      <c r="AG2458" s="36" t="s">
        <v>2691</v>
      </c>
      <c r="AH2458" s="36" t="s">
        <v>578</v>
      </c>
      <c r="AI2458" s="36" t="s">
        <v>1650</v>
      </c>
      <c r="AJ2458" s="36" t="s">
        <v>133</v>
      </c>
      <c r="AQ2458" s="36" t="s">
        <v>178</v>
      </c>
      <c r="AR2458" s="36" t="s">
        <v>178</v>
      </c>
      <c r="AS2458" s="36" t="s">
        <v>178</v>
      </c>
      <c r="AT2458" s="36" t="s">
        <v>120</v>
      </c>
      <c r="AU2458" s="36">
        <v>3</v>
      </c>
      <c r="AW2458" s="36" t="s">
        <v>142</v>
      </c>
      <c r="BB2458" s="36" t="s">
        <v>2698</v>
      </c>
      <c r="BH2458" s="36">
        <v>1540</v>
      </c>
      <c r="BI2458" s="36">
        <v>3320</v>
      </c>
      <c r="BM2458" s="407"/>
      <c r="BN2458" s="407"/>
      <c r="BR2458" s="407">
        <v>0.55000000000000004</v>
      </c>
      <c r="BS2458" s="407">
        <v>0.52</v>
      </c>
      <c r="BV2458" s="36" t="s">
        <v>2702</v>
      </c>
      <c r="BW2458" s="36">
        <v>340</v>
      </c>
      <c r="BX2458" s="36">
        <v>370</v>
      </c>
      <c r="CA2458" s="36" t="s">
        <v>2703</v>
      </c>
      <c r="CB2458" s="36">
        <v>5.1100000000000003</v>
      </c>
      <c r="CC2458" s="36">
        <v>3.66</v>
      </c>
      <c r="CG2458" s="36">
        <v>76.7</v>
      </c>
      <c r="CH2458" s="36">
        <v>77.2</v>
      </c>
      <c r="CL2458" s="36">
        <v>5</v>
      </c>
      <c r="CM2458" s="36">
        <v>5</v>
      </c>
      <c r="IQ2458" s="230"/>
    </row>
    <row r="2459" spans="1:251" s="36" customFormat="1" x14ac:dyDescent="0.25">
      <c r="A2459" s="36">
        <v>117</v>
      </c>
      <c r="B2459" s="36" t="s">
        <v>2628</v>
      </c>
      <c r="C2459" s="36" t="s">
        <v>2629</v>
      </c>
      <c r="D2459" s="36">
        <v>2005</v>
      </c>
      <c r="E2459" s="36">
        <v>1998</v>
      </c>
      <c r="F2459" s="36" t="s">
        <v>2630</v>
      </c>
      <c r="G2459" s="36" t="s">
        <v>2631</v>
      </c>
      <c r="H2459" s="36" t="s">
        <v>2842</v>
      </c>
      <c r="I2459" s="36">
        <f t="shared" si="314"/>
        <v>9.4166666666666661</v>
      </c>
      <c r="J2459" s="36">
        <f t="shared" si="315"/>
        <v>-0.96666666666666667</v>
      </c>
      <c r="K2459" s="36">
        <v>183</v>
      </c>
      <c r="O2459" s="36">
        <v>1000</v>
      </c>
      <c r="Q2459" s="51" t="s">
        <v>1856</v>
      </c>
      <c r="R2459" s="51" t="s">
        <v>1867</v>
      </c>
      <c r="S2459" s="51"/>
      <c r="T2459" s="51" t="s">
        <v>2632</v>
      </c>
      <c r="U2459" s="51" t="s">
        <v>1383</v>
      </c>
      <c r="V2459" s="51" t="s">
        <v>1722</v>
      </c>
      <c r="W2459" s="51" t="s">
        <v>1383</v>
      </c>
      <c r="X2459" s="51" t="s">
        <v>1383</v>
      </c>
      <c r="Z2459" s="331">
        <v>76.25</v>
      </c>
      <c r="AA2459" s="331">
        <v>13.1</v>
      </c>
      <c r="AB2459" s="36" t="s">
        <v>176</v>
      </c>
      <c r="AC2459" s="36">
        <v>4.7699999999999996</v>
      </c>
      <c r="AD2459" s="36">
        <v>0.52</v>
      </c>
      <c r="AF2459" s="36" t="s">
        <v>2689</v>
      </c>
      <c r="AG2459" s="36" t="s">
        <v>2691</v>
      </c>
      <c r="AH2459" s="36" t="s">
        <v>578</v>
      </c>
      <c r="AI2459" s="36" t="s">
        <v>1650</v>
      </c>
      <c r="AJ2459" s="36" t="s">
        <v>133</v>
      </c>
      <c r="AQ2459" s="36" t="s">
        <v>178</v>
      </c>
      <c r="AR2459" s="36" t="s">
        <v>178</v>
      </c>
      <c r="AS2459" s="36" t="s">
        <v>178</v>
      </c>
      <c r="AT2459" s="36" t="s">
        <v>120</v>
      </c>
      <c r="AU2459" s="36">
        <v>3</v>
      </c>
      <c r="AW2459" s="36" t="s">
        <v>142</v>
      </c>
      <c r="BB2459" s="36" t="s">
        <v>2699</v>
      </c>
      <c r="BH2459" s="36">
        <v>1540</v>
      </c>
      <c r="BI2459" s="36">
        <v>3410</v>
      </c>
      <c r="BM2459" s="407"/>
      <c r="BN2459" s="407"/>
      <c r="BR2459" s="407">
        <v>0.55000000000000004</v>
      </c>
      <c r="BS2459" s="407">
        <v>0.51</v>
      </c>
      <c r="BV2459" s="36" t="s">
        <v>2702</v>
      </c>
      <c r="BW2459" s="36">
        <v>340</v>
      </c>
      <c r="BX2459" s="36">
        <v>350</v>
      </c>
      <c r="CA2459" s="36" t="s">
        <v>2703</v>
      </c>
      <c r="CB2459" s="36">
        <v>5.1100000000000003</v>
      </c>
      <c r="CC2459" s="36">
        <v>3.85</v>
      </c>
      <c r="CG2459" s="36">
        <v>76.7</v>
      </c>
      <c r="CH2459" s="36">
        <v>85.7</v>
      </c>
      <c r="CL2459" s="36">
        <v>5</v>
      </c>
      <c r="CM2459" s="36">
        <v>5.3</v>
      </c>
      <c r="IQ2459" s="230"/>
    </row>
    <row r="2460" spans="1:251" s="36" customFormat="1" x14ac:dyDescent="0.25">
      <c r="A2460" s="36">
        <v>117</v>
      </c>
      <c r="B2460" s="36" t="s">
        <v>2628</v>
      </c>
      <c r="C2460" s="36" t="s">
        <v>2629</v>
      </c>
      <c r="D2460" s="36">
        <v>2005</v>
      </c>
      <c r="E2460" s="36">
        <v>1998</v>
      </c>
      <c r="F2460" s="36" t="s">
        <v>2630</v>
      </c>
      <c r="G2460" s="36" t="s">
        <v>2631</v>
      </c>
      <c r="H2460" s="36" t="s">
        <v>2842</v>
      </c>
      <c r="I2460" s="36">
        <f t="shared" si="314"/>
        <v>9.4166666666666661</v>
      </c>
      <c r="J2460" s="36">
        <f t="shared" si="315"/>
        <v>-0.96666666666666667</v>
      </c>
      <c r="K2460" s="36">
        <v>183</v>
      </c>
      <c r="O2460" s="36">
        <v>1000</v>
      </c>
      <c r="Q2460" s="51" t="s">
        <v>1856</v>
      </c>
      <c r="R2460" s="51" t="s">
        <v>1867</v>
      </c>
      <c r="S2460" s="51"/>
      <c r="T2460" s="51" t="s">
        <v>2632</v>
      </c>
      <c r="U2460" s="51" t="s">
        <v>1383</v>
      </c>
      <c r="V2460" s="51" t="s">
        <v>1722</v>
      </c>
      <c r="W2460" s="51" t="s">
        <v>1383</v>
      </c>
      <c r="X2460" s="51" t="s">
        <v>1383</v>
      </c>
      <c r="Z2460" s="331">
        <v>76.25</v>
      </c>
      <c r="AA2460" s="331">
        <v>13.1</v>
      </c>
      <c r="AB2460" s="36" t="s">
        <v>176</v>
      </c>
      <c r="AC2460" s="36">
        <v>4.7699999999999996</v>
      </c>
      <c r="AD2460" s="36">
        <v>0.52</v>
      </c>
      <c r="AF2460" s="36" t="s">
        <v>2689</v>
      </c>
      <c r="AG2460" s="36" t="s">
        <v>2691</v>
      </c>
      <c r="AH2460" s="36" t="s">
        <v>578</v>
      </c>
      <c r="AI2460" s="36" t="s">
        <v>1650</v>
      </c>
      <c r="AJ2460" s="36" t="s">
        <v>133</v>
      </c>
      <c r="AQ2460" s="36" t="s">
        <v>178</v>
      </c>
      <c r="AR2460" s="36" t="s">
        <v>178</v>
      </c>
      <c r="AS2460" s="36" t="s">
        <v>178</v>
      </c>
      <c r="AT2460" s="36" t="s">
        <v>120</v>
      </c>
      <c r="AU2460" s="36">
        <v>3</v>
      </c>
      <c r="AW2460" s="36" t="s">
        <v>142</v>
      </c>
      <c r="BB2460" s="36" t="s">
        <v>2700</v>
      </c>
      <c r="BH2460" s="36">
        <v>1540</v>
      </c>
      <c r="BI2460" s="36">
        <v>2800</v>
      </c>
      <c r="BM2460" s="407"/>
      <c r="BN2460" s="407"/>
      <c r="BR2460" s="407">
        <v>0.55000000000000004</v>
      </c>
      <c r="BS2460" s="407">
        <v>0.62</v>
      </c>
      <c r="BV2460" s="36" t="s">
        <v>2702</v>
      </c>
      <c r="BW2460" s="36">
        <v>340</v>
      </c>
      <c r="BX2460" s="36">
        <v>340</v>
      </c>
      <c r="CA2460" s="36" t="s">
        <v>2703</v>
      </c>
      <c r="CB2460" s="36">
        <v>5.1100000000000003</v>
      </c>
      <c r="CC2460" s="36">
        <v>3.52</v>
      </c>
      <c r="CG2460" s="36">
        <v>76.7</v>
      </c>
      <c r="CH2460" s="36">
        <v>100.6</v>
      </c>
      <c r="CL2460" s="36">
        <v>5</v>
      </c>
      <c r="CM2460" s="36">
        <v>5.0999999999999996</v>
      </c>
      <c r="IQ2460" s="230"/>
    </row>
    <row r="2461" spans="1:251" s="36" customFormat="1" x14ac:dyDescent="0.25">
      <c r="A2461" s="36">
        <v>117</v>
      </c>
      <c r="B2461" s="36" t="s">
        <v>2628</v>
      </c>
      <c r="C2461" s="36" t="s">
        <v>2629</v>
      </c>
      <c r="D2461" s="36">
        <v>2005</v>
      </c>
      <c r="E2461" s="36">
        <v>1998</v>
      </c>
      <c r="F2461" s="36" t="s">
        <v>2630</v>
      </c>
      <c r="G2461" s="36" t="s">
        <v>2631</v>
      </c>
      <c r="H2461" s="36" t="s">
        <v>2842</v>
      </c>
      <c r="I2461" s="36">
        <f t="shared" si="314"/>
        <v>9.4166666666666661</v>
      </c>
      <c r="J2461" s="36">
        <f t="shared" si="315"/>
        <v>-0.96666666666666667</v>
      </c>
      <c r="K2461" s="36">
        <v>183</v>
      </c>
      <c r="O2461" s="36">
        <v>1000</v>
      </c>
      <c r="Q2461" s="51" t="s">
        <v>1856</v>
      </c>
      <c r="R2461" s="51" t="s">
        <v>1867</v>
      </c>
      <c r="S2461" s="51"/>
      <c r="T2461" s="51" t="s">
        <v>2632</v>
      </c>
      <c r="U2461" s="51" t="s">
        <v>1383</v>
      </c>
      <c r="V2461" s="51" t="s">
        <v>1722</v>
      </c>
      <c r="W2461" s="51" t="s">
        <v>1383</v>
      </c>
      <c r="X2461" s="51" t="s">
        <v>1383</v>
      </c>
      <c r="Z2461" s="331">
        <v>76.25</v>
      </c>
      <c r="AA2461" s="331">
        <v>13.1</v>
      </c>
      <c r="AB2461" s="36" t="s">
        <v>176</v>
      </c>
      <c r="AC2461" s="36">
        <v>4.7699999999999996</v>
      </c>
      <c r="AD2461" s="36">
        <v>0.52</v>
      </c>
      <c r="AF2461" s="36" t="s">
        <v>2689</v>
      </c>
      <c r="AG2461" s="36" t="s">
        <v>2691</v>
      </c>
      <c r="AH2461" s="36" t="s">
        <v>578</v>
      </c>
      <c r="AI2461" s="36" t="s">
        <v>1650</v>
      </c>
      <c r="AJ2461" s="36" t="s">
        <v>133</v>
      </c>
      <c r="AQ2461" s="36" t="s">
        <v>178</v>
      </c>
      <c r="AR2461" s="36" t="s">
        <v>178</v>
      </c>
      <c r="AS2461" s="36" t="s">
        <v>178</v>
      </c>
      <c r="AT2461" s="36" t="s">
        <v>120</v>
      </c>
      <c r="AU2461" s="36">
        <v>3</v>
      </c>
      <c r="AW2461" s="36" t="s">
        <v>142</v>
      </c>
      <c r="BB2461" s="36" t="s">
        <v>2701</v>
      </c>
      <c r="BH2461" s="36">
        <v>1540</v>
      </c>
      <c r="BI2461" s="36">
        <v>2530</v>
      </c>
      <c r="BM2461" s="407"/>
      <c r="BN2461" s="407"/>
      <c r="BR2461" s="407">
        <v>0.55000000000000004</v>
      </c>
      <c r="BS2461" s="407">
        <v>0.56999999999999995</v>
      </c>
      <c r="BV2461" s="36" t="s">
        <v>2702</v>
      </c>
      <c r="BW2461" s="36">
        <v>340</v>
      </c>
      <c r="BX2461" s="36">
        <v>340</v>
      </c>
      <c r="CA2461" s="36" t="s">
        <v>2703</v>
      </c>
      <c r="CB2461" s="36">
        <v>5.1100000000000003</v>
      </c>
      <c r="CC2461" s="36">
        <v>4.0599999999999996</v>
      </c>
      <c r="CG2461" s="36">
        <v>76.7</v>
      </c>
      <c r="CH2461" s="36">
        <v>90.8</v>
      </c>
      <c r="CL2461" s="36">
        <v>5</v>
      </c>
      <c r="CM2461" s="36">
        <v>5.0999999999999996</v>
      </c>
      <c r="IQ2461" s="230"/>
    </row>
    <row r="2462" spans="1:251" s="22" customFormat="1" x14ac:dyDescent="0.25">
      <c r="A2462" s="22">
        <v>117</v>
      </c>
      <c r="B2462" s="22" t="s">
        <v>2628</v>
      </c>
      <c r="C2462" s="22" t="s">
        <v>2629</v>
      </c>
      <c r="D2462" s="22">
        <v>2005</v>
      </c>
      <c r="E2462" s="22">
        <v>1999</v>
      </c>
      <c r="F2462" s="22" t="s">
        <v>2630</v>
      </c>
      <c r="G2462" s="22" t="s">
        <v>2631</v>
      </c>
      <c r="H2462" s="36" t="s">
        <v>2842</v>
      </c>
      <c r="I2462" s="22">
        <f t="shared" si="314"/>
        <v>9.4166666666666661</v>
      </c>
      <c r="J2462" s="22">
        <f t="shared" si="315"/>
        <v>-0.96666666666666667</v>
      </c>
      <c r="K2462" s="22">
        <v>183</v>
      </c>
      <c r="O2462" s="22">
        <v>1000</v>
      </c>
      <c r="Q2462" s="45" t="s">
        <v>1735</v>
      </c>
      <c r="R2462" s="45" t="s">
        <v>1867</v>
      </c>
      <c r="S2462" s="45"/>
      <c r="T2462" s="45" t="s">
        <v>2632</v>
      </c>
      <c r="U2462" s="45" t="s">
        <v>1383</v>
      </c>
      <c r="V2462" s="45" t="s">
        <v>1722</v>
      </c>
      <c r="W2462" s="45" t="s">
        <v>1383</v>
      </c>
      <c r="X2462" s="45" t="s">
        <v>1383</v>
      </c>
      <c r="Z2462" s="325">
        <v>76.25</v>
      </c>
      <c r="AA2462" s="325">
        <v>13.1</v>
      </c>
      <c r="AB2462" s="22" t="s">
        <v>176</v>
      </c>
      <c r="AC2462" s="22">
        <v>4.7699999999999996</v>
      </c>
      <c r="AD2462" s="22">
        <v>0.52</v>
      </c>
      <c r="AF2462" s="22" t="s">
        <v>2689</v>
      </c>
      <c r="AG2462" s="22" t="s">
        <v>2691</v>
      </c>
      <c r="AH2462" s="22" t="s">
        <v>578</v>
      </c>
      <c r="AI2462" s="22" t="s">
        <v>1650</v>
      </c>
      <c r="AJ2462" s="22" t="s">
        <v>133</v>
      </c>
      <c r="AQ2462" s="22" t="s">
        <v>178</v>
      </c>
      <c r="AR2462" s="22" t="s">
        <v>178</v>
      </c>
      <c r="AS2462" s="22" t="s">
        <v>178</v>
      </c>
      <c r="AT2462" s="22" t="s">
        <v>120</v>
      </c>
      <c r="AU2462" s="22">
        <v>3</v>
      </c>
      <c r="AW2462" s="22" t="s">
        <v>142</v>
      </c>
      <c r="BB2462" s="22" t="s">
        <v>2698</v>
      </c>
      <c r="BH2462" s="22">
        <v>510</v>
      </c>
      <c r="BI2462" s="22">
        <v>1160</v>
      </c>
      <c r="BM2462" s="399"/>
      <c r="BN2462" s="399"/>
      <c r="BR2462" s="399"/>
      <c r="BS2462" s="399"/>
      <c r="IQ2462" s="276"/>
    </row>
    <row r="2463" spans="1:251" s="22" customFormat="1" x14ac:dyDescent="0.25">
      <c r="A2463" s="22">
        <v>117</v>
      </c>
      <c r="B2463" s="22" t="s">
        <v>2628</v>
      </c>
      <c r="C2463" s="22" t="s">
        <v>2629</v>
      </c>
      <c r="D2463" s="22">
        <v>2005</v>
      </c>
      <c r="E2463" s="22">
        <v>1999</v>
      </c>
      <c r="F2463" s="22" t="s">
        <v>2630</v>
      </c>
      <c r="G2463" s="22" t="s">
        <v>2631</v>
      </c>
      <c r="H2463" s="36" t="s">
        <v>2842</v>
      </c>
      <c r="I2463" s="22">
        <f t="shared" si="314"/>
        <v>9.4166666666666661</v>
      </c>
      <c r="J2463" s="22">
        <f t="shared" si="315"/>
        <v>-0.96666666666666667</v>
      </c>
      <c r="K2463" s="22">
        <v>183</v>
      </c>
      <c r="O2463" s="22">
        <v>1000</v>
      </c>
      <c r="Q2463" s="45" t="s">
        <v>1735</v>
      </c>
      <c r="R2463" s="45" t="s">
        <v>1867</v>
      </c>
      <c r="S2463" s="45"/>
      <c r="T2463" s="45" t="s">
        <v>2632</v>
      </c>
      <c r="U2463" s="45" t="s">
        <v>1383</v>
      </c>
      <c r="V2463" s="45" t="s">
        <v>1722</v>
      </c>
      <c r="W2463" s="45" t="s">
        <v>1383</v>
      </c>
      <c r="X2463" s="45" t="s">
        <v>1383</v>
      </c>
      <c r="Z2463" s="325">
        <v>76.25</v>
      </c>
      <c r="AA2463" s="325">
        <v>13.1</v>
      </c>
      <c r="AB2463" s="22" t="s">
        <v>176</v>
      </c>
      <c r="AC2463" s="22">
        <v>4.7699999999999996</v>
      </c>
      <c r="AD2463" s="22">
        <v>0.52</v>
      </c>
      <c r="AF2463" s="22" t="s">
        <v>2689</v>
      </c>
      <c r="AG2463" s="22" t="s">
        <v>2691</v>
      </c>
      <c r="AH2463" s="22" t="s">
        <v>578</v>
      </c>
      <c r="AI2463" s="22" t="s">
        <v>1650</v>
      </c>
      <c r="AJ2463" s="22" t="s">
        <v>133</v>
      </c>
      <c r="AQ2463" s="22" t="s">
        <v>178</v>
      </c>
      <c r="AR2463" s="22" t="s">
        <v>178</v>
      </c>
      <c r="AS2463" s="22" t="s">
        <v>178</v>
      </c>
      <c r="AT2463" s="22" t="s">
        <v>120</v>
      </c>
      <c r="AU2463" s="22">
        <v>3</v>
      </c>
      <c r="AW2463" s="22" t="s">
        <v>142</v>
      </c>
      <c r="BB2463" s="22" t="s">
        <v>2699</v>
      </c>
      <c r="BH2463" s="22">
        <v>510</v>
      </c>
      <c r="BI2463" s="22">
        <v>690</v>
      </c>
      <c r="BM2463" s="399"/>
      <c r="BN2463" s="399"/>
      <c r="BR2463" s="399"/>
      <c r="BS2463" s="399"/>
      <c r="IQ2463" s="276"/>
    </row>
    <row r="2464" spans="1:251" s="22" customFormat="1" x14ac:dyDescent="0.25">
      <c r="A2464" s="22">
        <v>117</v>
      </c>
      <c r="B2464" s="22" t="s">
        <v>2628</v>
      </c>
      <c r="C2464" s="22" t="s">
        <v>2629</v>
      </c>
      <c r="D2464" s="22">
        <v>2005</v>
      </c>
      <c r="E2464" s="22">
        <v>1999</v>
      </c>
      <c r="F2464" s="22" t="s">
        <v>2630</v>
      </c>
      <c r="G2464" s="22" t="s">
        <v>2631</v>
      </c>
      <c r="H2464" s="36" t="s">
        <v>2842</v>
      </c>
      <c r="I2464" s="22">
        <f t="shared" si="314"/>
        <v>9.4166666666666661</v>
      </c>
      <c r="J2464" s="22">
        <f t="shared" si="315"/>
        <v>-0.96666666666666667</v>
      </c>
      <c r="K2464" s="22">
        <v>183</v>
      </c>
      <c r="O2464" s="22">
        <v>1000</v>
      </c>
      <c r="Q2464" s="45" t="s">
        <v>1735</v>
      </c>
      <c r="R2464" s="45" t="s">
        <v>1867</v>
      </c>
      <c r="S2464" s="45"/>
      <c r="T2464" s="45" t="s">
        <v>2632</v>
      </c>
      <c r="U2464" s="45" t="s">
        <v>1383</v>
      </c>
      <c r="V2464" s="45" t="s">
        <v>1722</v>
      </c>
      <c r="W2464" s="45" t="s">
        <v>1383</v>
      </c>
      <c r="X2464" s="45" t="s">
        <v>1383</v>
      </c>
      <c r="Z2464" s="325">
        <v>76.25</v>
      </c>
      <c r="AA2464" s="325">
        <v>13.1</v>
      </c>
      <c r="AB2464" s="22" t="s">
        <v>176</v>
      </c>
      <c r="AC2464" s="22">
        <v>4.7699999999999996</v>
      </c>
      <c r="AD2464" s="22">
        <v>0.52</v>
      </c>
      <c r="AF2464" s="22" t="s">
        <v>2689</v>
      </c>
      <c r="AG2464" s="22" t="s">
        <v>2691</v>
      </c>
      <c r="AH2464" s="22" t="s">
        <v>578</v>
      </c>
      <c r="AI2464" s="22" t="s">
        <v>1650</v>
      </c>
      <c r="AJ2464" s="22" t="s">
        <v>133</v>
      </c>
      <c r="AQ2464" s="22" t="s">
        <v>178</v>
      </c>
      <c r="AR2464" s="22" t="s">
        <v>178</v>
      </c>
      <c r="AS2464" s="22" t="s">
        <v>178</v>
      </c>
      <c r="AT2464" s="22" t="s">
        <v>120</v>
      </c>
      <c r="AU2464" s="22">
        <v>3</v>
      </c>
      <c r="AW2464" s="22" t="s">
        <v>142</v>
      </c>
      <c r="BB2464" s="22" t="s">
        <v>2700</v>
      </c>
      <c r="BH2464" s="22">
        <v>510</v>
      </c>
      <c r="BI2464" s="22">
        <v>930</v>
      </c>
      <c r="BM2464" s="399"/>
      <c r="BN2464" s="399"/>
      <c r="BR2464" s="399"/>
      <c r="BS2464" s="399"/>
      <c r="IQ2464" s="276"/>
    </row>
    <row r="2465" spans="1:251" s="22" customFormat="1" x14ac:dyDescent="0.25">
      <c r="A2465" s="22">
        <v>117</v>
      </c>
      <c r="B2465" s="22" t="s">
        <v>2628</v>
      </c>
      <c r="C2465" s="22" t="s">
        <v>2629</v>
      </c>
      <c r="D2465" s="22">
        <v>2005</v>
      </c>
      <c r="E2465" s="22">
        <v>1999</v>
      </c>
      <c r="F2465" s="22" t="s">
        <v>2630</v>
      </c>
      <c r="G2465" s="22" t="s">
        <v>2631</v>
      </c>
      <c r="H2465" s="36" t="s">
        <v>2842</v>
      </c>
      <c r="I2465" s="22">
        <f t="shared" si="314"/>
        <v>9.4166666666666661</v>
      </c>
      <c r="J2465" s="22">
        <f t="shared" si="315"/>
        <v>-0.96666666666666667</v>
      </c>
      <c r="K2465" s="22">
        <v>183</v>
      </c>
      <c r="O2465" s="22">
        <v>1000</v>
      </c>
      <c r="Q2465" s="45" t="s">
        <v>1735</v>
      </c>
      <c r="R2465" s="45" t="s">
        <v>1867</v>
      </c>
      <c r="S2465" s="45"/>
      <c r="T2465" s="45" t="s">
        <v>2632</v>
      </c>
      <c r="U2465" s="45" t="s">
        <v>1383</v>
      </c>
      <c r="V2465" s="45" t="s">
        <v>1722</v>
      </c>
      <c r="W2465" s="45" t="s">
        <v>1383</v>
      </c>
      <c r="X2465" s="45" t="s">
        <v>1383</v>
      </c>
      <c r="Z2465" s="325">
        <v>76.25</v>
      </c>
      <c r="AA2465" s="325">
        <v>13.1</v>
      </c>
      <c r="AB2465" s="22" t="s">
        <v>176</v>
      </c>
      <c r="AC2465" s="22">
        <v>4.7699999999999996</v>
      </c>
      <c r="AD2465" s="22">
        <v>0.52</v>
      </c>
      <c r="AF2465" s="22" t="s">
        <v>2689</v>
      </c>
      <c r="AG2465" s="22" t="s">
        <v>2691</v>
      </c>
      <c r="AH2465" s="22" t="s">
        <v>578</v>
      </c>
      <c r="AI2465" s="22" t="s">
        <v>1650</v>
      </c>
      <c r="AJ2465" s="22" t="s">
        <v>133</v>
      </c>
      <c r="AQ2465" s="22" t="s">
        <v>178</v>
      </c>
      <c r="AR2465" s="22" t="s">
        <v>178</v>
      </c>
      <c r="AS2465" s="22" t="s">
        <v>178</v>
      </c>
      <c r="AT2465" s="22" t="s">
        <v>120</v>
      </c>
      <c r="AU2465" s="22">
        <v>3</v>
      </c>
      <c r="AW2465" s="22" t="s">
        <v>142</v>
      </c>
      <c r="BB2465" s="22" t="s">
        <v>2701</v>
      </c>
      <c r="BH2465" s="22">
        <v>510</v>
      </c>
      <c r="BI2465" s="22">
        <v>930</v>
      </c>
      <c r="BM2465" s="399"/>
      <c r="BN2465" s="399"/>
      <c r="BR2465" s="399"/>
      <c r="BS2465" s="399"/>
      <c r="IQ2465" s="276"/>
    </row>
    <row r="2466" spans="1:251" s="24" customFormat="1" x14ac:dyDescent="0.25">
      <c r="A2466" s="24">
        <v>118</v>
      </c>
      <c r="B2466" s="24" t="s">
        <v>2704</v>
      </c>
      <c r="C2466" s="24" t="s">
        <v>2705</v>
      </c>
      <c r="D2466" s="24">
        <v>1992</v>
      </c>
      <c r="E2466" s="24">
        <v>2006</v>
      </c>
      <c r="F2466" s="24" t="s">
        <v>2711</v>
      </c>
      <c r="G2466" s="24" t="s">
        <v>2708</v>
      </c>
      <c r="H2466" s="24" t="s">
        <v>2843</v>
      </c>
      <c r="I2466" s="24">
        <f t="shared" ref="I2466:I2497" si="317">-15.5</f>
        <v>-15.5</v>
      </c>
      <c r="J2466" s="24">
        <f t="shared" ref="J2466:J2497" si="318">35+15/60</f>
        <v>35.25</v>
      </c>
      <c r="K2466" s="24">
        <v>1030</v>
      </c>
      <c r="N2466" s="24">
        <v>1000</v>
      </c>
      <c r="O2466" s="24">
        <v>1024</v>
      </c>
      <c r="Q2466" s="42" t="s">
        <v>1856</v>
      </c>
      <c r="R2466" s="42" t="s">
        <v>1940</v>
      </c>
      <c r="S2466" s="42"/>
      <c r="T2466" s="42" t="s">
        <v>2706</v>
      </c>
      <c r="U2466" s="42" t="s">
        <v>1383</v>
      </c>
      <c r="V2466" s="42" t="s">
        <v>1722</v>
      </c>
      <c r="W2466" s="42" t="s">
        <v>1383</v>
      </c>
      <c r="X2466" s="42" t="s">
        <v>1383</v>
      </c>
      <c r="Z2466" s="321">
        <v>46</v>
      </c>
      <c r="AA2466" s="321">
        <v>8</v>
      </c>
      <c r="AB2466" s="24" t="s">
        <v>2710</v>
      </c>
      <c r="AC2466" s="24">
        <v>5.9</v>
      </c>
      <c r="AD2466" s="24">
        <v>0.88</v>
      </c>
      <c r="AF2466" s="24" t="s">
        <v>2709</v>
      </c>
      <c r="AG2466" s="24" t="s">
        <v>2712</v>
      </c>
      <c r="AH2466" s="24" t="s">
        <v>578</v>
      </c>
      <c r="AI2466" s="24" t="s">
        <v>1650</v>
      </c>
      <c r="AJ2466" s="24" t="s">
        <v>133</v>
      </c>
      <c r="AK2466" s="24" t="s">
        <v>178</v>
      </c>
      <c r="AL2466" s="24" t="s">
        <v>178</v>
      </c>
      <c r="AM2466" s="24" t="s">
        <v>178</v>
      </c>
      <c r="AQ2466" s="24" t="s">
        <v>162</v>
      </c>
      <c r="AR2466" s="24" t="s">
        <v>162</v>
      </c>
      <c r="AS2466" s="24" t="s">
        <v>178</v>
      </c>
      <c r="AT2466" s="24" t="s">
        <v>161</v>
      </c>
      <c r="AU2466" s="24">
        <v>3</v>
      </c>
      <c r="AV2466" s="24">
        <v>3</v>
      </c>
      <c r="AW2466" s="24" t="s">
        <v>2707</v>
      </c>
      <c r="BM2466" s="395"/>
      <c r="BN2466" s="395"/>
      <c r="BR2466" s="395">
        <f>7.6/10</f>
        <v>0.76</v>
      </c>
      <c r="BS2466" s="395">
        <v>0.89</v>
      </c>
      <c r="BV2466" s="24" t="s">
        <v>2294</v>
      </c>
      <c r="CB2466" s="24">
        <v>20</v>
      </c>
      <c r="CC2466" s="24">
        <v>31</v>
      </c>
      <c r="CG2466" s="24">
        <v>0.11</v>
      </c>
      <c r="CH2466" s="24">
        <v>0.37</v>
      </c>
      <c r="CL2466" s="24">
        <v>5.9</v>
      </c>
      <c r="CM2466" s="24">
        <v>6</v>
      </c>
      <c r="CQ2466" s="24">
        <f>4.1+0.8+0.11</f>
        <v>5.01</v>
      </c>
      <c r="CR2466" s="24">
        <f>4.3+2.3+0.37</f>
        <v>6.97</v>
      </c>
      <c r="CU2466" s="24" t="s">
        <v>2716</v>
      </c>
      <c r="IQ2466" s="249"/>
    </row>
    <row r="2467" spans="1:251" s="24" customFormat="1" x14ac:dyDescent="0.25">
      <c r="A2467" s="24">
        <v>118</v>
      </c>
      <c r="B2467" s="24" t="s">
        <v>2704</v>
      </c>
      <c r="C2467" s="24" t="s">
        <v>2705</v>
      </c>
      <c r="D2467" s="24">
        <v>1992</v>
      </c>
      <c r="E2467" s="24">
        <v>2006</v>
      </c>
      <c r="F2467" s="24" t="s">
        <v>2711</v>
      </c>
      <c r="G2467" s="24" t="s">
        <v>2708</v>
      </c>
      <c r="H2467" s="24" t="s">
        <v>2843</v>
      </c>
      <c r="I2467" s="24">
        <f t="shared" si="317"/>
        <v>-15.5</v>
      </c>
      <c r="J2467" s="24">
        <f t="shared" si="318"/>
        <v>35.25</v>
      </c>
      <c r="K2467" s="24">
        <v>1030</v>
      </c>
      <c r="N2467" s="24">
        <v>1000</v>
      </c>
      <c r="O2467" s="24">
        <v>1024</v>
      </c>
      <c r="Q2467" s="42" t="s">
        <v>1856</v>
      </c>
      <c r="R2467" s="42" t="s">
        <v>1940</v>
      </c>
      <c r="S2467" s="42"/>
      <c r="T2467" s="42" t="s">
        <v>2706</v>
      </c>
      <c r="U2467" s="42" t="s">
        <v>1383</v>
      </c>
      <c r="V2467" s="42" t="s">
        <v>1722</v>
      </c>
      <c r="W2467" s="42" t="s">
        <v>1383</v>
      </c>
      <c r="X2467" s="42" t="s">
        <v>1383</v>
      </c>
      <c r="Z2467" s="321">
        <v>46</v>
      </c>
      <c r="AA2467" s="321">
        <v>8</v>
      </c>
      <c r="AB2467" s="24" t="s">
        <v>2710</v>
      </c>
      <c r="AC2467" s="24">
        <v>5.9</v>
      </c>
      <c r="AD2467" s="24">
        <v>0.88</v>
      </c>
      <c r="AF2467" s="24" t="s">
        <v>2709</v>
      </c>
      <c r="AG2467" s="24" t="s">
        <v>2712</v>
      </c>
      <c r="AH2467" s="24" t="s">
        <v>578</v>
      </c>
      <c r="AI2467" s="24" t="s">
        <v>1650</v>
      </c>
      <c r="AJ2467" s="24" t="s">
        <v>133</v>
      </c>
      <c r="AK2467" s="24" t="s">
        <v>178</v>
      </c>
      <c r="AL2467" s="24" t="s">
        <v>178</v>
      </c>
      <c r="AM2467" s="24" t="s">
        <v>178</v>
      </c>
      <c r="AQ2467" s="24" t="s">
        <v>2714</v>
      </c>
      <c r="AR2467" s="24" t="s">
        <v>2714</v>
      </c>
      <c r="AS2467" s="24" t="s">
        <v>178</v>
      </c>
      <c r="AT2467" s="24" t="s">
        <v>161</v>
      </c>
      <c r="AU2467" s="24">
        <v>3</v>
      </c>
      <c r="AV2467" s="24">
        <v>3</v>
      </c>
      <c r="AW2467" s="24" t="s">
        <v>2707</v>
      </c>
      <c r="BM2467" s="395"/>
      <c r="BN2467" s="395"/>
      <c r="BR2467" s="395">
        <f>7/10</f>
        <v>0.7</v>
      </c>
      <c r="BS2467" s="395">
        <v>0.87</v>
      </c>
      <c r="BV2467" s="24" t="s">
        <v>2294</v>
      </c>
      <c r="CB2467" s="24">
        <v>21</v>
      </c>
      <c r="CC2467" s="24">
        <v>33</v>
      </c>
      <c r="CG2467" s="24">
        <v>0.16</v>
      </c>
      <c r="CH2467" s="24">
        <v>0.52</v>
      </c>
      <c r="CL2467" s="24">
        <v>5.8</v>
      </c>
      <c r="CM2467" s="24">
        <v>6.1</v>
      </c>
      <c r="CQ2467" s="24">
        <f>4+1.1+0.16</f>
        <v>5.26</v>
      </c>
      <c r="CR2467" s="24">
        <f>4.3+2.1+0.52</f>
        <v>6.92</v>
      </c>
      <c r="CU2467" s="24" t="s">
        <v>2716</v>
      </c>
      <c r="IQ2467" s="249"/>
    </row>
    <row r="2468" spans="1:251" s="24" customFormat="1" x14ac:dyDescent="0.25">
      <c r="A2468" s="24">
        <v>118</v>
      </c>
      <c r="B2468" s="24" t="s">
        <v>2704</v>
      </c>
      <c r="C2468" s="24" t="s">
        <v>2705</v>
      </c>
      <c r="D2468" s="24">
        <v>1992</v>
      </c>
      <c r="E2468" s="24">
        <v>2006</v>
      </c>
      <c r="F2468" s="24" t="s">
        <v>2711</v>
      </c>
      <c r="G2468" s="24" t="s">
        <v>2708</v>
      </c>
      <c r="H2468" s="24" t="s">
        <v>2843</v>
      </c>
      <c r="I2468" s="24">
        <f t="shared" si="317"/>
        <v>-15.5</v>
      </c>
      <c r="J2468" s="24">
        <f t="shared" si="318"/>
        <v>35.25</v>
      </c>
      <c r="K2468" s="24">
        <v>1030</v>
      </c>
      <c r="N2468" s="24">
        <v>1000</v>
      </c>
      <c r="O2468" s="24">
        <v>1024</v>
      </c>
      <c r="Q2468" s="42" t="s">
        <v>1856</v>
      </c>
      <c r="R2468" s="42" t="s">
        <v>1940</v>
      </c>
      <c r="S2468" s="42"/>
      <c r="T2468" s="42" t="s">
        <v>2706</v>
      </c>
      <c r="U2468" s="42" t="s">
        <v>1383</v>
      </c>
      <c r="V2468" s="42" t="s">
        <v>1722</v>
      </c>
      <c r="W2468" s="42" t="s">
        <v>1383</v>
      </c>
      <c r="X2468" s="42" t="s">
        <v>1383</v>
      </c>
      <c r="Z2468" s="321">
        <v>46</v>
      </c>
      <c r="AA2468" s="321">
        <v>8</v>
      </c>
      <c r="AB2468" s="24" t="s">
        <v>2710</v>
      </c>
      <c r="AC2468" s="24">
        <v>5.9</v>
      </c>
      <c r="AD2468" s="24">
        <v>0.88</v>
      </c>
      <c r="AF2468" s="24" t="s">
        <v>2709</v>
      </c>
      <c r="AG2468" s="24" t="s">
        <v>2712</v>
      </c>
      <c r="AH2468" s="24" t="s">
        <v>578</v>
      </c>
      <c r="AI2468" s="24" t="s">
        <v>1650</v>
      </c>
      <c r="AJ2468" s="24" t="s">
        <v>133</v>
      </c>
      <c r="AK2468" s="24" t="s">
        <v>178</v>
      </c>
      <c r="AL2468" s="24" t="s">
        <v>178</v>
      </c>
      <c r="AM2468" s="24" t="s">
        <v>178</v>
      </c>
      <c r="AQ2468" s="24" t="s">
        <v>2715</v>
      </c>
      <c r="AR2468" s="24" t="s">
        <v>2715</v>
      </c>
      <c r="AS2468" s="24" t="s">
        <v>178</v>
      </c>
      <c r="AT2468" s="24" t="s">
        <v>161</v>
      </c>
      <c r="AU2468" s="24">
        <v>3</v>
      </c>
      <c r="AV2468" s="24">
        <v>3</v>
      </c>
      <c r="AW2468" s="24" t="s">
        <v>2707</v>
      </c>
      <c r="BM2468" s="395"/>
      <c r="BN2468" s="395"/>
      <c r="BR2468" s="395">
        <v>7.6</v>
      </c>
      <c r="BS2468" s="395">
        <v>0.89</v>
      </c>
      <c r="BV2468" s="24" t="s">
        <v>2294</v>
      </c>
      <c r="CB2468" s="24">
        <v>22</v>
      </c>
      <c r="CC2468" s="24">
        <v>33</v>
      </c>
      <c r="CG2468" s="24">
        <v>0.13</v>
      </c>
      <c r="CH2468" s="24">
        <v>0.48</v>
      </c>
      <c r="CL2468" s="24">
        <v>5.8</v>
      </c>
      <c r="CM2468" s="24">
        <v>6.1</v>
      </c>
      <c r="CQ2468" s="24">
        <f>3.9+1+0.13</f>
        <v>5.03</v>
      </c>
      <c r="CR2468" s="24">
        <f>4.4+2.3+0.48</f>
        <v>7.18</v>
      </c>
      <c r="CU2468" s="24" t="s">
        <v>2716</v>
      </c>
      <c r="IQ2468" s="249"/>
    </row>
    <row r="2469" spans="1:251" s="32" customFormat="1" x14ac:dyDescent="0.25">
      <c r="A2469" s="32">
        <v>118</v>
      </c>
      <c r="B2469" s="32" t="s">
        <v>2704</v>
      </c>
      <c r="C2469" s="32" t="s">
        <v>2705</v>
      </c>
      <c r="D2469" s="32">
        <v>1993</v>
      </c>
      <c r="E2469" s="32">
        <v>2006</v>
      </c>
      <c r="F2469" s="32" t="s">
        <v>2711</v>
      </c>
      <c r="G2469" s="32" t="s">
        <v>2708</v>
      </c>
      <c r="H2469" s="24" t="s">
        <v>2843</v>
      </c>
      <c r="I2469" s="32">
        <f t="shared" si="317"/>
        <v>-15.5</v>
      </c>
      <c r="J2469" s="32">
        <f t="shared" si="318"/>
        <v>35.25</v>
      </c>
      <c r="K2469" s="32">
        <v>1030</v>
      </c>
      <c r="N2469" s="32">
        <v>970</v>
      </c>
      <c r="O2469" s="32">
        <v>1024</v>
      </c>
      <c r="Q2469" s="44" t="s">
        <v>1735</v>
      </c>
      <c r="R2469" s="44" t="s">
        <v>1940</v>
      </c>
      <c r="S2469" s="44"/>
      <c r="T2469" s="44" t="s">
        <v>2706</v>
      </c>
      <c r="U2469" s="44" t="s">
        <v>1383</v>
      </c>
      <c r="V2469" s="44" t="s">
        <v>1722</v>
      </c>
      <c r="W2469" s="44" t="s">
        <v>1383</v>
      </c>
      <c r="X2469" s="44" t="s">
        <v>1383</v>
      </c>
      <c r="Z2469" s="323">
        <v>46</v>
      </c>
      <c r="AA2469" s="323">
        <v>8</v>
      </c>
      <c r="AB2469" s="32" t="s">
        <v>2710</v>
      </c>
      <c r="AC2469" s="32">
        <v>5.9</v>
      </c>
      <c r="AD2469" s="32">
        <v>0.88</v>
      </c>
      <c r="AF2469" s="32" t="s">
        <v>2709</v>
      </c>
      <c r="AG2469" s="32" t="s">
        <v>2712</v>
      </c>
      <c r="AH2469" s="32" t="s">
        <v>578</v>
      </c>
      <c r="AI2469" s="32" t="s">
        <v>1650</v>
      </c>
      <c r="AJ2469" s="32" t="s">
        <v>133</v>
      </c>
      <c r="AK2469" s="32" t="s">
        <v>178</v>
      </c>
      <c r="AL2469" s="32" t="s">
        <v>178</v>
      </c>
      <c r="AM2469" s="32" t="s">
        <v>178</v>
      </c>
      <c r="AQ2469" s="32" t="s">
        <v>162</v>
      </c>
      <c r="AR2469" s="32" t="s">
        <v>162</v>
      </c>
      <c r="AS2469" s="32" t="s">
        <v>178</v>
      </c>
      <c r="AT2469" s="32" t="s">
        <v>161</v>
      </c>
      <c r="AU2469" s="32">
        <v>3</v>
      </c>
      <c r="AV2469" s="32">
        <v>3</v>
      </c>
      <c r="AW2469" s="32" t="s">
        <v>2707</v>
      </c>
      <c r="AY2469" s="32">
        <f>2601.8+1528</f>
        <v>4129.8</v>
      </c>
      <c r="BH2469" s="32">
        <v>1994</v>
      </c>
      <c r="BI2469" s="32">
        <v>1657</v>
      </c>
      <c r="BM2469" s="397"/>
      <c r="BN2469" s="397"/>
      <c r="BR2469" s="397"/>
      <c r="BS2469" s="397"/>
      <c r="IQ2469" s="243"/>
    </row>
    <row r="2470" spans="1:251" s="32" customFormat="1" x14ac:dyDescent="0.25">
      <c r="A2470" s="32">
        <v>118</v>
      </c>
      <c r="B2470" s="32" t="s">
        <v>2704</v>
      </c>
      <c r="C2470" s="32" t="s">
        <v>2705</v>
      </c>
      <c r="D2470" s="32">
        <v>1994</v>
      </c>
      <c r="E2470" s="32">
        <v>2006</v>
      </c>
      <c r="F2470" s="32" t="s">
        <v>2711</v>
      </c>
      <c r="G2470" s="32" t="s">
        <v>2708</v>
      </c>
      <c r="H2470" s="24" t="s">
        <v>2843</v>
      </c>
      <c r="I2470" s="32">
        <f t="shared" si="317"/>
        <v>-15.5</v>
      </c>
      <c r="J2470" s="32">
        <f t="shared" si="318"/>
        <v>35.25</v>
      </c>
      <c r="K2470" s="32">
        <v>1030</v>
      </c>
      <c r="N2470" s="32">
        <v>540</v>
      </c>
      <c r="O2470" s="32">
        <v>1024</v>
      </c>
      <c r="Q2470" s="44" t="s">
        <v>1867</v>
      </c>
      <c r="R2470" s="44" t="s">
        <v>1940</v>
      </c>
      <c r="S2470" s="44"/>
      <c r="T2470" s="44" t="s">
        <v>2706</v>
      </c>
      <c r="U2470" s="44" t="s">
        <v>1383</v>
      </c>
      <c r="V2470" s="44" t="s">
        <v>1722</v>
      </c>
      <c r="W2470" s="44" t="s">
        <v>1383</v>
      </c>
      <c r="X2470" s="44" t="s">
        <v>1383</v>
      </c>
      <c r="Z2470" s="323">
        <v>46</v>
      </c>
      <c r="AA2470" s="323">
        <v>8</v>
      </c>
      <c r="AB2470" s="32" t="s">
        <v>2710</v>
      </c>
      <c r="AC2470" s="32">
        <v>5.9</v>
      </c>
      <c r="AD2470" s="32">
        <v>0.88</v>
      </c>
      <c r="AF2470" s="32" t="s">
        <v>2709</v>
      </c>
      <c r="AG2470" s="32" t="s">
        <v>2712</v>
      </c>
      <c r="AH2470" s="32" t="s">
        <v>578</v>
      </c>
      <c r="AI2470" s="32" t="s">
        <v>1650</v>
      </c>
      <c r="AJ2470" s="32" t="s">
        <v>133</v>
      </c>
      <c r="AK2470" s="32" t="s">
        <v>178</v>
      </c>
      <c r="AL2470" s="32" t="s">
        <v>178</v>
      </c>
      <c r="AM2470" s="32" t="s">
        <v>178</v>
      </c>
      <c r="AQ2470" s="32" t="s">
        <v>162</v>
      </c>
      <c r="AR2470" s="32" t="s">
        <v>162</v>
      </c>
      <c r="AS2470" s="32" t="s">
        <v>178</v>
      </c>
      <c r="AT2470" s="32" t="s">
        <v>161</v>
      </c>
      <c r="AU2470" s="32">
        <v>3</v>
      </c>
      <c r="AV2470" s="32">
        <v>3</v>
      </c>
      <c r="AW2470" s="32" t="s">
        <v>2707</v>
      </c>
      <c r="AY2470" s="32">
        <f>3724+2400</f>
        <v>6124</v>
      </c>
      <c r="BH2470" s="32">
        <v>1501</v>
      </c>
      <c r="BI2470" s="32">
        <v>3922</v>
      </c>
      <c r="BM2470" s="397"/>
      <c r="BN2470" s="397"/>
      <c r="BR2470" s="397"/>
      <c r="BS2470" s="397"/>
      <c r="IQ2470" s="243"/>
    </row>
    <row r="2471" spans="1:251" s="32" customFormat="1" x14ac:dyDescent="0.25">
      <c r="A2471" s="32">
        <v>118</v>
      </c>
      <c r="B2471" s="32" t="s">
        <v>2704</v>
      </c>
      <c r="C2471" s="32" t="s">
        <v>2705</v>
      </c>
      <c r="D2471" s="32">
        <v>1995</v>
      </c>
      <c r="E2471" s="32">
        <v>2006</v>
      </c>
      <c r="F2471" s="32" t="s">
        <v>2711</v>
      </c>
      <c r="G2471" s="32" t="s">
        <v>2708</v>
      </c>
      <c r="H2471" s="24" t="s">
        <v>2843</v>
      </c>
      <c r="I2471" s="32">
        <f t="shared" si="317"/>
        <v>-15.5</v>
      </c>
      <c r="J2471" s="32">
        <f t="shared" si="318"/>
        <v>35.25</v>
      </c>
      <c r="K2471" s="32">
        <v>1030</v>
      </c>
      <c r="N2471" s="32">
        <v>551</v>
      </c>
      <c r="O2471" s="32">
        <v>1024</v>
      </c>
      <c r="Q2471" s="44" t="s">
        <v>1729</v>
      </c>
      <c r="R2471" s="44" t="s">
        <v>1940</v>
      </c>
      <c r="S2471" s="44"/>
      <c r="T2471" s="44" t="s">
        <v>2706</v>
      </c>
      <c r="U2471" s="44" t="s">
        <v>1383</v>
      </c>
      <c r="V2471" s="44" t="s">
        <v>1722</v>
      </c>
      <c r="W2471" s="44" t="s">
        <v>1383</v>
      </c>
      <c r="X2471" s="44" t="s">
        <v>1383</v>
      </c>
      <c r="Z2471" s="323">
        <v>46</v>
      </c>
      <c r="AA2471" s="323">
        <v>8</v>
      </c>
      <c r="AB2471" s="32" t="s">
        <v>2710</v>
      </c>
      <c r="AC2471" s="32">
        <v>5.9</v>
      </c>
      <c r="AD2471" s="32">
        <v>0.88</v>
      </c>
      <c r="AF2471" s="32" t="s">
        <v>2709</v>
      </c>
      <c r="AG2471" s="32" t="s">
        <v>2712</v>
      </c>
      <c r="AH2471" s="32" t="s">
        <v>578</v>
      </c>
      <c r="AI2471" s="32" t="s">
        <v>1650</v>
      </c>
      <c r="AJ2471" s="32" t="s">
        <v>133</v>
      </c>
      <c r="AK2471" s="32" t="s">
        <v>178</v>
      </c>
      <c r="AL2471" s="32" t="s">
        <v>178</v>
      </c>
      <c r="AM2471" s="32" t="s">
        <v>178</v>
      </c>
      <c r="AQ2471" s="32" t="s">
        <v>162</v>
      </c>
      <c r="AR2471" s="32" t="s">
        <v>162</v>
      </c>
      <c r="AS2471" s="32" t="s">
        <v>178</v>
      </c>
      <c r="AT2471" s="32" t="s">
        <v>161</v>
      </c>
      <c r="AU2471" s="32">
        <v>3</v>
      </c>
      <c r="AV2471" s="32">
        <v>3</v>
      </c>
      <c r="AW2471" s="32" t="s">
        <v>2707</v>
      </c>
      <c r="AY2471" s="32">
        <f>3606.7+1421</f>
        <v>5027.7</v>
      </c>
      <c r="BH2471" s="32">
        <v>1490</v>
      </c>
      <c r="BI2471" s="32">
        <v>2984</v>
      </c>
      <c r="BM2471" s="397"/>
      <c r="BN2471" s="397"/>
      <c r="BR2471" s="397"/>
      <c r="BS2471" s="397"/>
      <c r="IQ2471" s="243"/>
    </row>
    <row r="2472" spans="1:251" s="32" customFormat="1" x14ac:dyDescent="0.25">
      <c r="A2472" s="32">
        <v>118</v>
      </c>
      <c r="B2472" s="32" t="s">
        <v>2704</v>
      </c>
      <c r="C2472" s="32" t="s">
        <v>2705</v>
      </c>
      <c r="D2472" s="32">
        <v>1996</v>
      </c>
      <c r="E2472" s="32">
        <v>2006</v>
      </c>
      <c r="F2472" s="32" t="s">
        <v>2711</v>
      </c>
      <c r="G2472" s="32" t="s">
        <v>2708</v>
      </c>
      <c r="H2472" s="24" t="s">
        <v>2843</v>
      </c>
      <c r="I2472" s="32">
        <f t="shared" si="317"/>
        <v>-15.5</v>
      </c>
      <c r="J2472" s="32">
        <f t="shared" si="318"/>
        <v>35.25</v>
      </c>
      <c r="K2472" s="32">
        <v>1030</v>
      </c>
      <c r="N2472" s="32">
        <v>970</v>
      </c>
      <c r="O2472" s="32">
        <v>1024</v>
      </c>
      <c r="Q2472" s="44" t="s">
        <v>1852</v>
      </c>
      <c r="R2472" s="44" t="s">
        <v>1940</v>
      </c>
      <c r="S2472" s="44"/>
      <c r="T2472" s="44" t="s">
        <v>2706</v>
      </c>
      <c r="U2472" s="44" t="s">
        <v>1383</v>
      </c>
      <c r="V2472" s="44" t="s">
        <v>1722</v>
      </c>
      <c r="W2472" s="44" t="s">
        <v>1383</v>
      </c>
      <c r="X2472" s="44" t="s">
        <v>1383</v>
      </c>
      <c r="Z2472" s="323">
        <v>46</v>
      </c>
      <c r="AA2472" s="323">
        <v>8</v>
      </c>
      <c r="AB2472" s="32" t="s">
        <v>2710</v>
      </c>
      <c r="AC2472" s="32">
        <v>5.9</v>
      </c>
      <c r="AD2472" s="32">
        <v>0.88</v>
      </c>
      <c r="AF2472" s="32" t="s">
        <v>2709</v>
      </c>
      <c r="AG2472" s="32" t="s">
        <v>2712</v>
      </c>
      <c r="AH2472" s="32" t="s">
        <v>578</v>
      </c>
      <c r="AI2472" s="32" t="s">
        <v>1650</v>
      </c>
      <c r="AJ2472" s="32" t="s">
        <v>133</v>
      </c>
      <c r="AK2472" s="32" t="s">
        <v>178</v>
      </c>
      <c r="AL2472" s="32" t="s">
        <v>178</v>
      </c>
      <c r="AM2472" s="32" t="s">
        <v>178</v>
      </c>
      <c r="AQ2472" s="32" t="s">
        <v>162</v>
      </c>
      <c r="AR2472" s="32" t="s">
        <v>162</v>
      </c>
      <c r="AS2472" s="32" t="s">
        <v>178</v>
      </c>
      <c r="AT2472" s="32" t="s">
        <v>161</v>
      </c>
      <c r="AU2472" s="32">
        <v>3</v>
      </c>
      <c r="AV2472" s="32">
        <v>3</v>
      </c>
      <c r="AW2472" s="32" t="s">
        <v>2707</v>
      </c>
      <c r="AY2472" s="32">
        <f>4723+1394</f>
        <v>6117</v>
      </c>
      <c r="BH2472" s="32">
        <v>1200</v>
      </c>
      <c r="BI2472" s="32">
        <v>5302</v>
      </c>
      <c r="BM2472" s="397"/>
      <c r="BN2472" s="397"/>
      <c r="BR2472" s="397"/>
      <c r="BS2472" s="397"/>
      <c r="IQ2472" s="243"/>
    </row>
    <row r="2473" spans="1:251" s="32" customFormat="1" x14ac:dyDescent="0.25">
      <c r="A2473" s="32">
        <v>118</v>
      </c>
      <c r="B2473" s="32" t="s">
        <v>2704</v>
      </c>
      <c r="C2473" s="32" t="s">
        <v>2705</v>
      </c>
      <c r="D2473" s="32">
        <v>1997</v>
      </c>
      <c r="E2473" s="32">
        <v>2006</v>
      </c>
      <c r="F2473" s="32" t="s">
        <v>2711</v>
      </c>
      <c r="G2473" s="32" t="s">
        <v>2708</v>
      </c>
      <c r="H2473" s="24" t="s">
        <v>2843</v>
      </c>
      <c r="I2473" s="32">
        <f t="shared" si="317"/>
        <v>-15.5</v>
      </c>
      <c r="J2473" s="32">
        <f t="shared" si="318"/>
        <v>35.25</v>
      </c>
      <c r="K2473" s="32">
        <v>1030</v>
      </c>
      <c r="N2473" s="32">
        <v>1612</v>
      </c>
      <c r="O2473" s="32">
        <v>1024</v>
      </c>
      <c r="Q2473" s="44" t="s">
        <v>1741</v>
      </c>
      <c r="R2473" s="44" t="s">
        <v>1940</v>
      </c>
      <c r="S2473" s="44"/>
      <c r="T2473" s="44" t="s">
        <v>2706</v>
      </c>
      <c r="U2473" s="44" t="s">
        <v>1383</v>
      </c>
      <c r="V2473" s="44" t="s">
        <v>1722</v>
      </c>
      <c r="W2473" s="44" t="s">
        <v>1383</v>
      </c>
      <c r="X2473" s="44" t="s">
        <v>1383</v>
      </c>
      <c r="Z2473" s="323">
        <v>46</v>
      </c>
      <c r="AA2473" s="323">
        <v>8</v>
      </c>
      <c r="AB2473" s="32" t="s">
        <v>2710</v>
      </c>
      <c r="AC2473" s="32">
        <v>5.9</v>
      </c>
      <c r="AD2473" s="32">
        <v>0.88</v>
      </c>
      <c r="AF2473" s="32" t="s">
        <v>2709</v>
      </c>
      <c r="AG2473" s="32" t="s">
        <v>2712</v>
      </c>
      <c r="AH2473" s="32" t="s">
        <v>578</v>
      </c>
      <c r="AI2473" s="32" t="s">
        <v>1650</v>
      </c>
      <c r="AJ2473" s="32" t="s">
        <v>133</v>
      </c>
      <c r="AK2473" s="32" t="s">
        <v>178</v>
      </c>
      <c r="AL2473" s="32" t="s">
        <v>178</v>
      </c>
      <c r="AM2473" s="32" t="s">
        <v>178</v>
      </c>
      <c r="AQ2473" s="32" t="s">
        <v>162</v>
      </c>
      <c r="AR2473" s="32" t="s">
        <v>162</v>
      </c>
      <c r="AS2473" s="32" t="s">
        <v>178</v>
      </c>
      <c r="AT2473" s="32" t="s">
        <v>161</v>
      </c>
      <c r="AU2473" s="32">
        <v>3</v>
      </c>
      <c r="AV2473" s="32">
        <v>3</v>
      </c>
      <c r="AW2473" s="32" t="s">
        <v>2707</v>
      </c>
      <c r="AY2473" s="32">
        <f>5698+1406.7</f>
        <v>7104.7</v>
      </c>
      <c r="AZ2473" s="32">
        <f>AY2473/(302+281+293)*3</f>
        <v>24.331164383561642</v>
      </c>
      <c r="BH2473" s="32">
        <v>529</v>
      </c>
      <c r="BI2473" s="32">
        <v>3356</v>
      </c>
      <c r="BM2473" s="397"/>
      <c r="BN2473" s="397"/>
      <c r="BR2473" s="397"/>
      <c r="BS2473" s="397"/>
      <c r="IQ2473" s="243"/>
    </row>
    <row r="2474" spans="1:251" s="32" customFormat="1" x14ac:dyDescent="0.25">
      <c r="A2474" s="32">
        <v>118</v>
      </c>
      <c r="B2474" s="32" t="s">
        <v>2704</v>
      </c>
      <c r="C2474" s="32" t="s">
        <v>2705</v>
      </c>
      <c r="D2474" s="32">
        <v>1998</v>
      </c>
      <c r="E2474" s="32">
        <v>2006</v>
      </c>
      <c r="F2474" s="32" t="s">
        <v>2711</v>
      </c>
      <c r="G2474" s="32" t="s">
        <v>2708</v>
      </c>
      <c r="H2474" s="24" t="s">
        <v>2843</v>
      </c>
      <c r="I2474" s="32">
        <f t="shared" si="317"/>
        <v>-15.5</v>
      </c>
      <c r="J2474" s="32">
        <f t="shared" si="318"/>
        <v>35.25</v>
      </c>
      <c r="K2474" s="32">
        <v>1030</v>
      </c>
      <c r="N2474" s="32">
        <v>1015</v>
      </c>
      <c r="O2474" s="32">
        <v>1024</v>
      </c>
      <c r="Q2474" s="44" t="s">
        <v>1991</v>
      </c>
      <c r="R2474" s="44" t="s">
        <v>1940</v>
      </c>
      <c r="S2474" s="44"/>
      <c r="T2474" s="44" t="s">
        <v>2706</v>
      </c>
      <c r="U2474" s="44" t="s">
        <v>1383</v>
      </c>
      <c r="V2474" s="44" t="s">
        <v>1722</v>
      </c>
      <c r="W2474" s="44" t="s">
        <v>1383</v>
      </c>
      <c r="X2474" s="44" t="s">
        <v>1383</v>
      </c>
      <c r="Z2474" s="323">
        <v>46</v>
      </c>
      <c r="AA2474" s="323">
        <v>8</v>
      </c>
      <c r="AB2474" s="32" t="s">
        <v>2710</v>
      </c>
      <c r="AC2474" s="32">
        <v>5.9</v>
      </c>
      <c r="AD2474" s="32">
        <v>0.88</v>
      </c>
      <c r="AF2474" s="32" t="s">
        <v>2709</v>
      </c>
      <c r="AG2474" s="32" t="s">
        <v>2712</v>
      </c>
      <c r="AH2474" s="32" t="s">
        <v>578</v>
      </c>
      <c r="AI2474" s="32" t="s">
        <v>1650</v>
      </c>
      <c r="AJ2474" s="32" t="s">
        <v>133</v>
      </c>
      <c r="AK2474" s="32" t="s">
        <v>178</v>
      </c>
      <c r="AL2474" s="32" t="s">
        <v>178</v>
      </c>
      <c r="AM2474" s="32" t="s">
        <v>178</v>
      </c>
      <c r="AQ2474" s="32" t="s">
        <v>162</v>
      </c>
      <c r="AR2474" s="32" t="s">
        <v>162</v>
      </c>
      <c r="AS2474" s="32" t="s">
        <v>178</v>
      </c>
      <c r="AT2474" s="32" t="s">
        <v>161</v>
      </c>
      <c r="AU2474" s="32">
        <v>3</v>
      </c>
      <c r="AV2474" s="32">
        <v>3</v>
      </c>
      <c r="AW2474" s="32" t="s">
        <v>2707</v>
      </c>
      <c r="AY2474" s="32">
        <f>6904+2110</f>
        <v>9014</v>
      </c>
      <c r="AZ2474" s="32">
        <f>AY2474/(293+281+191)*3</f>
        <v>35.34901960784314</v>
      </c>
      <c r="BH2474" s="32">
        <v>1073</v>
      </c>
      <c r="BI2474" s="32">
        <v>4322</v>
      </c>
      <c r="BM2474" s="397"/>
      <c r="BN2474" s="397"/>
      <c r="BR2474" s="397"/>
      <c r="BS2474" s="397"/>
      <c r="IQ2474" s="243"/>
    </row>
    <row r="2475" spans="1:251" s="32" customFormat="1" x14ac:dyDescent="0.25">
      <c r="A2475" s="32">
        <v>118</v>
      </c>
      <c r="B2475" s="32" t="s">
        <v>2704</v>
      </c>
      <c r="C2475" s="32" t="s">
        <v>2705</v>
      </c>
      <c r="D2475" s="32">
        <v>1999</v>
      </c>
      <c r="E2475" s="32">
        <v>2006</v>
      </c>
      <c r="F2475" s="32" t="s">
        <v>2711</v>
      </c>
      <c r="G2475" s="32" t="s">
        <v>2708</v>
      </c>
      <c r="H2475" s="24" t="s">
        <v>2843</v>
      </c>
      <c r="I2475" s="32">
        <f t="shared" si="317"/>
        <v>-15.5</v>
      </c>
      <c r="J2475" s="32">
        <f t="shared" si="318"/>
        <v>35.25</v>
      </c>
      <c r="K2475" s="32">
        <v>1030</v>
      </c>
      <c r="N2475" s="32">
        <v>1194</v>
      </c>
      <c r="O2475" s="32">
        <v>1024</v>
      </c>
      <c r="Q2475" s="44" t="s">
        <v>1984</v>
      </c>
      <c r="R2475" s="44" t="s">
        <v>1940</v>
      </c>
      <c r="S2475" s="44"/>
      <c r="T2475" s="44" t="s">
        <v>2706</v>
      </c>
      <c r="U2475" s="44" t="s">
        <v>1383</v>
      </c>
      <c r="V2475" s="44" t="s">
        <v>1722</v>
      </c>
      <c r="W2475" s="44" t="s">
        <v>1383</v>
      </c>
      <c r="X2475" s="44" t="s">
        <v>1383</v>
      </c>
      <c r="Z2475" s="323">
        <v>46</v>
      </c>
      <c r="AA2475" s="323">
        <v>8</v>
      </c>
      <c r="AB2475" s="32" t="s">
        <v>2710</v>
      </c>
      <c r="AC2475" s="32">
        <v>5.9</v>
      </c>
      <c r="AD2475" s="32">
        <v>0.88</v>
      </c>
      <c r="AF2475" s="32" t="s">
        <v>2709</v>
      </c>
      <c r="AG2475" s="32" t="s">
        <v>2712</v>
      </c>
      <c r="AH2475" s="32" t="s">
        <v>578</v>
      </c>
      <c r="AI2475" s="32" t="s">
        <v>1650</v>
      </c>
      <c r="AJ2475" s="32" t="s">
        <v>133</v>
      </c>
      <c r="AK2475" s="32" t="s">
        <v>178</v>
      </c>
      <c r="AL2475" s="32" t="s">
        <v>178</v>
      </c>
      <c r="AM2475" s="32" t="s">
        <v>178</v>
      </c>
      <c r="AQ2475" s="32" t="s">
        <v>162</v>
      </c>
      <c r="AR2475" s="32" t="s">
        <v>162</v>
      </c>
      <c r="AS2475" s="32" t="s">
        <v>178</v>
      </c>
      <c r="AT2475" s="32" t="s">
        <v>161</v>
      </c>
      <c r="AU2475" s="32">
        <v>3</v>
      </c>
      <c r="AV2475" s="32">
        <v>3</v>
      </c>
      <c r="AW2475" s="32" t="s">
        <v>2707</v>
      </c>
      <c r="AY2475" s="32">
        <f>5681+3354</f>
        <v>9035</v>
      </c>
      <c r="BH2475" s="32">
        <v>1015</v>
      </c>
      <c r="BI2475" s="32">
        <v>4487</v>
      </c>
      <c r="BM2475" s="397"/>
      <c r="BN2475" s="397"/>
      <c r="BR2475" s="397"/>
      <c r="BS2475" s="397"/>
      <c r="IQ2475" s="243"/>
    </row>
    <row r="2476" spans="1:251" s="32" customFormat="1" x14ac:dyDescent="0.25">
      <c r="A2476" s="32">
        <v>118</v>
      </c>
      <c r="B2476" s="32" t="s">
        <v>2704</v>
      </c>
      <c r="C2476" s="32" t="s">
        <v>2705</v>
      </c>
      <c r="D2476" s="32">
        <v>2000</v>
      </c>
      <c r="E2476" s="32">
        <v>2006</v>
      </c>
      <c r="F2476" s="32" t="s">
        <v>2711</v>
      </c>
      <c r="G2476" s="32" t="s">
        <v>2708</v>
      </c>
      <c r="H2476" s="24" t="s">
        <v>2843</v>
      </c>
      <c r="I2476" s="32">
        <f t="shared" si="317"/>
        <v>-15.5</v>
      </c>
      <c r="J2476" s="32">
        <f t="shared" si="318"/>
        <v>35.25</v>
      </c>
      <c r="K2476" s="32">
        <v>1030</v>
      </c>
      <c r="N2476" s="32">
        <v>786</v>
      </c>
      <c r="O2476" s="32">
        <v>1024</v>
      </c>
      <c r="Q2476" s="44" t="s">
        <v>1726</v>
      </c>
      <c r="R2476" s="44" t="s">
        <v>1940</v>
      </c>
      <c r="S2476" s="44"/>
      <c r="T2476" s="44" t="s">
        <v>2706</v>
      </c>
      <c r="U2476" s="44" t="s">
        <v>1383</v>
      </c>
      <c r="V2476" s="44" t="s">
        <v>1722</v>
      </c>
      <c r="W2476" s="44" t="s">
        <v>1383</v>
      </c>
      <c r="X2476" s="44" t="s">
        <v>1383</v>
      </c>
      <c r="Z2476" s="323">
        <v>46</v>
      </c>
      <c r="AA2476" s="323">
        <v>8</v>
      </c>
      <c r="AB2476" s="32" t="s">
        <v>2710</v>
      </c>
      <c r="AC2476" s="32">
        <v>5.9</v>
      </c>
      <c r="AD2476" s="32">
        <v>0.88</v>
      </c>
      <c r="AF2476" s="32" t="s">
        <v>2709</v>
      </c>
      <c r="AG2476" s="32" t="s">
        <v>2712</v>
      </c>
      <c r="AH2476" s="32" t="s">
        <v>578</v>
      </c>
      <c r="AI2476" s="32" t="s">
        <v>1650</v>
      </c>
      <c r="AJ2476" s="32" t="s">
        <v>133</v>
      </c>
      <c r="AK2476" s="32" t="s">
        <v>178</v>
      </c>
      <c r="AL2476" s="32" t="s">
        <v>178</v>
      </c>
      <c r="AM2476" s="32" t="s">
        <v>178</v>
      </c>
      <c r="AQ2476" s="32" t="s">
        <v>162</v>
      </c>
      <c r="AR2476" s="32" t="s">
        <v>162</v>
      </c>
      <c r="AS2476" s="32" t="s">
        <v>178</v>
      </c>
      <c r="AT2476" s="32" t="s">
        <v>161</v>
      </c>
      <c r="AU2476" s="32">
        <v>3</v>
      </c>
      <c r="AV2476" s="32">
        <v>3</v>
      </c>
      <c r="AW2476" s="32" t="s">
        <v>2707</v>
      </c>
      <c r="AY2476" s="32">
        <f>4227+3365</f>
        <v>7592</v>
      </c>
      <c r="BH2476" s="32">
        <v>804</v>
      </c>
      <c r="BI2476" s="32">
        <v>2309</v>
      </c>
      <c r="BM2476" s="397"/>
      <c r="BN2476" s="397"/>
      <c r="BR2476" s="397"/>
      <c r="BS2476" s="397"/>
      <c r="IQ2476" s="243"/>
    </row>
    <row r="2477" spans="1:251" s="32" customFormat="1" x14ac:dyDescent="0.25">
      <c r="A2477" s="32">
        <v>118</v>
      </c>
      <c r="B2477" s="32" t="s">
        <v>2704</v>
      </c>
      <c r="C2477" s="32" t="s">
        <v>2705</v>
      </c>
      <c r="D2477" s="32">
        <v>2001</v>
      </c>
      <c r="E2477" s="32">
        <v>2006</v>
      </c>
      <c r="F2477" s="32" t="s">
        <v>2711</v>
      </c>
      <c r="G2477" s="32" t="s">
        <v>2708</v>
      </c>
      <c r="H2477" s="24" t="s">
        <v>2843</v>
      </c>
      <c r="I2477" s="32">
        <f t="shared" si="317"/>
        <v>-15.5</v>
      </c>
      <c r="J2477" s="32">
        <f t="shared" si="318"/>
        <v>35.25</v>
      </c>
      <c r="K2477" s="32">
        <v>1030</v>
      </c>
      <c r="N2477" s="32">
        <v>1225</v>
      </c>
      <c r="O2477" s="32">
        <v>1024</v>
      </c>
      <c r="Q2477" s="44" t="s">
        <v>1869</v>
      </c>
      <c r="R2477" s="44" t="s">
        <v>1940</v>
      </c>
      <c r="S2477" s="44"/>
      <c r="T2477" s="44" t="s">
        <v>2706</v>
      </c>
      <c r="U2477" s="44" t="s">
        <v>1383</v>
      </c>
      <c r="V2477" s="44" t="s">
        <v>1722</v>
      </c>
      <c r="W2477" s="44" t="s">
        <v>1383</v>
      </c>
      <c r="X2477" s="44" t="s">
        <v>1383</v>
      </c>
      <c r="Z2477" s="323">
        <v>46</v>
      </c>
      <c r="AA2477" s="323">
        <v>8</v>
      </c>
      <c r="AB2477" s="32" t="s">
        <v>2710</v>
      </c>
      <c r="AC2477" s="32">
        <v>5.9</v>
      </c>
      <c r="AD2477" s="32">
        <v>0.88</v>
      </c>
      <c r="AF2477" s="32" t="s">
        <v>2709</v>
      </c>
      <c r="AG2477" s="32" t="s">
        <v>2712</v>
      </c>
      <c r="AH2477" s="32" t="s">
        <v>578</v>
      </c>
      <c r="AI2477" s="32" t="s">
        <v>1650</v>
      </c>
      <c r="AJ2477" s="32" t="s">
        <v>133</v>
      </c>
      <c r="AK2477" s="32" t="s">
        <v>178</v>
      </c>
      <c r="AL2477" s="32" t="s">
        <v>178</v>
      </c>
      <c r="AM2477" s="32" t="s">
        <v>178</v>
      </c>
      <c r="AQ2477" s="32" t="s">
        <v>162</v>
      </c>
      <c r="AR2477" s="32" t="s">
        <v>162</v>
      </c>
      <c r="AS2477" s="32" t="s">
        <v>178</v>
      </c>
      <c r="AT2477" s="32" t="s">
        <v>161</v>
      </c>
      <c r="AU2477" s="32">
        <v>3</v>
      </c>
      <c r="AV2477" s="32">
        <v>3</v>
      </c>
      <c r="AW2477" s="32" t="s">
        <v>2707</v>
      </c>
      <c r="AY2477" s="32">
        <f>5600+4494</f>
        <v>10094</v>
      </c>
      <c r="BH2477" s="32">
        <v>857</v>
      </c>
      <c r="BI2477" s="32">
        <v>5059</v>
      </c>
      <c r="BM2477" s="397"/>
      <c r="BN2477" s="397"/>
      <c r="BR2477" s="397"/>
      <c r="BS2477" s="397"/>
      <c r="IQ2477" s="243"/>
    </row>
    <row r="2478" spans="1:251" s="32" customFormat="1" x14ac:dyDescent="0.25">
      <c r="A2478" s="32">
        <v>118</v>
      </c>
      <c r="B2478" s="32" t="s">
        <v>2704</v>
      </c>
      <c r="C2478" s="32" t="s">
        <v>2705</v>
      </c>
      <c r="D2478" s="32">
        <v>2002</v>
      </c>
      <c r="E2478" s="32">
        <v>2006</v>
      </c>
      <c r="F2478" s="32" t="s">
        <v>2711</v>
      </c>
      <c r="G2478" s="32" t="s">
        <v>2708</v>
      </c>
      <c r="H2478" s="24" t="s">
        <v>2843</v>
      </c>
      <c r="I2478" s="32">
        <f t="shared" si="317"/>
        <v>-15.5</v>
      </c>
      <c r="J2478" s="32">
        <f t="shared" si="318"/>
        <v>35.25</v>
      </c>
      <c r="K2478" s="32">
        <v>1030</v>
      </c>
      <c r="N2478" s="32">
        <v>820</v>
      </c>
      <c r="O2478" s="32">
        <v>1024</v>
      </c>
      <c r="Q2478" s="44" t="s">
        <v>1940</v>
      </c>
      <c r="R2478" s="44" t="s">
        <v>1940</v>
      </c>
      <c r="S2478" s="44"/>
      <c r="T2478" s="44" t="s">
        <v>2706</v>
      </c>
      <c r="U2478" s="44" t="s">
        <v>1383</v>
      </c>
      <c r="V2478" s="44" t="s">
        <v>1722</v>
      </c>
      <c r="W2478" s="44" t="s">
        <v>1383</v>
      </c>
      <c r="X2478" s="44" t="s">
        <v>1383</v>
      </c>
      <c r="Z2478" s="323">
        <v>46</v>
      </c>
      <c r="AA2478" s="323">
        <v>8</v>
      </c>
      <c r="AB2478" s="32" t="s">
        <v>2710</v>
      </c>
      <c r="AC2478" s="32">
        <v>5.9</v>
      </c>
      <c r="AD2478" s="32">
        <v>0.88</v>
      </c>
      <c r="AF2478" s="32" t="s">
        <v>2709</v>
      </c>
      <c r="AG2478" s="32" t="s">
        <v>2712</v>
      </c>
      <c r="AH2478" s="32" t="s">
        <v>578</v>
      </c>
      <c r="AI2478" s="32" t="s">
        <v>1650</v>
      </c>
      <c r="AJ2478" s="32" t="s">
        <v>133</v>
      </c>
      <c r="AK2478" s="32" t="s">
        <v>178</v>
      </c>
      <c r="AL2478" s="32" t="s">
        <v>178</v>
      </c>
      <c r="AM2478" s="32" t="s">
        <v>178</v>
      </c>
      <c r="AQ2478" s="32" t="s">
        <v>162</v>
      </c>
      <c r="AR2478" s="32" t="s">
        <v>162</v>
      </c>
      <c r="AS2478" s="32" t="s">
        <v>178</v>
      </c>
      <c r="AT2478" s="32" t="s">
        <v>161</v>
      </c>
      <c r="AU2478" s="32">
        <v>3</v>
      </c>
      <c r="AV2478" s="32">
        <v>3</v>
      </c>
      <c r="AW2478" s="32" t="s">
        <v>2707</v>
      </c>
      <c r="AY2478" s="32">
        <f>4891+3991</f>
        <v>8882</v>
      </c>
      <c r="BH2478" s="32">
        <v>1000</v>
      </c>
      <c r="BI2478" s="32">
        <v>4150</v>
      </c>
      <c r="BM2478" s="397"/>
      <c r="BN2478" s="397"/>
      <c r="BR2478" s="397"/>
      <c r="BS2478" s="397"/>
      <c r="IQ2478" s="243"/>
    </row>
    <row r="2479" spans="1:251" s="24" customFormat="1" x14ac:dyDescent="0.25">
      <c r="A2479" s="24">
        <v>118</v>
      </c>
      <c r="B2479" s="24" t="s">
        <v>2704</v>
      </c>
      <c r="C2479" s="24" t="s">
        <v>2705</v>
      </c>
      <c r="D2479" s="24">
        <v>1993</v>
      </c>
      <c r="E2479" s="24">
        <v>2006</v>
      </c>
      <c r="F2479" s="24" t="s">
        <v>2711</v>
      </c>
      <c r="G2479" s="24" t="s">
        <v>2708</v>
      </c>
      <c r="H2479" s="24" t="s">
        <v>2843</v>
      </c>
      <c r="I2479" s="24">
        <f t="shared" si="317"/>
        <v>-15.5</v>
      </c>
      <c r="J2479" s="24">
        <f t="shared" si="318"/>
        <v>35.25</v>
      </c>
      <c r="K2479" s="24">
        <v>1030</v>
      </c>
      <c r="N2479" s="32">
        <v>970</v>
      </c>
      <c r="O2479" s="24">
        <v>1024</v>
      </c>
      <c r="Q2479" s="42" t="s">
        <v>1735</v>
      </c>
      <c r="R2479" s="42" t="s">
        <v>1940</v>
      </c>
      <c r="S2479" s="42"/>
      <c r="T2479" s="42" t="s">
        <v>2706</v>
      </c>
      <c r="U2479" s="42" t="s">
        <v>1383</v>
      </c>
      <c r="V2479" s="42" t="s">
        <v>1722</v>
      </c>
      <c r="W2479" s="42" t="s">
        <v>1383</v>
      </c>
      <c r="X2479" s="42" t="s">
        <v>1383</v>
      </c>
      <c r="Z2479" s="321">
        <v>46</v>
      </c>
      <c r="AA2479" s="321">
        <v>8</v>
      </c>
      <c r="AB2479" s="24" t="s">
        <v>2710</v>
      </c>
      <c r="AC2479" s="24">
        <v>5.9</v>
      </c>
      <c r="AD2479" s="24">
        <v>0.88</v>
      </c>
      <c r="AF2479" s="24" t="s">
        <v>2709</v>
      </c>
      <c r="AG2479" s="24" t="s">
        <v>2712</v>
      </c>
      <c r="AH2479" s="24" t="s">
        <v>578</v>
      </c>
      <c r="AI2479" s="24" t="s">
        <v>1650</v>
      </c>
      <c r="AJ2479" s="24" t="s">
        <v>133</v>
      </c>
      <c r="AK2479" s="24" t="s">
        <v>178</v>
      </c>
      <c r="AL2479" s="24" t="s">
        <v>178</v>
      </c>
      <c r="AM2479" s="24" t="s">
        <v>178</v>
      </c>
      <c r="AQ2479" s="24" t="s">
        <v>2714</v>
      </c>
      <c r="AR2479" s="24" t="s">
        <v>2714</v>
      </c>
      <c r="AS2479" s="24" t="s">
        <v>178</v>
      </c>
      <c r="AT2479" s="24" t="s">
        <v>161</v>
      </c>
      <c r="AU2479" s="24">
        <v>3</v>
      </c>
      <c r="AV2479" s="24">
        <v>3</v>
      </c>
      <c r="AW2479" s="24" t="s">
        <v>2707</v>
      </c>
      <c r="AY2479" s="24">
        <v>4129.8</v>
      </c>
      <c r="BH2479" s="24">
        <v>3418</v>
      </c>
      <c r="BI2479" s="24">
        <v>2982</v>
      </c>
      <c r="BM2479" s="395"/>
      <c r="BN2479" s="395"/>
      <c r="BR2479" s="395"/>
      <c r="BS2479" s="395"/>
      <c r="IQ2479" s="249"/>
    </row>
    <row r="2480" spans="1:251" s="24" customFormat="1" x14ac:dyDescent="0.25">
      <c r="A2480" s="24">
        <v>118</v>
      </c>
      <c r="B2480" s="24" t="s">
        <v>2704</v>
      </c>
      <c r="C2480" s="24" t="s">
        <v>2705</v>
      </c>
      <c r="D2480" s="24">
        <v>1994</v>
      </c>
      <c r="E2480" s="24">
        <v>2006</v>
      </c>
      <c r="F2480" s="24" t="s">
        <v>2711</v>
      </c>
      <c r="G2480" s="24" t="s">
        <v>2708</v>
      </c>
      <c r="H2480" s="24" t="s">
        <v>2843</v>
      </c>
      <c r="I2480" s="24">
        <f t="shared" si="317"/>
        <v>-15.5</v>
      </c>
      <c r="J2480" s="24">
        <f t="shared" si="318"/>
        <v>35.25</v>
      </c>
      <c r="K2480" s="24">
        <v>1030</v>
      </c>
      <c r="N2480" s="32">
        <v>540</v>
      </c>
      <c r="O2480" s="24">
        <v>1024</v>
      </c>
      <c r="Q2480" s="42" t="s">
        <v>1867</v>
      </c>
      <c r="R2480" s="42" t="s">
        <v>1940</v>
      </c>
      <c r="S2480" s="42"/>
      <c r="T2480" s="42" t="s">
        <v>2706</v>
      </c>
      <c r="U2480" s="42" t="s">
        <v>1383</v>
      </c>
      <c r="V2480" s="42" t="s">
        <v>1722</v>
      </c>
      <c r="W2480" s="42" t="s">
        <v>1383</v>
      </c>
      <c r="X2480" s="42" t="s">
        <v>1383</v>
      </c>
      <c r="Z2480" s="321">
        <v>46</v>
      </c>
      <c r="AA2480" s="321">
        <v>8</v>
      </c>
      <c r="AB2480" s="24" t="s">
        <v>2710</v>
      </c>
      <c r="AC2480" s="24">
        <v>5.9</v>
      </c>
      <c r="AD2480" s="24">
        <v>0.88</v>
      </c>
      <c r="AF2480" s="24" t="s">
        <v>2709</v>
      </c>
      <c r="AG2480" s="24" t="s">
        <v>2712</v>
      </c>
      <c r="AH2480" s="24" t="s">
        <v>578</v>
      </c>
      <c r="AI2480" s="24" t="s">
        <v>1650</v>
      </c>
      <c r="AJ2480" s="24" t="s">
        <v>133</v>
      </c>
      <c r="AK2480" s="24" t="s">
        <v>178</v>
      </c>
      <c r="AL2480" s="24" t="s">
        <v>178</v>
      </c>
      <c r="AM2480" s="24" t="s">
        <v>178</v>
      </c>
      <c r="AQ2480" s="24" t="s">
        <v>2714</v>
      </c>
      <c r="AR2480" s="24" t="s">
        <v>2714</v>
      </c>
      <c r="AS2480" s="24" t="s">
        <v>178</v>
      </c>
      <c r="AT2480" s="24" t="s">
        <v>161</v>
      </c>
      <c r="AU2480" s="24">
        <v>3</v>
      </c>
      <c r="AV2480" s="24">
        <v>3</v>
      </c>
      <c r="AW2480" s="24" t="s">
        <v>2707</v>
      </c>
      <c r="AY2480" s="24">
        <v>6124</v>
      </c>
      <c r="BH2480" s="24">
        <v>2111</v>
      </c>
      <c r="BI2480" s="24">
        <v>4446</v>
      </c>
      <c r="BM2480" s="395"/>
      <c r="BN2480" s="395"/>
      <c r="BR2480" s="395"/>
      <c r="BS2480" s="395"/>
      <c r="IQ2480" s="249"/>
    </row>
    <row r="2481" spans="1:251" s="24" customFormat="1" x14ac:dyDescent="0.25">
      <c r="A2481" s="24">
        <v>118</v>
      </c>
      <c r="B2481" s="24" t="s">
        <v>2704</v>
      </c>
      <c r="C2481" s="24" t="s">
        <v>2705</v>
      </c>
      <c r="D2481" s="24">
        <v>1995</v>
      </c>
      <c r="E2481" s="24">
        <v>2006</v>
      </c>
      <c r="F2481" s="24" t="s">
        <v>2711</v>
      </c>
      <c r="G2481" s="24" t="s">
        <v>2708</v>
      </c>
      <c r="H2481" s="24" t="s">
        <v>2843</v>
      </c>
      <c r="I2481" s="24">
        <f t="shared" si="317"/>
        <v>-15.5</v>
      </c>
      <c r="J2481" s="24">
        <f t="shared" si="318"/>
        <v>35.25</v>
      </c>
      <c r="K2481" s="24">
        <v>1030</v>
      </c>
      <c r="N2481" s="32">
        <v>551</v>
      </c>
      <c r="O2481" s="24">
        <v>1024</v>
      </c>
      <c r="Q2481" s="42" t="s">
        <v>1729</v>
      </c>
      <c r="R2481" s="42" t="s">
        <v>1940</v>
      </c>
      <c r="S2481" s="42"/>
      <c r="T2481" s="42" t="s">
        <v>2706</v>
      </c>
      <c r="U2481" s="42" t="s">
        <v>1383</v>
      </c>
      <c r="V2481" s="42" t="s">
        <v>1722</v>
      </c>
      <c r="W2481" s="42" t="s">
        <v>1383</v>
      </c>
      <c r="X2481" s="42" t="s">
        <v>1383</v>
      </c>
      <c r="Z2481" s="321">
        <v>46</v>
      </c>
      <c r="AA2481" s="321">
        <v>8</v>
      </c>
      <c r="AB2481" s="24" t="s">
        <v>2710</v>
      </c>
      <c r="AC2481" s="24">
        <v>5.9</v>
      </c>
      <c r="AD2481" s="24">
        <v>0.88</v>
      </c>
      <c r="AF2481" s="24" t="s">
        <v>2709</v>
      </c>
      <c r="AG2481" s="24" t="s">
        <v>2712</v>
      </c>
      <c r="AH2481" s="24" t="s">
        <v>578</v>
      </c>
      <c r="AI2481" s="24" t="s">
        <v>1650</v>
      </c>
      <c r="AJ2481" s="24" t="s">
        <v>133</v>
      </c>
      <c r="AK2481" s="24" t="s">
        <v>178</v>
      </c>
      <c r="AL2481" s="24" t="s">
        <v>178</v>
      </c>
      <c r="AM2481" s="24" t="s">
        <v>178</v>
      </c>
      <c r="AQ2481" s="24" t="s">
        <v>2714</v>
      </c>
      <c r="AR2481" s="24" t="s">
        <v>2714</v>
      </c>
      <c r="AS2481" s="24" t="s">
        <v>178</v>
      </c>
      <c r="AT2481" s="24" t="s">
        <v>161</v>
      </c>
      <c r="AU2481" s="24">
        <v>3</v>
      </c>
      <c r="AV2481" s="24">
        <v>3</v>
      </c>
      <c r="AW2481" s="24" t="s">
        <v>2707</v>
      </c>
      <c r="AY2481" s="24">
        <v>5027.7</v>
      </c>
      <c r="BH2481" s="24">
        <v>3108</v>
      </c>
      <c r="BI2481" s="24">
        <v>4092</v>
      </c>
      <c r="BM2481" s="395"/>
      <c r="BN2481" s="395"/>
      <c r="BR2481" s="395"/>
      <c r="BS2481" s="395"/>
      <c r="IQ2481" s="249"/>
    </row>
    <row r="2482" spans="1:251" s="24" customFormat="1" x14ac:dyDescent="0.25">
      <c r="A2482" s="24">
        <v>118</v>
      </c>
      <c r="B2482" s="24" t="s">
        <v>2704</v>
      </c>
      <c r="C2482" s="24" t="s">
        <v>2705</v>
      </c>
      <c r="D2482" s="24">
        <v>1996</v>
      </c>
      <c r="E2482" s="24">
        <v>2006</v>
      </c>
      <c r="F2482" s="24" t="s">
        <v>2711</v>
      </c>
      <c r="G2482" s="24" t="s">
        <v>2708</v>
      </c>
      <c r="H2482" s="24" t="s">
        <v>2843</v>
      </c>
      <c r="I2482" s="24">
        <f t="shared" si="317"/>
        <v>-15.5</v>
      </c>
      <c r="J2482" s="24">
        <f t="shared" si="318"/>
        <v>35.25</v>
      </c>
      <c r="K2482" s="24">
        <v>1030</v>
      </c>
      <c r="N2482" s="32">
        <v>970</v>
      </c>
      <c r="O2482" s="24">
        <v>1024</v>
      </c>
      <c r="Q2482" s="42" t="s">
        <v>1852</v>
      </c>
      <c r="R2482" s="42" t="s">
        <v>1940</v>
      </c>
      <c r="S2482" s="42"/>
      <c r="T2482" s="42" t="s">
        <v>2706</v>
      </c>
      <c r="U2482" s="42" t="s">
        <v>1383</v>
      </c>
      <c r="V2482" s="42" t="s">
        <v>1722</v>
      </c>
      <c r="W2482" s="42" t="s">
        <v>1383</v>
      </c>
      <c r="X2482" s="42" t="s">
        <v>1383</v>
      </c>
      <c r="Z2482" s="321">
        <v>46</v>
      </c>
      <c r="AA2482" s="321">
        <v>8</v>
      </c>
      <c r="AB2482" s="24" t="s">
        <v>2710</v>
      </c>
      <c r="AC2482" s="24">
        <v>5.9</v>
      </c>
      <c r="AD2482" s="24">
        <v>0.88</v>
      </c>
      <c r="AF2482" s="24" t="s">
        <v>2709</v>
      </c>
      <c r="AG2482" s="24" t="s">
        <v>2712</v>
      </c>
      <c r="AH2482" s="24" t="s">
        <v>578</v>
      </c>
      <c r="AI2482" s="24" t="s">
        <v>1650</v>
      </c>
      <c r="AJ2482" s="24" t="s">
        <v>133</v>
      </c>
      <c r="AK2482" s="24" t="s">
        <v>178</v>
      </c>
      <c r="AL2482" s="24" t="s">
        <v>178</v>
      </c>
      <c r="AM2482" s="24" t="s">
        <v>178</v>
      </c>
      <c r="AQ2482" s="24" t="s">
        <v>2714</v>
      </c>
      <c r="AR2482" s="24" t="s">
        <v>2714</v>
      </c>
      <c r="AS2482" s="24" t="s">
        <v>178</v>
      </c>
      <c r="AT2482" s="24" t="s">
        <v>161</v>
      </c>
      <c r="AU2482" s="24">
        <v>3</v>
      </c>
      <c r="AV2482" s="24">
        <v>3</v>
      </c>
      <c r="AW2482" s="24" t="s">
        <v>2707</v>
      </c>
      <c r="AY2482" s="24">
        <v>6117</v>
      </c>
      <c r="BH2482" s="24">
        <v>3917</v>
      </c>
      <c r="BI2482" s="24">
        <v>7117</v>
      </c>
      <c r="BM2482" s="395"/>
      <c r="BN2482" s="395"/>
      <c r="BR2482" s="395"/>
      <c r="BS2482" s="395"/>
      <c r="IQ2482" s="249"/>
    </row>
    <row r="2483" spans="1:251" s="24" customFormat="1" x14ac:dyDescent="0.25">
      <c r="A2483" s="24">
        <v>118</v>
      </c>
      <c r="B2483" s="24" t="s">
        <v>2704</v>
      </c>
      <c r="C2483" s="24" t="s">
        <v>2705</v>
      </c>
      <c r="D2483" s="24">
        <v>1997</v>
      </c>
      <c r="E2483" s="24">
        <v>2006</v>
      </c>
      <c r="F2483" s="24" t="s">
        <v>2711</v>
      </c>
      <c r="G2483" s="24" t="s">
        <v>2708</v>
      </c>
      <c r="H2483" s="24" t="s">
        <v>2843</v>
      </c>
      <c r="I2483" s="24">
        <f t="shared" si="317"/>
        <v>-15.5</v>
      </c>
      <c r="J2483" s="24">
        <f t="shared" si="318"/>
        <v>35.25</v>
      </c>
      <c r="K2483" s="24">
        <v>1030</v>
      </c>
      <c r="N2483" s="32">
        <v>1612</v>
      </c>
      <c r="O2483" s="24">
        <v>1024</v>
      </c>
      <c r="Q2483" s="42" t="s">
        <v>1741</v>
      </c>
      <c r="R2483" s="42" t="s">
        <v>1940</v>
      </c>
      <c r="S2483" s="42"/>
      <c r="T2483" s="42" t="s">
        <v>2706</v>
      </c>
      <c r="U2483" s="42" t="s">
        <v>1383</v>
      </c>
      <c r="V2483" s="42" t="s">
        <v>1722</v>
      </c>
      <c r="W2483" s="42" t="s">
        <v>1383</v>
      </c>
      <c r="X2483" s="42" t="s">
        <v>1383</v>
      </c>
      <c r="Z2483" s="321">
        <v>46</v>
      </c>
      <c r="AA2483" s="321">
        <v>8</v>
      </c>
      <c r="AB2483" s="24" t="s">
        <v>2710</v>
      </c>
      <c r="AC2483" s="24">
        <v>5.9</v>
      </c>
      <c r="AD2483" s="24">
        <v>0.88</v>
      </c>
      <c r="AF2483" s="24" t="s">
        <v>2709</v>
      </c>
      <c r="AG2483" s="24" t="s">
        <v>2712</v>
      </c>
      <c r="AH2483" s="24" t="s">
        <v>578</v>
      </c>
      <c r="AI2483" s="24" t="s">
        <v>1650</v>
      </c>
      <c r="AJ2483" s="24" t="s">
        <v>133</v>
      </c>
      <c r="AK2483" s="24" t="s">
        <v>178</v>
      </c>
      <c r="AL2483" s="24" t="s">
        <v>178</v>
      </c>
      <c r="AM2483" s="24" t="s">
        <v>178</v>
      </c>
      <c r="AQ2483" s="24" t="s">
        <v>2714</v>
      </c>
      <c r="AR2483" s="24" t="s">
        <v>2714</v>
      </c>
      <c r="AS2483" s="24" t="s">
        <v>178</v>
      </c>
      <c r="AT2483" s="24" t="s">
        <v>161</v>
      </c>
      <c r="AU2483" s="24">
        <v>3</v>
      </c>
      <c r="AV2483" s="24">
        <v>3</v>
      </c>
      <c r="AW2483" s="24" t="s">
        <v>2707</v>
      </c>
      <c r="AY2483" s="24">
        <v>7104.7</v>
      </c>
      <c r="AZ2483" s="24">
        <v>24.331164383561642</v>
      </c>
      <c r="BH2483" s="24">
        <v>1987</v>
      </c>
      <c r="BI2483" s="24">
        <v>4160</v>
      </c>
      <c r="BM2483" s="395"/>
      <c r="BN2483" s="395"/>
      <c r="BR2483" s="395"/>
      <c r="BS2483" s="395"/>
      <c r="IQ2483" s="249"/>
    </row>
    <row r="2484" spans="1:251" s="24" customFormat="1" x14ac:dyDescent="0.25">
      <c r="A2484" s="24">
        <v>118</v>
      </c>
      <c r="B2484" s="24" t="s">
        <v>2704</v>
      </c>
      <c r="C2484" s="24" t="s">
        <v>2705</v>
      </c>
      <c r="D2484" s="24">
        <v>1998</v>
      </c>
      <c r="E2484" s="24">
        <v>2006</v>
      </c>
      <c r="F2484" s="24" t="s">
        <v>2711</v>
      </c>
      <c r="G2484" s="24" t="s">
        <v>2708</v>
      </c>
      <c r="H2484" s="24" t="s">
        <v>2843</v>
      </c>
      <c r="I2484" s="24">
        <f t="shared" si="317"/>
        <v>-15.5</v>
      </c>
      <c r="J2484" s="24">
        <f t="shared" si="318"/>
        <v>35.25</v>
      </c>
      <c r="K2484" s="24">
        <v>1030</v>
      </c>
      <c r="N2484" s="32">
        <v>1015</v>
      </c>
      <c r="O2484" s="24">
        <v>1024</v>
      </c>
      <c r="Q2484" s="42" t="s">
        <v>1991</v>
      </c>
      <c r="R2484" s="42" t="s">
        <v>1940</v>
      </c>
      <c r="S2484" s="42"/>
      <c r="T2484" s="42" t="s">
        <v>2706</v>
      </c>
      <c r="U2484" s="42" t="s">
        <v>1383</v>
      </c>
      <c r="V2484" s="42" t="s">
        <v>1722</v>
      </c>
      <c r="W2484" s="42" t="s">
        <v>1383</v>
      </c>
      <c r="X2484" s="42" t="s">
        <v>1383</v>
      </c>
      <c r="Z2484" s="321">
        <v>46</v>
      </c>
      <c r="AA2484" s="321">
        <v>8</v>
      </c>
      <c r="AB2484" s="24" t="s">
        <v>2710</v>
      </c>
      <c r="AC2484" s="24">
        <v>5.9</v>
      </c>
      <c r="AD2484" s="24">
        <v>0.88</v>
      </c>
      <c r="AF2484" s="24" t="s">
        <v>2709</v>
      </c>
      <c r="AG2484" s="24" t="s">
        <v>2712</v>
      </c>
      <c r="AH2484" s="24" t="s">
        <v>578</v>
      </c>
      <c r="AI2484" s="24" t="s">
        <v>1650</v>
      </c>
      <c r="AJ2484" s="24" t="s">
        <v>133</v>
      </c>
      <c r="AK2484" s="24" t="s">
        <v>178</v>
      </c>
      <c r="AL2484" s="24" t="s">
        <v>178</v>
      </c>
      <c r="AM2484" s="24" t="s">
        <v>178</v>
      </c>
      <c r="AQ2484" s="24" t="s">
        <v>2714</v>
      </c>
      <c r="AR2484" s="24" t="s">
        <v>2714</v>
      </c>
      <c r="AS2484" s="24" t="s">
        <v>178</v>
      </c>
      <c r="AT2484" s="24" t="s">
        <v>161</v>
      </c>
      <c r="AU2484" s="24">
        <v>3</v>
      </c>
      <c r="AV2484" s="24">
        <v>3</v>
      </c>
      <c r="AW2484" s="24" t="s">
        <v>2707</v>
      </c>
      <c r="AY2484" s="24">
        <v>9014</v>
      </c>
      <c r="AZ2484" s="24">
        <v>35.34901960784314</v>
      </c>
      <c r="BH2484" s="24">
        <v>2593</v>
      </c>
      <c r="BI2484" s="24">
        <v>5997</v>
      </c>
      <c r="BM2484" s="395"/>
      <c r="BN2484" s="395"/>
      <c r="BR2484" s="395"/>
      <c r="BS2484" s="395"/>
      <c r="IQ2484" s="249"/>
    </row>
    <row r="2485" spans="1:251" s="24" customFormat="1" x14ac:dyDescent="0.25">
      <c r="A2485" s="24">
        <v>118</v>
      </c>
      <c r="B2485" s="24" t="s">
        <v>2704</v>
      </c>
      <c r="C2485" s="24" t="s">
        <v>2705</v>
      </c>
      <c r="D2485" s="24">
        <v>1999</v>
      </c>
      <c r="E2485" s="24">
        <v>2006</v>
      </c>
      <c r="F2485" s="24" t="s">
        <v>2711</v>
      </c>
      <c r="G2485" s="24" t="s">
        <v>2708</v>
      </c>
      <c r="H2485" s="24" t="s">
        <v>2843</v>
      </c>
      <c r="I2485" s="24">
        <f t="shared" si="317"/>
        <v>-15.5</v>
      </c>
      <c r="J2485" s="24">
        <f t="shared" si="318"/>
        <v>35.25</v>
      </c>
      <c r="K2485" s="24">
        <v>1030</v>
      </c>
      <c r="N2485" s="32">
        <v>1194</v>
      </c>
      <c r="O2485" s="24">
        <v>1024</v>
      </c>
      <c r="Q2485" s="42" t="s">
        <v>1984</v>
      </c>
      <c r="R2485" s="42" t="s">
        <v>1940</v>
      </c>
      <c r="S2485" s="42"/>
      <c r="T2485" s="42" t="s">
        <v>2706</v>
      </c>
      <c r="U2485" s="42" t="s">
        <v>1383</v>
      </c>
      <c r="V2485" s="42" t="s">
        <v>1722</v>
      </c>
      <c r="W2485" s="42" t="s">
        <v>1383</v>
      </c>
      <c r="X2485" s="42" t="s">
        <v>1383</v>
      </c>
      <c r="Z2485" s="321">
        <v>46</v>
      </c>
      <c r="AA2485" s="321">
        <v>8</v>
      </c>
      <c r="AB2485" s="24" t="s">
        <v>2710</v>
      </c>
      <c r="AC2485" s="24">
        <v>5.9</v>
      </c>
      <c r="AD2485" s="24">
        <v>0.88</v>
      </c>
      <c r="AF2485" s="24" t="s">
        <v>2709</v>
      </c>
      <c r="AG2485" s="24" t="s">
        <v>2712</v>
      </c>
      <c r="AH2485" s="24" t="s">
        <v>578</v>
      </c>
      <c r="AI2485" s="24" t="s">
        <v>1650</v>
      </c>
      <c r="AJ2485" s="24" t="s">
        <v>133</v>
      </c>
      <c r="AK2485" s="24" t="s">
        <v>178</v>
      </c>
      <c r="AL2485" s="24" t="s">
        <v>178</v>
      </c>
      <c r="AM2485" s="24" t="s">
        <v>178</v>
      </c>
      <c r="AQ2485" s="24" t="s">
        <v>2714</v>
      </c>
      <c r="AR2485" s="24" t="s">
        <v>2714</v>
      </c>
      <c r="AS2485" s="24" t="s">
        <v>178</v>
      </c>
      <c r="AT2485" s="24" t="s">
        <v>161</v>
      </c>
      <c r="AU2485" s="24">
        <v>3</v>
      </c>
      <c r="AV2485" s="24">
        <v>3</v>
      </c>
      <c r="AW2485" s="24" t="s">
        <v>2707</v>
      </c>
      <c r="AY2485" s="24">
        <v>9035</v>
      </c>
      <c r="BH2485" s="24">
        <v>2646</v>
      </c>
      <c r="BI2485" s="24">
        <v>5926</v>
      </c>
      <c r="BM2485" s="395"/>
      <c r="BN2485" s="395"/>
      <c r="BR2485" s="395"/>
      <c r="BS2485" s="395"/>
      <c r="IQ2485" s="249"/>
    </row>
    <row r="2486" spans="1:251" s="24" customFormat="1" x14ac:dyDescent="0.25">
      <c r="A2486" s="24">
        <v>118</v>
      </c>
      <c r="B2486" s="24" t="s">
        <v>2704</v>
      </c>
      <c r="C2486" s="24" t="s">
        <v>2705</v>
      </c>
      <c r="D2486" s="24">
        <v>2000</v>
      </c>
      <c r="E2486" s="24">
        <v>2006</v>
      </c>
      <c r="F2486" s="24" t="s">
        <v>2711</v>
      </c>
      <c r="G2486" s="24" t="s">
        <v>2708</v>
      </c>
      <c r="H2486" s="24" t="s">
        <v>2843</v>
      </c>
      <c r="I2486" s="24">
        <f t="shared" si="317"/>
        <v>-15.5</v>
      </c>
      <c r="J2486" s="24">
        <f t="shared" si="318"/>
        <v>35.25</v>
      </c>
      <c r="K2486" s="24">
        <v>1030</v>
      </c>
      <c r="N2486" s="32">
        <v>786</v>
      </c>
      <c r="O2486" s="24">
        <v>1024</v>
      </c>
      <c r="Q2486" s="42" t="s">
        <v>1726</v>
      </c>
      <c r="R2486" s="42" t="s">
        <v>1940</v>
      </c>
      <c r="S2486" s="42"/>
      <c r="T2486" s="42" t="s">
        <v>2706</v>
      </c>
      <c r="U2486" s="42" t="s">
        <v>1383</v>
      </c>
      <c r="V2486" s="42" t="s">
        <v>1722</v>
      </c>
      <c r="W2486" s="42" t="s">
        <v>1383</v>
      </c>
      <c r="X2486" s="42" t="s">
        <v>1383</v>
      </c>
      <c r="Z2486" s="321">
        <v>46</v>
      </c>
      <c r="AA2486" s="321">
        <v>8</v>
      </c>
      <c r="AB2486" s="24" t="s">
        <v>2710</v>
      </c>
      <c r="AC2486" s="24">
        <v>5.9</v>
      </c>
      <c r="AD2486" s="24">
        <v>0.88</v>
      </c>
      <c r="AF2486" s="24" t="s">
        <v>2709</v>
      </c>
      <c r="AG2486" s="24" t="s">
        <v>2712</v>
      </c>
      <c r="AH2486" s="24" t="s">
        <v>578</v>
      </c>
      <c r="AI2486" s="24" t="s">
        <v>1650</v>
      </c>
      <c r="AJ2486" s="24" t="s">
        <v>133</v>
      </c>
      <c r="AK2486" s="24" t="s">
        <v>178</v>
      </c>
      <c r="AL2486" s="24" t="s">
        <v>178</v>
      </c>
      <c r="AM2486" s="24" t="s">
        <v>178</v>
      </c>
      <c r="AQ2486" s="24" t="s">
        <v>2714</v>
      </c>
      <c r="AR2486" s="24" t="s">
        <v>2714</v>
      </c>
      <c r="AS2486" s="24" t="s">
        <v>178</v>
      </c>
      <c r="AT2486" s="24" t="s">
        <v>161</v>
      </c>
      <c r="AU2486" s="24">
        <v>3</v>
      </c>
      <c r="AV2486" s="24">
        <v>3</v>
      </c>
      <c r="AW2486" s="24" t="s">
        <v>2707</v>
      </c>
      <c r="AY2486" s="24">
        <v>7592</v>
      </c>
      <c r="BH2486" s="24">
        <v>1708</v>
      </c>
      <c r="BI2486" s="24">
        <v>2947</v>
      </c>
      <c r="BM2486" s="395"/>
      <c r="BN2486" s="395"/>
      <c r="BR2486" s="395"/>
      <c r="BS2486" s="395"/>
      <c r="IQ2486" s="249"/>
    </row>
    <row r="2487" spans="1:251" s="24" customFormat="1" x14ac:dyDescent="0.25">
      <c r="A2487" s="24">
        <v>118</v>
      </c>
      <c r="B2487" s="24" t="s">
        <v>2704</v>
      </c>
      <c r="C2487" s="24" t="s">
        <v>2705</v>
      </c>
      <c r="D2487" s="24">
        <v>2001</v>
      </c>
      <c r="E2487" s="24">
        <v>2006</v>
      </c>
      <c r="F2487" s="24" t="s">
        <v>2711</v>
      </c>
      <c r="G2487" s="24" t="s">
        <v>2708</v>
      </c>
      <c r="H2487" s="24" t="s">
        <v>2843</v>
      </c>
      <c r="I2487" s="24">
        <f t="shared" si="317"/>
        <v>-15.5</v>
      </c>
      <c r="J2487" s="24">
        <f t="shared" si="318"/>
        <v>35.25</v>
      </c>
      <c r="K2487" s="24">
        <v>1030</v>
      </c>
      <c r="N2487" s="32">
        <v>1225</v>
      </c>
      <c r="O2487" s="24">
        <v>1024</v>
      </c>
      <c r="Q2487" s="42" t="s">
        <v>1869</v>
      </c>
      <c r="R2487" s="42" t="s">
        <v>1940</v>
      </c>
      <c r="S2487" s="42"/>
      <c r="T2487" s="42" t="s">
        <v>2706</v>
      </c>
      <c r="U2487" s="42" t="s">
        <v>1383</v>
      </c>
      <c r="V2487" s="42" t="s">
        <v>1722</v>
      </c>
      <c r="W2487" s="42" t="s">
        <v>1383</v>
      </c>
      <c r="X2487" s="42" t="s">
        <v>1383</v>
      </c>
      <c r="Z2487" s="321">
        <v>46</v>
      </c>
      <c r="AA2487" s="321">
        <v>8</v>
      </c>
      <c r="AB2487" s="24" t="s">
        <v>2710</v>
      </c>
      <c r="AC2487" s="24">
        <v>5.9</v>
      </c>
      <c r="AD2487" s="24">
        <v>0.88</v>
      </c>
      <c r="AF2487" s="24" t="s">
        <v>2709</v>
      </c>
      <c r="AG2487" s="24" t="s">
        <v>2712</v>
      </c>
      <c r="AH2487" s="24" t="s">
        <v>578</v>
      </c>
      <c r="AI2487" s="24" t="s">
        <v>1650</v>
      </c>
      <c r="AJ2487" s="24" t="s">
        <v>133</v>
      </c>
      <c r="AK2487" s="24" t="s">
        <v>178</v>
      </c>
      <c r="AL2487" s="24" t="s">
        <v>178</v>
      </c>
      <c r="AM2487" s="24" t="s">
        <v>178</v>
      </c>
      <c r="AQ2487" s="24" t="s">
        <v>2714</v>
      </c>
      <c r="AR2487" s="24" t="s">
        <v>2714</v>
      </c>
      <c r="AS2487" s="24" t="s">
        <v>178</v>
      </c>
      <c r="AT2487" s="24" t="s">
        <v>161</v>
      </c>
      <c r="AU2487" s="24">
        <v>3</v>
      </c>
      <c r="AV2487" s="24">
        <v>3</v>
      </c>
      <c r="AW2487" s="24" t="s">
        <v>2707</v>
      </c>
      <c r="AY2487" s="24">
        <v>10094</v>
      </c>
      <c r="BH2487" s="24">
        <v>2640</v>
      </c>
      <c r="BI2487" s="24">
        <v>5830</v>
      </c>
      <c r="BM2487" s="395"/>
      <c r="BN2487" s="395"/>
      <c r="BR2487" s="395"/>
      <c r="BS2487" s="395"/>
      <c r="IQ2487" s="249"/>
    </row>
    <row r="2488" spans="1:251" s="24" customFormat="1" x14ac:dyDescent="0.25">
      <c r="A2488" s="24">
        <v>118</v>
      </c>
      <c r="B2488" s="24" t="s">
        <v>2704</v>
      </c>
      <c r="C2488" s="24" t="s">
        <v>2705</v>
      </c>
      <c r="D2488" s="24">
        <v>2002</v>
      </c>
      <c r="E2488" s="24">
        <v>2006</v>
      </c>
      <c r="F2488" s="24" t="s">
        <v>2711</v>
      </c>
      <c r="G2488" s="24" t="s">
        <v>2708</v>
      </c>
      <c r="H2488" s="24" t="s">
        <v>2843</v>
      </c>
      <c r="I2488" s="24">
        <f t="shared" si="317"/>
        <v>-15.5</v>
      </c>
      <c r="J2488" s="24">
        <f t="shared" si="318"/>
        <v>35.25</v>
      </c>
      <c r="K2488" s="24">
        <v>1030</v>
      </c>
      <c r="N2488" s="32">
        <v>820</v>
      </c>
      <c r="O2488" s="24">
        <v>1024</v>
      </c>
      <c r="Q2488" s="42" t="s">
        <v>1940</v>
      </c>
      <c r="R2488" s="42" t="s">
        <v>1940</v>
      </c>
      <c r="S2488" s="42"/>
      <c r="T2488" s="42" t="s">
        <v>2706</v>
      </c>
      <c r="U2488" s="42" t="s">
        <v>1383</v>
      </c>
      <c r="V2488" s="42" t="s">
        <v>1722</v>
      </c>
      <c r="W2488" s="42" t="s">
        <v>1383</v>
      </c>
      <c r="X2488" s="42" t="s">
        <v>1383</v>
      </c>
      <c r="Z2488" s="321">
        <v>46</v>
      </c>
      <c r="AA2488" s="321">
        <v>8</v>
      </c>
      <c r="AB2488" s="24" t="s">
        <v>2710</v>
      </c>
      <c r="AC2488" s="24">
        <v>5.9</v>
      </c>
      <c r="AD2488" s="24">
        <v>0.88</v>
      </c>
      <c r="AF2488" s="24" t="s">
        <v>2709</v>
      </c>
      <c r="AG2488" s="24" t="s">
        <v>2712</v>
      </c>
      <c r="AH2488" s="24" t="s">
        <v>578</v>
      </c>
      <c r="AI2488" s="24" t="s">
        <v>1650</v>
      </c>
      <c r="AJ2488" s="24" t="s">
        <v>133</v>
      </c>
      <c r="AK2488" s="24" t="s">
        <v>178</v>
      </c>
      <c r="AL2488" s="24" t="s">
        <v>178</v>
      </c>
      <c r="AM2488" s="24" t="s">
        <v>178</v>
      </c>
      <c r="AQ2488" s="24" t="s">
        <v>2714</v>
      </c>
      <c r="AR2488" s="24" t="s">
        <v>2714</v>
      </c>
      <c r="AS2488" s="24" t="s">
        <v>178</v>
      </c>
      <c r="AT2488" s="24" t="s">
        <v>161</v>
      </c>
      <c r="AU2488" s="24">
        <v>3</v>
      </c>
      <c r="AV2488" s="24">
        <v>3</v>
      </c>
      <c r="AW2488" s="24" t="s">
        <v>2707</v>
      </c>
      <c r="AY2488" s="24">
        <v>8882</v>
      </c>
      <c r="BH2488" s="24">
        <v>2890</v>
      </c>
      <c r="BI2488" s="24">
        <v>5290</v>
      </c>
      <c r="BM2488" s="395"/>
      <c r="BN2488" s="395"/>
      <c r="BR2488" s="395"/>
      <c r="BS2488" s="395"/>
      <c r="IQ2488" s="249"/>
    </row>
    <row r="2489" spans="1:251" s="32" customFormat="1" x14ac:dyDescent="0.25">
      <c r="A2489" s="32">
        <v>118</v>
      </c>
      <c r="B2489" s="32" t="s">
        <v>2704</v>
      </c>
      <c r="C2489" s="32" t="s">
        <v>2705</v>
      </c>
      <c r="D2489" s="32">
        <v>1993</v>
      </c>
      <c r="E2489" s="32">
        <v>2006</v>
      </c>
      <c r="F2489" s="32" t="s">
        <v>2711</v>
      </c>
      <c r="G2489" s="32" t="s">
        <v>2708</v>
      </c>
      <c r="H2489" s="24" t="s">
        <v>2843</v>
      </c>
      <c r="I2489" s="32">
        <f t="shared" si="317"/>
        <v>-15.5</v>
      </c>
      <c r="J2489" s="32">
        <f t="shared" si="318"/>
        <v>35.25</v>
      </c>
      <c r="K2489" s="32">
        <v>1030</v>
      </c>
      <c r="N2489" s="32">
        <v>970</v>
      </c>
      <c r="O2489" s="32">
        <v>1024</v>
      </c>
      <c r="Q2489" s="44" t="s">
        <v>1735</v>
      </c>
      <c r="R2489" s="44" t="s">
        <v>1940</v>
      </c>
      <c r="S2489" s="44"/>
      <c r="T2489" s="44" t="s">
        <v>2706</v>
      </c>
      <c r="U2489" s="44" t="s">
        <v>1383</v>
      </c>
      <c r="V2489" s="44" t="s">
        <v>1722</v>
      </c>
      <c r="W2489" s="44" t="s">
        <v>1383</v>
      </c>
      <c r="X2489" s="44" t="s">
        <v>1383</v>
      </c>
      <c r="Z2489" s="323">
        <v>46</v>
      </c>
      <c r="AA2489" s="323">
        <v>8</v>
      </c>
      <c r="AB2489" s="32" t="s">
        <v>2710</v>
      </c>
      <c r="AC2489" s="32">
        <v>5.9</v>
      </c>
      <c r="AD2489" s="32">
        <v>0.88</v>
      </c>
      <c r="AF2489" s="32" t="s">
        <v>2709</v>
      </c>
      <c r="AG2489" s="32" t="s">
        <v>2712</v>
      </c>
      <c r="AH2489" s="32" t="s">
        <v>578</v>
      </c>
      <c r="AI2489" s="32" t="s">
        <v>1650</v>
      </c>
      <c r="AJ2489" s="32" t="s">
        <v>133</v>
      </c>
      <c r="AK2489" s="32" t="s">
        <v>178</v>
      </c>
      <c r="AL2489" s="32" t="s">
        <v>178</v>
      </c>
      <c r="AM2489" s="32" t="s">
        <v>178</v>
      </c>
      <c r="AQ2489" s="32" t="s">
        <v>2715</v>
      </c>
      <c r="AR2489" s="32" t="s">
        <v>2715</v>
      </c>
      <c r="AS2489" s="32" t="s">
        <v>178</v>
      </c>
      <c r="AT2489" s="32" t="s">
        <v>161</v>
      </c>
      <c r="AU2489" s="32">
        <v>3</v>
      </c>
      <c r="AV2489" s="32">
        <v>3</v>
      </c>
      <c r="AW2489" s="32" t="s">
        <v>2707</v>
      </c>
      <c r="AY2489" s="32">
        <v>4129.8</v>
      </c>
      <c r="BH2489" s="32">
        <v>4147</v>
      </c>
      <c r="BI2489" s="32">
        <v>4013</v>
      </c>
      <c r="BM2489" s="397"/>
      <c r="BN2489" s="397"/>
      <c r="BR2489" s="397"/>
      <c r="BS2489" s="397"/>
      <c r="IQ2489" s="243"/>
    </row>
    <row r="2490" spans="1:251" s="32" customFormat="1" x14ac:dyDescent="0.25">
      <c r="A2490" s="32">
        <v>118</v>
      </c>
      <c r="B2490" s="32" t="s">
        <v>2704</v>
      </c>
      <c r="C2490" s="32" t="s">
        <v>2705</v>
      </c>
      <c r="D2490" s="32">
        <v>1994</v>
      </c>
      <c r="E2490" s="32">
        <v>2006</v>
      </c>
      <c r="F2490" s="32" t="s">
        <v>2711</v>
      </c>
      <c r="G2490" s="32" t="s">
        <v>2708</v>
      </c>
      <c r="H2490" s="24" t="s">
        <v>2843</v>
      </c>
      <c r="I2490" s="32">
        <f t="shared" si="317"/>
        <v>-15.5</v>
      </c>
      <c r="J2490" s="32">
        <f t="shared" si="318"/>
        <v>35.25</v>
      </c>
      <c r="K2490" s="32">
        <v>1030</v>
      </c>
      <c r="N2490" s="32">
        <v>540</v>
      </c>
      <c r="O2490" s="32">
        <v>1024</v>
      </c>
      <c r="Q2490" s="44" t="s">
        <v>1867</v>
      </c>
      <c r="R2490" s="44" t="s">
        <v>1940</v>
      </c>
      <c r="S2490" s="44"/>
      <c r="T2490" s="44" t="s">
        <v>2706</v>
      </c>
      <c r="U2490" s="44" t="s">
        <v>1383</v>
      </c>
      <c r="V2490" s="44" t="s">
        <v>1722</v>
      </c>
      <c r="W2490" s="44" t="s">
        <v>1383</v>
      </c>
      <c r="X2490" s="44" t="s">
        <v>1383</v>
      </c>
      <c r="Z2490" s="323">
        <v>46</v>
      </c>
      <c r="AA2490" s="323">
        <v>8</v>
      </c>
      <c r="AB2490" s="32" t="s">
        <v>2710</v>
      </c>
      <c r="AC2490" s="32">
        <v>5.9</v>
      </c>
      <c r="AD2490" s="32">
        <v>0.88</v>
      </c>
      <c r="AF2490" s="32" t="s">
        <v>2709</v>
      </c>
      <c r="AG2490" s="32" t="s">
        <v>2712</v>
      </c>
      <c r="AH2490" s="32" t="s">
        <v>578</v>
      </c>
      <c r="AI2490" s="32" t="s">
        <v>1650</v>
      </c>
      <c r="AJ2490" s="32" t="s">
        <v>133</v>
      </c>
      <c r="AK2490" s="32" t="s">
        <v>178</v>
      </c>
      <c r="AL2490" s="32" t="s">
        <v>178</v>
      </c>
      <c r="AM2490" s="32" t="s">
        <v>178</v>
      </c>
      <c r="AQ2490" s="32" t="s">
        <v>2715</v>
      </c>
      <c r="AR2490" s="32" t="s">
        <v>2715</v>
      </c>
      <c r="AS2490" s="32" t="s">
        <v>178</v>
      </c>
      <c r="AT2490" s="32" t="s">
        <v>161</v>
      </c>
      <c r="AU2490" s="32">
        <v>3</v>
      </c>
      <c r="AV2490" s="32">
        <v>3</v>
      </c>
      <c r="AW2490" s="32" t="s">
        <v>2707</v>
      </c>
      <c r="AY2490" s="32">
        <v>6124</v>
      </c>
      <c r="BH2490" s="32">
        <v>3155</v>
      </c>
      <c r="BI2490" s="32">
        <v>4545</v>
      </c>
      <c r="BM2490" s="397"/>
      <c r="BN2490" s="397"/>
      <c r="BR2490" s="397"/>
      <c r="BS2490" s="397"/>
      <c r="IQ2490" s="243"/>
    </row>
    <row r="2491" spans="1:251" s="32" customFormat="1" x14ac:dyDescent="0.25">
      <c r="A2491" s="32">
        <v>118</v>
      </c>
      <c r="B2491" s="32" t="s">
        <v>2704</v>
      </c>
      <c r="C2491" s="32" t="s">
        <v>2705</v>
      </c>
      <c r="D2491" s="32">
        <v>1995</v>
      </c>
      <c r="E2491" s="32">
        <v>2006</v>
      </c>
      <c r="F2491" s="32" t="s">
        <v>2711</v>
      </c>
      <c r="G2491" s="32" t="s">
        <v>2708</v>
      </c>
      <c r="H2491" s="24" t="s">
        <v>2843</v>
      </c>
      <c r="I2491" s="32">
        <f t="shared" si="317"/>
        <v>-15.5</v>
      </c>
      <c r="J2491" s="32">
        <f t="shared" si="318"/>
        <v>35.25</v>
      </c>
      <c r="K2491" s="32">
        <v>1030</v>
      </c>
      <c r="N2491" s="32">
        <v>551</v>
      </c>
      <c r="O2491" s="32">
        <v>1024</v>
      </c>
      <c r="Q2491" s="44" t="s">
        <v>1729</v>
      </c>
      <c r="R2491" s="44" t="s">
        <v>1940</v>
      </c>
      <c r="S2491" s="44"/>
      <c r="T2491" s="44" t="s">
        <v>2706</v>
      </c>
      <c r="U2491" s="44" t="s">
        <v>1383</v>
      </c>
      <c r="V2491" s="44" t="s">
        <v>1722</v>
      </c>
      <c r="W2491" s="44" t="s">
        <v>1383</v>
      </c>
      <c r="X2491" s="44" t="s">
        <v>1383</v>
      </c>
      <c r="Z2491" s="323">
        <v>46</v>
      </c>
      <c r="AA2491" s="323">
        <v>8</v>
      </c>
      <c r="AB2491" s="32" t="s">
        <v>2710</v>
      </c>
      <c r="AC2491" s="32">
        <v>5.9</v>
      </c>
      <c r="AD2491" s="32">
        <v>0.88</v>
      </c>
      <c r="AF2491" s="32" t="s">
        <v>2709</v>
      </c>
      <c r="AG2491" s="32" t="s">
        <v>2712</v>
      </c>
      <c r="AH2491" s="32" t="s">
        <v>578</v>
      </c>
      <c r="AI2491" s="32" t="s">
        <v>1650</v>
      </c>
      <c r="AJ2491" s="32" t="s">
        <v>133</v>
      </c>
      <c r="AK2491" s="32" t="s">
        <v>178</v>
      </c>
      <c r="AL2491" s="32" t="s">
        <v>178</v>
      </c>
      <c r="AM2491" s="32" t="s">
        <v>178</v>
      </c>
      <c r="AQ2491" s="32" t="s">
        <v>2715</v>
      </c>
      <c r="AR2491" s="32" t="s">
        <v>2715</v>
      </c>
      <c r="AS2491" s="32" t="s">
        <v>178</v>
      </c>
      <c r="AT2491" s="32" t="s">
        <v>161</v>
      </c>
      <c r="AU2491" s="32">
        <v>3</v>
      </c>
      <c r="AV2491" s="32">
        <v>3</v>
      </c>
      <c r="AW2491" s="32" t="s">
        <v>2707</v>
      </c>
      <c r="AY2491" s="32">
        <v>5027.7</v>
      </c>
      <c r="BH2491" s="32">
        <v>3320</v>
      </c>
      <c r="BI2491" s="32">
        <v>3730</v>
      </c>
      <c r="BM2491" s="397"/>
      <c r="BN2491" s="397"/>
      <c r="BR2491" s="397"/>
      <c r="BS2491" s="397"/>
      <c r="IQ2491" s="243"/>
    </row>
    <row r="2492" spans="1:251" s="32" customFormat="1" x14ac:dyDescent="0.25">
      <c r="A2492" s="32">
        <v>118</v>
      </c>
      <c r="B2492" s="32" t="s">
        <v>2704</v>
      </c>
      <c r="C2492" s="32" t="s">
        <v>2705</v>
      </c>
      <c r="D2492" s="32">
        <v>1996</v>
      </c>
      <c r="E2492" s="32">
        <v>2006</v>
      </c>
      <c r="F2492" s="32" t="s">
        <v>2711</v>
      </c>
      <c r="G2492" s="32" t="s">
        <v>2708</v>
      </c>
      <c r="H2492" s="24" t="s">
        <v>2843</v>
      </c>
      <c r="I2492" s="32">
        <f t="shared" si="317"/>
        <v>-15.5</v>
      </c>
      <c r="J2492" s="32">
        <f t="shared" si="318"/>
        <v>35.25</v>
      </c>
      <c r="K2492" s="32">
        <v>1030</v>
      </c>
      <c r="N2492" s="32">
        <v>970</v>
      </c>
      <c r="O2492" s="32">
        <v>1024</v>
      </c>
      <c r="Q2492" s="44" t="s">
        <v>1852</v>
      </c>
      <c r="R2492" s="44" t="s">
        <v>1940</v>
      </c>
      <c r="S2492" s="44"/>
      <c r="T2492" s="44" t="s">
        <v>2706</v>
      </c>
      <c r="U2492" s="44" t="s">
        <v>1383</v>
      </c>
      <c r="V2492" s="44" t="s">
        <v>1722</v>
      </c>
      <c r="W2492" s="44" t="s">
        <v>1383</v>
      </c>
      <c r="X2492" s="44" t="s">
        <v>1383</v>
      </c>
      <c r="Z2492" s="323">
        <v>46</v>
      </c>
      <c r="AA2492" s="323">
        <v>8</v>
      </c>
      <c r="AB2492" s="32" t="s">
        <v>2710</v>
      </c>
      <c r="AC2492" s="32">
        <v>5.9</v>
      </c>
      <c r="AD2492" s="32">
        <v>0.88</v>
      </c>
      <c r="AF2492" s="32" t="s">
        <v>2709</v>
      </c>
      <c r="AG2492" s="32" t="s">
        <v>2712</v>
      </c>
      <c r="AH2492" s="32" t="s">
        <v>578</v>
      </c>
      <c r="AI2492" s="32" t="s">
        <v>1650</v>
      </c>
      <c r="AJ2492" s="32" t="s">
        <v>133</v>
      </c>
      <c r="AK2492" s="32" t="s">
        <v>178</v>
      </c>
      <c r="AL2492" s="32" t="s">
        <v>178</v>
      </c>
      <c r="AM2492" s="32" t="s">
        <v>178</v>
      </c>
      <c r="AQ2492" s="32" t="s">
        <v>2715</v>
      </c>
      <c r="AR2492" s="32" t="s">
        <v>2715</v>
      </c>
      <c r="AS2492" s="32" t="s">
        <v>178</v>
      </c>
      <c r="AT2492" s="32" t="s">
        <v>161</v>
      </c>
      <c r="AU2492" s="32">
        <v>3</v>
      </c>
      <c r="AV2492" s="32">
        <v>3</v>
      </c>
      <c r="AW2492" s="32" t="s">
        <v>2707</v>
      </c>
      <c r="AY2492" s="32">
        <v>6117</v>
      </c>
      <c r="BH2492" s="32">
        <v>4750</v>
      </c>
      <c r="BI2492" s="32">
        <v>7523</v>
      </c>
      <c r="BM2492" s="397"/>
      <c r="BN2492" s="397"/>
      <c r="BR2492" s="397"/>
      <c r="BS2492" s="397"/>
      <c r="IQ2492" s="243"/>
    </row>
    <row r="2493" spans="1:251" s="32" customFormat="1" x14ac:dyDescent="0.25">
      <c r="A2493" s="32">
        <v>118</v>
      </c>
      <c r="B2493" s="32" t="s">
        <v>2704</v>
      </c>
      <c r="C2493" s="32" t="s">
        <v>2705</v>
      </c>
      <c r="D2493" s="32">
        <v>1997</v>
      </c>
      <c r="E2493" s="32">
        <v>2006</v>
      </c>
      <c r="F2493" s="32" t="s">
        <v>2711</v>
      </c>
      <c r="G2493" s="32" t="s">
        <v>2708</v>
      </c>
      <c r="H2493" s="24" t="s">
        <v>2843</v>
      </c>
      <c r="I2493" s="32">
        <f t="shared" si="317"/>
        <v>-15.5</v>
      </c>
      <c r="J2493" s="32">
        <f t="shared" si="318"/>
        <v>35.25</v>
      </c>
      <c r="K2493" s="32">
        <v>1030</v>
      </c>
      <c r="N2493" s="32">
        <v>1612</v>
      </c>
      <c r="O2493" s="32">
        <v>1024</v>
      </c>
      <c r="Q2493" s="44" t="s">
        <v>1741</v>
      </c>
      <c r="R2493" s="44" t="s">
        <v>1940</v>
      </c>
      <c r="S2493" s="44"/>
      <c r="T2493" s="44" t="s">
        <v>2706</v>
      </c>
      <c r="U2493" s="44" t="s">
        <v>1383</v>
      </c>
      <c r="V2493" s="44" t="s">
        <v>1722</v>
      </c>
      <c r="W2493" s="44" t="s">
        <v>1383</v>
      </c>
      <c r="X2493" s="44" t="s">
        <v>1383</v>
      </c>
      <c r="Z2493" s="323">
        <v>46</v>
      </c>
      <c r="AA2493" s="323">
        <v>8</v>
      </c>
      <c r="AB2493" s="32" t="s">
        <v>2710</v>
      </c>
      <c r="AC2493" s="32">
        <v>5.9</v>
      </c>
      <c r="AD2493" s="32">
        <v>0.88</v>
      </c>
      <c r="AF2493" s="32" t="s">
        <v>2709</v>
      </c>
      <c r="AG2493" s="32" t="s">
        <v>2712</v>
      </c>
      <c r="AH2493" s="32" t="s">
        <v>578</v>
      </c>
      <c r="AI2493" s="32" t="s">
        <v>1650</v>
      </c>
      <c r="AJ2493" s="32" t="s">
        <v>133</v>
      </c>
      <c r="AK2493" s="32" t="s">
        <v>178</v>
      </c>
      <c r="AL2493" s="32" t="s">
        <v>178</v>
      </c>
      <c r="AM2493" s="32" t="s">
        <v>178</v>
      </c>
      <c r="AQ2493" s="32" t="s">
        <v>2715</v>
      </c>
      <c r="AR2493" s="32" t="s">
        <v>2715</v>
      </c>
      <c r="AS2493" s="32" t="s">
        <v>178</v>
      </c>
      <c r="AT2493" s="32" t="s">
        <v>161</v>
      </c>
      <c r="AU2493" s="32">
        <v>3</v>
      </c>
      <c r="AV2493" s="32">
        <v>3</v>
      </c>
      <c r="AW2493" s="32" t="s">
        <v>2707</v>
      </c>
      <c r="AY2493" s="32">
        <v>7104.7</v>
      </c>
      <c r="AZ2493" s="32">
        <v>24.331164383561642</v>
      </c>
      <c r="BH2493" s="32">
        <v>1931</v>
      </c>
      <c r="BI2493" s="32">
        <v>4469</v>
      </c>
      <c r="BM2493" s="397"/>
      <c r="BN2493" s="397"/>
      <c r="BR2493" s="397"/>
      <c r="BS2493" s="397"/>
      <c r="IQ2493" s="243"/>
    </row>
    <row r="2494" spans="1:251" s="32" customFormat="1" x14ac:dyDescent="0.25">
      <c r="A2494" s="32">
        <v>118</v>
      </c>
      <c r="B2494" s="32" t="s">
        <v>2704</v>
      </c>
      <c r="C2494" s="32" t="s">
        <v>2705</v>
      </c>
      <c r="D2494" s="32">
        <v>1998</v>
      </c>
      <c r="E2494" s="32">
        <v>2006</v>
      </c>
      <c r="F2494" s="32" t="s">
        <v>2711</v>
      </c>
      <c r="G2494" s="32" t="s">
        <v>2708</v>
      </c>
      <c r="H2494" s="24" t="s">
        <v>2843</v>
      </c>
      <c r="I2494" s="32">
        <f t="shared" si="317"/>
        <v>-15.5</v>
      </c>
      <c r="J2494" s="32">
        <f t="shared" si="318"/>
        <v>35.25</v>
      </c>
      <c r="K2494" s="32">
        <v>1030</v>
      </c>
      <c r="N2494" s="32">
        <v>1015</v>
      </c>
      <c r="O2494" s="32">
        <v>1024</v>
      </c>
      <c r="Q2494" s="44" t="s">
        <v>1991</v>
      </c>
      <c r="R2494" s="44" t="s">
        <v>1940</v>
      </c>
      <c r="S2494" s="44"/>
      <c r="T2494" s="44" t="s">
        <v>2706</v>
      </c>
      <c r="U2494" s="44" t="s">
        <v>1383</v>
      </c>
      <c r="V2494" s="44" t="s">
        <v>1722</v>
      </c>
      <c r="W2494" s="44" t="s">
        <v>1383</v>
      </c>
      <c r="X2494" s="44" t="s">
        <v>1383</v>
      </c>
      <c r="Z2494" s="323">
        <v>46</v>
      </c>
      <c r="AA2494" s="323">
        <v>8</v>
      </c>
      <c r="AB2494" s="32" t="s">
        <v>2710</v>
      </c>
      <c r="AC2494" s="32">
        <v>5.9</v>
      </c>
      <c r="AD2494" s="32">
        <v>0.88</v>
      </c>
      <c r="AF2494" s="32" t="s">
        <v>2709</v>
      </c>
      <c r="AG2494" s="32" t="s">
        <v>2712</v>
      </c>
      <c r="AH2494" s="32" t="s">
        <v>578</v>
      </c>
      <c r="AI2494" s="32" t="s">
        <v>1650</v>
      </c>
      <c r="AJ2494" s="32" t="s">
        <v>133</v>
      </c>
      <c r="AK2494" s="32" t="s">
        <v>178</v>
      </c>
      <c r="AL2494" s="32" t="s">
        <v>178</v>
      </c>
      <c r="AM2494" s="32" t="s">
        <v>178</v>
      </c>
      <c r="AQ2494" s="32" t="s">
        <v>2715</v>
      </c>
      <c r="AR2494" s="32" t="s">
        <v>2715</v>
      </c>
      <c r="AS2494" s="32" t="s">
        <v>178</v>
      </c>
      <c r="AT2494" s="32" t="s">
        <v>161</v>
      </c>
      <c r="AU2494" s="32">
        <v>3</v>
      </c>
      <c r="AV2494" s="32">
        <v>3</v>
      </c>
      <c r="AW2494" s="32" t="s">
        <v>2707</v>
      </c>
      <c r="AY2494" s="32">
        <v>9014</v>
      </c>
      <c r="AZ2494" s="32">
        <v>35.34901960784314</v>
      </c>
      <c r="BH2494" s="32">
        <v>4000</v>
      </c>
      <c r="BI2494" s="32">
        <v>5815</v>
      </c>
      <c r="BM2494" s="397"/>
      <c r="BN2494" s="397"/>
      <c r="BR2494" s="397"/>
      <c r="BS2494" s="397"/>
      <c r="IQ2494" s="243"/>
    </row>
    <row r="2495" spans="1:251" s="32" customFormat="1" x14ac:dyDescent="0.25">
      <c r="A2495" s="32">
        <v>118</v>
      </c>
      <c r="B2495" s="32" t="s">
        <v>2704</v>
      </c>
      <c r="C2495" s="32" t="s">
        <v>2705</v>
      </c>
      <c r="D2495" s="32">
        <v>1999</v>
      </c>
      <c r="E2495" s="32">
        <v>2006</v>
      </c>
      <c r="F2495" s="32" t="s">
        <v>2711</v>
      </c>
      <c r="G2495" s="32" t="s">
        <v>2708</v>
      </c>
      <c r="H2495" s="24" t="s">
        <v>2843</v>
      </c>
      <c r="I2495" s="32">
        <f t="shared" si="317"/>
        <v>-15.5</v>
      </c>
      <c r="J2495" s="32">
        <f t="shared" si="318"/>
        <v>35.25</v>
      </c>
      <c r="K2495" s="32">
        <v>1030</v>
      </c>
      <c r="N2495" s="32">
        <v>1194</v>
      </c>
      <c r="O2495" s="32">
        <v>1024</v>
      </c>
      <c r="Q2495" s="44" t="s">
        <v>1984</v>
      </c>
      <c r="R2495" s="44" t="s">
        <v>1940</v>
      </c>
      <c r="S2495" s="44"/>
      <c r="T2495" s="44" t="s">
        <v>2706</v>
      </c>
      <c r="U2495" s="44" t="s">
        <v>1383</v>
      </c>
      <c r="V2495" s="44" t="s">
        <v>1722</v>
      </c>
      <c r="W2495" s="44" t="s">
        <v>1383</v>
      </c>
      <c r="X2495" s="44" t="s">
        <v>1383</v>
      </c>
      <c r="Z2495" s="323">
        <v>46</v>
      </c>
      <c r="AA2495" s="323">
        <v>8</v>
      </c>
      <c r="AB2495" s="32" t="s">
        <v>2710</v>
      </c>
      <c r="AC2495" s="32">
        <v>5.9</v>
      </c>
      <c r="AD2495" s="32">
        <v>0.88</v>
      </c>
      <c r="AF2495" s="32" t="s">
        <v>2709</v>
      </c>
      <c r="AG2495" s="32" t="s">
        <v>2712</v>
      </c>
      <c r="AH2495" s="32" t="s">
        <v>578</v>
      </c>
      <c r="AI2495" s="32" t="s">
        <v>1650</v>
      </c>
      <c r="AJ2495" s="32" t="s">
        <v>133</v>
      </c>
      <c r="AK2495" s="32" t="s">
        <v>178</v>
      </c>
      <c r="AL2495" s="32" t="s">
        <v>178</v>
      </c>
      <c r="AM2495" s="32" t="s">
        <v>178</v>
      </c>
      <c r="AQ2495" s="32" t="s">
        <v>2715</v>
      </c>
      <c r="AR2495" s="32" t="s">
        <v>2715</v>
      </c>
      <c r="AS2495" s="32" t="s">
        <v>178</v>
      </c>
      <c r="AT2495" s="32" t="s">
        <v>161</v>
      </c>
      <c r="AU2495" s="32">
        <v>3</v>
      </c>
      <c r="AV2495" s="32">
        <v>3</v>
      </c>
      <c r="AW2495" s="32" t="s">
        <v>2707</v>
      </c>
      <c r="AY2495" s="32">
        <v>9035</v>
      </c>
      <c r="BH2495" s="32">
        <v>3844</v>
      </c>
      <c r="BI2495" s="32">
        <v>6455</v>
      </c>
      <c r="BM2495" s="397"/>
      <c r="BN2495" s="397"/>
      <c r="BR2495" s="397"/>
      <c r="BS2495" s="397"/>
      <c r="IQ2495" s="243"/>
    </row>
    <row r="2496" spans="1:251" s="32" customFormat="1" x14ac:dyDescent="0.25">
      <c r="A2496" s="32">
        <v>118</v>
      </c>
      <c r="B2496" s="32" t="s">
        <v>2704</v>
      </c>
      <c r="C2496" s="32" t="s">
        <v>2705</v>
      </c>
      <c r="D2496" s="32">
        <v>2000</v>
      </c>
      <c r="E2496" s="32">
        <v>2006</v>
      </c>
      <c r="F2496" s="32" t="s">
        <v>2711</v>
      </c>
      <c r="G2496" s="32" t="s">
        <v>2708</v>
      </c>
      <c r="H2496" s="24" t="s">
        <v>2843</v>
      </c>
      <c r="I2496" s="32">
        <f t="shared" si="317"/>
        <v>-15.5</v>
      </c>
      <c r="J2496" s="32">
        <f t="shared" si="318"/>
        <v>35.25</v>
      </c>
      <c r="K2496" s="32">
        <v>1030</v>
      </c>
      <c r="N2496" s="32">
        <v>786</v>
      </c>
      <c r="O2496" s="32">
        <v>1024</v>
      </c>
      <c r="Q2496" s="44" t="s">
        <v>1726</v>
      </c>
      <c r="R2496" s="44" t="s">
        <v>1940</v>
      </c>
      <c r="S2496" s="44"/>
      <c r="T2496" s="44" t="s">
        <v>2706</v>
      </c>
      <c r="U2496" s="44" t="s">
        <v>1383</v>
      </c>
      <c r="V2496" s="44" t="s">
        <v>1722</v>
      </c>
      <c r="W2496" s="44" t="s">
        <v>1383</v>
      </c>
      <c r="X2496" s="44" t="s">
        <v>1383</v>
      </c>
      <c r="Z2496" s="323">
        <v>46</v>
      </c>
      <c r="AA2496" s="323">
        <v>8</v>
      </c>
      <c r="AB2496" s="32" t="s">
        <v>2710</v>
      </c>
      <c r="AC2496" s="32">
        <v>5.9</v>
      </c>
      <c r="AD2496" s="32">
        <v>0.88</v>
      </c>
      <c r="AF2496" s="32" t="s">
        <v>2709</v>
      </c>
      <c r="AG2496" s="32" t="s">
        <v>2712</v>
      </c>
      <c r="AH2496" s="32" t="s">
        <v>578</v>
      </c>
      <c r="AI2496" s="32" t="s">
        <v>1650</v>
      </c>
      <c r="AJ2496" s="32" t="s">
        <v>133</v>
      </c>
      <c r="AK2496" s="32" t="s">
        <v>178</v>
      </c>
      <c r="AL2496" s="32" t="s">
        <v>178</v>
      </c>
      <c r="AM2496" s="32" t="s">
        <v>178</v>
      </c>
      <c r="AQ2496" s="32" t="s">
        <v>2715</v>
      </c>
      <c r="AR2496" s="32" t="s">
        <v>2715</v>
      </c>
      <c r="AS2496" s="32" t="s">
        <v>178</v>
      </c>
      <c r="AT2496" s="32" t="s">
        <v>161</v>
      </c>
      <c r="AU2496" s="32">
        <v>3</v>
      </c>
      <c r="AV2496" s="32">
        <v>3</v>
      </c>
      <c r="AW2496" s="32" t="s">
        <v>2707</v>
      </c>
      <c r="AY2496" s="32">
        <v>7592</v>
      </c>
      <c r="BH2496" s="32">
        <v>2076</v>
      </c>
      <c r="BI2496" s="32">
        <v>3519</v>
      </c>
      <c r="BM2496" s="397"/>
      <c r="BN2496" s="397"/>
      <c r="BR2496" s="397"/>
      <c r="BS2496" s="397"/>
      <c r="IQ2496" s="243"/>
    </row>
    <row r="2497" spans="1:251" s="32" customFormat="1" x14ac:dyDescent="0.25">
      <c r="A2497" s="32">
        <v>118</v>
      </c>
      <c r="B2497" s="32" t="s">
        <v>2704</v>
      </c>
      <c r="C2497" s="32" t="s">
        <v>2705</v>
      </c>
      <c r="D2497" s="32">
        <v>2001</v>
      </c>
      <c r="E2497" s="32">
        <v>2006</v>
      </c>
      <c r="F2497" s="32" t="s">
        <v>2711</v>
      </c>
      <c r="G2497" s="32" t="s">
        <v>2708</v>
      </c>
      <c r="H2497" s="24" t="s">
        <v>2843</v>
      </c>
      <c r="I2497" s="32">
        <f t="shared" si="317"/>
        <v>-15.5</v>
      </c>
      <c r="J2497" s="32">
        <f t="shared" si="318"/>
        <v>35.25</v>
      </c>
      <c r="K2497" s="32">
        <v>1030</v>
      </c>
      <c r="N2497" s="32">
        <v>1225</v>
      </c>
      <c r="O2497" s="32">
        <v>1024</v>
      </c>
      <c r="Q2497" s="44" t="s">
        <v>1869</v>
      </c>
      <c r="R2497" s="44" t="s">
        <v>1940</v>
      </c>
      <c r="S2497" s="44"/>
      <c r="T2497" s="44" t="s">
        <v>2706</v>
      </c>
      <c r="U2497" s="44" t="s">
        <v>1383</v>
      </c>
      <c r="V2497" s="44" t="s">
        <v>1722</v>
      </c>
      <c r="W2497" s="44" t="s">
        <v>1383</v>
      </c>
      <c r="X2497" s="44" t="s">
        <v>1383</v>
      </c>
      <c r="Z2497" s="323">
        <v>46</v>
      </c>
      <c r="AA2497" s="323">
        <v>8</v>
      </c>
      <c r="AB2497" s="32" t="s">
        <v>2710</v>
      </c>
      <c r="AC2497" s="32">
        <v>5.9</v>
      </c>
      <c r="AD2497" s="32">
        <v>0.88</v>
      </c>
      <c r="AF2497" s="32" t="s">
        <v>2709</v>
      </c>
      <c r="AG2497" s="32" t="s">
        <v>2712</v>
      </c>
      <c r="AH2497" s="32" t="s">
        <v>578</v>
      </c>
      <c r="AI2497" s="32" t="s">
        <v>1650</v>
      </c>
      <c r="AJ2497" s="32" t="s">
        <v>133</v>
      </c>
      <c r="AK2497" s="32" t="s">
        <v>178</v>
      </c>
      <c r="AL2497" s="32" t="s">
        <v>178</v>
      </c>
      <c r="AM2497" s="32" t="s">
        <v>178</v>
      </c>
      <c r="AQ2497" s="32" t="s">
        <v>2715</v>
      </c>
      <c r="AR2497" s="32" t="s">
        <v>2715</v>
      </c>
      <c r="AS2497" s="32" t="s">
        <v>178</v>
      </c>
      <c r="AT2497" s="32" t="s">
        <v>161</v>
      </c>
      <c r="AU2497" s="32">
        <v>3</v>
      </c>
      <c r="AV2497" s="32">
        <v>3</v>
      </c>
      <c r="AW2497" s="32" t="s">
        <v>2707</v>
      </c>
      <c r="AY2497" s="32">
        <v>10094</v>
      </c>
      <c r="BH2497" s="32">
        <v>3018</v>
      </c>
      <c r="BI2497" s="32">
        <v>6344</v>
      </c>
      <c r="BM2497" s="397"/>
      <c r="BN2497" s="397"/>
      <c r="BR2497" s="397"/>
      <c r="BS2497" s="397"/>
      <c r="IQ2497" s="243"/>
    </row>
    <row r="2498" spans="1:251" s="32" customFormat="1" x14ac:dyDescent="0.25">
      <c r="A2498" s="32">
        <v>118</v>
      </c>
      <c r="B2498" s="32" t="s">
        <v>2704</v>
      </c>
      <c r="C2498" s="32" t="s">
        <v>2705</v>
      </c>
      <c r="D2498" s="32">
        <v>2002</v>
      </c>
      <c r="E2498" s="32">
        <v>2006</v>
      </c>
      <c r="F2498" s="32" t="s">
        <v>2711</v>
      </c>
      <c r="G2498" s="32" t="s">
        <v>2708</v>
      </c>
      <c r="H2498" s="24" t="s">
        <v>2843</v>
      </c>
      <c r="I2498" s="32">
        <f t="shared" ref="I2498:I2516" si="319">-15.5</f>
        <v>-15.5</v>
      </c>
      <c r="J2498" s="32">
        <f t="shared" ref="J2498:J2516" si="320">35+15/60</f>
        <v>35.25</v>
      </c>
      <c r="K2498" s="32">
        <v>1030</v>
      </c>
      <c r="N2498" s="32">
        <v>820</v>
      </c>
      <c r="O2498" s="32">
        <v>1024</v>
      </c>
      <c r="Q2498" s="44" t="s">
        <v>1940</v>
      </c>
      <c r="R2498" s="44" t="s">
        <v>1940</v>
      </c>
      <c r="S2498" s="44"/>
      <c r="T2498" s="44" t="s">
        <v>2706</v>
      </c>
      <c r="U2498" s="44" t="s">
        <v>1383</v>
      </c>
      <c r="V2498" s="44" t="s">
        <v>1722</v>
      </c>
      <c r="W2498" s="44" t="s">
        <v>1383</v>
      </c>
      <c r="X2498" s="44" t="s">
        <v>1383</v>
      </c>
      <c r="Z2498" s="323">
        <v>46</v>
      </c>
      <c r="AA2498" s="323">
        <v>8</v>
      </c>
      <c r="AB2498" s="32" t="s">
        <v>2710</v>
      </c>
      <c r="AC2498" s="32">
        <v>5.9</v>
      </c>
      <c r="AD2498" s="32">
        <v>0.88</v>
      </c>
      <c r="AF2498" s="32" t="s">
        <v>2709</v>
      </c>
      <c r="AG2498" s="32" t="s">
        <v>2712</v>
      </c>
      <c r="AH2498" s="32" t="s">
        <v>578</v>
      </c>
      <c r="AI2498" s="32" t="s">
        <v>1650</v>
      </c>
      <c r="AJ2498" s="32" t="s">
        <v>133</v>
      </c>
      <c r="AK2498" s="32" t="s">
        <v>178</v>
      </c>
      <c r="AL2498" s="32" t="s">
        <v>178</v>
      </c>
      <c r="AM2498" s="32" t="s">
        <v>178</v>
      </c>
      <c r="AQ2498" s="32" t="s">
        <v>2715</v>
      </c>
      <c r="AR2498" s="32" t="s">
        <v>2715</v>
      </c>
      <c r="AS2498" s="32" t="s">
        <v>178</v>
      </c>
      <c r="AT2498" s="32" t="s">
        <v>161</v>
      </c>
      <c r="AU2498" s="32">
        <v>3</v>
      </c>
      <c r="AV2498" s="32">
        <v>3</v>
      </c>
      <c r="AW2498" s="32" t="s">
        <v>2707</v>
      </c>
      <c r="AY2498" s="32">
        <v>8882</v>
      </c>
      <c r="BH2498" s="32">
        <v>3620</v>
      </c>
      <c r="BI2498" s="32">
        <v>5120</v>
      </c>
      <c r="BM2498" s="397"/>
      <c r="BN2498" s="397"/>
      <c r="BR2498" s="397"/>
      <c r="BS2498" s="397"/>
      <c r="IQ2498" s="243"/>
    </row>
    <row r="2499" spans="1:251" s="136" customFormat="1" x14ac:dyDescent="0.25">
      <c r="A2499" s="136">
        <v>118</v>
      </c>
      <c r="B2499" s="136" t="s">
        <v>2704</v>
      </c>
      <c r="C2499" s="136" t="s">
        <v>2705</v>
      </c>
      <c r="D2499" s="136">
        <v>1998</v>
      </c>
      <c r="E2499" s="136">
        <v>2006</v>
      </c>
      <c r="F2499" s="136" t="s">
        <v>2711</v>
      </c>
      <c r="G2499" s="136" t="s">
        <v>2708</v>
      </c>
      <c r="H2499" s="24" t="s">
        <v>2843</v>
      </c>
      <c r="I2499" s="136">
        <f t="shared" si="319"/>
        <v>-15.5</v>
      </c>
      <c r="J2499" s="136">
        <f t="shared" si="320"/>
        <v>35.25</v>
      </c>
      <c r="K2499" s="136">
        <v>1030</v>
      </c>
      <c r="N2499" s="136">
        <v>1015</v>
      </c>
      <c r="O2499" s="136">
        <v>1024</v>
      </c>
      <c r="Q2499" s="137" t="s">
        <v>1991</v>
      </c>
      <c r="R2499" s="137" t="s">
        <v>1940</v>
      </c>
      <c r="S2499" s="137"/>
      <c r="T2499" s="137" t="s">
        <v>2706</v>
      </c>
      <c r="U2499" s="137" t="s">
        <v>1383</v>
      </c>
      <c r="V2499" s="137" t="s">
        <v>1722</v>
      </c>
      <c r="W2499" s="137" t="s">
        <v>1383</v>
      </c>
      <c r="X2499" s="137" t="s">
        <v>1383</v>
      </c>
      <c r="Z2499" s="357">
        <v>46</v>
      </c>
      <c r="AA2499" s="357">
        <v>8</v>
      </c>
      <c r="AB2499" s="136" t="s">
        <v>2710</v>
      </c>
      <c r="AC2499" s="136">
        <v>5.9</v>
      </c>
      <c r="AD2499" s="136">
        <v>0.88</v>
      </c>
      <c r="AF2499" s="136" t="s">
        <v>2709</v>
      </c>
      <c r="AG2499" s="136" t="s">
        <v>2712</v>
      </c>
      <c r="AH2499" s="136" t="s">
        <v>578</v>
      </c>
      <c r="AI2499" s="136" t="s">
        <v>1650</v>
      </c>
      <c r="AJ2499" s="136" t="s">
        <v>133</v>
      </c>
      <c r="AK2499" s="136" t="s">
        <v>178</v>
      </c>
      <c r="AL2499" s="136" t="s">
        <v>178</v>
      </c>
      <c r="AM2499" s="136" t="s">
        <v>178</v>
      </c>
      <c r="AQ2499" s="136" t="s">
        <v>2717</v>
      </c>
      <c r="AR2499" s="136" t="s">
        <v>2717</v>
      </c>
      <c r="AS2499" s="136" t="s">
        <v>178</v>
      </c>
      <c r="AT2499" s="136" t="s">
        <v>161</v>
      </c>
      <c r="AU2499" s="136">
        <v>3</v>
      </c>
      <c r="AV2499" s="136">
        <v>3</v>
      </c>
      <c r="AW2499" s="136" t="s">
        <v>2707</v>
      </c>
      <c r="BH2499" s="136">
        <v>700</v>
      </c>
      <c r="BI2499" s="136">
        <v>3779</v>
      </c>
      <c r="BM2499" s="432"/>
      <c r="BN2499" s="432"/>
      <c r="BR2499" s="432"/>
      <c r="BS2499" s="432"/>
      <c r="IQ2499" s="503"/>
    </row>
    <row r="2500" spans="1:251" s="136" customFormat="1" x14ac:dyDescent="0.25">
      <c r="A2500" s="136">
        <v>118</v>
      </c>
      <c r="B2500" s="136" t="s">
        <v>2704</v>
      </c>
      <c r="C2500" s="136" t="s">
        <v>2705</v>
      </c>
      <c r="D2500" s="136">
        <v>1998</v>
      </c>
      <c r="E2500" s="136">
        <v>2006</v>
      </c>
      <c r="F2500" s="136" t="s">
        <v>2711</v>
      </c>
      <c r="G2500" s="136" t="s">
        <v>2708</v>
      </c>
      <c r="H2500" s="24" t="s">
        <v>2843</v>
      </c>
      <c r="I2500" s="136">
        <f t="shared" si="319"/>
        <v>-15.5</v>
      </c>
      <c r="J2500" s="136">
        <f t="shared" si="320"/>
        <v>35.25</v>
      </c>
      <c r="K2500" s="136">
        <v>1030</v>
      </c>
      <c r="N2500" s="136">
        <v>1015</v>
      </c>
      <c r="O2500" s="136">
        <v>1024</v>
      </c>
      <c r="Q2500" s="137" t="s">
        <v>1991</v>
      </c>
      <c r="R2500" s="137" t="s">
        <v>1940</v>
      </c>
      <c r="S2500" s="137"/>
      <c r="T2500" s="137" t="s">
        <v>2706</v>
      </c>
      <c r="U2500" s="137" t="s">
        <v>1383</v>
      </c>
      <c r="V2500" s="137" t="s">
        <v>1722</v>
      </c>
      <c r="W2500" s="137" t="s">
        <v>1383</v>
      </c>
      <c r="X2500" s="137" t="s">
        <v>1383</v>
      </c>
      <c r="Z2500" s="357">
        <v>46</v>
      </c>
      <c r="AA2500" s="357">
        <v>8</v>
      </c>
      <c r="AB2500" s="136" t="s">
        <v>2710</v>
      </c>
      <c r="AC2500" s="136">
        <v>5.9</v>
      </c>
      <c r="AD2500" s="136">
        <v>0.88</v>
      </c>
      <c r="AF2500" s="136" t="s">
        <v>2709</v>
      </c>
      <c r="AG2500" s="136" t="s">
        <v>2712</v>
      </c>
      <c r="AH2500" s="136" t="s">
        <v>578</v>
      </c>
      <c r="AI2500" s="136" t="s">
        <v>1650</v>
      </c>
      <c r="AJ2500" s="136" t="s">
        <v>133</v>
      </c>
      <c r="AK2500" s="136" t="s">
        <v>178</v>
      </c>
      <c r="AL2500" s="136" t="s">
        <v>178</v>
      </c>
      <c r="AM2500" s="136" t="s">
        <v>178</v>
      </c>
      <c r="AQ2500" s="136" t="s">
        <v>2718</v>
      </c>
      <c r="AR2500" s="136" t="s">
        <v>2718</v>
      </c>
      <c r="AS2500" s="136" t="s">
        <v>178</v>
      </c>
      <c r="AT2500" s="136" t="s">
        <v>161</v>
      </c>
      <c r="AU2500" s="136">
        <v>3</v>
      </c>
      <c r="AV2500" s="136">
        <v>3</v>
      </c>
      <c r="AW2500" s="136" t="s">
        <v>2707</v>
      </c>
      <c r="BH2500" s="136">
        <v>1101</v>
      </c>
      <c r="BI2500" s="136">
        <v>3794</v>
      </c>
      <c r="BM2500" s="432"/>
      <c r="BN2500" s="432"/>
      <c r="BR2500" s="432"/>
      <c r="BS2500" s="432"/>
      <c r="IQ2500" s="503"/>
    </row>
    <row r="2501" spans="1:251" s="136" customFormat="1" x14ac:dyDescent="0.25">
      <c r="A2501" s="136">
        <v>118</v>
      </c>
      <c r="B2501" s="136" t="s">
        <v>2704</v>
      </c>
      <c r="C2501" s="136" t="s">
        <v>2705</v>
      </c>
      <c r="D2501" s="136">
        <v>1998</v>
      </c>
      <c r="E2501" s="136">
        <v>2006</v>
      </c>
      <c r="F2501" s="136" t="s">
        <v>2711</v>
      </c>
      <c r="G2501" s="136" t="s">
        <v>2708</v>
      </c>
      <c r="H2501" s="24" t="s">
        <v>2843</v>
      </c>
      <c r="I2501" s="136">
        <f t="shared" si="319"/>
        <v>-15.5</v>
      </c>
      <c r="J2501" s="136">
        <f t="shared" si="320"/>
        <v>35.25</v>
      </c>
      <c r="K2501" s="136">
        <v>1030</v>
      </c>
      <c r="N2501" s="136">
        <v>1015</v>
      </c>
      <c r="O2501" s="136">
        <v>1024</v>
      </c>
      <c r="Q2501" s="137" t="s">
        <v>1991</v>
      </c>
      <c r="R2501" s="137" t="s">
        <v>1940</v>
      </c>
      <c r="S2501" s="137"/>
      <c r="T2501" s="137" t="s">
        <v>2706</v>
      </c>
      <c r="U2501" s="137" t="s">
        <v>1383</v>
      </c>
      <c r="V2501" s="137" t="s">
        <v>1722</v>
      </c>
      <c r="W2501" s="137" t="s">
        <v>1383</v>
      </c>
      <c r="X2501" s="137" t="s">
        <v>1383</v>
      </c>
      <c r="Z2501" s="357">
        <v>46</v>
      </c>
      <c r="AA2501" s="357">
        <v>8</v>
      </c>
      <c r="AB2501" s="136" t="s">
        <v>2710</v>
      </c>
      <c r="AC2501" s="136">
        <v>5.9</v>
      </c>
      <c r="AD2501" s="136">
        <v>0.88</v>
      </c>
      <c r="AF2501" s="136" t="s">
        <v>2709</v>
      </c>
      <c r="AG2501" s="136" t="s">
        <v>2712</v>
      </c>
      <c r="AH2501" s="136" t="s">
        <v>578</v>
      </c>
      <c r="AI2501" s="136" t="s">
        <v>1650</v>
      </c>
      <c r="AJ2501" s="136" t="s">
        <v>133</v>
      </c>
      <c r="AK2501" s="136" t="s">
        <v>178</v>
      </c>
      <c r="AL2501" s="136" t="s">
        <v>178</v>
      </c>
      <c r="AM2501" s="136" t="s">
        <v>178</v>
      </c>
      <c r="AQ2501" s="136" t="s">
        <v>2719</v>
      </c>
      <c r="AR2501" s="136" t="s">
        <v>2719</v>
      </c>
      <c r="AS2501" s="136" t="s">
        <v>178</v>
      </c>
      <c r="AT2501" s="136" t="s">
        <v>161</v>
      </c>
      <c r="AU2501" s="136">
        <v>3</v>
      </c>
      <c r="AV2501" s="136">
        <v>3</v>
      </c>
      <c r="AW2501" s="136" t="s">
        <v>2707</v>
      </c>
      <c r="BH2501" s="136">
        <v>937</v>
      </c>
      <c r="BI2501" s="136">
        <v>3591</v>
      </c>
      <c r="BM2501" s="432"/>
      <c r="BN2501" s="432"/>
      <c r="BR2501" s="432"/>
      <c r="BS2501" s="432"/>
      <c r="IQ2501" s="503"/>
    </row>
    <row r="2502" spans="1:251" s="136" customFormat="1" x14ac:dyDescent="0.25">
      <c r="A2502" s="136">
        <v>118</v>
      </c>
      <c r="B2502" s="136" t="s">
        <v>2704</v>
      </c>
      <c r="C2502" s="136" t="s">
        <v>2705</v>
      </c>
      <c r="D2502" s="136">
        <v>1998</v>
      </c>
      <c r="E2502" s="136">
        <v>2006</v>
      </c>
      <c r="F2502" s="136" t="s">
        <v>2711</v>
      </c>
      <c r="G2502" s="136" t="s">
        <v>2708</v>
      </c>
      <c r="H2502" s="24" t="s">
        <v>2843</v>
      </c>
      <c r="I2502" s="136">
        <f t="shared" si="319"/>
        <v>-15.5</v>
      </c>
      <c r="J2502" s="136">
        <f t="shared" si="320"/>
        <v>35.25</v>
      </c>
      <c r="K2502" s="136">
        <v>1030</v>
      </c>
      <c r="N2502" s="136">
        <v>1015</v>
      </c>
      <c r="O2502" s="136">
        <v>1024</v>
      </c>
      <c r="Q2502" s="137" t="s">
        <v>1991</v>
      </c>
      <c r="R2502" s="137" t="s">
        <v>1940</v>
      </c>
      <c r="S2502" s="137"/>
      <c r="T2502" s="137" t="s">
        <v>2706</v>
      </c>
      <c r="U2502" s="137" t="s">
        <v>1383</v>
      </c>
      <c r="V2502" s="137" t="s">
        <v>1722</v>
      </c>
      <c r="W2502" s="137" t="s">
        <v>1383</v>
      </c>
      <c r="X2502" s="137" t="s">
        <v>1383</v>
      </c>
      <c r="Z2502" s="357">
        <v>46</v>
      </c>
      <c r="AA2502" s="357">
        <v>8</v>
      </c>
      <c r="AB2502" s="136" t="s">
        <v>2710</v>
      </c>
      <c r="AC2502" s="136">
        <v>5.9</v>
      </c>
      <c r="AD2502" s="136">
        <v>0.88</v>
      </c>
      <c r="AF2502" s="136" t="s">
        <v>2709</v>
      </c>
      <c r="AG2502" s="136" t="s">
        <v>2712</v>
      </c>
      <c r="AH2502" s="136" t="s">
        <v>578</v>
      </c>
      <c r="AI2502" s="136" t="s">
        <v>1650</v>
      </c>
      <c r="AJ2502" s="136" t="s">
        <v>133</v>
      </c>
      <c r="AK2502" s="136" t="s">
        <v>178</v>
      </c>
      <c r="AL2502" s="136" t="s">
        <v>178</v>
      </c>
      <c r="AM2502" s="136" t="s">
        <v>178</v>
      </c>
      <c r="AQ2502" s="136" t="s">
        <v>2720</v>
      </c>
      <c r="AR2502" s="136" t="s">
        <v>2720</v>
      </c>
      <c r="AS2502" s="136" t="s">
        <v>178</v>
      </c>
      <c r="AT2502" s="136" t="s">
        <v>161</v>
      </c>
      <c r="AU2502" s="136">
        <v>3</v>
      </c>
      <c r="AV2502" s="136">
        <v>3</v>
      </c>
      <c r="AW2502" s="136" t="s">
        <v>2707</v>
      </c>
      <c r="BH2502" s="136">
        <v>1487</v>
      </c>
      <c r="BI2502" s="136">
        <v>4892</v>
      </c>
      <c r="BM2502" s="432"/>
      <c r="BN2502" s="432"/>
      <c r="BR2502" s="432"/>
      <c r="BS2502" s="432"/>
      <c r="IQ2502" s="503"/>
    </row>
    <row r="2503" spans="1:251" s="136" customFormat="1" x14ac:dyDescent="0.25">
      <c r="A2503" s="136">
        <v>118</v>
      </c>
      <c r="B2503" s="136" t="s">
        <v>2704</v>
      </c>
      <c r="C2503" s="136" t="s">
        <v>2705</v>
      </c>
      <c r="D2503" s="136">
        <v>1998</v>
      </c>
      <c r="E2503" s="136">
        <v>2006</v>
      </c>
      <c r="F2503" s="136" t="s">
        <v>2711</v>
      </c>
      <c r="G2503" s="136" t="s">
        <v>2708</v>
      </c>
      <c r="H2503" s="24" t="s">
        <v>2843</v>
      </c>
      <c r="I2503" s="136">
        <f t="shared" si="319"/>
        <v>-15.5</v>
      </c>
      <c r="J2503" s="136">
        <f t="shared" si="320"/>
        <v>35.25</v>
      </c>
      <c r="K2503" s="136">
        <v>1030</v>
      </c>
      <c r="N2503" s="136">
        <v>1015</v>
      </c>
      <c r="O2503" s="136">
        <v>1024</v>
      </c>
      <c r="Q2503" s="137" t="s">
        <v>1991</v>
      </c>
      <c r="R2503" s="137" t="s">
        <v>1940</v>
      </c>
      <c r="S2503" s="137"/>
      <c r="T2503" s="137" t="s">
        <v>2706</v>
      </c>
      <c r="U2503" s="137" t="s">
        <v>1383</v>
      </c>
      <c r="V2503" s="137" t="s">
        <v>1722</v>
      </c>
      <c r="W2503" s="137" t="s">
        <v>1383</v>
      </c>
      <c r="X2503" s="137" t="s">
        <v>1383</v>
      </c>
      <c r="Z2503" s="357">
        <v>46</v>
      </c>
      <c r="AA2503" s="357">
        <v>8</v>
      </c>
      <c r="AB2503" s="136" t="s">
        <v>2710</v>
      </c>
      <c r="AC2503" s="136">
        <v>5.9</v>
      </c>
      <c r="AD2503" s="136">
        <v>0.88</v>
      </c>
      <c r="AF2503" s="136" t="s">
        <v>2709</v>
      </c>
      <c r="AG2503" s="136" t="s">
        <v>2712</v>
      </c>
      <c r="AH2503" s="136" t="s">
        <v>578</v>
      </c>
      <c r="AI2503" s="136" t="s">
        <v>1650</v>
      </c>
      <c r="AJ2503" s="136" t="s">
        <v>133</v>
      </c>
      <c r="AK2503" s="136" t="s">
        <v>178</v>
      </c>
      <c r="AL2503" s="136" t="s">
        <v>178</v>
      </c>
      <c r="AM2503" s="136" t="s">
        <v>178</v>
      </c>
      <c r="AQ2503" s="136" t="s">
        <v>2722</v>
      </c>
      <c r="AR2503" s="136" t="s">
        <v>2722</v>
      </c>
      <c r="AS2503" s="136" t="s">
        <v>178</v>
      </c>
      <c r="AT2503" s="136" t="s">
        <v>161</v>
      </c>
      <c r="AU2503" s="136">
        <v>3</v>
      </c>
      <c r="AV2503" s="136">
        <v>3</v>
      </c>
      <c r="AW2503" s="136" t="s">
        <v>2707</v>
      </c>
      <c r="BH2503" s="136">
        <v>2035</v>
      </c>
      <c r="BI2503" s="136">
        <v>3605</v>
      </c>
      <c r="BM2503" s="432"/>
      <c r="BN2503" s="432"/>
      <c r="BR2503" s="432"/>
      <c r="BS2503" s="432"/>
      <c r="IQ2503" s="503"/>
    </row>
    <row r="2504" spans="1:251" s="136" customFormat="1" x14ac:dyDescent="0.25">
      <c r="A2504" s="136">
        <v>118</v>
      </c>
      <c r="B2504" s="136" t="s">
        <v>2704</v>
      </c>
      <c r="C2504" s="136" t="s">
        <v>2705</v>
      </c>
      <c r="D2504" s="136">
        <v>1998</v>
      </c>
      <c r="E2504" s="136">
        <v>2006</v>
      </c>
      <c r="F2504" s="136" t="s">
        <v>2711</v>
      </c>
      <c r="G2504" s="136" t="s">
        <v>2708</v>
      </c>
      <c r="H2504" s="24" t="s">
        <v>2843</v>
      </c>
      <c r="I2504" s="136">
        <f t="shared" si="319"/>
        <v>-15.5</v>
      </c>
      <c r="J2504" s="136">
        <f t="shared" si="320"/>
        <v>35.25</v>
      </c>
      <c r="K2504" s="136">
        <v>1030</v>
      </c>
      <c r="N2504" s="136">
        <v>1015</v>
      </c>
      <c r="O2504" s="136">
        <v>1024</v>
      </c>
      <c r="Q2504" s="137" t="s">
        <v>1991</v>
      </c>
      <c r="R2504" s="137" t="s">
        <v>1940</v>
      </c>
      <c r="S2504" s="137"/>
      <c r="T2504" s="137" t="s">
        <v>2706</v>
      </c>
      <c r="U2504" s="137" t="s">
        <v>1383</v>
      </c>
      <c r="V2504" s="137" t="s">
        <v>1722</v>
      </c>
      <c r="W2504" s="137" t="s">
        <v>1383</v>
      </c>
      <c r="X2504" s="137" t="s">
        <v>1383</v>
      </c>
      <c r="Z2504" s="357">
        <v>46</v>
      </c>
      <c r="AA2504" s="357">
        <v>8</v>
      </c>
      <c r="AB2504" s="136" t="s">
        <v>2710</v>
      </c>
      <c r="AC2504" s="136">
        <v>5.9</v>
      </c>
      <c r="AD2504" s="136">
        <v>0.88</v>
      </c>
      <c r="AF2504" s="136" t="s">
        <v>2709</v>
      </c>
      <c r="AG2504" s="136" t="s">
        <v>2712</v>
      </c>
      <c r="AH2504" s="136" t="s">
        <v>578</v>
      </c>
      <c r="AI2504" s="136" t="s">
        <v>1650</v>
      </c>
      <c r="AJ2504" s="136" t="s">
        <v>133</v>
      </c>
      <c r="AK2504" s="136" t="s">
        <v>178</v>
      </c>
      <c r="AL2504" s="136" t="s">
        <v>178</v>
      </c>
      <c r="AM2504" s="136" t="s">
        <v>178</v>
      </c>
      <c r="AQ2504" s="136" t="s">
        <v>2723</v>
      </c>
      <c r="AR2504" s="136" t="s">
        <v>2723</v>
      </c>
      <c r="AS2504" s="136" t="s">
        <v>178</v>
      </c>
      <c r="AT2504" s="136" t="s">
        <v>161</v>
      </c>
      <c r="AU2504" s="136">
        <v>3</v>
      </c>
      <c r="AV2504" s="136">
        <v>3</v>
      </c>
      <c r="AW2504" s="136" t="s">
        <v>2707</v>
      </c>
      <c r="BH2504" s="136">
        <v>2359</v>
      </c>
      <c r="BI2504" s="136">
        <v>3285</v>
      </c>
      <c r="BM2504" s="432"/>
      <c r="BN2504" s="432"/>
      <c r="BR2504" s="432"/>
      <c r="BS2504" s="432"/>
      <c r="IQ2504" s="503"/>
    </row>
    <row r="2505" spans="1:251" s="136" customFormat="1" x14ac:dyDescent="0.25">
      <c r="A2505" s="136">
        <v>118</v>
      </c>
      <c r="B2505" s="136" t="s">
        <v>2704</v>
      </c>
      <c r="C2505" s="136" t="s">
        <v>2705</v>
      </c>
      <c r="D2505" s="136">
        <v>1998</v>
      </c>
      <c r="E2505" s="136">
        <v>2006</v>
      </c>
      <c r="F2505" s="136" t="s">
        <v>2711</v>
      </c>
      <c r="G2505" s="136" t="s">
        <v>2708</v>
      </c>
      <c r="H2505" s="24" t="s">
        <v>2843</v>
      </c>
      <c r="I2505" s="136">
        <f t="shared" si="319"/>
        <v>-15.5</v>
      </c>
      <c r="J2505" s="136">
        <f t="shared" si="320"/>
        <v>35.25</v>
      </c>
      <c r="K2505" s="136">
        <v>1030</v>
      </c>
      <c r="N2505" s="136">
        <v>1015</v>
      </c>
      <c r="O2505" s="136">
        <v>1024</v>
      </c>
      <c r="Q2505" s="137" t="s">
        <v>1991</v>
      </c>
      <c r="R2505" s="137" t="s">
        <v>1940</v>
      </c>
      <c r="S2505" s="137"/>
      <c r="T2505" s="137" t="s">
        <v>2706</v>
      </c>
      <c r="U2505" s="137" t="s">
        <v>1383</v>
      </c>
      <c r="V2505" s="137" t="s">
        <v>1722</v>
      </c>
      <c r="W2505" s="137" t="s">
        <v>1383</v>
      </c>
      <c r="X2505" s="137" t="s">
        <v>1383</v>
      </c>
      <c r="Z2505" s="357">
        <v>46</v>
      </c>
      <c r="AA2505" s="357">
        <v>8</v>
      </c>
      <c r="AB2505" s="136" t="s">
        <v>2710</v>
      </c>
      <c r="AC2505" s="136">
        <v>5.9</v>
      </c>
      <c r="AD2505" s="136">
        <v>0.88</v>
      </c>
      <c r="AF2505" s="136" t="s">
        <v>2709</v>
      </c>
      <c r="AG2505" s="136" t="s">
        <v>2712</v>
      </c>
      <c r="AH2505" s="136" t="s">
        <v>578</v>
      </c>
      <c r="AI2505" s="136" t="s">
        <v>1650</v>
      </c>
      <c r="AJ2505" s="136" t="s">
        <v>133</v>
      </c>
      <c r="AK2505" s="136" t="s">
        <v>178</v>
      </c>
      <c r="AL2505" s="136" t="s">
        <v>178</v>
      </c>
      <c r="AM2505" s="136" t="s">
        <v>178</v>
      </c>
      <c r="AQ2505" s="136" t="s">
        <v>2721</v>
      </c>
      <c r="AR2505" s="136" t="s">
        <v>2721</v>
      </c>
      <c r="AS2505" s="136" t="s">
        <v>178</v>
      </c>
      <c r="AT2505" s="136" t="s">
        <v>161</v>
      </c>
      <c r="AU2505" s="136">
        <v>3</v>
      </c>
      <c r="AV2505" s="136">
        <v>3</v>
      </c>
      <c r="AW2505" s="136" t="s">
        <v>2707</v>
      </c>
      <c r="BH2505" s="136">
        <v>2354</v>
      </c>
      <c r="BI2505" s="136">
        <v>4279</v>
      </c>
      <c r="BM2505" s="432"/>
      <c r="BN2505" s="432"/>
      <c r="BR2505" s="432"/>
      <c r="BS2505" s="432"/>
      <c r="IQ2505" s="503"/>
    </row>
    <row r="2506" spans="1:251" s="136" customFormat="1" x14ac:dyDescent="0.25">
      <c r="A2506" s="136">
        <v>118</v>
      </c>
      <c r="B2506" s="136" t="s">
        <v>2704</v>
      </c>
      <c r="C2506" s="136" t="s">
        <v>2705</v>
      </c>
      <c r="D2506" s="136">
        <v>1998</v>
      </c>
      <c r="E2506" s="136">
        <v>2006</v>
      </c>
      <c r="F2506" s="136" t="s">
        <v>2711</v>
      </c>
      <c r="G2506" s="136" t="s">
        <v>2708</v>
      </c>
      <c r="H2506" s="24" t="s">
        <v>2843</v>
      </c>
      <c r="I2506" s="136">
        <f t="shared" si="319"/>
        <v>-15.5</v>
      </c>
      <c r="J2506" s="136">
        <f t="shared" si="320"/>
        <v>35.25</v>
      </c>
      <c r="K2506" s="136">
        <v>1030</v>
      </c>
      <c r="N2506" s="136">
        <v>1015</v>
      </c>
      <c r="O2506" s="136">
        <v>1024</v>
      </c>
      <c r="Q2506" s="137" t="s">
        <v>1991</v>
      </c>
      <c r="R2506" s="137" t="s">
        <v>1940</v>
      </c>
      <c r="S2506" s="137"/>
      <c r="T2506" s="137" t="s">
        <v>2706</v>
      </c>
      <c r="U2506" s="137" t="s">
        <v>1383</v>
      </c>
      <c r="V2506" s="137" t="s">
        <v>1722</v>
      </c>
      <c r="W2506" s="137" t="s">
        <v>1383</v>
      </c>
      <c r="X2506" s="137" t="s">
        <v>1383</v>
      </c>
      <c r="Z2506" s="357">
        <v>46</v>
      </c>
      <c r="AA2506" s="357">
        <v>8</v>
      </c>
      <c r="AB2506" s="136" t="s">
        <v>2710</v>
      </c>
      <c r="AC2506" s="136">
        <v>5.9</v>
      </c>
      <c r="AD2506" s="136">
        <v>0.88</v>
      </c>
      <c r="AF2506" s="136" t="s">
        <v>2709</v>
      </c>
      <c r="AG2506" s="136" t="s">
        <v>2712</v>
      </c>
      <c r="AH2506" s="136" t="s">
        <v>578</v>
      </c>
      <c r="AI2506" s="136" t="s">
        <v>1650</v>
      </c>
      <c r="AJ2506" s="136" t="s">
        <v>133</v>
      </c>
      <c r="AK2506" s="136" t="s">
        <v>178</v>
      </c>
      <c r="AL2506" s="136" t="s">
        <v>178</v>
      </c>
      <c r="AM2506" s="136" t="s">
        <v>178</v>
      </c>
      <c r="AQ2506" s="136" t="s">
        <v>2724</v>
      </c>
      <c r="AR2506" s="136" t="s">
        <v>2724</v>
      </c>
      <c r="AS2506" s="136" t="s">
        <v>178</v>
      </c>
      <c r="AT2506" s="136" t="s">
        <v>161</v>
      </c>
      <c r="AU2506" s="136">
        <v>3</v>
      </c>
      <c r="AV2506" s="136">
        <v>3</v>
      </c>
      <c r="AW2506" s="136" t="s">
        <v>2707</v>
      </c>
      <c r="BH2506" s="136">
        <v>2797</v>
      </c>
      <c r="BI2506" s="136">
        <v>3912</v>
      </c>
      <c r="BM2506" s="432"/>
      <c r="BN2506" s="432"/>
      <c r="BR2506" s="432"/>
      <c r="BS2506" s="432"/>
      <c r="IQ2506" s="503"/>
    </row>
    <row r="2507" spans="1:251" s="136" customFormat="1" x14ac:dyDescent="0.25">
      <c r="A2507" s="136">
        <v>118</v>
      </c>
      <c r="B2507" s="136" t="s">
        <v>2704</v>
      </c>
      <c r="C2507" s="136" t="s">
        <v>2705</v>
      </c>
      <c r="D2507" s="136">
        <v>1998</v>
      </c>
      <c r="E2507" s="136">
        <v>2006</v>
      </c>
      <c r="F2507" s="136" t="s">
        <v>2711</v>
      </c>
      <c r="G2507" s="136" t="s">
        <v>2708</v>
      </c>
      <c r="H2507" s="24" t="s">
        <v>2843</v>
      </c>
      <c r="I2507" s="136">
        <f t="shared" si="319"/>
        <v>-15.5</v>
      </c>
      <c r="J2507" s="136">
        <f t="shared" si="320"/>
        <v>35.25</v>
      </c>
      <c r="K2507" s="136">
        <v>1030</v>
      </c>
      <c r="N2507" s="136">
        <v>1015</v>
      </c>
      <c r="O2507" s="136">
        <v>1024</v>
      </c>
      <c r="Q2507" s="137" t="s">
        <v>1991</v>
      </c>
      <c r="R2507" s="137" t="s">
        <v>1940</v>
      </c>
      <c r="S2507" s="137"/>
      <c r="T2507" s="137" t="s">
        <v>2706</v>
      </c>
      <c r="U2507" s="137" t="s">
        <v>1383</v>
      </c>
      <c r="V2507" s="137" t="s">
        <v>1722</v>
      </c>
      <c r="W2507" s="137" t="s">
        <v>1383</v>
      </c>
      <c r="X2507" s="137" t="s">
        <v>1383</v>
      </c>
      <c r="Z2507" s="357">
        <v>46</v>
      </c>
      <c r="AA2507" s="357">
        <v>8</v>
      </c>
      <c r="AB2507" s="136" t="s">
        <v>2710</v>
      </c>
      <c r="AC2507" s="136">
        <v>5.9</v>
      </c>
      <c r="AD2507" s="136">
        <v>0.88</v>
      </c>
      <c r="AF2507" s="136" t="s">
        <v>2709</v>
      </c>
      <c r="AG2507" s="136" t="s">
        <v>2712</v>
      </c>
      <c r="AH2507" s="136" t="s">
        <v>578</v>
      </c>
      <c r="AI2507" s="136" t="s">
        <v>1650</v>
      </c>
      <c r="AJ2507" s="136" t="s">
        <v>133</v>
      </c>
      <c r="AK2507" s="136" t="s">
        <v>178</v>
      </c>
      <c r="AL2507" s="136" t="s">
        <v>178</v>
      </c>
      <c r="AM2507" s="136" t="s">
        <v>178</v>
      </c>
      <c r="AQ2507" s="136" t="s">
        <v>2725</v>
      </c>
      <c r="AR2507" s="136" t="s">
        <v>2725</v>
      </c>
      <c r="AS2507" s="136" t="s">
        <v>178</v>
      </c>
      <c r="AT2507" s="136" t="s">
        <v>161</v>
      </c>
      <c r="AU2507" s="136">
        <v>3</v>
      </c>
      <c r="AV2507" s="136">
        <v>3</v>
      </c>
      <c r="AW2507" s="136" t="s">
        <v>2707</v>
      </c>
      <c r="BH2507" s="136">
        <v>3241</v>
      </c>
      <c r="BI2507" s="136">
        <v>3727</v>
      </c>
      <c r="BM2507" s="432"/>
      <c r="BN2507" s="432"/>
      <c r="BR2507" s="432"/>
      <c r="BS2507" s="432"/>
      <c r="IQ2507" s="503"/>
    </row>
    <row r="2508" spans="1:251" s="134" customFormat="1" x14ac:dyDescent="0.25">
      <c r="A2508" s="134">
        <v>118</v>
      </c>
      <c r="B2508" s="134" t="s">
        <v>2704</v>
      </c>
      <c r="C2508" s="134" t="s">
        <v>2705</v>
      </c>
      <c r="D2508" s="134">
        <v>1999</v>
      </c>
      <c r="E2508" s="134">
        <v>2006</v>
      </c>
      <c r="F2508" s="134" t="s">
        <v>2711</v>
      </c>
      <c r="G2508" s="134" t="s">
        <v>2708</v>
      </c>
      <c r="H2508" s="24" t="s">
        <v>2843</v>
      </c>
      <c r="I2508" s="134">
        <f t="shared" si="319"/>
        <v>-15.5</v>
      </c>
      <c r="J2508" s="134">
        <f t="shared" si="320"/>
        <v>35.25</v>
      </c>
      <c r="K2508" s="134">
        <v>1030</v>
      </c>
      <c r="N2508" s="134">
        <v>1194</v>
      </c>
      <c r="O2508" s="134">
        <v>1024</v>
      </c>
      <c r="Q2508" s="135" t="s">
        <v>1984</v>
      </c>
      <c r="R2508" s="135" t="s">
        <v>1940</v>
      </c>
      <c r="S2508" s="135"/>
      <c r="T2508" s="135" t="s">
        <v>2706</v>
      </c>
      <c r="U2508" s="135" t="s">
        <v>1383</v>
      </c>
      <c r="V2508" s="135" t="s">
        <v>1722</v>
      </c>
      <c r="W2508" s="135" t="s">
        <v>1383</v>
      </c>
      <c r="X2508" s="135" t="s">
        <v>1383</v>
      </c>
      <c r="Z2508" s="356">
        <v>46</v>
      </c>
      <c r="AA2508" s="356">
        <v>8</v>
      </c>
      <c r="AB2508" s="134" t="s">
        <v>2710</v>
      </c>
      <c r="AC2508" s="134">
        <v>5.9</v>
      </c>
      <c r="AD2508" s="134">
        <v>0.88</v>
      </c>
      <c r="AF2508" s="134" t="s">
        <v>2709</v>
      </c>
      <c r="AG2508" s="134" t="s">
        <v>2712</v>
      </c>
      <c r="AH2508" s="134" t="s">
        <v>578</v>
      </c>
      <c r="AI2508" s="134" t="s">
        <v>1650</v>
      </c>
      <c r="AJ2508" s="134" t="s">
        <v>133</v>
      </c>
      <c r="AK2508" s="134" t="s">
        <v>178</v>
      </c>
      <c r="AL2508" s="134" t="s">
        <v>178</v>
      </c>
      <c r="AM2508" s="134" t="s">
        <v>178</v>
      </c>
      <c r="AQ2508" s="134" t="s">
        <v>2717</v>
      </c>
      <c r="AR2508" s="134" t="s">
        <v>2717</v>
      </c>
      <c r="AS2508" s="134" t="s">
        <v>178</v>
      </c>
      <c r="AT2508" s="134" t="s">
        <v>161</v>
      </c>
      <c r="AU2508" s="134">
        <v>3</v>
      </c>
      <c r="AV2508" s="134">
        <v>3</v>
      </c>
      <c r="AW2508" s="134" t="s">
        <v>2707</v>
      </c>
      <c r="BH2508" s="134">
        <v>653</v>
      </c>
      <c r="BI2508" s="134">
        <v>3802</v>
      </c>
      <c r="BM2508" s="431"/>
      <c r="BN2508" s="431"/>
      <c r="BR2508" s="431"/>
      <c r="BS2508" s="431"/>
      <c r="IQ2508" s="504"/>
    </row>
    <row r="2509" spans="1:251" s="134" customFormat="1" x14ac:dyDescent="0.25">
      <c r="A2509" s="134">
        <v>118</v>
      </c>
      <c r="B2509" s="134" t="s">
        <v>2704</v>
      </c>
      <c r="C2509" s="134" t="s">
        <v>2705</v>
      </c>
      <c r="D2509" s="134">
        <v>1999</v>
      </c>
      <c r="E2509" s="134">
        <v>2006</v>
      </c>
      <c r="F2509" s="134" t="s">
        <v>2711</v>
      </c>
      <c r="G2509" s="134" t="s">
        <v>2708</v>
      </c>
      <c r="H2509" s="24" t="s">
        <v>2843</v>
      </c>
      <c r="I2509" s="134">
        <f t="shared" si="319"/>
        <v>-15.5</v>
      </c>
      <c r="J2509" s="134">
        <f t="shared" si="320"/>
        <v>35.25</v>
      </c>
      <c r="K2509" s="134">
        <v>1030</v>
      </c>
      <c r="N2509" s="134">
        <v>1194</v>
      </c>
      <c r="O2509" s="134">
        <v>1024</v>
      </c>
      <c r="Q2509" s="135" t="s">
        <v>1984</v>
      </c>
      <c r="R2509" s="135" t="s">
        <v>1940</v>
      </c>
      <c r="S2509" s="135"/>
      <c r="T2509" s="135" t="s">
        <v>2706</v>
      </c>
      <c r="U2509" s="135" t="s">
        <v>1383</v>
      </c>
      <c r="V2509" s="135" t="s">
        <v>1722</v>
      </c>
      <c r="W2509" s="135" t="s">
        <v>1383</v>
      </c>
      <c r="X2509" s="135" t="s">
        <v>1383</v>
      </c>
      <c r="Z2509" s="356">
        <v>46</v>
      </c>
      <c r="AA2509" s="356">
        <v>8</v>
      </c>
      <c r="AB2509" s="134" t="s">
        <v>2710</v>
      </c>
      <c r="AC2509" s="134">
        <v>5.9</v>
      </c>
      <c r="AD2509" s="134">
        <v>0.88</v>
      </c>
      <c r="AF2509" s="134" t="s">
        <v>2709</v>
      </c>
      <c r="AG2509" s="134" t="s">
        <v>2712</v>
      </c>
      <c r="AH2509" s="134" t="s">
        <v>578</v>
      </c>
      <c r="AI2509" s="134" t="s">
        <v>1650</v>
      </c>
      <c r="AJ2509" s="134" t="s">
        <v>133</v>
      </c>
      <c r="AK2509" s="134" t="s">
        <v>178</v>
      </c>
      <c r="AL2509" s="134" t="s">
        <v>178</v>
      </c>
      <c r="AM2509" s="134" t="s">
        <v>178</v>
      </c>
      <c r="AQ2509" s="134" t="s">
        <v>2718</v>
      </c>
      <c r="AR2509" s="134" t="s">
        <v>2718</v>
      </c>
      <c r="AS2509" s="134" t="s">
        <v>178</v>
      </c>
      <c r="AT2509" s="134" t="s">
        <v>161</v>
      </c>
      <c r="AU2509" s="134">
        <v>3</v>
      </c>
      <c r="AV2509" s="134">
        <v>3</v>
      </c>
      <c r="AW2509" s="134" t="s">
        <v>2707</v>
      </c>
      <c r="BH2509" s="134">
        <v>1053</v>
      </c>
      <c r="BI2509" s="134">
        <v>3818</v>
      </c>
      <c r="BM2509" s="431"/>
      <c r="BN2509" s="431"/>
      <c r="BR2509" s="431"/>
      <c r="BS2509" s="431"/>
      <c r="IQ2509" s="504"/>
    </row>
    <row r="2510" spans="1:251" s="134" customFormat="1" x14ac:dyDescent="0.25">
      <c r="A2510" s="134">
        <v>118</v>
      </c>
      <c r="B2510" s="134" t="s">
        <v>2704</v>
      </c>
      <c r="C2510" s="134" t="s">
        <v>2705</v>
      </c>
      <c r="D2510" s="134">
        <v>1999</v>
      </c>
      <c r="E2510" s="134">
        <v>2006</v>
      </c>
      <c r="F2510" s="134" t="s">
        <v>2711</v>
      </c>
      <c r="G2510" s="134" t="s">
        <v>2708</v>
      </c>
      <c r="H2510" s="24" t="s">
        <v>2843</v>
      </c>
      <c r="I2510" s="134">
        <f t="shared" si="319"/>
        <v>-15.5</v>
      </c>
      <c r="J2510" s="134">
        <f t="shared" si="320"/>
        <v>35.25</v>
      </c>
      <c r="K2510" s="134">
        <v>1030</v>
      </c>
      <c r="N2510" s="134">
        <v>1194</v>
      </c>
      <c r="O2510" s="134">
        <v>1024</v>
      </c>
      <c r="Q2510" s="135" t="s">
        <v>1984</v>
      </c>
      <c r="R2510" s="135" t="s">
        <v>1940</v>
      </c>
      <c r="S2510" s="135"/>
      <c r="T2510" s="135" t="s">
        <v>2706</v>
      </c>
      <c r="U2510" s="135" t="s">
        <v>1383</v>
      </c>
      <c r="V2510" s="135" t="s">
        <v>1722</v>
      </c>
      <c r="W2510" s="135" t="s">
        <v>1383</v>
      </c>
      <c r="X2510" s="135" t="s">
        <v>1383</v>
      </c>
      <c r="Z2510" s="356">
        <v>46</v>
      </c>
      <c r="AA2510" s="356">
        <v>8</v>
      </c>
      <c r="AB2510" s="134" t="s">
        <v>2710</v>
      </c>
      <c r="AC2510" s="134">
        <v>5.9</v>
      </c>
      <c r="AD2510" s="134">
        <v>0.88</v>
      </c>
      <c r="AF2510" s="134" t="s">
        <v>2709</v>
      </c>
      <c r="AG2510" s="134" t="s">
        <v>2712</v>
      </c>
      <c r="AH2510" s="134" t="s">
        <v>578</v>
      </c>
      <c r="AI2510" s="134" t="s">
        <v>1650</v>
      </c>
      <c r="AJ2510" s="134" t="s">
        <v>133</v>
      </c>
      <c r="AK2510" s="134" t="s">
        <v>178</v>
      </c>
      <c r="AL2510" s="134" t="s">
        <v>178</v>
      </c>
      <c r="AM2510" s="134" t="s">
        <v>178</v>
      </c>
      <c r="AQ2510" s="134" t="s">
        <v>2719</v>
      </c>
      <c r="AR2510" s="134" t="s">
        <v>2719</v>
      </c>
      <c r="AS2510" s="134" t="s">
        <v>178</v>
      </c>
      <c r="AT2510" s="134" t="s">
        <v>161</v>
      </c>
      <c r="AU2510" s="134">
        <v>3</v>
      </c>
      <c r="AV2510" s="134">
        <v>3</v>
      </c>
      <c r="AW2510" s="134" t="s">
        <v>2707</v>
      </c>
      <c r="BH2510" s="134">
        <v>889</v>
      </c>
      <c r="BI2510" s="134">
        <v>3614</v>
      </c>
      <c r="BM2510" s="431"/>
      <c r="BN2510" s="431"/>
      <c r="BR2510" s="431"/>
      <c r="BS2510" s="431"/>
      <c r="IQ2510" s="504"/>
    </row>
    <row r="2511" spans="1:251" s="134" customFormat="1" x14ac:dyDescent="0.25">
      <c r="A2511" s="134">
        <v>118</v>
      </c>
      <c r="B2511" s="134" t="s">
        <v>2704</v>
      </c>
      <c r="C2511" s="134" t="s">
        <v>2705</v>
      </c>
      <c r="D2511" s="134">
        <v>1999</v>
      </c>
      <c r="E2511" s="134">
        <v>2006</v>
      </c>
      <c r="F2511" s="134" t="s">
        <v>2711</v>
      </c>
      <c r="G2511" s="134" t="s">
        <v>2708</v>
      </c>
      <c r="H2511" s="24" t="s">
        <v>2843</v>
      </c>
      <c r="I2511" s="134">
        <f t="shared" si="319"/>
        <v>-15.5</v>
      </c>
      <c r="J2511" s="134">
        <f t="shared" si="320"/>
        <v>35.25</v>
      </c>
      <c r="K2511" s="134">
        <v>1030</v>
      </c>
      <c r="N2511" s="134">
        <v>1194</v>
      </c>
      <c r="O2511" s="134">
        <v>1024</v>
      </c>
      <c r="Q2511" s="135" t="s">
        <v>1984</v>
      </c>
      <c r="R2511" s="135" t="s">
        <v>1940</v>
      </c>
      <c r="S2511" s="135"/>
      <c r="T2511" s="135" t="s">
        <v>2706</v>
      </c>
      <c r="U2511" s="135" t="s">
        <v>1383</v>
      </c>
      <c r="V2511" s="135" t="s">
        <v>1722</v>
      </c>
      <c r="W2511" s="135" t="s">
        <v>1383</v>
      </c>
      <c r="X2511" s="135" t="s">
        <v>1383</v>
      </c>
      <c r="Z2511" s="356">
        <v>46</v>
      </c>
      <c r="AA2511" s="356">
        <v>8</v>
      </c>
      <c r="AB2511" s="134" t="s">
        <v>2710</v>
      </c>
      <c r="AC2511" s="134">
        <v>5.9</v>
      </c>
      <c r="AD2511" s="134">
        <v>0.88</v>
      </c>
      <c r="AF2511" s="134" t="s">
        <v>2709</v>
      </c>
      <c r="AG2511" s="134" t="s">
        <v>2712</v>
      </c>
      <c r="AH2511" s="134" t="s">
        <v>578</v>
      </c>
      <c r="AI2511" s="134" t="s">
        <v>1650</v>
      </c>
      <c r="AJ2511" s="134" t="s">
        <v>133</v>
      </c>
      <c r="AK2511" s="134" t="s">
        <v>178</v>
      </c>
      <c r="AL2511" s="134" t="s">
        <v>178</v>
      </c>
      <c r="AM2511" s="134" t="s">
        <v>178</v>
      </c>
      <c r="AQ2511" s="134" t="s">
        <v>2720</v>
      </c>
      <c r="AR2511" s="134" t="s">
        <v>2720</v>
      </c>
      <c r="AS2511" s="134" t="s">
        <v>178</v>
      </c>
      <c r="AT2511" s="134" t="s">
        <v>161</v>
      </c>
      <c r="AU2511" s="134">
        <v>3</v>
      </c>
      <c r="AV2511" s="134">
        <v>3</v>
      </c>
      <c r="AW2511" s="134" t="s">
        <v>2707</v>
      </c>
      <c r="BH2511" s="134">
        <v>1439</v>
      </c>
      <c r="BI2511" s="134">
        <v>4916</v>
      </c>
      <c r="BM2511" s="431"/>
      <c r="BN2511" s="431"/>
      <c r="BR2511" s="431"/>
      <c r="BS2511" s="431"/>
      <c r="IQ2511" s="504"/>
    </row>
    <row r="2512" spans="1:251" s="134" customFormat="1" x14ac:dyDescent="0.25">
      <c r="A2512" s="134">
        <v>118</v>
      </c>
      <c r="B2512" s="134" t="s">
        <v>2704</v>
      </c>
      <c r="C2512" s="134" t="s">
        <v>2705</v>
      </c>
      <c r="D2512" s="134">
        <v>1999</v>
      </c>
      <c r="E2512" s="134">
        <v>2006</v>
      </c>
      <c r="F2512" s="134" t="s">
        <v>2711</v>
      </c>
      <c r="G2512" s="134" t="s">
        <v>2708</v>
      </c>
      <c r="H2512" s="24" t="s">
        <v>2843</v>
      </c>
      <c r="I2512" s="134">
        <f t="shared" si="319"/>
        <v>-15.5</v>
      </c>
      <c r="J2512" s="134">
        <f t="shared" si="320"/>
        <v>35.25</v>
      </c>
      <c r="K2512" s="134">
        <v>1030</v>
      </c>
      <c r="N2512" s="134">
        <v>1194</v>
      </c>
      <c r="O2512" s="134">
        <v>1024</v>
      </c>
      <c r="Q2512" s="135" t="s">
        <v>1984</v>
      </c>
      <c r="R2512" s="135" t="s">
        <v>1940</v>
      </c>
      <c r="S2512" s="135"/>
      <c r="T2512" s="135" t="s">
        <v>2706</v>
      </c>
      <c r="U2512" s="135" t="s">
        <v>1383</v>
      </c>
      <c r="V2512" s="135" t="s">
        <v>1722</v>
      </c>
      <c r="W2512" s="135" t="s">
        <v>1383</v>
      </c>
      <c r="X2512" s="135" t="s">
        <v>1383</v>
      </c>
      <c r="Z2512" s="356">
        <v>46</v>
      </c>
      <c r="AA2512" s="356">
        <v>8</v>
      </c>
      <c r="AB2512" s="134" t="s">
        <v>2710</v>
      </c>
      <c r="AC2512" s="134">
        <v>5.9</v>
      </c>
      <c r="AD2512" s="134">
        <v>0.88</v>
      </c>
      <c r="AF2512" s="134" t="s">
        <v>2709</v>
      </c>
      <c r="AG2512" s="134" t="s">
        <v>2712</v>
      </c>
      <c r="AH2512" s="134" t="s">
        <v>578</v>
      </c>
      <c r="AI2512" s="134" t="s">
        <v>1650</v>
      </c>
      <c r="AJ2512" s="134" t="s">
        <v>133</v>
      </c>
      <c r="AK2512" s="134" t="s">
        <v>178</v>
      </c>
      <c r="AL2512" s="134" t="s">
        <v>178</v>
      </c>
      <c r="AM2512" s="134" t="s">
        <v>178</v>
      </c>
      <c r="AQ2512" s="134" t="s">
        <v>2722</v>
      </c>
      <c r="AR2512" s="134" t="s">
        <v>2722</v>
      </c>
      <c r="AS2512" s="134" t="s">
        <v>178</v>
      </c>
      <c r="AT2512" s="134" t="s">
        <v>161</v>
      </c>
      <c r="AU2512" s="134">
        <v>3</v>
      </c>
      <c r="AV2512" s="134">
        <v>3</v>
      </c>
      <c r="AW2512" s="134" t="s">
        <v>2707</v>
      </c>
      <c r="BH2512" s="134">
        <v>1987</v>
      </c>
      <c r="BI2512" s="134">
        <v>3629</v>
      </c>
      <c r="BM2512" s="431"/>
      <c r="BN2512" s="431"/>
      <c r="BR2512" s="431"/>
      <c r="BS2512" s="431"/>
      <c r="IQ2512" s="504"/>
    </row>
    <row r="2513" spans="1:251" s="134" customFormat="1" x14ac:dyDescent="0.25">
      <c r="A2513" s="134">
        <v>118</v>
      </c>
      <c r="B2513" s="134" t="s">
        <v>2704</v>
      </c>
      <c r="C2513" s="134" t="s">
        <v>2705</v>
      </c>
      <c r="D2513" s="134">
        <v>1999</v>
      </c>
      <c r="E2513" s="134">
        <v>2006</v>
      </c>
      <c r="F2513" s="134" t="s">
        <v>2711</v>
      </c>
      <c r="G2513" s="134" t="s">
        <v>2708</v>
      </c>
      <c r="H2513" s="24" t="s">
        <v>2843</v>
      </c>
      <c r="I2513" s="134">
        <f t="shared" si="319"/>
        <v>-15.5</v>
      </c>
      <c r="J2513" s="134">
        <f t="shared" si="320"/>
        <v>35.25</v>
      </c>
      <c r="K2513" s="134">
        <v>1030</v>
      </c>
      <c r="N2513" s="134">
        <v>1194</v>
      </c>
      <c r="O2513" s="134">
        <v>1024</v>
      </c>
      <c r="Q2513" s="135" t="s">
        <v>1984</v>
      </c>
      <c r="R2513" s="135" t="s">
        <v>1940</v>
      </c>
      <c r="S2513" s="135"/>
      <c r="T2513" s="135" t="s">
        <v>2706</v>
      </c>
      <c r="U2513" s="135" t="s">
        <v>1383</v>
      </c>
      <c r="V2513" s="135" t="s">
        <v>1722</v>
      </c>
      <c r="W2513" s="135" t="s">
        <v>1383</v>
      </c>
      <c r="X2513" s="135" t="s">
        <v>1383</v>
      </c>
      <c r="Z2513" s="356">
        <v>46</v>
      </c>
      <c r="AA2513" s="356">
        <v>8</v>
      </c>
      <c r="AB2513" s="134" t="s">
        <v>2710</v>
      </c>
      <c r="AC2513" s="134">
        <v>5.9</v>
      </c>
      <c r="AD2513" s="134">
        <v>0.88</v>
      </c>
      <c r="AF2513" s="134" t="s">
        <v>2709</v>
      </c>
      <c r="AG2513" s="134" t="s">
        <v>2712</v>
      </c>
      <c r="AH2513" s="134" t="s">
        <v>578</v>
      </c>
      <c r="AI2513" s="134" t="s">
        <v>1650</v>
      </c>
      <c r="AJ2513" s="134" t="s">
        <v>133</v>
      </c>
      <c r="AK2513" s="134" t="s">
        <v>178</v>
      </c>
      <c r="AL2513" s="134" t="s">
        <v>178</v>
      </c>
      <c r="AM2513" s="134" t="s">
        <v>178</v>
      </c>
      <c r="AQ2513" s="134" t="s">
        <v>2723</v>
      </c>
      <c r="AR2513" s="134" t="s">
        <v>2723</v>
      </c>
      <c r="AS2513" s="134" t="s">
        <v>178</v>
      </c>
      <c r="AT2513" s="134" t="s">
        <v>161</v>
      </c>
      <c r="AU2513" s="134">
        <v>3</v>
      </c>
      <c r="AV2513" s="134">
        <v>3</v>
      </c>
      <c r="AW2513" s="134" t="s">
        <v>2707</v>
      </c>
      <c r="BH2513" s="134">
        <v>2312</v>
      </c>
      <c r="BI2513" s="134">
        <v>3308</v>
      </c>
      <c r="BM2513" s="431"/>
      <c r="BN2513" s="431"/>
      <c r="BR2513" s="431"/>
      <c r="BS2513" s="431"/>
      <c r="IQ2513" s="504"/>
    </row>
    <row r="2514" spans="1:251" s="134" customFormat="1" x14ac:dyDescent="0.25">
      <c r="A2514" s="134">
        <v>118</v>
      </c>
      <c r="B2514" s="134" t="s">
        <v>2704</v>
      </c>
      <c r="C2514" s="134" t="s">
        <v>2705</v>
      </c>
      <c r="D2514" s="134">
        <v>1999</v>
      </c>
      <c r="E2514" s="134">
        <v>2006</v>
      </c>
      <c r="F2514" s="134" t="s">
        <v>2711</v>
      </c>
      <c r="G2514" s="134" t="s">
        <v>2708</v>
      </c>
      <c r="H2514" s="24" t="s">
        <v>2843</v>
      </c>
      <c r="I2514" s="134">
        <f t="shared" si="319"/>
        <v>-15.5</v>
      </c>
      <c r="J2514" s="134">
        <f t="shared" si="320"/>
        <v>35.25</v>
      </c>
      <c r="K2514" s="134">
        <v>1030</v>
      </c>
      <c r="N2514" s="134">
        <v>1194</v>
      </c>
      <c r="O2514" s="134">
        <v>1024</v>
      </c>
      <c r="Q2514" s="135" t="s">
        <v>1984</v>
      </c>
      <c r="R2514" s="135" t="s">
        <v>1940</v>
      </c>
      <c r="S2514" s="135"/>
      <c r="T2514" s="135" t="s">
        <v>2706</v>
      </c>
      <c r="U2514" s="135" t="s">
        <v>1383</v>
      </c>
      <c r="V2514" s="135" t="s">
        <v>1722</v>
      </c>
      <c r="W2514" s="135" t="s">
        <v>1383</v>
      </c>
      <c r="X2514" s="135" t="s">
        <v>1383</v>
      </c>
      <c r="Z2514" s="356">
        <v>46</v>
      </c>
      <c r="AA2514" s="356">
        <v>8</v>
      </c>
      <c r="AB2514" s="134" t="s">
        <v>2710</v>
      </c>
      <c r="AC2514" s="134">
        <v>5.9</v>
      </c>
      <c r="AD2514" s="134">
        <v>0.88</v>
      </c>
      <c r="AF2514" s="134" t="s">
        <v>2709</v>
      </c>
      <c r="AG2514" s="134" t="s">
        <v>2712</v>
      </c>
      <c r="AH2514" s="134" t="s">
        <v>578</v>
      </c>
      <c r="AI2514" s="134" t="s">
        <v>1650</v>
      </c>
      <c r="AJ2514" s="134" t="s">
        <v>133</v>
      </c>
      <c r="AK2514" s="134" t="s">
        <v>178</v>
      </c>
      <c r="AL2514" s="134" t="s">
        <v>178</v>
      </c>
      <c r="AM2514" s="134" t="s">
        <v>178</v>
      </c>
      <c r="AQ2514" s="134" t="s">
        <v>2721</v>
      </c>
      <c r="AR2514" s="134" t="s">
        <v>2721</v>
      </c>
      <c r="AS2514" s="134" t="s">
        <v>178</v>
      </c>
      <c r="AT2514" s="134" t="s">
        <v>161</v>
      </c>
      <c r="AU2514" s="134">
        <v>3</v>
      </c>
      <c r="AV2514" s="134">
        <v>3</v>
      </c>
      <c r="AW2514" s="134" t="s">
        <v>2707</v>
      </c>
      <c r="BH2514" s="134">
        <v>2307</v>
      </c>
      <c r="BI2514" s="134">
        <v>4303</v>
      </c>
      <c r="BM2514" s="431"/>
      <c r="BN2514" s="431"/>
      <c r="BR2514" s="431"/>
      <c r="BS2514" s="431"/>
      <c r="IQ2514" s="504"/>
    </row>
    <row r="2515" spans="1:251" s="134" customFormat="1" x14ac:dyDescent="0.25">
      <c r="A2515" s="134">
        <v>118</v>
      </c>
      <c r="B2515" s="134" t="s">
        <v>2704</v>
      </c>
      <c r="C2515" s="134" t="s">
        <v>2705</v>
      </c>
      <c r="D2515" s="134">
        <v>1999</v>
      </c>
      <c r="E2515" s="134">
        <v>2006</v>
      </c>
      <c r="F2515" s="134" t="s">
        <v>2711</v>
      </c>
      <c r="G2515" s="134" t="s">
        <v>2708</v>
      </c>
      <c r="H2515" s="24" t="s">
        <v>2843</v>
      </c>
      <c r="I2515" s="134">
        <f t="shared" si="319"/>
        <v>-15.5</v>
      </c>
      <c r="J2515" s="134">
        <f t="shared" si="320"/>
        <v>35.25</v>
      </c>
      <c r="K2515" s="134">
        <v>1030</v>
      </c>
      <c r="N2515" s="134">
        <v>1194</v>
      </c>
      <c r="O2515" s="134">
        <v>1024</v>
      </c>
      <c r="Q2515" s="135" t="s">
        <v>1984</v>
      </c>
      <c r="R2515" s="135" t="s">
        <v>1940</v>
      </c>
      <c r="S2515" s="135"/>
      <c r="T2515" s="135" t="s">
        <v>2706</v>
      </c>
      <c r="U2515" s="135" t="s">
        <v>1383</v>
      </c>
      <c r="V2515" s="135" t="s">
        <v>1722</v>
      </c>
      <c r="W2515" s="135" t="s">
        <v>1383</v>
      </c>
      <c r="X2515" s="135" t="s">
        <v>1383</v>
      </c>
      <c r="Z2515" s="356">
        <v>46</v>
      </c>
      <c r="AA2515" s="356">
        <v>8</v>
      </c>
      <c r="AB2515" s="134" t="s">
        <v>2710</v>
      </c>
      <c r="AC2515" s="134">
        <v>5.9</v>
      </c>
      <c r="AD2515" s="134">
        <v>0.88</v>
      </c>
      <c r="AF2515" s="134" t="s">
        <v>2709</v>
      </c>
      <c r="AG2515" s="134" t="s">
        <v>2712</v>
      </c>
      <c r="AH2515" s="134" t="s">
        <v>578</v>
      </c>
      <c r="AI2515" s="134" t="s">
        <v>1650</v>
      </c>
      <c r="AJ2515" s="134" t="s">
        <v>133</v>
      </c>
      <c r="AK2515" s="134" t="s">
        <v>178</v>
      </c>
      <c r="AL2515" s="134" t="s">
        <v>178</v>
      </c>
      <c r="AM2515" s="134" t="s">
        <v>178</v>
      </c>
      <c r="AQ2515" s="134" t="s">
        <v>2724</v>
      </c>
      <c r="AR2515" s="134" t="s">
        <v>2724</v>
      </c>
      <c r="AS2515" s="134" t="s">
        <v>178</v>
      </c>
      <c r="AT2515" s="134" t="s">
        <v>161</v>
      </c>
      <c r="AU2515" s="134">
        <v>3</v>
      </c>
      <c r="AV2515" s="134">
        <v>3</v>
      </c>
      <c r="AW2515" s="134" t="s">
        <v>2707</v>
      </c>
      <c r="BH2515" s="134">
        <v>2749</v>
      </c>
      <c r="BI2515" s="134">
        <v>3936</v>
      </c>
      <c r="BM2515" s="431"/>
      <c r="BN2515" s="431"/>
      <c r="BR2515" s="431"/>
      <c r="BS2515" s="431"/>
      <c r="IQ2515" s="504"/>
    </row>
    <row r="2516" spans="1:251" s="134" customFormat="1" x14ac:dyDescent="0.25">
      <c r="A2516" s="134">
        <v>118</v>
      </c>
      <c r="B2516" s="134" t="s">
        <v>2704</v>
      </c>
      <c r="C2516" s="134" t="s">
        <v>2705</v>
      </c>
      <c r="D2516" s="134">
        <v>1999</v>
      </c>
      <c r="E2516" s="134">
        <v>2006</v>
      </c>
      <c r="F2516" s="134" t="s">
        <v>2711</v>
      </c>
      <c r="G2516" s="134" t="s">
        <v>2708</v>
      </c>
      <c r="H2516" s="24" t="s">
        <v>2843</v>
      </c>
      <c r="I2516" s="134">
        <f t="shared" si="319"/>
        <v>-15.5</v>
      </c>
      <c r="J2516" s="134">
        <f t="shared" si="320"/>
        <v>35.25</v>
      </c>
      <c r="K2516" s="134">
        <v>1030</v>
      </c>
      <c r="N2516" s="134">
        <v>1194</v>
      </c>
      <c r="O2516" s="134">
        <v>1024</v>
      </c>
      <c r="Q2516" s="135" t="s">
        <v>1984</v>
      </c>
      <c r="R2516" s="135" t="s">
        <v>1940</v>
      </c>
      <c r="S2516" s="135"/>
      <c r="T2516" s="135" t="s">
        <v>2706</v>
      </c>
      <c r="U2516" s="135" t="s">
        <v>1383</v>
      </c>
      <c r="V2516" s="135" t="s">
        <v>1722</v>
      </c>
      <c r="W2516" s="135" t="s">
        <v>1383</v>
      </c>
      <c r="X2516" s="135" t="s">
        <v>1383</v>
      </c>
      <c r="Z2516" s="356">
        <v>46</v>
      </c>
      <c r="AA2516" s="356">
        <v>8</v>
      </c>
      <c r="AB2516" s="134" t="s">
        <v>2710</v>
      </c>
      <c r="AC2516" s="134">
        <v>5.9</v>
      </c>
      <c r="AD2516" s="134">
        <v>0.88</v>
      </c>
      <c r="AF2516" s="134" t="s">
        <v>2709</v>
      </c>
      <c r="AG2516" s="134" t="s">
        <v>2712</v>
      </c>
      <c r="AH2516" s="134" t="s">
        <v>578</v>
      </c>
      <c r="AI2516" s="134" t="s">
        <v>1650</v>
      </c>
      <c r="AJ2516" s="134" t="s">
        <v>133</v>
      </c>
      <c r="AK2516" s="134" t="s">
        <v>178</v>
      </c>
      <c r="AL2516" s="134" t="s">
        <v>178</v>
      </c>
      <c r="AM2516" s="134" t="s">
        <v>178</v>
      </c>
      <c r="AQ2516" s="134" t="s">
        <v>2725</v>
      </c>
      <c r="AR2516" s="134" t="s">
        <v>2725</v>
      </c>
      <c r="AS2516" s="134" t="s">
        <v>178</v>
      </c>
      <c r="AT2516" s="134" t="s">
        <v>161</v>
      </c>
      <c r="AU2516" s="134">
        <v>3</v>
      </c>
      <c r="AV2516" s="134">
        <v>3</v>
      </c>
      <c r="AW2516" s="134" t="s">
        <v>2707</v>
      </c>
      <c r="BH2516" s="134">
        <v>3193</v>
      </c>
      <c r="BI2516" s="134">
        <v>3751</v>
      </c>
      <c r="BM2516" s="431"/>
      <c r="BN2516" s="431"/>
      <c r="BR2516" s="431"/>
      <c r="BS2516" s="431"/>
      <c r="IQ2516" s="504"/>
    </row>
    <row r="2517" spans="1:251" s="126" customFormat="1" x14ac:dyDescent="0.25">
      <c r="A2517" s="126">
        <v>119</v>
      </c>
      <c r="B2517" s="126" t="s">
        <v>2726</v>
      </c>
      <c r="C2517" s="126" t="s">
        <v>2727</v>
      </c>
      <c r="D2517" s="126">
        <v>2002</v>
      </c>
      <c r="E2517" s="126">
        <v>2007</v>
      </c>
      <c r="F2517" s="126" t="s">
        <v>2728</v>
      </c>
      <c r="G2517" s="126" t="s">
        <v>2708</v>
      </c>
      <c r="H2517" s="126" t="s">
        <v>2843</v>
      </c>
      <c r="I2517" s="126">
        <v>-15.5</v>
      </c>
      <c r="J2517" s="126">
        <v>35.25</v>
      </c>
      <c r="K2517" s="126">
        <v>1030</v>
      </c>
      <c r="N2517" s="126">
        <v>860</v>
      </c>
      <c r="O2517" s="126">
        <v>1024</v>
      </c>
      <c r="Q2517" s="478" t="s">
        <v>1940</v>
      </c>
      <c r="R2517" s="478" t="s">
        <v>1938</v>
      </c>
      <c r="S2517" s="478"/>
      <c r="T2517" s="478" t="s">
        <v>2740</v>
      </c>
      <c r="U2517" s="478" t="s">
        <v>1383</v>
      </c>
      <c r="V2517" s="478" t="s">
        <v>1722</v>
      </c>
      <c r="W2517" s="478" t="s">
        <v>1383</v>
      </c>
      <c r="X2517" s="478" t="s">
        <v>1383</v>
      </c>
      <c r="Z2517" s="479">
        <v>46</v>
      </c>
      <c r="AA2517" s="479">
        <v>8</v>
      </c>
      <c r="AB2517" s="126" t="s">
        <v>2710</v>
      </c>
      <c r="AC2517" s="126">
        <v>5.9</v>
      </c>
      <c r="AD2517" s="126">
        <v>0.88</v>
      </c>
      <c r="AF2517" s="126" t="s">
        <v>2709</v>
      </c>
      <c r="AG2517" s="126" t="s">
        <v>2712</v>
      </c>
      <c r="AH2517" s="126" t="s">
        <v>578</v>
      </c>
      <c r="AI2517" s="126" t="s">
        <v>1650</v>
      </c>
      <c r="AJ2517" s="126" t="s">
        <v>133</v>
      </c>
      <c r="AK2517" s="126" t="s">
        <v>178</v>
      </c>
      <c r="AL2517" s="126" t="s">
        <v>178</v>
      </c>
      <c r="AM2517" s="126" t="s">
        <v>178</v>
      </c>
      <c r="AQ2517" s="126" t="s">
        <v>2717</v>
      </c>
      <c r="AR2517" s="126" t="s">
        <v>2717</v>
      </c>
      <c r="AS2517" s="126" t="s">
        <v>178</v>
      </c>
      <c r="AT2517" s="126" t="s">
        <v>161</v>
      </c>
      <c r="AU2517" s="126">
        <v>3</v>
      </c>
      <c r="AV2517" s="126">
        <v>3</v>
      </c>
      <c r="AW2517" s="126" t="s">
        <v>2707</v>
      </c>
      <c r="BC2517" s="126">
        <v>1906</v>
      </c>
      <c r="BD2517" s="126">
        <v>5113</v>
      </c>
      <c r="BG2517" s="126" t="s">
        <v>2739</v>
      </c>
      <c r="BH2517" s="126">
        <v>1272</v>
      </c>
      <c r="BI2517" s="126">
        <v>5013</v>
      </c>
      <c r="BM2517" s="481"/>
      <c r="BN2517" s="481"/>
      <c r="BR2517" s="481">
        <v>0.43</v>
      </c>
      <c r="BS2517" s="481">
        <v>0.66</v>
      </c>
      <c r="CB2517" s="126">
        <v>26.2</v>
      </c>
      <c r="CC2517" s="126">
        <v>22.1</v>
      </c>
      <c r="CF2517" s="126" t="s">
        <v>2738</v>
      </c>
      <c r="CG2517" s="126">
        <v>0.47</v>
      </c>
      <c r="CH2517" s="126">
        <v>0.74</v>
      </c>
      <c r="CL2517" s="126">
        <v>6</v>
      </c>
      <c r="CM2517" s="126">
        <v>6.3</v>
      </c>
      <c r="CQ2517" s="126">
        <f>1.4+3.5+0.47</f>
        <v>5.37</v>
      </c>
      <c r="CR2517" s="126">
        <f>CH2517+1.4+3.9</f>
        <v>6.0399999999999991</v>
      </c>
      <c r="CU2517" s="126" t="s">
        <v>2737</v>
      </c>
      <c r="IO2517" s="126" t="s">
        <v>2741</v>
      </c>
      <c r="IQ2517" s="480"/>
    </row>
    <row r="2518" spans="1:251" s="126" customFormat="1" x14ac:dyDescent="0.25">
      <c r="A2518" s="126">
        <v>119</v>
      </c>
      <c r="B2518" s="126" t="s">
        <v>2726</v>
      </c>
      <c r="C2518" s="126" t="s">
        <v>2727</v>
      </c>
      <c r="D2518" s="126">
        <v>2002</v>
      </c>
      <c r="E2518" s="126">
        <v>2007</v>
      </c>
      <c r="F2518" s="126" t="s">
        <v>2728</v>
      </c>
      <c r="G2518" s="126" t="s">
        <v>2708</v>
      </c>
      <c r="H2518" s="126" t="s">
        <v>2843</v>
      </c>
      <c r="I2518" s="126">
        <v>-15.5</v>
      </c>
      <c r="J2518" s="126">
        <v>35.25</v>
      </c>
      <c r="K2518" s="126">
        <v>1030</v>
      </c>
      <c r="N2518" s="126">
        <v>860</v>
      </c>
      <c r="O2518" s="126">
        <v>1024</v>
      </c>
      <c r="Q2518" s="478" t="s">
        <v>1940</v>
      </c>
      <c r="R2518" s="478" t="s">
        <v>1938</v>
      </c>
      <c r="S2518" s="478"/>
      <c r="T2518" s="478" t="s">
        <v>2740</v>
      </c>
      <c r="U2518" s="478" t="s">
        <v>1383</v>
      </c>
      <c r="V2518" s="478" t="s">
        <v>1722</v>
      </c>
      <c r="W2518" s="478" t="s">
        <v>1383</v>
      </c>
      <c r="X2518" s="478" t="s">
        <v>1383</v>
      </c>
      <c r="Z2518" s="479">
        <v>46</v>
      </c>
      <c r="AA2518" s="479">
        <v>8</v>
      </c>
      <c r="AB2518" s="126" t="s">
        <v>2710</v>
      </c>
      <c r="AC2518" s="126">
        <v>5.9</v>
      </c>
      <c r="AD2518" s="126">
        <v>0.88</v>
      </c>
      <c r="AF2518" s="126" t="s">
        <v>2709</v>
      </c>
      <c r="AG2518" s="126" t="s">
        <v>2712</v>
      </c>
      <c r="AH2518" s="126" t="s">
        <v>578</v>
      </c>
      <c r="AI2518" s="126" t="s">
        <v>1650</v>
      </c>
      <c r="AJ2518" s="126" t="s">
        <v>133</v>
      </c>
      <c r="AK2518" s="126" t="s">
        <v>178</v>
      </c>
      <c r="AL2518" s="126" t="s">
        <v>178</v>
      </c>
      <c r="AM2518" s="126" t="s">
        <v>178</v>
      </c>
      <c r="AQ2518" s="126" t="s">
        <v>2729</v>
      </c>
      <c r="AR2518" s="126" t="s">
        <v>2729</v>
      </c>
      <c r="AS2518" s="126" t="s">
        <v>178</v>
      </c>
      <c r="AT2518" s="126" t="s">
        <v>161</v>
      </c>
      <c r="AU2518" s="126">
        <v>3</v>
      </c>
      <c r="AV2518" s="126">
        <v>3</v>
      </c>
      <c r="AW2518" s="126" t="s">
        <v>2707</v>
      </c>
      <c r="BC2518" s="126">
        <v>1703</v>
      </c>
      <c r="BD2518" s="126">
        <v>4525</v>
      </c>
      <c r="BG2518" s="126" t="s">
        <v>2739</v>
      </c>
      <c r="BH2518" s="126">
        <v>1395</v>
      </c>
      <c r="BI2518" s="126">
        <v>4486</v>
      </c>
      <c r="BM2518" s="481"/>
      <c r="BN2518" s="481"/>
      <c r="BR2518" s="481">
        <v>0.6</v>
      </c>
      <c r="BS2518" s="481">
        <v>1.33</v>
      </c>
      <c r="CB2518" s="126">
        <v>36.6</v>
      </c>
      <c r="CC2518" s="126">
        <v>38.6</v>
      </c>
      <c r="CF2518" s="126" t="s">
        <v>2738</v>
      </c>
      <c r="CG2518" s="126">
        <v>0.42</v>
      </c>
      <c r="CH2518" s="126">
        <v>0.81</v>
      </c>
      <c r="CL2518" s="126">
        <v>6.2</v>
      </c>
      <c r="CM2518" s="126">
        <v>6.3</v>
      </c>
      <c r="CQ2518" s="126">
        <f>1.3+3.5+0.42</f>
        <v>5.22</v>
      </c>
      <c r="CR2518" s="126">
        <f>CH2518+1.4+3.9</f>
        <v>6.1099999999999994</v>
      </c>
      <c r="CU2518" s="126" t="s">
        <v>2737</v>
      </c>
      <c r="IO2518" s="126" t="s">
        <v>2741</v>
      </c>
      <c r="IQ2518" s="480"/>
    </row>
    <row r="2519" spans="1:251" s="126" customFormat="1" x14ac:dyDescent="0.25">
      <c r="A2519" s="126">
        <v>119</v>
      </c>
      <c r="B2519" s="126" t="s">
        <v>2726</v>
      </c>
      <c r="C2519" s="126" t="s">
        <v>2727</v>
      </c>
      <c r="D2519" s="126">
        <v>2002</v>
      </c>
      <c r="E2519" s="126">
        <v>2007</v>
      </c>
      <c r="F2519" s="126" t="s">
        <v>2728</v>
      </c>
      <c r="G2519" s="126" t="s">
        <v>2708</v>
      </c>
      <c r="H2519" s="126" t="s">
        <v>2843</v>
      </c>
      <c r="I2519" s="126">
        <v>-15.5</v>
      </c>
      <c r="J2519" s="126">
        <v>35.25</v>
      </c>
      <c r="K2519" s="126">
        <v>1030</v>
      </c>
      <c r="N2519" s="126">
        <v>860</v>
      </c>
      <c r="O2519" s="126">
        <v>1024</v>
      </c>
      <c r="Q2519" s="478" t="s">
        <v>1940</v>
      </c>
      <c r="R2519" s="478" t="s">
        <v>1938</v>
      </c>
      <c r="S2519" s="478"/>
      <c r="T2519" s="478" t="s">
        <v>2740</v>
      </c>
      <c r="U2519" s="478" t="s">
        <v>1383</v>
      </c>
      <c r="V2519" s="478" t="s">
        <v>1722</v>
      </c>
      <c r="W2519" s="478" t="s">
        <v>1383</v>
      </c>
      <c r="X2519" s="478" t="s">
        <v>1383</v>
      </c>
      <c r="Z2519" s="479">
        <v>46</v>
      </c>
      <c r="AA2519" s="479">
        <v>8</v>
      </c>
      <c r="AB2519" s="126" t="s">
        <v>2710</v>
      </c>
      <c r="AC2519" s="126">
        <v>5.9</v>
      </c>
      <c r="AD2519" s="126">
        <v>0.88</v>
      </c>
      <c r="AF2519" s="126" t="s">
        <v>2709</v>
      </c>
      <c r="AG2519" s="126" t="s">
        <v>2712</v>
      </c>
      <c r="AH2519" s="126" t="s">
        <v>578</v>
      </c>
      <c r="AI2519" s="126" t="s">
        <v>1650</v>
      </c>
      <c r="AJ2519" s="126" t="s">
        <v>133</v>
      </c>
      <c r="AK2519" s="126" t="s">
        <v>178</v>
      </c>
      <c r="AL2519" s="126" t="s">
        <v>178</v>
      </c>
      <c r="AM2519" s="126" t="s">
        <v>178</v>
      </c>
      <c r="AQ2519" s="126" t="s">
        <v>2730</v>
      </c>
      <c r="AR2519" s="126" t="s">
        <v>2730</v>
      </c>
      <c r="AS2519" s="126" t="s">
        <v>178</v>
      </c>
      <c r="AT2519" s="126" t="s">
        <v>161</v>
      </c>
      <c r="AU2519" s="126">
        <v>3</v>
      </c>
      <c r="AV2519" s="126">
        <v>3</v>
      </c>
      <c r="AW2519" s="126" t="s">
        <v>2707</v>
      </c>
      <c r="BC2519" s="126">
        <v>1460</v>
      </c>
      <c r="BD2519" s="126">
        <v>4829</v>
      </c>
      <c r="BG2519" s="126" t="s">
        <v>2739</v>
      </c>
      <c r="BH2519" s="126">
        <v>1490</v>
      </c>
      <c r="BI2519" s="126">
        <v>4865</v>
      </c>
      <c r="BM2519" s="481"/>
      <c r="BN2519" s="481"/>
      <c r="BR2519" s="481">
        <v>0.63</v>
      </c>
      <c r="BS2519" s="481">
        <v>1.02</v>
      </c>
      <c r="CB2519" s="126">
        <v>44.7</v>
      </c>
      <c r="CC2519" s="126">
        <v>40.9</v>
      </c>
      <c r="CF2519" s="126" t="s">
        <v>2738</v>
      </c>
      <c r="CG2519" s="126">
        <v>0.46</v>
      </c>
      <c r="CH2519" s="126">
        <v>0.69</v>
      </c>
      <c r="CL2519" s="126">
        <v>5.9</v>
      </c>
      <c r="CM2519" s="126">
        <v>6.2</v>
      </c>
      <c r="CQ2519" s="126">
        <f>1.3+3.41+0.46</f>
        <v>5.17</v>
      </c>
      <c r="CR2519" s="126">
        <f t="shared" ref="CR2519:CR2522" si="321">CH2519+1.4+3.9</f>
        <v>5.99</v>
      </c>
      <c r="CU2519" s="126" t="s">
        <v>2737</v>
      </c>
      <c r="IO2519" s="126" t="s">
        <v>2741</v>
      </c>
      <c r="IQ2519" s="480"/>
    </row>
    <row r="2520" spans="1:251" s="126" customFormat="1" x14ac:dyDescent="0.25">
      <c r="A2520" s="126">
        <v>119</v>
      </c>
      <c r="B2520" s="126" t="s">
        <v>2726</v>
      </c>
      <c r="C2520" s="126" t="s">
        <v>2727</v>
      </c>
      <c r="D2520" s="126">
        <v>2002</v>
      </c>
      <c r="E2520" s="126">
        <v>2007</v>
      </c>
      <c r="F2520" s="126" t="s">
        <v>2728</v>
      </c>
      <c r="G2520" s="126" t="s">
        <v>2708</v>
      </c>
      <c r="H2520" s="126" t="s">
        <v>2843</v>
      </c>
      <c r="I2520" s="126">
        <v>-15.5</v>
      </c>
      <c r="J2520" s="126">
        <v>35.25</v>
      </c>
      <c r="K2520" s="126">
        <v>1030</v>
      </c>
      <c r="N2520" s="126">
        <v>860</v>
      </c>
      <c r="O2520" s="126">
        <v>1024</v>
      </c>
      <c r="Q2520" s="478" t="s">
        <v>1940</v>
      </c>
      <c r="R2520" s="478" t="s">
        <v>1938</v>
      </c>
      <c r="S2520" s="478"/>
      <c r="T2520" s="478" t="s">
        <v>2740</v>
      </c>
      <c r="U2520" s="478" t="s">
        <v>1383</v>
      </c>
      <c r="V2520" s="478" t="s">
        <v>1722</v>
      </c>
      <c r="W2520" s="478" t="s">
        <v>1383</v>
      </c>
      <c r="X2520" s="478" t="s">
        <v>1383</v>
      </c>
      <c r="Z2520" s="479">
        <v>46</v>
      </c>
      <c r="AA2520" s="479">
        <v>8</v>
      </c>
      <c r="AB2520" s="126" t="s">
        <v>2710</v>
      </c>
      <c r="AC2520" s="126">
        <v>5.9</v>
      </c>
      <c r="AD2520" s="126">
        <v>0.88</v>
      </c>
      <c r="AF2520" s="126" t="s">
        <v>2709</v>
      </c>
      <c r="AG2520" s="126" t="s">
        <v>2712</v>
      </c>
      <c r="AH2520" s="126" t="s">
        <v>578</v>
      </c>
      <c r="AI2520" s="126" t="s">
        <v>1650</v>
      </c>
      <c r="AJ2520" s="126" t="s">
        <v>133</v>
      </c>
      <c r="AK2520" s="126" t="s">
        <v>178</v>
      </c>
      <c r="AL2520" s="126" t="s">
        <v>178</v>
      </c>
      <c r="AM2520" s="126" t="s">
        <v>178</v>
      </c>
      <c r="AQ2520" s="126" t="s">
        <v>2731</v>
      </c>
      <c r="AR2520" s="126" t="s">
        <v>2731</v>
      </c>
      <c r="AS2520" s="126" t="s">
        <v>178</v>
      </c>
      <c r="AT2520" s="126" t="s">
        <v>161</v>
      </c>
      <c r="AU2520" s="126">
        <v>3</v>
      </c>
      <c r="AV2520" s="126">
        <v>3</v>
      </c>
      <c r="AW2520" s="126" t="s">
        <v>2707</v>
      </c>
      <c r="BC2520" s="126">
        <v>3190</v>
      </c>
      <c r="BD2520" s="126">
        <v>4816</v>
      </c>
      <c r="BG2520" s="126" t="s">
        <v>2739</v>
      </c>
      <c r="BH2520" s="126">
        <v>2525</v>
      </c>
      <c r="BI2520" s="126">
        <v>4784</v>
      </c>
      <c r="BM2520" s="481"/>
      <c r="BN2520" s="481"/>
      <c r="BR2520" s="481">
        <v>0.67</v>
      </c>
      <c r="BS2520" s="481">
        <v>1.42</v>
      </c>
      <c r="CB2520" s="126">
        <v>25.5</v>
      </c>
      <c r="CC2520" s="126">
        <v>26</v>
      </c>
      <c r="CF2520" s="126" t="s">
        <v>2738</v>
      </c>
      <c r="CG2520" s="126">
        <v>0.49</v>
      </c>
      <c r="CH2520" s="126">
        <v>0.91</v>
      </c>
      <c r="CL2520" s="126">
        <v>5.7</v>
      </c>
      <c r="CM2520" s="126">
        <v>6.1</v>
      </c>
      <c r="CQ2520" s="126">
        <f>1.4+3.7+0.49</f>
        <v>5.59</v>
      </c>
      <c r="CR2520" s="126">
        <f>CH2520+1.4+4.1</f>
        <v>6.41</v>
      </c>
      <c r="CU2520" s="126" t="s">
        <v>2737</v>
      </c>
      <c r="IO2520" s="126" t="s">
        <v>2741</v>
      </c>
      <c r="IQ2520" s="480"/>
    </row>
    <row r="2521" spans="1:251" s="126" customFormat="1" x14ac:dyDescent="0.25">
      <c r="A2521" s="126">
        <v>119</v>
      </c>
      <c r="B2521" s="126" t="s">
        <v>2726</v>
      </c>
      <c r="C2521" s="126" t="s">
        <v>2727</v>
      </c>
      <c r="D2521" s="126">
        <v>2002</v>
      </c>
      <c r="E2521" s="126">
        <v>2007</v>
      </c>
      <c r="F2521" s="126" t="s">
        <v>2728</v>
      </c>
      <c r="G2521" s="126" t="s">
        <v>2708</v>
      </c>
      <c r="H2521" s="126" t="s">
        <v>2843</v>
      </c>
      <c r="I2521" s="126">
        <v>-15.5</v>
      </c>
      <c r="J2521" s="126">
        <v>35.25</v>
      </c>
      <c r="K2521" s="126">
        <v>1030</v>
      </c>
      <c r="N2521" s="126">
        <v>860</v>
      </c>
      <c r="O2521" s="126">
        <v>1024</v>
      </c>
      <c r="Q2521" s="478" t="s">
        <v>1940</v>
      </c>
      <c r="R2521" s="478" t="s">
        <v>1938</v>
      </c>
      <c r="S2521" s="478"/>
      <c r="T2521" s="478" t="s">
        <v>2740</v>
      </c>
      <c r="U2521" s="478" t="s">
        <v>1383</v>
      </c>
      <c r="V2521" s="478" t="s">
        <v>1722</v>
      </c>
      <c r="W2521" s="478" t="s">
        <v>1383</v>
      </c>
      <c r="X2521" s="478" t="s">
        <v>1383</v>
      </c>
      <c r="Z2521" s="479">
        <v>46</v>
      </c>
      <c r="AA2521" s="479">
        <v>8</v>
      </c>
      <c r="AB2521" s="126" t="s">
        <v>2710</v>
      </c>
      <c r="AC2521" s="126">
        <v>5.9</v>
      </c>
      <c r="AD2521" s="126">
        <v>0.88</v>
      </c>
      <c r="AF2521" s="126" t="s">
        <v>2709</v>
      </c>
      <c r="AG2521" s="126" t="s">
        <v>2712</v>
      </c>
      <c r="AH2521" s="126" t="s">
        <v>578</v>
      </c>
      <c r="AI2521" s="126" t="s">
        <v>1650</v>
      </c>
      <c r="AJ2521" s="126" t="s">
        <v>133</v>
      </c>
      <c r="AK2521" s="126" t="s">
        <v>178</v>
      </c>
      <c r="AL2521" s="126" t="s">
        <v>178</v>
      </c>
      <c r="AM2521" s="126" t="s">
        <v>178</v>
      </c>
      <c r="AQ2521" s="126" t="s">
        <v>2732</v>
      </c>
      <c r="AR2521" s="126" t="s">
        <v>2732</v>
      </c>
      <c r="AS2521" s="126" t="s">
        <v>178</v>
      </c>
      <c r="AT2521" s="126" t="s">
        <v>161</v>
      </c>
      <c r="AU2521" s="126">
        <v>3</v>
      </c>
      <c r="AV2521" s="126">
        <v>3</v>
      </c>
      <c r="AW2521" s="126" t="s">
        <v>2707</v>
      </c>
      <c r="BC2521" s="126">
        <v>3839</v>
      </c>
      <c r="BD2521" s="126">
        <v>4633</v>
      </c>
      <c r="BG2521" s="126" t="s">
        <v>2739</v>
      </c>
      <c r="BH2521" s="126">
        <v>3154</v>
      </c>
      <c r="BI2521" s="126">
        <v>4973</v>
      </c>
      <c r="BM2521" s="481"/>
      <c r="BN2521" s="481"/>
      <c r="BR2521" s="481">
        <v>0.72</v>
      </c>
      <c r="BS2521" s="481">
        <v>1.1200000000000001</v>
      </c>
      <c r="CB2521" s="126">
        <v>31</v>
      </c>
      <c r="CC2521" s="126">
        <v>29.7</v>
      </c>
      <c r="CF2521" s="126" t="s">
        <v>2738</v>
      </c>
      <c r="CG2521" s="126">
        <v>0.43</v>
      </c>
      <c r="CH2521" s="126">
        <v>0.78</v>
      </c>
      <c r="CL2521" s="126">
        <v>5.8</v>
      </c>
      <c r="CM2521" s="126">
        <v>6.1</v>
      </c>
      <c r="CQ2521" s="126">
        <f>1.4+3.6+0.43</f>
        <v>5.43</v>
      </c>
      <c r="CR2521" s="126">
        <f>CH2521+1.4+4.1</f>
        <v>6.2799999999999994</v>
      </c>
      <c r="CU2521" s="126" t="s">
        <v>2737</v>
      </c>
      <c r="IO2521" s="126" t="s">
        <v>2741</v>
      </c>
      <c r="IQ2521" s="480"/>
    </row>
    <row r="2522" spans="1:251" s="126" customFormat="1" x14ac:dyDescent="0.25">
      <c r="A2522" s="126">
        <v>119</v>
      </c>
      <c r="B2522" s="126" t="s">
        <v>2726</v>
      </c>
      <c r="C2522" s="126" t="s">
        <v>2727</v>
      </c>
      <c r="D2522" s="126">
        <v>2002</v>
      </c>
      <c r="E2522" s="126">
        <v>2007</v>
      </c>
      <c r="F2522" s="126" t="s">
        <v>2728</v>
      </c>
      <c r="G2522" s="126" t="s">
        <v>2708</v>
      </c>
      <c r="H2522" s="126" t="s">
        <v>2843</v>
      </c>
      <c r="I2522" s="126">
        <v>-15.5</v>
      </c>
      <c r="J2522" s="126">
        <v>35.25</v>
      </c>
      <c r="K2522" s="126">
        <v>1030</v>
      </c>
      <c r="N2522" s="126">
        <v>860</v>
      </c>
      <c r="O2522" s="126">
        <v>1024</v>
      </c>
      <c r="Q2522" s="478" t="s">
        <v>1940</v>
      </c>
      <c r="R2522" s="478" t="s">
        <v>1938</v>
      </c>
      <c r="S2522" s="478"/>
      <c r="T2522" s="478" t="s">
        <v>2740</v>
      </c>
      <c r="U2522" s="478" t="s">
        <v>1383</v>
      </c>
      <c r="V2522" s="478" t="s">
        <v>1722</v>
      </c>
      <c r="W2522" s="478" t="s">
        <v>1383</v>
      </c>
      <c r="X2522" s="478" t="s">
        <v>1383</v>
      </c>
      <c r="Z2522" s="479">
        <v>46</v>
      </c>
      <c r="AA2522" s="479">
        <v>8</v>
      </c>
      <c r="AB2522" s="126" t="s">
        <v>2710</v>
      </c>
      <c r="AC2522" s="126">
        <v>5.9</v>
      </c>
      <c r="AD2522" s="126">
        <v>0.88</v>
      </c>
      <c r="AF2522" s="126" t="s">
        <v>2709</v>
      </c>
      <c r="AG2522" s="126" t="s">
        <v>2712</v>
      </c>
      <c r="AH2522" s="126" t="s">
        <v>578</v>
      </c>
      <c r="AI2522" s="126" t="s">
        <v>1650</v>
      </c>
      <c r="AJ2522" s="126" t="s">
        <v>133</v>
      </c>
      <c r="AK2522" s="126" t="s">
        <v>178</v>
      </c>
      <c r="AL2522" s="126" t="s">
        <v>178</v>
      </c>
      <c r="AM2522" s="126" t="s">
        <v>178</v>
      </c>
      <c r="AQ2522" s="126" t="s">
        <v>2733</v>
      </c>
      <c r="AR2522" s="126" t="s">
        <v>2733</v>
      </c>
      <c r="AS2522" s="126" t="s">
        <v>178</v>
      </c>
      <c r="AT2522" s="126" t="s">
        <v>161</v>
      </c>
      <c r="AU2522" s="126">
        <v>3</v>
      </c>
      <c r="AV2522" s="126">
        <v>3</v>
      </c>
      <c r="AW2522" s="126" t="s">
        <v>2707</v>
      </c>
      <c r="BC2522" s="126">
        <v>3717</v>
      </c>
      <c r="BD2522" s="126">
        <v>5727</v>
      </c>
      <c r="BG2522" s="126" t="s">
        <v>2739</v>
      </c>
      <c r="BH2522" s="126">
        <v>3291</v>
      </c>
      <c r="BI2522" s="126">
        <v>5622</v>
      </c>
      <c r="BM2522" s="481"/>
      <c r="BN2522" s="481"/>
      <c r="BR2522" s="481">
        <v>0.7</v>
      </c>
      <c r="BS2522" s="481">
        <v>1.69</v>
      </c>
      <c r="CB2522" s="126">
        <v>37.799999999999997</v>
      </c>
      <c r="CC2522" s="126">
        <v>33.1</v>
      </c>
      <c r="CF2522" s="126" t="s">
        <v>2738</v>
      </c>
      <c r="CG2522" s="126">
        <v>0.36</v>
      </c>
      <c r="CH2522" s="126">
        <v>0.86</v>
      </c>
      <c r="CL2522" s="126">
        <v>6</v>
      </c>
      <c r="CM2522" s="126">
        <v>6.3</v>
      </c>
      <c r="CQ2522" s="126">
        <f>1.4+3.7+0.36</f>
        <v>5.46</v>
      </c>
      <c r="CR2522" s="126">
        <f t="shared" si="321"/>
        <v>6.16</v>
      </c>
      <c r="CU2522" s="126" t="s">
        <v>2737</v>
      </c>
      <c r="IO2522" s="126" t="s">
        <v>2741</v>
      </c>
      <c r="IQ2522" s="480"/>
    </row>
    <row r="2523" spans="1:251" s="126" customFormat="1" x14ac:dyDescent="0.25">
      <c r="A2523" s="126">
        <v>119</v>
      </c>
      <c r="B2523" s="126" t="s">
        <v>2726</v>
      </c>
      <c r="C2523" s="126" t="s">
        <v>2727</v>
      </c>
      <c r="D2523" s="126">
        <v>2002</v>
      </c>
      <c r="E2523" s="126">
        <v>2007</v>
      </c>
      <c r="F2523" s="126" t="s">
        <v>2728</v>
      </c>
      <c r="G2523" s="126" t="s">
        <v>2708</v>
      </c>
      <c r="H2523" s="126" t="s">
        <v>2843</v>
      </c>
      <c r="I2523" s="126">
        <v>-15.5</v>
      </c>
      <c r="J2523" s="126">
        <v>35.25</v>
      </c>
      <c r="K2523" s="126">
        <v>1030</v>
      </c>
      <c r="N2523" s="126">
        <v>860</v>
      </c>
      <c r="O2523" s="126">
        <v>1024</v>
      </c>
      <c r="Q2523" s="478" t="s">
        <v>1940</v>
      </c>
      <c r="R2523" s="478" t="s">
        <v>1938</v>
      </c>
      <c r="S2523" s="478"/>
      <c r="T2523" s="478" t="s">
        <v>2740</v>
      </c>
      <c r="U2523" s="478" t="s">
        <v>1383</v>
      </c>
      <c r="V2523" s="478" t="s">
        <v>1722</v>
      </c>
      <c r="W2523" s="478" t="s">
        <v>1383</v>
      </c>
      <c r="X2523" s="478" t="s">
        <v>1383</v>
      </c>
      <c r="Z2523" s="479">
        <v>46</v>
      </c>
      <c r="AA2523" s="479">
        <v>8</v>
      </c>
      <c r="AB2523" s="126" t="s">
        <v>2710</v>
      </c>
      <c r="AC2523" s="126">
        <v>5.9</v>
      </c>
      <c r="AD2523" s="126">
        <v>0.88</v>
      </c>
      <c r="AF2523" s="126" t="s">
        <v>2709</v>
      </c>
      <c r="AG2523" s="126" t="s">
        <v>2712</v>
      </c>
      <c r="AH2523" s="126" t="s">
        <v>578</v>
      </c>
      <c r="AI2523" s="126" t="s">
        <v>1650</v>
      </c>
      <c r="AJ2523" s="126" t="s">
        <v>133</v>
      </c>
      <c r="AK2523" s="126" t="s">
        <v>178</v>
      </c>
      <c r="AL2523" s="126" t="s">
        <v>178</v>
      </c>
      <c r="AM2523" s="126" t="s">
        <v>178</v>
      </c>
      <c r="AQ2523" s="126" t="s">
        <v>2734</v>
      </c>
      <c r="AR2523" s="126" t="s">
        <v>2734</v>
      </c>
      <c r="AS2523" s="126" t="s">
        <v>178</v>
      </c>
      <c r="AT2523" s="126" t="s">
        <v>161</v>
      </c>
      <c r="AU2523" s="126">
        <v>3</v>
      </c>
      <c r="AV2523" s="126">
        <v>3</v>
      </c>
      <c r="AW2523" s="126" t="s">
        <v>2707</v>
      </c>
      <c r="BC2523" s="126">
        <v>3117</v>
      </c>
      <c r="BD2523" s="126">
        <v>4862</v>
      </c>
      <c r="BG2523" s="126" t="s">
        <v>2739</v>
      </c>
      <c r="BH2523" s="126">
        <v>2903</v>
      </c>
      <c r="BI2523" s="126">
        <v>4919</v>
      </c>
      <c r="BM2523" s="481"/>
      <c r="BN2523" s="481"/>
      <c r="BR2523" s="481">
        <v>0.82</v>
      </c>
      <c r="BS2523" s="481">
        <v>1</v>
      </c>
      <c r="CB2523" s="126">
        <v>24.6</v>
      </c>
      <c r="CC2523" s="126">
        <v>25.9</v>
      </c>
      <c r="CF2523" s="126" t="s">
        <v>2738</v>
      </c>
      <c r="CG2523" s="126">
        <v>0.36</v>
      </c>
      <c r="CH2523" s="126">
        <v>0.81</v>
      </c>
      <c r="CL2523" s="126">
        <v>5.7</v>
      </c>
      <c r="CM2523" s="126">
        <v>6.1</v>
      </c>
      <c r="CQ2523" s="126">
        <f>1.4+3.4+0.36</f>
        <v>5.16</v>
      </c>
      <c r="CR2523" s="126">
        <f>CH2523+1.3+3.8</f>
        <v>5.91</v>
      </c>
      <c r="CU2523" s="126" t="s">
        <v>2737</v>
      </c>
      <c r="IO2523" s="126" t="s">
        <v>2741</v>
      </c>
      <c r="IQ2523" s="480"/>
    </row>
    <row r="2524" spans="1:251" s="126" customFormat="1" x14ac:dyDescent="0.25">
      <c r="A2524" s="126">
        <v>119</v>
      </c>
      <c r="B2524" s="126" t="s">
        <v>2726</v>
      </c>
      <c r="C2524" s="126" t="s">
        <v>2727</v>
      </c>
      <c r="D2524" s="126">
        <v>2002</v>
      </c>
      <c r="E2524" s="126">
        <v>2007</v>
      </c>
      <c r="F2524" s="126" t="s">
        <v>2728</v>
      </c>
      <c r="G2524" s="126" t="s">
        <v>2708</v>
      </c>
      <c r="H2524" s="126" t="s">
        <v>2843</v>
      </c>
      <c r="I2524" s="126">
        <v>-15.5</v>
      </c>
      <c r="J2524" s="126">
        <v>35.25</v>
      </c>
      <c r="K2524" s="126">
        <v>1030</v>
      </c>
      <c r="N2524" s="126">
        <v>860</v>
      </c>
      <c r="O2524" s="126">
        <v>1024</v>
      </c>
      <c r="Q2524" s="478" t="s">
        <v>1940</v>
      </c>
      <c r="R2524" s="478" t="s">
        <v>1938</v>
      </c>
      <c r="S2524" s="478"/>
      <c r="T2524" s="478" t="s">
        <v>2740</v>
      </c>
      <c r="U2524" s="478" t="s">
        <v>1383</v>
      </c>
      <c r="V2524" s="478" t="s">
        <v>1722</v>
      </c>
      <c r="W2524" s="478" t="s">
        <v>1383</v>
      </c>
      <c r="X2524" s="478" t="s">
        <v>1383</v>
      </c>
      <c r="Z2524" s="479">
        <v>46</v>
      </c>
      <c r="AA2524" s="479">
        <v>8</v>
      </c>
      <c r="AB2524" s="126" t="s">
        <v>2710</v>
      </c>
      <c r="AC2524" s="126">
        <v>5.9</v>
      </c>
      <c r="AD2524" s="126">
        <v>0.88</v>
      </c>
      <c r="AF2524" s="126" t="s">
        <v>2709</v>
      </c>
      <c r="AG2524" s="126" t="s">
        <v>2712</v>
      </c>
      <c r="AH2524" s="126" t="s">
        <v>578</v>
      </c>
      <c r="AI2524" s="126" t="s">
        <v>1650</v>
      </c>
      <c r="AJ2524" s="126" t="s">
        <v>133</v>
      </c>
      <c r="AK2524" s="126" t="s">
        <v>178</v>
      </c>
      <c r="AL2524" s="126" t="s">
        <v>178</v>
      </c>
      <c r="AM2524" s="126" t="s">
        <v>178</v>
      </c>
      <c r="AQ2524" s="126" t="s">
        <v>2735</v>
      </c>
      <c r="AR2524" s="126" t="s">
        <v>2735</v>
      </c>
      <c r="AS2524" s="126" t="s">
        <v>178</v>
      </c>
      <c r="AT2524" s="126" t="s">
        <v>161</v>
      </c>
      <c r="AU2524" s="126">
        <v>3</v>
      </c>
      <c r="AV2524" s="126">
        <v>3</v>
      </c>
      <c r="AW2524" s="126" t="s">
        <v>2707</v>
      </c>
      <c r="BC2524" s="126">
        <v>3664</v>
      </c>
      <c r="BD2524" s="126">
        <v>6018</v>
      </c>
      <c r="BG2524" s="126" t="s">
        <v>2739</v>
      </c>
      <c r="BH2524" s="126">
        <v>3396</v>
      </c>
      <c r="BI2524" s="126">
        <v>4973</v>
      </c>
      <c r="BM2524" s="481"/>
      <c r="BN2524" s="481"/>
      <c r="BR2524" s="481">
        <v>0.55000000000000004</v>
      </c>
      <c r="BS2524" s="481">
        <v>1.01</v>
      </c>
      <c r="CB2524" s="126">
        <v>35.799999999999997</v>
      </c>
      <c r="CC2524" s="126">
        <v>28.7</v>
      </c>
      <c r="CF2524" s="126" t="s">
        <v>2738</v>
      </c>
      <c r="CG2524" s="126">
        <v>0.28000000000000003</v>
      </c>
      <c r="CH2524" s="126">
        <v>0.77</v>
      </c>
      <c r="CL2524" s="126">
        <v>5.7</v>
      </c>
      <c r="CM2524" s="126">
        <v>5.9</v>
      </c>
      <c r="CQ2524" s="126">
        <f>1.3+3.1+0.28</f>
        <v>4.6800000000000006</v>
      </c>
      <c r="CR2524" s="126">
        <f>CH2524+1.4+3.7</f>
        <v>5.87</v>
      </c>
      <c r="CU2524" s="126" t="s">
        <v>2737</v>
      </c>
      <c r="IO2524" s="126" t="s">
        <v>2741</v>
      </c>
      <c r="IQ2524" s="480"/>
    </row>
    <row r="2525" spans="1:251" s="126" customFormat="1" x14ac:dyDescent="0.25">
      <c r="A2525" s="126">
        <v>119</v>
      </c>
      <c r="B2525" s="126" t="s">
        <v>2726</v>
      </c>
      <c r="C2525" s="126" t="s">
        <v>2727</v>
      </c>
      <c r="D2525" s="126">
        <v>2002</v>
      </c>
      <c r="E2525" s="126">
        <v>2007</v>
      </c>
      <c r="F2525" s="126" t="s">
        <v>2728</v>
      </c>
      <c r="G2525" s="126" t="s">
        <v>2708</v>
      </c>
      <c r="H2525" s="126" t="s">
        <v>2843</v>
      </c>
      <c r="I2525" s="126">
        <v>-15.5</v>
      </c>
      <c r="J2525" s="126">
        <v>35.25</v>
      </c>
      <c r="K2525" s="126">
        <v>1030</v>
      </c>
      <c r="N2525" s="126">
        <v>860</v>
      </c>
      <c r="O2525" s="126">
        <v>1024</v>
      </c>
      <c r="Q2525" s="478" t="s">
        <v>1940</v>
      </c>
      <c r="R2525" s="478" t="s">
        <v>1938</v>
      </c>
      <c r="S2525" s="478"/>
      <c r="T2525" s="478" t="s">
        <v>2740</v>
      </c>
      <c r="U2525" s="478" t="s">
        <v>1383</v>
      </c>
      <c r="V2525" s="478" t="s">
        <v>1722</v>
      </c>
      <c r="W2525" s="478" t="s">
        <v>1383</v>
      </c>
      <c r="X2525" s="478" t="s">
        <v>1383</v>
      </c>
      <c r="Z2525" s="479">
        <v>46</v>
      </c>
      <c r="AA2525" s="479">
        <v>8</v>
      </c>
      <c r="AB2525" s="126" t="s">
        <v>2710</v>
      </c>
      <c r="AC2525" s="126">
        <v>5.9</v>
      </c>
      <c r="AD2525" s="126">
        <v>0.88</v>
      </c>
      <c r="AF2525" s="126" t="s">
        <v>2709</v>
      </c>
      <c r="AG2525" s="126" t="s">
        <v>2712</v>
      </c>
      <c r="AH2525" s="126" t="s">
        <v>578</v>
      </c>
      <c r="AI2525" s="126" t="s">
        <v>1650</v>
      </c>
      <c r="AJ2525" s="126" t="s">
        <v>133</v>
      </c>
      <c r="AK2525" s="126" t="s">
        <v>178</v>
      </c>
      <c r="AL2525" s="126" t="s">
        <v>178</v>
      </c>
      <c r="AM2525" s="126" t="s">
        <v>178</v>
      </c>
      <c r="AQ2525" s="126" t="s">
        <v>2736</v>
      </c>
      <c r="AR2525" s="126" t="s">
        <v>2736</v>
      </c>
      <c r="AS2525" s="126" t="s">
        <v>178</v>
      </c>
      <c r="AT2525" s="126" t="s">
        <v>161</v>
      </c>
      <c r="AU2525" s="126">
        <v>3</v>
      </c>
      <c r="AV2525" s="126">
        <v>3</v>
      </c>
      <c r="AW2525" s="126" t="s">
        <v>2707</v>
      </c>
      <c r="BC2525" s="126">
        <v>2894</v>
      </c>
      <c r="BD2525" s="126">
        <v>5653</v>
      </c>
      <c r="BG2525" s="126" t="s">
        <v>2739</v>
      </c>
      <c r="BH2525" s="126">
        <v>3491</v>
      </c>
      <c r="BI2525" s="126">
        <v>5622</v>
      </c>
      <c r="BM2525" s="481"/>
      <c r="BN2525" s="481"/>
      <c r="BR2525" s="481">
        <v>0.79</v>
      </c>
      <c r="BS2525" s="481">
        <v>1.1599999999999999</v>
      </c>
      <c r="CB2525" s="126">
        <v>37.200000000000003</v>
      </c>
      <c r="CC2525" s="126">
        <v>30.8</v>
      </c>
      <c r="CF2525" s="126" t="s">
        <v>2738</v>
      </c>
      <c r="CG2525" s="126">
        <v>0.28000000000000003</v>
      </c>
      <c r="CH2525" s="126">
        <v>0.55000000000000004</v>
      </c>
      <c r="CL2525" s="126">
        <v>5.9</v>
      </c>
      <c r="CM2525" s="126">
        <v>5.9</v>
      </c>
      <c r="CQ2525" s="126">
        <f>1.3+3.2+0.28</f>
        <v>4.78</v>
      </c>
      <c r="CR2525" s="126">
        <f>CH2525+1.4+3.7</f>
        <v>5.65</v>
      </c>
      <c r="CU2525" s="126" t="s">
        <v>2737</v>
      </c>
      <c r="IO2525" s="126" t="s">
        <v>2741</v>
      </c>
      <c r="IQ2525" s="480"/>
    </row>
    <row r="2526" spans="1:251" s="36" customFormat="1" x14ac:dyDescent="0.25">
      <c r="A2526" s="36">
        <v>119</v>
      </c>
      <c r="B2526" s="36" t="s">
        <v>2726</v>
      </c>
      <c r="C2526" s="36" t="s">
        <v>2727</v>
      </c>
      <c r="D2526" s="36">
        <v>2003</v>
      </c>
      <c r="E2526" s="36">
        <v>2007</v>
      </c>
      <c r="F2526" s="36" t="s">
        <v>2728</v>
      </c>
      <c r="G2526" s="36" t="s">
        <v>2708</v>
      </c>
      <c r="H2526" s="126" t="s">
        <v>2843</v>
      </c>
      <c r="I2526" s="36">
        <v>-15.5</v>
      </c>
      <c r="J2526" s="36">
        <v>35.25</v>
      </c>
      <c r="K2526" s="36">
        <v>1030</v>
      </c>
      <c r="N2526" s="36">
        <v>1400</v>
      </c>
      <c r="O2526" s="36">
        <v>1024</v>
      </c>
      <c r="Q2526" s="51" t="s">
        <v>1926</v>
      </c>
      <c r="R2526" s="51" t="s">
        <v>1938</v>
      </c>
      <c r="S2526" s="51"/>
      <c r="T2526" s="51" t="s">
        <v>2740</v>
      </c>
      <c r="U2526" s="51" t="s">
        <v>1383</v>
      </c>
      <c r="V2526" s="51" t="s">
        <v>1722</v>
      </c>
      <c r="W2526" s="51" t="s">
        <v>1383</v>
      </c>
      <c r="X2526" s="51" t="s">
        <v>1383</v>
      </c>
      <c r="Z2526" s="331">
        <v>46</v>
      </c>
      <c r="AA2526" s="331">
        <v>8</v>
      </c>
      <c r="AB2526" s="36" t="s">
        <v>2710</v>
      </c>
      <c r="AC2526" s="36">
        <v>5.9</v>
      </c>
      <c r="AD2526" s="36">
        <v>0.88</v>
      </c>
      <c r="AF2526" s="36" t="s">
        <v>2709</v>
      </c>
      <c r="AG2526" s="36" t="s">
        <v>2712</v>
      </c>
      <c r="AH2526" s="36" t="s">
        <v>578</v>
      </c>
      <c r="AI2526" s="36" t="s">
        <v>1650</v>
      </c>
      <c r="AJ2526" s="36" t="s">
        <v>133</v>
      </c>
      <c r="AK2526" s="36" t="s">
        <v>178</v>
      </c>
      <c r="AL2526" s="36" t="s">
        <v>178</v>
      </c>
      <c r="AM2526" s="36" t="s">
        <v>178</v>
      </c>
      <c r="AQ2526" s="36" t="s">
        <v>2717</v>
      </c>
      <c r="AR2526" s="36" t="s">
        <v>2717</v>
      </c>
      <c r="AS2526" s="36" t="s">
        <v>178</v>
      </c>
      <c r="AT2526" s="36" t="s">
        <v>161</v>
      </c>
      <c r="AU2526" s="36">
        <v>3</v>
      </c>
      <c r="AV2526" s="36">
        <v>3</v>
      </c>
      <c r="AW2526" s="36" t="s">
        <v>2707</v>
      </c>
      <c r="BC2526" s="36">
        <v>1745</v>
      </c>
      <c r="BD2526" s="36">
        <v>4729</v>
      </c>
      <c r="BG2526" s="36" t="s">
        <v>2739</v>
      </c>
      <c r="BH2526" s="36">
        <v>1230</v>
      </c>
      <c r="BI2526" s="36">
        <v>4419</v>
      </c>
      <c r="BM2526" s="407"/>
      <c r="BN2526" s="407"/>
      <c r="BR2526" s="407"/>
      <c r="BS2526" s="407"/>
      <c r="IO2526" s="36" t="s">
        <v>2741</v>
      </c>
      <c r="IQ2526" s="230"/>
    </row>
    <row r="2527" spans="1:251" s="36" customFormat="1" x14ac:dyDescent="0.25">
      <c r="A2527" s="36">
        <v>119</v>
      </c>
      <c r="B2527" s="36" t="s">
        <v>2726</v>
      </c>
      <c r="C2527" s="36" t="s">
        <v>2727</v>
      </c>
      <c r="D2527" s="36">
        <v>2003</v>
      </c>
      <c r="E2527" s="36">
        <v>2007</v>
      </c>
      <c r="F2527" s="36" t="s">
        <v>2728</v>
      </c>
      <c r="G2527" s="36" t="s">
        <v>2708</v>
      </c>
      <c r="H2527" s="126" t="s">
        <v>2843</v>
      </c>
      <c r="I2527" s="36">
        <v>-15.5</v>
      </c>
      <c r="J2527" s="36">
        <v>35.25</v>
      </c>
      <c r="K2527" s="36">
        <v>1030</v>
      </c>
      <c r="N2527" s="36">
        <v>1400</v>
      </c>
      <c r="O2527" s="36">
        <v>1024</v>
      </c>
      <c r="Q2527" s="51" t="s">
        <v>1926</v>
      </c>
      <c r="R2527" s="51" t="s">
        <v>1938</v>
      </c>
      <c r="S2527" s="51"/>
      <c r="T2527" s="51" t="s">
        <v>2740</v>
      </c>
      <c r="U2527" s="51" t="s">
        <v>1383</v>
      </c>
      <c r="V2527" s="51" t="s">
        <v>1722</v>
      </c>
      <c r="W2527" s="51" t="s">
        <v>1383</v>
      </c>
      <c r="X2527" s="51" t="s">
        <v>1383</v>
      </c>
      <c r="Z2527" s="331">
        <v>46</v>
      </c>
      <c r="AA2527" s="331">
        <v>8</v>
      </c>
      <c r="AB2527" s="36" t="s">
        <v>2710</v>
      </c>
      <c r="AC2527" s="36">
        <v>5.9</v>
      </c>
      <c r="AD2527" s="36">
        <v>0.88</v>
      </c>
      <c r="AF2527" s="36" t="s">
        <v>2709</v>
      </c>
      <c r="AG2527" s="36" t="s">
        <v>2712</v>
      </c>
      <c r="AH2527" s="36" t="s">
        <v>578</v>
      </c>
      <c r="AI2527" s="36" t="s">
        <v>1650</v>
      </c>
      <c r="AJ2527" s="36" t="s">
        <v>133</v>
      </c>
      <c r="AK2527" s="36" t="s">
        <v>178</v>
      </c>
      <c r="AL2527" s="36" t="s">
        <v>178</v>
      </c>
      <c r="AM2527" s="36" t="s">
        <v>178</v>
      </c>
      <c r="AQ2527" s="36" t="s">
        <v>2729</v>
      </c>
      <c r="AR2527" s="36" t="s">
        <v>2729</v>
      </c>
      <c r="AS2527" s="36" t="s">
        <v>178</v>
      </c>
      <c r="AT2527" s="36" t="s">
        <v>161</v>
      </c>
      <c r="AU2527" s="36">
        <v>3</v>
      </c>
      <c r="AV2527" s="36">
        <v>3</v>
      </c>
      <c r="AW2527" s="36" t="s">
        <v>2707</v>
      </c>
      <c r="BC2527" s="36">
        <v>1562</v>
      </c>
      <c r="BD2527" s="36">
        <v>3716</v>
      </c>
      <c r="BG2527" s="36" t="s">
        <v>2739</v>
      </c>
      <c r="BH2527" s="36">
        <v>1025</v>
      </c>
      <c r="BI2527" s="36">
        <v>3392</v>
      </c>
      <c r="BM2527" s="407"/>
      <c r="BN2527" s="407"/>
      <c r="BR2527" s="407"/>
      <c r="BS2527" s="407"/>
      <c r="IO2527" s="36" t="s">
        <v>2741</v>
      </c>
      <c r="IQ2527" s="230"/>
    </row>
    <row r="2528" spans="1:251" s="36" customFormat="1" x14ac:dyDescent="0.25">
      <c r="A2528" s="36">
        <v>119</v>
      </c>
      <c r="B2528" s="36" t="s">
        <v>2726</v>
      </c>
      <c r="C2528" s="36" t="s">
        <v>2727</v>
      </c>
      <c r="D2528" s="36">
        <v>2003</v>
      </c>
      <c r="E2528" s="36">
        <v>2007</v>
      </c>
      <c r="F2528" s="36" t="s">
        <v>2728</v>
      </c>
      <c r="G2528" s="36" t="s">
        <v>2708</v>
      </c>
      <c r="H2528" s="126" t="s">
        <v>2843</v>
      </c>
      <c r="I2528" s="36">
        <v>-15.5</v>
      </c>
      <c r="J2528" s="36">
        <v>35.25</v>
      </c>
      <c r="K2528" s="36">
        <v>1030</v>
      </c>
      <c r="N2528" s="36">
        <v>1400</v>
      </c>
      <c r="O2528" s="36">
        <v>1024</v>
      </c>
      <c r="Q2528" s="51" t="s">
        <v>1926</v>
      </c>
      <c r="R2528" s="51" t="s">
        <v>1938</v>
      </c>
      <c r="S2528" s="51"/>
      <c r="T2528" s="51" t="s">
        <v>2740</v>
      </c>
      <c r="U2528" s="51" t="s">
        <v>1383</v>
      </c>
      <c r="V2528" s="51" t="s">
        <v>1722</v>
      </c>
      <c r="W2528" s="51" t="s">
        <v>1383</v>
      </c>
      <c r="X2528" s="51" t="s">
        <v>1383</v>
      </c>
      <c r="Z2528" s="331">
        <v>46</v>
      </c>
      <c r="AA2528" s="331">
        <v>8</v>
      </c>
      <c r="AB2528" s="36" t="s">
        <v>2710</v>
      </c>
      <c r="AC2528" s="36">
        <v>5.9</v>
      </c>
      <c r="AD2528" s="36">
        <v>0.88</v>
      </c>
      <c r="AF2528" s="36" t="s">
        <v>2709</v>
      </c>
      <c r="AG2528" s="36" t="s">
        <v>2712</v>
      </c>
      <c r="AH2528" s="36" t="s">
        <v>578</v>
      </c>
      <c r="AI2528" s="36" t="s">
        <v>1650</v>
      </c>
      <c r="AJ2528" s="36" t="s">
        <v>133</v>
      </c>
      <c r="AK2528" s="36" t="s">
        <v>178</v>
      </c>
      <c r="AL2528" s="36" t="s">
        <v>178</v>
      </c>
      <c r="AM2528" s="36" t="s">
        <v>178</v>
      </c>
      <c r="AQ2528" s="36" t="s">
        <v>2730</v>
      </c>
      <c r="AR2528" s="36" t="s">
        <v>2730</v>
      </c>
      <c r="AS2528" s="36" t="s">
        <v>178</v>
      </c>
      <c r="AT2528" s="36" t="s">
        <v>161</v>
      </c>
      <c r="AU2528" s="36">
        <v>3</v>
      </c>
      <c r="AV2528" s="36">
        <v>3</v>
      </c>
      <c r="AW2528" s="36" t="s">
        <v>2707</v>
      </c>
      <c r="BC2528" s="36">
        <v>1563</v>
      </c>
      <c r="BD2528" s="36">
        <v>5135</v>
      </c>
      <c r="BG2528" s="36" t="s">
        <v>2739</v>
      </c>
      <c r="BH2528" s="36">
        <v>1038</v>
      </c>
      <c r="BI2528" s="36">
        <v>4000</v>
      </c>
      <c r="BM2528" s="407"/>
      <c r="BN2528" s="407"/>
      <c r="BR2528" s="407"/>
      <c r="BS2528" s="407"/>
      <c r="IO2528" s="36" t="s">
        <v>2741</v>
      </c>
      <c r="IQ2528" s="230"/>
    </row>
    <row r="2529" spans="1:251" s="36" customFormat="1" x14ac:dyDescent="0.25">
      <c r="A2529" s="36">
        <v>119</v>
      </c>
      <c r="B2529" s="36" t="s">
        <v>2726</v>
      </c>
      <c r="C2529" s="36" t="s">
        <v>2727</v>
      </c>
      <c r="D2529" s="36">
        <v>2003</v>
      </c>
      <c r="E2529" s="36">
        <v>2007</v>
      </c>
      <c r="F2529" s="36" t="s">
        <v>2728</v>
      </c>
      <c r="G2529" s="36" t="s">
        <v>2708</v>
      </c>
      <c r="H2529" s="126" t="s">
        <v>2843</v>
      </c>
      <c r="I2529" s="36">
        <v>-15.5</v>
      </c>
      <c r="J2529" s="36">
        <v>35.25</v>
      </c>
      <c r="K2529" s="36">
        <v>1030</v>
      </c>
      <c r="N2529" s="36">
        <v>1400</v>
      </c>
      <c r="O2529" s="36">
        <v>1024</v>
      </c>
      <c r="Q2529" s="51" t="s">
        <v>1926</v>
      </c>
      <c r="R2529" s="51" t="s">
        <v>1938</v>
      </c>
      <c r="S2529" s="51"/>
      <c r="T2529" s="51" t="s">
        <v>2740</v>
      </c>
      <c r="U2529" s="51" t="s">
        <v>1383</v>
      </c>
      <c r="V2529" s="51" t="s">
        <v>1722</v>
      </c>
      <c r="W2529" s="51" t="s">
        <v>1383</v>
      </c>
      <c r="X2529" s="51" t="s">
        <v>1383</v>
      </c>
      <c r="Z2529" s="331">
        <v>46</v>
      </c>
      <c r="AA2529" s="331">
        <v>8</v>
      </c>
      <c r="AB2529" s="36" t="s">
        <v>2710</v>
      </c>
      <c r="AC2529" s="36">
        <v>5.9</v>
      </c>
      <c r="AD2529" s="36">
        <v>0.88</v>
      </c>
      <c r="AF2529" s="36" t="s">
        <v>2709</v>
      </c>
      <c r="AG2529" s="36" t="s">
        <v>2712</v>
      </c>
      <c r="AH2529" s="36" t="s">
        <v>578</v>
      </c>
      <c r="AI2529" s="36" t="s">
        <v>1650</v>
      </c>
      <c r="AJ2529" s="36" t="s">
        <v>133</v>
      </c>
      <c r="AK2529" s="36" t="s">
        <v>178</v>
      </c>
      <c r="AL2529" s="36" t="s">
        <v>178</v>
      </c>
      <c r="AM2529" s="36" t="s">
        <v>178</v>
      </c>
      <c r="AQ2529" s="36" t="s">
        <v>2731</v>
      </c>
      <c r="AR2529" s="36" t="s">
        <v>2731</v>
      </c>
      <c r="AS2529" s="36" t="s">
        <v>178</v>
      </c>
      <c r="AT2529" s="36" t="s">
        <v>161</v>
      </c>
      <c r="AU2529" s="36">
        <v>3</v>
      </c>
      <c r="AV2529" s="36">
        <v>3</v>
      </c>
      <c r="AW2529" s="36" t="s">
        <v>2707</v>
      </c>
      <c r="BC2529" s="36">
        <v>1813</v>
      </c>
      <c r="BD2529" s="36">
        <v>4249</v>
      </c>
      <c r="BG2529" s="36" t="s">
        <v>2739</v>
      </c>
      <c r="BH2529" s="36">
        <v>2004</v>
      </c>
      <c r="BI2529" s="36">
        <v>3973</v>
      </c>
      <c r="BM2529" s="407"/>
      <c r="BN2529" s="407"/>
      <c r="BR2529" s="407"/>
      <c r="BS2529" s="407"/>
      <c r="IO2529" s="36" t="s">
        <v>2741</v>
      </c>
      <c r="IQ2529" s="230"/>
    </row>
    <row r="2530" spans="1:251" s="36" customFormat="1" x14ac:dyDescent="0.25">
      <c r="A2530" s="36">
        <v>119</v>
      </c>
      <c r="B2530" s="36" t="s">
        <v>2726</v>
      </c>
      <c r="C2530" s="36" t="s">
        <v>2727</v>
      </c>
      <c r="D2530" s="36">
        <v>2003</v>
      </c>
      <c r="E2530" s="36">
        <v>2007</v>
      </c>
      <c r="F2530" s="36" t="s">
        <v>2728</v>
      </c>
      <c r="G2530" s="36" t="s">
        <v>2708</v>
      </c>
      <c r="H2530" s="126" t="s">
        <v>2843</v>
      </c>
      <c r="I2530" s="36">
        <v>-15.5</v>
      </c>
      <c r="J2530" s="36">
        <v>35.25</v>
      </c>
      <c r="K2530" s="36">
        <v>1030</v>
      </c>
      <c r="N2530" s="36">
        <v>1400</v>
      </c>
      <c r="O2530" s="36">
        <v>1024</v>
      </c>
      <c r="Q2530" s="51" t="s">
        <v>1926</v>
      </c>
      <c r="R2530" s="51" t="s">
        <v>1938</v>
      </c>
      <c r="S2530" s="51"/>
      <c r="T2530" s="51" t="s">
        <v>2740</v>
      </c>
      <c r="U2530" s="51" t="s">
        <v>1383</v>
      </c>
      <c r="V2530" s="51" t="s">
        <v>1722</v>
      </c>
      <c r="W2530" s="51" t="s">
        <v>1383</v>
      </c>
      <c r="X2530" s="51" t="s">
        <v>1383</v>
      </c>
      <c r="Z2530" s="331">
        <v>46</v>
      </c>
      <c r="AA2530" s="331">
        <v>8</v>
      </c>
      <c r="AB2530" s="36" t="s">
        <v>2710</v>
      </c>
      <c r="AC2530" s="36">
        <v>5.9</v>
      </c>
      <c r="AD2530" s="36">
        <v>0.88</v>
      </c>
      <c r="AF2530" s="36" t="s">
        <v>2709</v>
      </c>
      <c r="AG2530" s="36" t="s">
        <v>2712</v>
      </c>
      <c r="AH2530" s="36" t="s">
        <v>578</v>
      </c>
      <c r="AI2530" s="36" t="s">
        <v>1650</v>
      </c>
      <c r="AJ2530" s="36" t="s">
        <v>133</v>
      </c>
      <c r="AK2530" s="36" t="s">
        <v>178</v>
      </c>
      <c r="AL2530" s="36" t="s">
        <v>178</v>
      </c>
      <c r="AM2530" s="36" t="s">
        <v>178</v>
      </c>
      <c r="AQ2530" s="36" t="s">
        <v>2732</v>
      </c>
      <c r="AR2530" s="36" t="s">
        <v>2732</v>
      </c>
      <c r="AS2530" s="36" t="s">
        <v>178</v>
      </c>
      <c r="AT2530" s="36" t="s">
        <v>161</v>
      </c>
      <c r="AU2530" s="36">
        <v>3</v>
      </c>
      <c r="AV2530" s="36">
        <v>3</v>
      </c>
      <c r="AW2530" s="36" t="s">
        <v>2707</v>
      </c>
      <c r="BC2530" s="36">
        <v>2726</v>
      </c>
      <c r="BD2530" s="36">
        <v>4655</v>
      </c>
      <c r="BG2530" s="36" t="s">
        <v>2739</v>
      </c>
      <c r="BH2530" s="36">
        <v>3358</v>
      </c>
      <c r="BI2530" s="36">
        <v>4365</v>
      </c>
      <c r="BM2530" s="407"/>
      <c r="BN2530" s="407"/>
      <c r="BR2530" s="407"/>
      <c r="BS2530" s="407"/>
      <c r="IO2530" s="36" t="s">
        <v>2741</v>
      </c>
      <c r="IQ2530" s="230"/>
    </row>
    <row r="2531" spans="1:251" s="36" customFormat="1" x14ac:dyDescent="0.25">
      <c r="A2531" s="36">
        <v>119</v>
      </c>
      <c r="B2531" s="36" t="s">
        <v>2726</v>
      </c>
      <c r="C2531" s="36" t="s">
        <v>2727</v>
      </c>
      <c r="D2531" s="36">
        <v>2003</v>
      </c>
      <c r="E2531" s="36">
        <v>2007</v>
      </c>
      <c r="F2531" s="36" t="s">
        <v>2728</v>
      </c>
      <c r="G2531" s="36" t="s">
        <v>2708</v>
      </c>
      <c r="H2531" s="126" t="s">
        <v>2843</v>
      </c>
      <c r="I2531" s="36">
        <v>-15.5</v>
      </c>
      <c r="J2531" s="36">
        <v>35.25</v>
      </c>
      <c r="K2531" s="36">
        <v>1030</v>
      </c>
      <c r="N2531" s="36">
        <v>1400</v>
      </c>
      <c r="O2531" s="36">
        <v>1024</v>
      </c>
      <c r="Q2531" s="51" t="s">
        <v>1926</v>
      </c>
      <c r="R2531" s="51" t="s">
        <v>1938</v>
      </c>
      <c r="S2531" s="51"/>
      <c r="T2531" s="51" t="s">
        <v>2740</v>
      </c>
      <c r="U2531" s="51" t="s">
        <v>1383</v>
      </c>
      <c r="V2531" s="51" t="s">
        <v>1722</v>
      </c>
      <c r="W2531" s="51" t="s">
        <v>1383</v>
      </c>
      <c r="X2531" s="51" t="s">
        <v>1383</v>
      </c>
      <c r="Z2531" s="331">
        <v>46</v>
      </c>
      <c r="AA2531" s="331">
        <v>8</v>
      </c>
      <c r="AB2531" s="36" t="s">
        <v>2710</v>
      </c>
      <c r="AC2531" s="36">
        <v>5.9</v>
      </c>
      <c r="AD2531" s="36">
        <v>0.88</v>
      </c>
      <c r="AF2531" s="36" t="s">
        <v>2709</v>
      </c>
      <c r="AG2531" s="36" t="s">
        <v>2712</v>
      </c>
      <c r="AH2531" s="36" t="s">
        <v>578</v>
      </c>
      <c r="AI2531" s="36" t="s">
        <v>1650</v>
      </c>
      <c r="AJ2531" s="36" t="s">
        <v>133</v>
      </c>
      <c r="AK2531" s="36" t="s">
        <v>178</v>
      </c>
      <c r="AL2531" s="36" t="s">
        <v>178</v>
      </c>
      <c r="AM2531" s="36" t="s">
        <v>178</v>
      </c>
      <c r="AQ2531" s="36" t="s">
        <v>2733</v>
      </c>
      <c r="AR2531" s="36" t="s">
        <v>2733</v>
      </c>
      <c r="AS2531" s="36" t="s">
        <v>178</v>
      </c>
      <c r="AT2531" s="36" t="s">
        <v>161</v>
      </c>
      <c r="AU2531" s="36">
        <v>3</v>
      </c>
      <c r="AV2531" s="36">
        <v>3</v>
      </c>
      <c r="AW2531" s="36" t="s">
        <v>2707</v>
      </c>
      <c r="BC2531" s="36">
        <v>3009</v>
      </c>
      <c r="BD2531" s="36">
        <v>5729</v>
      </c>
      <c r="BG2531" s="36" t="s">
        <v>2739</v>
      </c>
      <c r="BH2531" s="36">
        <v>3167</v>
      </c>
      <c r="BI2531" s="36">
        <v>5135</v>
      </c>
      <c r="BM2531" s="407"/>
      <c r="BN2531" s="407"/>
      <c r="BR2531" s="407"/>
      <c r="BS2531" s="407"/>
      <c r="IO2531" s="36" t="s">
        <v>2741</v>
      </c>
      <c r="IQ2531" s="230"/>
    </row>
    <row r="2532" spans="1:251" s="36" customFormat="1" x14ac:dyDescent="0.25">
      <c r="A2532" s="36">
        <v>119</v>
      </c>
      <c r="B2532" s="36" t="s">
        <v>2726</v>
      </c>
      <c r="C2532" s="36" t="s">
        <v>2727</v>
      </c>
      <c r="D2532" s="36">
        <v>2003</v>
      </c>
      <c r="E2532" s="36">
        <v>2007</v>
      </c>
      <c r="F2532" s="36" t="s">
        <v>2728</v>
      </c>
      <c r="G2532" s="36" t="s">
        <v>2708</v>
      </c>
      <c r="H2532" s="126" t="s">
        <v>2843</v>
      </c>
      <c r="I2532" s="36">
        <v>-15.5</v>
      </c>
      <c r="J2532" s="36">
        <v>35.25</v>
      </c>
      <c r="K2532" s="36">
        <v>1030</v>
      </c>
      <c r="N2532" s="36">
        <v>1400</v>
      </c>
      <c r="O2532" s="36">
        <v>1024</v>
      </c>
      <c r="Q2532" s="51" t="s">
        <v>1926</v>
      </c>
      <c r="R2532" s="51" t="s">
        <v>1938</v>
      </c>
      <c r="S2532" s="51"/>
      <c r="T2532" s="51" t="s">
        <v>2740</v>
      </c>
      <c r="U2532" s="51" t="s">
        <v>1383</v>
      </c>
      <c r="V2532" s="51" t="s">
        <v>1722</v>
      </c>
      <c r="W2532" s="51" t="s">
        <v>1383</v>
      </c>
      <c r="X2532" s="51" t="s">
        <v>1383</v>
      </c>
      <c r="Z2532" s="331">
        <v>46</v>
      </c>
      <c r="AA2532" s="331">
        <v>8</v>
      </c>
      <c r="AB2532" s="36" t="s">
        <v>2710</v>
      </c>
      <c r="AC2532" s="36">
        <v>5.9</v>
      </c>
      <c r="AD2532" s="36">
        <v>0.88</v>
      </c>
      <c r="AF2532" s="36" t="s">
        <v>2709</v>
      </c>
      <c r="AG2532" s="36" t="s">
        <v>2712</v>
      </c>
      <c r="AH2532" s="36" t="s">
        <v>578</v>
      </c>
      <c r="AI2532" s="36" t="s">
        <v>1650</v>
      </c>
      <c r="AJ2532" s="36" t="s">
        <v>133</v>
      </c>
      <c r="AK2532" s="36" t="s">
        <v>178</v>
      </c>
      <c r="AL2532" s="36" t="s">
        <v>178</v>
      </c>
      <c r="AM2532" s="36" t="s">
        <v>178</v>
      </c>
      <c r="AQ2532" s="36" t="s">
        <v>2734</v>
      </c>
      <c r="AR2532" s="36" t="s">
        <v>2734</v>
      </c>
      <c r="AS2532" s="36" t="s">
        <v>178</v>
      </c>
      <c r="AT2532" s="36" t="s">
        <v>161</v>
      </c>
      <c r="AU2532" s="36">
        <v>3</v>
      </c>
      <c r="AV2532" s="36">
        <v>3</v>
      </c>
      <c r="AW2532" s="36" t="s">
        <v>2707</v>
      </c>
      <c r="BC2532" s="36">
        <v>1436</v>
      </c>
      <c r="BD2532" s="36">
        <v>3749</v>
      </c>
      <c r="BG2532" s="36" t="s">
        <v>2739</v>
      </c>
      <c r="BH2532" s="36">
        <v>2136</v>
      </c>
      <c r="BI2532" s="36">
        <v>3486</v>
      </c>
      <c r="BM2532" s="407"/>
      <c r="BN2532" s="407"/>
      <c r="BR2532" s="407"/>
      <c r="BS2532" s="407"/>
      <c r="IO2532" s="36" t="s">
        <v>2741</v>
      </c>
      <c r="IQ2532" s="230"/>
    </row>
    <row r="2533" spans="1:251" s="36" customFormat="1" x14ac:dyDescent="0.25">
      <c r="A2533" s="36">
        <v>119</v>
      </c>
      <c r="B2533" s="36" t="s">
        <v>2726</v>
      </c>
      <c r="C2533" s="36" t="s">
        <v>2727</v>
      </c>
      <c r="D2533" s="36">
        <v>2003</v>
      </c>
      <c r="E2533" s="36">
        <v>2007</v>
      </c>
      <c r="F2533" s="36" t="s">
        <v>2728</v>
      </c>
      <c r="G2533" s="36" t="s">
        <v>2708</v>
      </c>
      <c r="H2533" s="126" t="s">
        <v>2843</v>
      </c>
      <c r="I2533" s="36">
        <v>-15.5</v>
      </c>
      <c r="J2533" s="36">
        <v>35.25</v>
      </c>
      <c r="K2533" s="36">
        <v>1030</v>
      </c>
      <c r="N2533" s="36">
        <v>1400</v>
      </c>
      <c r="O2533" s="36">
        <v>1024</v>
      </c>
      <c r="Q2533" s="51" t="s">
        <v>1926</v>
      </c>
      <c r="R2533" s="51" t="s">
        <v>1938</v>
      </c>
      <c r="S2533" s="51"/>
      <c r="T2533" s="51" t="s">
        <v>2740</v>
      </c>
      <c r="U2533" s="51" t="s">
        <v>1383</v>
      </c>
      <c r="V2533" s="51" t="s">
        <v>1722</v>
      </c>
      <c r="W2533" s="51" t="s">
        <v>1383</v>
      </c>
      <c r="X2533" s="51" t="s">
        <v>1383</v>
      </c>
      <c r="Z2533" s="331">
        <v>46</v>
      </c>
      <c r="AA2533" s="331">
        <v>8</v>
      </c>
      <c r="AB2533" s="36" t="s">
        <v>2710</v>
      </c>
      <c r="AC2533" s="36">
        <v>5.9</v>
      </c>
      <c r="AD2533" s="36">
        <v>0.88</v>
      </c>
      <c r="AF2533" s="36" t="s">
        <v>2709</v>
      </c>
      <c r="AG2533" s="36" t="s">
        <v>2712</v>
      </c>
      <c r="AH2533" s="36" t="s">
        <v>578</v>
      </c>
      <c r="AI2533" s="36" t="s">
        <v>1650</v>
      </c>
      <c r="AJ2533" s="36" t="s">
        <v>133</v>
      </c>
      <c r="AK2533" s="36" t="s">
        <v>178</v>
      </c>
      <c r="AL2533" s="36" t="s">
        <v>178</v>
      </c>
      <c r="AM2533" s="36" t="s">
        <v>178</v>
      </c>
      <c r="AQ2533" s="36" t="s">
        <v>2735</v>
      </c>
      <c r="AR2533" s="36" t="s">
        <v>2735</v>
      </c>
      <c r="AS2533" s="36" t="s">
        <v>178</v>
      </c>
      <c r="AT2533" s="36" t="s">
        <v>161</v>
      </c>
      <c r="AU2533" s="36">
        <v>3</v>
      </c>
      <c r="AV2533" s="36">
        <v>3</v>
      </c>
      <c r="AW2533" s="36" t="s">
        <v>2707</v>
      </c>
      <c r="BC2533" s="36">
        <v>2490</v>
      </c>
      <c r="BD2533" s="36">
        <v>4655</v>
      </c>
      <c r="BG2533" s="36" t="s">
        <v>2739</v>
      </c>
      <c r="BH2533" s="36">
        <v>2519</v>
      </c>
      <c r="BI2533" s="36">
        <v>5095</v>
      </c>
      <c r="BM2533" s="407"/>
      <c r="BN2533" s="407"/>
      <c r="BR2533" s="407"/>
      <c r="BS2533" s="407"/>
      <c r="IO2533" s="36" t="s">
        <v>2741</v>
      </c>
      <c r="IQ2533" s="230"/>
    </row>
    <row r="2534" spans="1:251" s="36" customFormat="1" x14ac:dyDescent="0.25">
      <c r="A2534" s="36">
        <v>119</v>
      </c>
      <c r="B2534" s="36" t="s">
        <v>2726</v>
      </c>
      <c r="C2534" s="36" t="s">
        <v>2727</v>
      </c>
      <c r="D2534" s="36">
        <v>2003</v>
      </c>
      <c r="E2534" s="36">
        <v>2007</v>
      </c>
      <c r="F2534" s="36" t="s">
        <v>2728</v>
      </c>
      <c r="G2534" s="36" t="s">
        <v>2708</v>
      </c>
      <c r="H2534" s="126" t="s">
        <v>2843</v>
      </c>
      <c r="I2534" s="36">
        <v>-15.5</v>
      </c>
      <c r="J2534" s="36">
        <v>35.25</v>
      </c>
      <c r="K2534" s="36">
        <v>1030</v>
      </c>
      <c r="N2534" s="36">
        <v>1400</v>
      </c>
      <c r="O2534" s="36">
        <v>1024</v>
      </c>
      <c r="Q2534" s="51" t="s">
        <v>1926</v>
      </c>
      <c r="R2534" s="51" t="s">
        <v>1938</v>
      </c>
      <c r="S2534" s="51"/>
      <c r="T2534" s="51" t="s">
        <v>2740</v>
      </c>
      <c r="U2534" s="51" t="s">
        <v>1383</v>
      </c>
      <c r="V2534" s="51" t="s">
        <v>1722</v>
      </c>
      <c r="W2534" s="51" t="s">
        <v>1383</v>
      </c>
      <c r="X2534" s="51" t="s">
        <v>1383</v>
      </c>
      <c r="Z2534" s="331">
        <v>46</v>
      </c>
      <c r="AA2534" s="331">
        <v>8</v>
      </c>
      <c r="AB2534" s="36" t="s">
        <v>2710</v>
      </c>
      <c r="AC2534" s="36">
        <v>5.9</v>
      </c>
      <c r="AD2534" s="36">
        <v>0.88</v>
      </c>
      <c r="AF2534" s="36" t="s">
        <v>2709</v>
      </c>
      <c r="AG2534" s="36" t="s">
        <v>2712</v>
      </c>
      <c r="AH2534" s="36" t="s">
        <v>578</v>
      </c>
      <c r="AI2534" s="36" t="s">
        <v>1650</v>
      </c>
      <c r="AJ2534" s="36" t="s">
        <v>133</v>
      </c>
      <c r="AK2534" s="36" t="s">
        <v>178</v>
      </c>
      <c r="AL2534" s="36" t="s">
        <v>178</v>
      </c>
      <c r="AM2534" s="36" t="s">
        <v>178</v>
      </c>
      <c r="AQ2534" s="36" t="s">
        <v>2736</v>
      </c>
      <c r="AR2534" s="36" t="s">
        <v>2736</v>
      </c>
      <c r="AS2534" s="36" t="s">
        <v>178</v>
      </c>
      <c r="AT2534" s="36" t="s">
        <v>161</v>
      </c>
      <c r="AU2534" s="36">
        <v>3</v>
      </c>
      <c r="AV2534" s="36">
        <v>3</v>
      </c>
      <c r="AW2534" s="36" t="s">
        <v>2707</v>
      </c>
      <c r="BC2534" s="36">
        <v>2509</v>
      </c>
      <c r="BD2534" s="36">
        <v>5729</v>
      </c>
      <c r="BG2534" s="36" t="s">
        <v>2739</v>
      </c>
      <c r="BH2534" s="36">
        <v>2834</v>
      </c>
      <c r="BI2534" s="36">
        <v>4081</v>
      </c>
      <c r="BM2534" s="407"/>
      <c r="BN2534" s="407"/>
      <c r="BR2534" s="407"/>
      <c r="BS2534" s="407"/>
      <c r="IO2534" s="36" t="s">
        <v>2741</v>
      </c>
      <c r="IQ2534" s="230"/>
    </row>
    <row r="2535" spans="1:251" s="126" customFormat="1" x14ac:dyDescent="0.25">
      <c r="A2535" s="126">
        <v>119</v>
      </c>
      <c r="B2535" s="126" t="s">
        <v>2726</v>
      </c>
      <c r="C2535" s="126" t="s">
        <v>2727</v>
      </c>
      <c r="D2535" s="126">
        <v>2004</v>
      </c>
      <c r="E2535" s="126">
        <v>2007</v>
      </c>
      <c r="F2535" s="126" t="s">
        <v>2728</v>
      </c>
      <c r="G2535" s="126" t="s">
        <v>2708</v>
      </c>
      <c r="H2535" s="126" t="s">
        <v>2843</v>
      </c>
      <c r="I2535" s="126">
        <v>-15.5</v>
      </c>
      <c r="J2535" s="126">
        <v>35.25</v>
      </c>
      <c r="K2535" s="126">
        <v>1030</v>
      </c>
      <c r="N2535" s="126">
        <v>700</v>
      </c>
      <c r="O2535" s="126">
        <v>1024</v>
      </c>
      <c r="Q2535" s="478" t="s">
        <v>1963</v>
      </c>
      <c r="R2535" s="478" t="s">
        <v>1938</v>
      </c>
      <c r="S2535" s="478"/>
      <c r="T2535" s="478" t="s">
        <v>2740</v>
      </c>
      <c r="U2535" s="478" t="s">
        <v>1383</v>
      </c>
      <c r="V2535" s="478" t="s">
        <v>1722</v>
      </c>
      <c r="W2535" s="478" t="s">
        <v>1383</v>
      </c>
      <c r="X2535" s="478" t="s">
        <v>1383</v>
      </c>
      <c r="Z2535" s="479">
        <v>46</v>
      </c>
      <c r="AA2535" s="479">
        <v>8</v>
      </c>
      <c r="AB2535" s="126" t="s">
        <v>2710</v>
      </c>
      <c r="AC2535" s="126">
        <v>5.9</v>
      </c>
      <c r="AD2535" s="126">
        <v>0.88</v>
      </c>
      <c r="AF2535" s="126" t="s">
        <v>2709</v>
      </c>
      <c r="AG2535" s="126" t="s">
        <v>2712</v>
      </c>
      <c r="AH2535" s="126" t="s">
        <v>578</v>
      </c>
      <c r="AI2535" s="126" t="s">
        <v>1650</v>
      </c>
      <c r="AJ2535" s="126" t="s">
        <v>133</v>
      </c>
      <c r="AK2535" s="126" t="s">
        <v>178</v>
      </c>
      <c r="AL2535" s="126" t="s">
        <v>178</v>
      </c>
      <c r="AM2535" s="126" t="s">
        <v>178</v>
      </c>
      <c r="AQ2535" s="126" t="s">
        <v>2717</v>
      </c>
      <c r="AR2535" s="126" t="s">
        <v>2717</v>
      </c>
      <c r="AS2535" s="126" t="s">
        <v>178</v>
      </c>
      <c r="AT2535" s="126" t="s">
        <v>161</v>
      </c>
      <c r="AU2535" s="126">
        <v>3</v>
      </c>
      <c r="AV2535" s="126">
        <v>3</v>
      </c>
      <c r="AW2535" s="126" t="s">
        <v>2707</v>
      </c>
      <c r="BC2535" s="126">
        <v>3308</v>
      </c>
      <c r="BD2535" s="126">
        <v>7284</v>
      </c>
      <c r="BG2535" s="126" t="s">
        <v>2739</v>
      </c>
      <c r="BH2535" s="126">
        <v>586</v>
      </c>
      <c r="BI2535" s="126">
        <v>3905</v>
      </c>
      <c r="BM2535" s="481"/>
      <c r="BN2535" s="481"/>
      <c r="BR2535" s="481"/>
      <c r="BS2535" s="481"/>
      <c r="IO2535" s="126" t="s">
        <v>2741</v>
      </c>
      <c r="IQ2535" s="480"/>
    </row>
    <row r="2536" spans="1:251" s="126" customFormat="1" x14ac:dyDescent="0.25">
      <c r="A2536" s="126">
        <v>119</v>
      </c>
      <c r="B2536" s="126" t="s">
        <v>2726</v>
      </c>
      <c r="C2536" s="126" t="s">
        <v>2727</v>
      </c>
      <c r="D2536" s="126">
        <v>2004</v>
      </c>
      <c r="E2536" s="126">
        <v>2007</v>
      </c>
      <c r="F2536" s="126" t="s">
        <v>2728</v>
      </c>
      <c r="G2536" s="126" t="s">
        <v>2708</v>
      </c>
      <c r="H2536" s="126" t="s">
        <v>2843</v>
      </c>
      <c r="I2536" s="126">
        <v>-15.5</v>
      </c>
      <c r="J2536" s="126">
        <v>35.25</v>
      </c>
      <c r="K2536" s="126">
        <v>1030</v>
      </c>
      <c r="N2536" s="126">
        <v>700</v>
      </c>
      <c r="O2536" s="126">
        <v>1024</v>
      </c>
      <c r="Q2536" s="478" t="s">
        <v>1963</v>
      </c>
      <c r="R2536" s="478" t="s">
        <v>1938</v>
      </c>
      <c r="S2536" s="478"/>
      <c r="T2536" s="478" t="s">
        <v>2740</v>
      </c>
      <c r="U2536" s="478" t="s">
        <v>1383</v>
      </c>
      <c r="V2536" s="478" t="s">
        <v>1722</v>
      </c>
      <c r="W2536" s="478" t="s">
        <v>1383</v>
      </c>
      <c r="X2536" s="478" t="s">
        <v>1383</v>
      </c>
      <c r="Z2536" s="479">
        <v>46</v>
      </c>
      <c r="AA2536" s="479">
        <v>8</v>
      </c>
      <c r="AB2536" s="126" t="s">
        <v>2710</v>
      </c>
      <c r="AC2536" s="126">
        <v>5.9</v>
      </c>
      <c r="AD2536" s="126">
        <v>0.88</v>
      </c>
      <c r="AF2536" s="126" t="s">
        <v>2709</v>
      </c>
      <c r="AG2536" s="126" t="s">
        <v>2712</v>
      </c>
      <c r="AH2536" s="126" t="s">
        <v>578</v>
      </c>
      <c r="AI2536" s="126" t="s">
        <v>1650</v>
      </c>
      <c r="AJ2536" s="126" t="s">
        <v>133</v>
      </c>
      <c r="AK2536" s="126" t="s">
        <v>178</v>
      </c>
      <c r="AL2536" s="126" t="s">
        <v>178</v>
      </c>
      <c r="AM2536" s="126" t="s">
        <v>178</v>
      </c>
      <c r="AQ2536" s="126" t="s">
        <v>2729</v>
      </c>
      <c r="AR2536" s="126" t="s">
        <v>2729</v>
      </c>
      <c r="AS2536" s="126" t="s">
        <v>178</v>
      </c>
      <c r="AT2536" s="126" t="s">
        <v>161</v>
      </c>
      <c r="AU2536" s="126">
        <v>3</v>
      </c>
      <c r="AV2536" s="126">
        <v>3</v>
      </c>
      <c r="AW2536" s="126" t="s">
        <v>2707</v>
      </c>
      <c r="BC2536" s="126">
        <v>2375</v>
      </c>
      <c r="BD2536" s="126">
        <v>7001</v>
      </c>
      <c r="BG2536" s="126" t="s">
        <v>2739</v>
      </c>
      <c r="BH2536" s="126">
        <v>791</v>
      </c>
      <c r="BI2536" s="126">
        <v>3622</v>
      </c>
      <c r="BM2536" s="481"/>
      <c r="BN2536" s="481"/>
      <c r="BR2536" s="481"/>
      <c r="BS2536" s="481"/>
      <c r="IO2536" s="126" t="s">
        <v>2741</v>
      </c>
      <c r="IQ2536" s="480"/>
    </row>
    <row r="2537" spans="1:251" s="126" customFormat="1" x14ac:dyDescent="0.25">
      <c r="A2537" s="126">
        <v>119</v>
      </c>
      <c r="B2537" s="126" t="s">
        <v>2726</v>
      </c>
      <c r="C2537" s="126" t="s">
        <v>2727</v>
      </c>
      <c r="D2537" s="126">
        <v>2004</v>
      </c>
      <c r="E2537" s="126">
        <v>2007</v>
      </c>
      <c r="F2537" s="126" t="s">
        <v>2728</v>
      </c>
      <c r="G2537" s="126" t="s">
        <v>2708</v>
      </c>
      <c r="H2537" s="126" t="s">
        <v>2843</v>
      </c>
      <c r="I2537" s="126">
        <v>-15.5</v>
      </c>
      <c r="J2537" s="126">
        <v>35.25</v>
      </c>
      <c r="K2537" s="126">
        <v>1030</v>
      </c>
      <c r="N2537" s="126">
        <v>700</v>
      </c>
      <c r="O2537" s="126">
        <v>1024</v>
      </c>
      <c r="Q2537" s="478" t="s">
        <v>1963</v>
      </c>
      <c r="R2537" s="478" t="s">
        <v>1938</v>
      </c>
      <c r="S2537" s="478"/>
      <c r="T2537" s="478" t="s">
        <v>2740</v>
      </c>
      <c r="U2537" s="478" t="s">
        <v>1383</v>
      </c>
      <c r="V2537" s="478" t="s">
        <v>1722</v>
      </c>
      <c r="W2537" s="478" t="s">
        <v>1383</v>
      </c>
      <c r="X2537" s="478" t="s">
        <v>1383</v>
      </c>
      <c r="Z2537" s="479">
        <v>46</v>
      </c>
      <c r="AA2537" s="479">
        <v>8</v>
      </c>
      <c r="AB2537" s="126" t="s">
        <v>2710</v>
      </c>
      <c r="AC2537" s="126">
        <v>5.9</v>
      </c>
      <c r="AD2537" s="126">
        <v>0.88</v>
      </c>
      <c r="AF2537" s="126" t="s">
        <v>2709</v>
      </c>
      <c r="AG2537" s="126" t="s">
        <v>2712</v>
      </c>
      <c r="AH2537" s="126" t="s">
        <v>578</v>
      </c>
      <c r="AI2537" s="126" t="s">
        <v>1650</v>
      </c>
      <c r="AJ2537" s="126" t="s">
        <v>133</v>
      </c>
      <c r="AK2537" s="126" t="s">
        <v>178</v>
      </c>
      <c r="AL2537" s="126" t="s">
        <v>178</v>
      </c>
      <c r="AM2537" s="126" t="s">
        <v>178</v>
      </c>
      <c r="AQ2537" s="126" t="s">
        <v>2730</v>
      </c>
      <c r="AR2537" s="126" t="s">
        <v>2730</v>
      </c>
      <c r="AS2537" s="126" t="s">
        <v>178</v>
      </c>
      <c r="AT2537" s="126" t="s">
        <v>161</v>
      </c>
      <c r="AU2537" s="126">
        <v>3</v>
      </c>
      <c r="AV2537" s="126">
        <v>3</v>
      </c>
      <c r="AW2537" s="126" t="s">
        <v>2707</v>
      </c>
      <c r="BC2537" s="126">
        <v>2375</v>
      </c>
      <c r="BD2537" s="126">
        <v>6089</v>
      </c>
      <c r="BG2537" s="126" t="s">
        <v>2739</v>
      </c>
      <c r="BH2537" s="126">
        <v>709</v>
      </c>
      <c r="BI2537" s="126">
        <v>3514</v>
      </c>
      <c r="BM2537" s="481"/>
      <c r="BN2537" s="481"/>
      <c r="BR2537" s="481"/>
      <c r="BS2537" s="481"/>
      <c r="IO2537" s="126" t="s">
        <v>2741</v>
      </c>
      <c r="IQ2537" s="480"/>
    </row>
    <row r="2538" spans="1:251" s="126" customFormat="1" x14ac:dyDescent="0.25">
      <c r="A2538" s="126">
        <v>119</v>
      </c>
      <c r="B2538" s="126" t="s">
        <v>2726</v>
      </c>
      <c r="C2538" s="126" t="s">
        <v>2727</v>
      </c>
      <c r="D2538" s="126">
        <v>2004</v>
      </c>
      <c r="E2538" s="126">
        <v>2007</v>
      </c>
      <c r="F2538" s="126" t="s">
        <v>2728</v>
      </c>
      <c r="G2538" s="126" t="s">
        <v>2708</v>
      </c>
      <c r="H2538" s="126" t="s">
        <v>2843</v>
      </c>
      <c r="I2538" s="126">
        <v>-15.5</v>
      </c>
      <c r="J2538" s="126">
        <v>35.25</v>
      </c>
      <c r="K2538" s="126">
        <v>1030</v>
      </c>
      <c r="N2538" s="126">
        <v>700</v>
      </c>
      <c r="O2538" s="126">
        <v>1024</v>
      </c>
      <c r="Q2538" s="478" t="s">
        <v>1963</v>
      </c>
      <c r="R2538" s="478" t="s">
        <v>1938</v>
      </c>
      <c r="S2538" s="478"/>
      <c r="T2538" s="478" t="s">
        <v>2740</v>
      </c>
      <c r="U2538" s="478" t="s">
        <v>1383</v>
      </c>
      <c r="V2538" s="478" t="s">
        <v>1722</v>
      </c>
      <c r="W2538" s="478" t="s">
        <v>1383</v>
      </c>
      <c r="X2538" s="478" t="s">
        <v>1383</v>
      </c>
      <c r="Z2538" s="479">
        <v>46</v>
      </c>
      <c r="AA2538" s="479">
        <v>8</v>
      </c>
      <c r="AB2538" s="126" t="s">
        <v>2710</v>
      </c>
      <c r="AC2538" s="126">
        <v>5.9</v>
      </c>
      <c r="AD2538" s="126">
        <v>0.88</v>
      </c>
      <c r="AF2538" s="126" t="s">
        <v>2709</v>
      </c>
      <c r="AG2538" s="126" t="s">
        <v>2712</v>
      </c>
      <c r="AH2538" s="126" t="s">
        <v>578</v>
      </c>
      <c r="AI2538" s="126" t="s">
        <v>1650</v>
      </c>
      <c r="AJ2538" s="126" t="s">
        <v>133</v>
      </c>
      <c r="AK2538" s="126" t="s">
        <v>178</v>
      </c>
      <c r="AL2538" s="126" t="s">
        <v>178</v>
      </c>
      <c r="AM2538" s="126" t="s">
        <v>178</v>
      </c>
      <c r="AQ2538" s="126" t="s">
        <v>2731</v>
      </c>
      <c r="AR2538" s="126" t="s">
        <v>2731</v>
      </c>
      <c r="AS2538" s="126" t="s">
        <v>178</v>
      </c>
      <c r="AT2538" s="126" t="s">
        <v>161</v>
      </c>
      <c r="AU2538" s="126">
        <v>3</v>
      </c>
      <c r="AV2538" s="126">
        <v>3</v>
      </c>
      <c r="AW2538" s="126" t="s">
        <v>2707</v>
      </c>
      <c r="BC2538" s="126">
        <v>4977</v>
      </c>
      <c r="BD2538" s="126">
        <v>6359</v>
      </c>
      <c r="BG2538" s="126" t="s">
        <v>2739</v>
      </c>
      <c r="BH2538" s="126">
        <v>3098</v>
      </c>
      <c r="BI2538" s="126">
        <v>4243</v>
      </c>
      <c r="BM2538" s="481"/>
      <c r="BN2538" s="481"/>
      <c r="BR2538" s="481"/>
      <c r="BS2538" s="481"/>
      <c r="IO2538" s="126" t="s">
        <v>2741</v>
      </c>
      <c r="IQ2538" s="480"/>
    </row>
    <row r="2539" spans="1:251" s="126" customFormat="1" x14ac:dyDescent="0.25">
      <c r="A2539" s="126">
        <v>119</v>
      </c>
      <c r="B2539" s="126" t="s">
        <v>2726</v>
      </c>
      <c r="C2539" s="126" t="s">
        <v>2727</v>
      </c>
      <c r="D2539" s="126">
        <v>2004</v>
      </c>
      <c r="E2539" s="126">
        <v>2007</v>
      </c>
      <c r="F2539" s="126" t="s">
        <v>2728</v>
      </c>
      <c r="G2539" s="126" t="s">
        <v>2708</v>
      </c>
      <c r="H2539" s="126" t="s">
        <v>2843</v>
      </c>
      <c r="I2539" s="126">
        <v>-15.5</v>
      </c>
      <c r="J2539" s="126">
        <v>35.25</v>
      </c>
      <c r="K2539" s="126">
        <v>1030</v>
      </c>
      <c r="N2539" s="126">
        <v>700</v>
      </c>
      <c r="O2539" s="126">
        <v>1024</v>
      </c>
      <c r="Q2539" s="478" t="s">
        <v>1963</v>
      </c>
      <c r="R2539" s="478" t="s">
        <v>1938</v>
      </c>
      <c r="S2539" s="478"/>
      <c r="T2539" s="478" t="s">
        <v>2740</v>
      </c>
      <c r="U2539" s="478" t="s">
        <v>1383</v>
      </c>
      <c r="V2539" s="478" t="s">
        <v>1722</v>
      </c>
      <c r="W2539" s="478" t="s">
        <v>1383</v>
      </c>
      <c r="X2539" s="478" t="s">
        <v>1383</v>
      </c>
      <c r="Z2539" s="479">
        <v>46</v>
      </c>
      <c r="AA2539" s="479">
        <v>8</v>
      </c>
      <c r="AB2539" s="126" t="s">
        <v>2710</v>
      </c>
      <c r="AC2539" s="126">
        <v>5.9</v>
      </c>
      <c r="AD2539" s="126">
        <v>0.88</v>
      </c>
      <c r="AF2539" s="126" t="s">
        <v>2709</v>
      </c>
      <c r="AG2539" s="126" t="s">
        <v>2712</v>
      </c>
      <c r="AH2539" s="126" t="s">
        <v>578</v>
      </c>
      <c r="AI2539" s="126" t="s">
        <v>1650</v>
      </c>
      <c r="AJ2539" s="126" t="s">
        <v>133</v>
      </c>
      <c r="AK2539" s="126" t="s">
        <v>178</v>
      </c>
      <c r="AL2539" s="126" t="s">
        <v>178</v>
      </c>
      <c r="AM2539" s="126" t="s">
        <v>178</v>
      </c>
      <c r="AQ2539" s="126" t="s">
        <v>2732</v>
      </c>
      <c r="AR2539" s="126" t="s">
        <v>2732</v>
      </c>
      <c r="AS2539" s="126" t="s">
        <v>178</v>
      </c>
      <c r="AT2539" s="126" t="s">
        <v>161</v>
      </c>
      <c r="AU2539" s="126">
        <v>3</v>
      </c>
      <c r="AV2539" s="126">
        <v>3</v>
      </c>
      <c r="AW2539" s="126" t="s">
        <v>2707</v>
      </c>
      <c r="BC2539" s="126">
        <v>6072</v>
      </c>
      <c r="BD2539" s="126">
        <v>6804</v>
      </c>
      <c r="BG2539" s="126" t="s">
        <v>2739</v>
      </c>
      <c r="BH2539" s="126">
        <v>4479</v>
      </c>
      <c r="BI2539" s="126">
        <v>4892</v>
      </c>
      <c r="BM2539" s="481"/>
      <c r="BN2539" s="481"/>
      <c r="BR2539" s="481"/>
      <c r="BS2539" s="481"/>
      <c r="IO2539" s="126" t="s">
        <v>2741</v>
      </c>
      <c r="IQ2539" s="480"/>
    </row>
    <row r="2540" spans="1:251" s="126" customFormat="1" x14ac:dyDescent="0.25">
      <c r="A2540" s="126">
        <v>119</v>
      </c>
      <c r="B2540" s="126" t="s">
        <v>2726</v>
      </c>
      <c r="C2540" s="126" t="s">
        <v>2727</v>
      </c>
      <c r="D2540" s="126">
        <v>2004</v>
      </c>
      <c r="E2540" s="126">
        <v>2007</v>
      </c>
      <c r="F2540" s="126" t="s">
        <v>2728</v>
      </c>
      <c r="G2540" s="126" t="s">
        <v>2708</v>
      </c>
      <c r="H2540" s="126" t="s">
        <v>2843</v>
      </c>
      <c r="I2540" s="126">
        <v>-15.5</v>
      </c>
      <c r="J2540" s="126">
        <v>35.25</v>
      </c>
      <c r="K2540" s="126">
        <v>1030</v>
      </c>
      <c r="N2540" s="126">
        <v>700</v>
      </c>
      <c r="O2540" s="126">
        <v>1024</v>
      </c>
      <c r="Q2540" s="478" t="s">
        <v>1963</v>
      </c>
      <c r="R2540" s="478" t="s">
        <v>1938</v>
      </c>
      <c r="S2540" s="478"/>
      <c r="T2540" s="478" t="s">
        <v>2740</v>
      </c>
      <c r="U2540" s="478" t="s">
        <v>1383</v>
      </c>
      <c r="V2540" s="478" t="s">
        <v>1722</v>
      </c>
      <c r="W2540" s="478" t="s">
        <v>1383</v>
      </c>
      <c r="X2540" s="478" t="s">
        <v>1383</v>
      </c>
      <c r="Z2540" s="479">
        <v>46</v>
      </c>
      <c r="AA2540" s="479">
        <v>8</v>
      </c>
      <c r="AB2540" s="126" t="s">
        <v>2710</v>
      </c>
      <c r="AC2540" s="126">
        <v>5.9</v>
      </c>
      <c r="AD2540" s="126">
        <v>0.88</v>
      </c>
      <c r="AF2540" s="126" t="s">
        <v>2709</v>
      </c>
      <c r="AG2540" s="126" t="s">
        <v>2712</v>
      </c>
      <c r="AH2540" s="126" t="s">
        <v>578</v>
      </c>
      <c r="AI2540" s="126" t="s">
        <v>1650</v>
      </c>
      <c r="AJ2540" s="126" t="s">
        <v>133</v>
      </c>
      <c r="AK2540" s="126" t="s">
        <v>178</v>
      </c>
      <c r="AL2540" s="126" t="s">
        <v>178</v>
      </c>
      <c r="AM2540" s="126" t="s">
        <v>178</v>
      </c>
      <c r="AQ2540" s="126" t="s">
        <v>2733</v>
      </c>
      <c r="AR2540" s="126" t="s">
        <v>2733</v>
      </c>
      <c r="AS2540" s="126" t="s">
        <v>178</v>
      </c>
      <c r="AT2540" s="126" t="s">
        <v>161</v>
      </c>
      <c r="AU2540" s="126">
        <v>3</v>
      </c>
      <c r="AV2540" s="126">
        <v>3</v>
      </c>
      <c r="AW2540" s="126" t="s">
        <v>2707</v>
      </c>
      <c r="BC2540" s="126">
        <v>6396</v>
      </c>
      <c r="BD2540" s="126">
        <v>8285</v>
      </c>
      <c r="BG2540" s="126" t="s">
        <v>2739</v>
      </c>
      <c r="BH2540" s="126">
        <v>4493</v>
      </c>
      <c r="BI2540" s="126">
        <v>6405</v>
      </c>
      <c r="BM2540" s="481"/>
      <c r="BN2540" s="481"/>
      <c r="BR2540" s="481"/>
      <c r="BS2540" s="481"/>
      <c r="IO2540" s="126" t="s">
        <v>2741</v>
      </c>
      <c r="IQ2540" s="480"/>
    </row>
    <row r="2541" spans="1:251" s="126" customFormat="1" x14ac:dyDescent="0.25">
      <c r="A2541" s="126">
        <v>119</v>
      </c>
      <c r="B2541" s="126" t="s">
        <v>2726</v>
      </c>
      <c r="C2541" s="126" t="s">
        <v>2727</v>
      </c>
      <c r="D2541" s="126">
        <v>2004</v>
      </c>
      <c r="E2541" s="126">
        <v>2007</v>
      </c>
      <c r="F2541" s="126" t="s">
        <v>2728</v>
      </c>
      <c r="G2541" s="126" t="s">
        <v>2708</v>
      </c>
      <c r="H2541" s="126" t="s">
        <v>2843</v>
      </c>
      <c r="I2541" s="126">
        <v>-15.5</v>
      </c>
      <c r="J2541" s="126">
        <v>35.25</v>
      </c>
      <c r="K2541" s="126">
        <v>1030</v>
      </c>
      <c r="N2541" s="126">
        <v>700</v>
      </c>
      <c r="O2541" s="126">
        <v>1024</v>
      </c>
      <c r="Q2541" s="478" t="s">
        <v>1963</v>
      </c>
      <c r="R2541" s="478" t="s">
        <v>1938</v>
      </c>
      <c r="S2541" s="478"/>
      <c r="T2541" s="478" t="s">
        <v>2740</v>
      </c>
      <c r="U2541" s="478" t="s">
        <v>1383</v>
      </c>
      <c r="V2541" s="478" t="s">
        <v>1722</v>
      </c>
      <c r="W2541" s="478" t="s">
        <v>1383</v>
      </c>
      <c r="X2541" s="478" t="s">
        <v>1383</v>
      </c>
      <c r="Z2541" s="479">
        <v>46</v>
      </c>
      <c r="AA2541" s="479">
        <v>8</v>
      </c>
      <c r="AB2541" s="126" t="s">
        <v>2710</v>
      </c>
      <c r="AC2541" s="126">
        <v>5.9</v>
      </c>
      <c r="AD2541" s="126">
        <v>0.88</v>
      </c>
      <c r="AF2541" s="126" t="s">
        <v>2709</v>
      </c>
      <c r="AG2541" s="126" t="s">
        <v>2712</v>
      </c>
      <c r="AH2541" s="126" t="s">
        <v>578</v>
      </c>
      <c r="AI2541" s="126" t="s">
        <v>1650</v>
      </c>
      <c r="AJ2541" s="126" t="s">
        <v>133</v>
      </c>
      <c r="AK2541" s="126" t="s">
        <v>178</v>
      </c>
      <c r="AL2541" s="126" t="s">
        <v>178</v>
      </c>
      <c r="AM2541" s="126" t="s">
        <v>178</v>
      </c>
      <c r="AQ2541" s="126" t="s">
        <v>2734</v>
      </c>
      <c r="AR2541" s="126" t="s">
        <v>2734</v>
      </c>
      <c r="AS2541" s="126" t="s">
        <v>178</v>
      </c>
      <c r="AT2541" s="126" t="s">
        <v>161</v>
      </c>
      <c r="AU2541" s="126">
        <v>3</v>
      </c>
      <c r="AV2541" s="126">
        <v>3</v>
      </c>
      <c r="AW2541" s="126" t="s">
        <v>2707</v>
      </c>
      <c r="BC2541" s="126">
        <v>5126</v>
      </c>
      <c r="BD2541" s="126">
        <v>8028</v>
      </c>
      <c r="BG2541" s="126" t="s">
        <v>2739</v>
      </c>
      <c r="BH2541" s="126">
        <v>3640</v>
      </c>
      <c r="BI2541" s="126">
        <v>5568</v>
      </c>
      <c r="BM2541" s="481"/>
      <c r="BN2541" s="481"/>
      <c r="BR2541" s="481"/>
      <c r="BS2541" s="481"/>
      <c r="IO2541" s="126" t="s">
        <v>2741</v>
      </c>
      <c r="IQ2541" s="480"/>
    </row>
    <row r="2542" spans="1:251" s="126" customFormat="1" x14ac:dyDescent="0.25">
      <c r="A2542" s="126">
        <v>119</v>
      </c>
      <c r="B2542" s="126" t="s">
        <v>2726</v>
      </c>
      <c r="C2542" s="126" t="s">
        <v>2727</v>
      </c>
      <c r="D2542" s="126">
        <v>2004</v>
      </c>
      <c r="E2542" s="126">
        <v>2007</v>
      </c>
      <c r="F2542" s="126" t="s">
        <v>2728</v>
      </c>
      <c r="G2542" s="126" t="s">
        <v>2708</v>
      </c>
      <c r="H2542" s="126" t="s">
        <v>2843</v>
      </c>
      <c r="I2542" s="126">
        <v>-15.5</v>
      </c>
      <c r="J2542" s="126">
        <v>35.25</v>
      </c>
      <c r="K2542" s="126">
        <v>1030</v>
      </c>
      <c r="N2542" s="126">
        <v>700</v>
      </c>
      <c r="O2542" s="126">
        <v>1024</v>
      </c>
      <c r="Q2542" s="478" t="s">
        <v>1963</v>
      </c>
      <c r="R2542" s="478" t="s">
        <v>1938</v>
      </c>
      <c r="S2542" s="478"/>
      <c r="T2542" s="478" t="s">
        <v>2740</v>
      </c>
      <c r="U2542" s="478" t="s">
        <v>1383</v>
      </c>
      <c r="V2542" s="478" t="s">
        <v>1722</v>
      </c>
      <c r="W2542" s="478" t="s">
        <v>1383</v>
      </c>
      <c r="X2542" s="478" t="s">
        <v>1383</v>
      </c>
      <c r="Z2542" s="479">
        <v>46</v>
      </c>
      <c r="AA2542" s="479">
        <v>8</v>
      </c>
      <c r="AB2542" s="126" t="s">
        <v>2710</v>
      </c>
      <c r="AC2542" s="126">
        <v>5.9</v>
      </c>
      <c r="AD2542" s="126">
        <v>0.88</v>
      </c>
      <c r="AF2542" s="126" t="s">
        <v>2709</v>
      </c>
      <c r="AG2542" s="126" t="s">
        <v>2712</v>
      </c>
      <c r="AH2542" s="126" t="s">
        <v>578</v>
      </c>
      <c r="AI2542" s="126" t="s">
        <v>1650</v>
      </c>
      <c r="AJ2542" s="126" t="s">
        <v>133</v>
      </c>
      <c r="AK2542" s="126" t="s">
        <v>178</v>
      </c>
      <c r="AL2542" s="126" t="s">
        <v>178</v>
      </c>
      <c r="AM2542" s="126" t="s">
        <v>178</v>
      </c>
      <c r="AQ2542" s="126" t="s">
        <v>2735</v>
      </c>
      <c r="AR2542" s="126" t="s">
        <v>2735</v>
      </c>
      <c r="AS2542" s="126" t="s">
        <v>178</v>
      </c>
      <c r="AT2542" s="126" t="s">
        <v>161</v>
      </c>
      <c r="AU2542" s="126">
        <v>3</v>
      </c>
      <c r="AV2542" s="126">
        <v>3</v>
      </c>
      <c r="AW2542" s="126" t="s">
        <v>2707</v>
      </c>
      <c r="BC2542" s="126">
        <v>5674</v>
      </c>
      <c r="BD2542" s="126">
        <v>7703</v>
      </c>
      <c r="BG2542" s="126" t="s">
        <v>2739</v>
      </c>
      <c r="BH2542" s="126">
        <v>3954</v>
      </c>
      <c r="BI2542" s="126">
        <v>5202</v>
      </c>
      <c r="BM2542" s="481"/>
      <c r="BN2542" s="481"/>
      <c r="BR2542" s="481"/>
      <c r="BS2542" s="481"/>
      <c r="IO2542" s="126" t="s">
        <v>2741</v>
      </c>
      <c r="IQ2542" s="480"/>
    </row>
    <row r="2543" spans="1:251" s="126" customFormat="1" x14ac:dyDescent="0.25">
      <c r="A2543" s="126">
        <v>119</v>
      </c>
      <c r="B2543" s="126" t="s">
        <v>2726</v>
      </c>
      <c r="C2543" s="126" t="s">
        <v>2727</v>
      </c>
      <c r="D2543" s="126">
        <v>2004</v>
      </c>
      <c r="E2543" s="126">
        <v>2007</v>
      </c>
      <c r="F2543" s="126" t="s">
        <v>2728</v>
      </c>
      <c r="G2543" s="126" t="s">
        <v>2708</v>
      </c>
      <c r="H2543" s="126" t="s">
        <v>2843</v>
      </c>
      <c r="I2543" s="126">
        <v>-15.5</v>
      </c>
      <c r="J2543" s="126">
        <v>35.25</v>
      </c>
      <c r="K2543" s="126">
        <v>1030</v>
      </c>
      <c r="N2543" s="126">
        <v>700</v>
      </c>
      <c r="O2543" s="126">
        <v>1024</v>
      </c>
      <c r="Q2543" s="478" t="s">
        <v>1963</v>
      </c>
      <c r="R2543" s="478" t="s">
        <v>1938</v>
      </c>
      <c r="S2543" s="478"/>
      <c r="T2543" s="478" t="s">
        <v>2740</v>
      </c>
      <c r="U2543" s="478" t="s">
        <v>1383</v>
      </c>
      <c r="V2543" s="478" t="s">
        <v>1722</v>
      </c>
      <c r="W2543" s="478" t="s">
        <v>1383</v>
      </c>
      <c r="X2543" s="478" t="s">
        <v>1383</v>
      </c>
      <c r="Z2543" s="479">
        <v>46</v>
      </c>
      <c r="AA2543" s="479">
        <v>8</v>
      </c>
      <c r="AB2543" s="126" t="s">
        <v>2710</v>
      </c>
      <c r="AC2543" s="126">
        <v>5.9</v>
      </c>
      <c r="AD2543" s="126">
        <v>0.88</v>
      </c>
      <c r="AF2543" s="126" t="s">
        <v>2709</v>
      </c>
      <c r="AG2543" s="126" t="s">
        <v>2712</v>
      </c>
      <c r="AH2543" s="126" t="s">
        <v>578</v>
      </c>
      <c r="AI2543" s="126" t="s">
        <v>1650</v>
      </c>
      <c r="AJ2543" s="126" t="s">
        <v>133</v>
      </c>
      <c r="AK2543" s="126" t="s">
        <v>178</v>
      </c>
      <c r="AL2543" s="126" t="s">
        <v>178</v>
      </c>
      <c r="AM2543" s="126" t="s">
        <v>178</v>
      </c>
      <c r="AQ2543" s="126" t="s">
        <v>2736</v>
      </c>
      <c r="AR2543" s="126" t="s">
        <v>2736</v>
      </c>
      <c r="AS2543" s="126" t="s">
        <v>178</v>
      </c>
      <c r="AT2543" s="126" t="s">
        <v>161</v>
      </c>
      <c r="AU2543" s="126">
        <v>3</v>
      </c>
      <c r="AV2543" s="126">
        <v>3</v>
      </c>
      <c r="AW2543" s="126" t="s">
        <v>2707</v>
      </c>
      <c r="BC2543" s="126">
        <v>6261</v>
      </c>
      <c r="BD2543" s="126">
        <v>7379</v>
      </c>
      <c r="BG2543" s="126" t="s">
        <v>2739</v>
      </c>
      <c r="BH2543" s="126">
        <v>3462</v>
      </c>
      <c r="BI2543" s="126">
        <v>5216</v>
      </c>
      <c r="BM2543" s="481"/>
      <c r="BN2543" s="481"/>
      <c r="BR2543" s="481"/>
      <c r="BS2543" s="481"/>
      <c r="IO2543" s="126" t="s">
        <v>2741</v>
      </c>
      <c r="IQ2543" s="480"/>
    </row>
    <row r="2544" spans="1:251" s="36" customFormat="1" x14ac:dyDescent="0.25">
      <c r="A2544" s="36">
        <v>119</v>
      </c>
      <c r="B2544" s="36" t="s">
        <v>2726</v>
      </c>
      <c r="C2544" s="36" t="s">
        <v>2727</v>
      </c>
      <c r="D2544" s="36">
        <v>2005</v>
      </c>
      <c r="E2544" s="36">
        <v>2007</v>
      </c>
      <c r="F2544" s="36" t="s">
        <v>2728</v>
      </c>
      <c r="G2544" s="36" t="s">
        <v>2708</v>
      </c>
      <c r="H2544" s="126" t="s">
        <v>2843</v>
      </c>
      <c r="I2544" s="36">
        <v>-15.5</v>
      </c>
      <c r="J2544" s="36">
        <v>35.25</v>
      </c>
      <c r="K2544" s="36">
        <v>1030</v>
      </c>
      <c r="N2544" s="36">
        <v>1160</v>
      </c>
      <c r="O2544" s="36">
        <v>1024</v>
      </c>
      <c r="Q2544" s="51" t="s">
        <v>1724</v>
      </c>
      <c r="R2544" s="51" t="s">
        <v>1938</v>
      </c>
      <c r="S2544" s="51"/>
      <c r="T2544" s="51" t="s">
        <v>2740</v>
      </c>
      <c r="U2544" s="51" t="s">
        <v>1383</v>
      </c>
      <c r="V2544" s="51" t="s">
        <v>1722</v>
      </c>
      <c r="W2544" s="51" t="s">
        <v>1383</v>
      </c>
      <c r="X2544" s="51" t="s">
        <v>1383</v>
      </c>
      <c r="Z2544" s="331">
        <v>46</v>
      </c>
      <c r="AA2544" s="331">
        <v>8</v>
      </c>
      <c r="AB2544" s="36" t="s">
        <v>2710</v>
      </c>
      <c r="AC2544" s="36">
        <v>5.9</v>
      </c>
      <c r="AD2544" s="36">
        <v>0.88</v>
      </c>
      <c r="AF2544" s="36" t="s">
        <v>2709</v>
      </c>
      <c r="AG2544" s="36" t="s">
        <v>2712</v>
      </c>
      <c r="AH2544" s="36" t="s">
        <v>578</v>
      </c>
      <c r="AI2544" s="36" t="s">
        <v>1650</v>
      </c>
      <c r="AJ2544" s="36" t="s">
        <v>133</v>
      </c>
      <c r="AK2544" s="36" t="s">
        <v>178</v>
      </c>
      <c r="AL2544" s="36" t="s">
        <v>178</v>
      </c>
      <c r="AM2544" s="36" t="s">
        <v>178</v>
      </c>
      <c r="AQ2544" s="36" t="s">
        <v>2717</v>
      </c>
      <c r="AR2544" s="36" t="s">
        <v>2717</v>
      </c>
      <c r="AS2544" s="36" t="s">
        <v>178</v>
      </c>
      <c r="AT2544" s="36" t="s">
        <v>161</v>
      </c>
      <c r="AU2544" s="36">
        <v>3</v>
      </c>
      <c r="AV2544" s="36">
        <v>3</v>
      </c>
      <c r="AW2544" s="36" t="s">
        <v>2707</v>
      </c>
      <c r="BC2544" s="36">
        <v>3694</v>
      </c>
      <c r="BD2544" s="36">
        <v>4549</v>
      </c>
      <c r="BG2544" s="36" t="s">
        <v>2739</v>
      </c>
      <c r="BH2544" s="36">
        <v>503</v>
      </c>
      <c r="BI2544" s="36">
        <v>3365</v>
      </c>
      <c r="BM2544" s="407"/>
      <c r="BN2544" s="407"/>
      <c r="BR2544" s="407"/>
      <c r="BS2544" s="407"/>
      <c r="IO2544" s="36" t="s">
        <v>2741</v>
      </c>
      <c r="IQ2544" s="230"/>
    </row>
    <row r="2545" spans="1:251" s="36" customFormat="1" x14ac:dyDescent="0.25">
      <c r="A2545" s="36">
        <v>119</v>
      </c>
      <c r="B2545" s="36" t="s">
        <v>2726</v>
      </c>
      <c r="C2545" s="36" t="s">
        <v>2727</v>
      </c>
      <c r="D2545" s="36">
        <v>2005</v>
      </c>
      <c r="E2545" s="36">
        <v>2007</v>
      </c>
      <c r="F2545" s="36" t="s">
        <v>2728</v>
      </c>
      <c r="G2545" s="36" t="s">
        <v>2708</v>
      </c>
      <c r="H2545" s="126" t="s">
        <v>2843</v>
      </c>
      <c r="I2545" s="36">
        <v>-15.5</v>
      </c>
      <c r="J2545" s="36">
        <v>35.25</v>
      </c>
      <c r="K2545" s="36">
        <v>1030</v>
      </c>
      <c r="N2545" s="36">
        <v>1160</v>
      </c>
      <c r="O2545" s="36">
        <v>1024</v>
      </c>
      <c r="Q2545" s="51" t="s">
        <v>1724</v>
      </c>
      <c r="R2545" s="51" t="s">
        <v>1938</v>
      </c>
      <c r="S2545" s="51"/>
      <c r="T2545" s="51" t="s">
        <v>2740</v>
      </c>
      <c r="U2545" s="51" t="s">
        <v>1383</v>
      </c>
      <c r="V2545" s="51" t="s">
        <v>1722</v>
      </c>
      <c r="W2545" s="51" t="s">
        <v>1383</v>
      </c>
      <c r="X2545" s="51" t="s">
        <v>1383</v>
      </c>
      <c r="Z2545" s="331">
        <v>46</v>
      </c>
      <c r="AA2545" s="331">
        <v>8</v>
      </c>
      <c r="AB2545" s="36" t="s">
        <v>2710</v>
      </c>
      <c r="AC2545" s="36">
        <v>5.9</v>
      </c>
      <c r="AD2545" s="36">
        <v>0.88</v>
      </c>
      <c r="AF2545" s="36" t="s">
        <v>2709</v>
      </c>
      <c r="AG2545" s="36" t="s">
        <v>2712</v>
      </c>
      <c r="AH2545" s="36" t="s">
        <v>578</v>
      </c>
      <c r="AI2545" s="36" t="s">
        <v>1650</v>
      </c>
      <c r="AJ2545" s="36" t="s">
        <v>133</v>
      </c>
      <c r="AK2545" s="36" t="s">
        <v>178</v>
      </c>
      <c r="AL2545" s="36" t="s">
        <v>178</v>
      </c>
      <c r="AM2545" s="36" t="s">
        <v>178</v>
      </c>
      <c r="AQ2545" s="36" t="s">
        <v>2729</v>
      </c>
      <c r="AR2545" s="36" t="s">
        <v>2729</v>
      </c>
      <c r="AS2545" s="36" t="s">
        <v>178</v>
      </c>
      <c r="AT2545" s="36" t="s">
        <v>161</v>
      </c>
      <c r="AU2545" s="36">
        <v>3</v>
      </c>
      <c r="AV2545" s="36">
        <v>3</v>
      </c>
      <c r="AW2545" s="36" t="s">
        <v>2707</v>
      </c>
      <c r="BC2545" s="36">
        <v>3309</v>
      </c>
      <c r="BD2545" s="36">
        <v>5522</v>
      </c>
      <c r="BG2545" s="36" t="s">
        <v>2739</v>
      </c>
      <c r="BH2545" s="36">
        <v>530</v>
      </c>
      <c r="BI2545" s="36">
        <v>3364</v>
      </c>
      <c r="BM2545" s="407"/>
      <c r="BN2545" s="407"/>
      <c r="BR2545" s="407"/>
      <c r="BS2545" s="407"/>
      <c r="IO2545" s="36" t="s">
        <v>2741</v>
      </c>
      <c r="IQ2545" s="230"/>
    </row>
    <row r="2546" spans="1:251" s="36" customFormat="1" x14ac:dyDescent="0.25">
      <c r="A2546" s="36">
        <v>119</v>
      </c>
      <c r="B2546" s="36" t="s">
        <v>2726</v>
      </c>
      <c r="C2546" s="36" t="s">
        <v>2727</v>
      </c>
      <c r="D2546" s="36">
        <v>2005</v>
      </c>
      <c r="E2546" s="36">
        <v>2007</v>
      </c>
      <c r="F2546" s="36" t="s">
        <v>2728</v>
      </c>
      <c r="G2546" s="36" t="s">
        <v>2708</v>
      </c>
      <c r="H2546" s="126" t="s">
        <v>2843</v>
      </c>
      <c r="I2546" s="36">
        <v>-15.5</v>
      </c>
      <c r="J2546" s="36">
        <v>35.25</v>
      </c>
      <c r="K2546" s="36">
        <v>1030</v>
      </c>
      <c r="N2546" s="36">
        <v>1160</v>
      </c>
      <c r="O2546" s="36">
        <v>1024</v>
      </c>
      <c r="Q2546" s="51" t="s">
        <v>1724</v>
      </c>
      <c r="R2546" s="51" t="s">
        <v>1938</v>
      </c>
      <c r="S2546" s="51"/>
      <c r="T2546" s="51" t="s">
        <v>2740</v>
      </c>
      <c r="U2546" s="51" t="s">
        <v>1383</v>
      </c>
      <c r="V2546" s="51" t="s">
        <v>1722</v>
      </c>
      <c r="W2546" s="51" t="s">
        <v>1383</v>
      </c>
      <c r="X2546" s="51" t="s">
        <v>1383</v>
      </c>
      <c r="Z2546" s="331">
        <v>46</v>
      </c>
      <c r="AA2546" s="331">
        <v>8</v>
      </c>
      <c r="AB2546" s="36" t="s">
        <v>2710</v>
      </c>
      <c r="AC2546" s="36">
        <v>5.9</v>
      </c>
      <c r="AD2546" s="36">
        <v>0.88</v>
      </c>
      <c r="AF2546" s="36" t="s">
        <v>2709</v>
      </c>
      <c r="AG2546" s="36" t="s">
        <v>2712</v>
      </c>
      <c r="AH2546" s="36" t="s">
        <v>578</v>
      </c>
      <c r="AI2546" s="36" t="s">
        <v>1650</v>
      </c>
      <c r="AJ2546" s="36" t="s">
        <v>133</v>
      </c>
      <c r="AK2546" s="36" t="s">
        <v>178</v>
      </c>
      <c r="AL2546" s="36" t="s">
        <v>178</v>
      </c>
      <c r="AM2546" s="36" t="s">
        <v>178</v>
      </c>
      <c r="AQ2546" s="36" t="s">
        <v>2730</v>
      </c>
      <c r="AR2546" s="36" t="s">
        <v>2730</v>
      </c>
      <c r="AS2546" s="36" t="s">
        <v>178</v>
      </c>
      <c r="AT2546" s="36" t="s">
        <v>161</v>
      </c>
      <c r="AU2546" s="36">
        <v>3</v>
      </c>
      <c r="AV2546" s="36">
        <v>3</v>
      </c>
      <c r="AW2546" s="36" t="s">
        <v>2707</v>
      </c>
      <c r="BC2546" s="36">
        <v>3552</v>
      </c>
      <c r="BD2546" s="36">
        <v>5036</v>
      </c>
      <c r="BG2546" s="36" t="s">
        <v>2739</v>
      </c>
      <c r="BH2546" s="36">
        <v>680</v>
      </c>
      <c r="BI2546" s="36">
        <v>3730</v>
      </c>
      <c r="BM2546" s="407"/>
      <c r="BN2546" s="407"/>
      <c r="BR2546" s="407"/>
      <c r="BS2546" s="407"/>
      <c r="IO2546" s="36" t="s">
        <v>2741</v>
      </c>
      <c r="IQ2546" s="230"/>
    </row>
    <row r="2547" spans="1:251" s="36" customFormat="1" x14ac:dyDescent="0.25">
      <c r="A2547" s="36">
        <v>119</v>
      </c>
      <c r="B2547" s="36" t="s">
        <v>2726</v>
      </c>
      <c r="C2547" s="36" t="s">
        <v>2727</v>
      </c>
      <c r="D2547" s="36">
        <v>2005</v>
      </c>
      <c r="E2547" s="36">
        <v>2007</v>
      </c>
      <c r="F2547" s="36" t="s">
        <v>2728</v>
      </c>
      <c r="G2547" s="36" t="s">
        <v>2708</v>
      </c>
      <c r="H2547" s="126" t="s">
        <v>2843</v>
      </c>
      <c r="I2547" s="36">
        <v>-15.5</v>
      </c>
      <c r="J2547" s="36">
        <v>35.25</v>
      </c>
      <c r="K2547" s="36">
        <v>1030</v>
      </c>
      <c r="N2547" s="36">
        <v>1160</v>
      </c>
      <c r="O2547" s="36">
        <v>1024</v>
      </c>
      <c r="Q2547" s="51" t="s">
        <v>1724</v>
      </c>
      <c r="R2547" s="51" t="s">
        <v>1938</v>
      </c>
      <c r="S2547" s="51"/>
      <c r="T2547" s="51" t="s">
        <v>2740</v>
      </c>
      <c r="U2547" s="51" t="s">
        <v>1383</v>
      </c>
      <c r="V2547" s="51" t="s">
        <v>1722</v>
      </c>
      <c r="W2547" s="51" t="s">
        <v>1383</v>
      </c>
      <c r="X2547" s="51" t="s">
        <v>1383</v>
      </c>
      <c r="Z2547" s="331">
        <v>46</v>
      </c>
      <c r="AA2547" s="331">
        <v>8</v>
      </c>
      <c r="AB2547" s="36" t="s">
        <v>2710</v>
      </c>
      <c r="AC2547" s="36">
        <v>5.9</v>
      </c>
      <c r="AD2547" s="36">
        <v>0.88</v>
      </c>
      <c r="AF2547" s="36" t="s">
        <v>2709</v>
      </c>
      <c r="AG2547" s="36" t="s">
        <v>2712</v>
      </c>
      <c r="AH2547" s="36" t="s">
        <v>578</v>
      </c>
      <c r="AI2547" s="36" t="s">
        <v>1650</v>
      </c>
      <c r="AJ2547" s="36" t="s">
        <v>133</v>
      </c>
      <c r="AK2547" s="36" t="s">
        <v>178</v>
      </c>
      <c r="AL2547" s="36" t="s">
        <v>178</v>
      </c>
      <c r="AM2547" s="36" t="s">
        <v>178</v>
      </c>
      <c r="AQ2547" s="36" t="s">
        <v>2731</v>
      </c>
      <c r="AR2547" s="36" t="s">
        <v>2731</v>
      </c>
      <c r="AS2547" s="36" t="s">
        <v>178</v>
      </c>
      <c r="AT2547" s="36" t="s">
        <v>161</v>
      </c>
      <c r="AU2547" s="36">
        <v>3</v>
      </c>
      <c r="AV2547" s="36">
        <v>3</v>
      </c>
      <c r="AW2547" s="36" t="s">
        <v>2707</v>
      </c>
      <c r="BC2547" s="36">
        <v>4999</v>
      </c>
      <c r="BD2547" s="36">
        <v>4009</v>
      </c>
      <c r="BG2547" s="36" t="s">
        <v>2739</v>
      </c>
      <c r="BH2547" s="36">
        <v>2549</v>
      </c>
      <c r="BI2547" s="36">
        <v>3919</v>
      </c>
      <c r="BM2547" s="407"/>
      <c r="BN2547" s="407"/>
      <c r="BR2547" s="407"/>
      <c r="BS2547" s="407"/>
      <c r="IO2547" s="36" t="s">
        <v>2741</v>
      </c>
      <c r="IQ2547" s="230"/>
    </row>
    <row r="2548" spans="1:251" s="36" customFormat="1" x14ac:dyDescent="0.25">
      <c r="A2548" s="36">
        <v>119</v>
      </c>
      <c r="B2548" s="36" t="s">
        <v>2726</v>
      </c>
      <c r="C2548" s="36" t="s">
        <v>2727</v>
      </c>
      <c r="D2548" s="36">
        <v>2005</v>
      </c>
      <c r="E2548" s="36">
        <v>2007</v>
      </c>
      <c r="F2548" s="36" t="s">
        <v>2728</v>
      </c>
      <c r="G2548" s="36" t="s">
        <v>2708</v>
      </c>
      <c r="H2548" s="126" t="s">
        <v>2843</v>
      </c>
      <c r="I2548" s="36">
        <v>-15.5</v>
      </c>
      <c r="J2548" s="36">
        <v>35.25</v>
      </c>
      <c r="K2548" s="36">
        <v>1030</v>
      </c>
      <c r="N2548" s="36">
        <v>1160</v>
      </c>
      <c r="O2548" s="36">
        <v>1024</v>
      </c>
      <c r="Q2548" s="51" t="s">
        <v>1724</v>
      </c>
      <c r="R2548" s="51" t="s">
        <v>1938</v>
      </c>
      <c r="S2548" s="51"/>
      <c r="T2548" s="51" t="s">
        <v>2740</v>
      </c>
      <c r="U2548" s="51" t="s">
        <v>1383</v>
      </c>
      <c r="V2548" s="51" t="s">
        <v>1722</v>
      </c>
      <c r="W2548" s="51" t="s">
        <v>1383</v>
      </c>
      <c r="X2548" s="51" t="s">
        <v>1383</v>
      </c>
      <c r="Z2548" s="331">
        <v>46</v>
      </c>
      <c r="AA2548" s="331">
        <v>8</v>
      </c>
      <c r="AB2548" s="36" t="s">
        <v>2710</v>
      </c>
      <c r="AC2548" s="36">
        <v>5.9</v>
      </c>
      <c r="AD2548" s="36">
        <v>0.88</v>
      </c>
      <c r="AF2548" s="36" t="s">
        <v>2709</v>
      </c>
      <c r="AG2548" s="36" t="s">
        <v>2712</v>
      </c>
      <c r="AH2548" s="36" t="s">
        <v>578</v>
      </c>
      <c r="AI2548" s="36" t="s">
        <v>1650</v>
      </c>
      <c r="AJ2548" s="36" t="s">
        <v>133</v>
      </c>
      <c r="AK2548" s="36" t="s">
        <v>178</v>
      </c>
      <c r="AL2548" s="36" t="s">
        <v>178</v>
      </c>
      <c r="AM2548" s="36" t="s">
        <v>178</v>
      </c>
      <c r="AQ2548" s="36" t="s">
        <v>2732</v>
      </c>
      <c r="AR2548" s="36" t="s">
        <v>2732</v>
      </c>
      <c r="AS2548" s="36" t="s">
        <v>178</v>
      </c>
      <c r="AT2548" s="36" t="s">
        <v>161</v>
      </c>
      <c r="AU2548" s="36">
        <v>3</v>
      </c>
      <c r="AV2548" s="36">
        <v>3</v>
      </c>
      <c r="AW2548" s="36" t="s">
        <v>2707</v>
      </c>
      <c r="BC2548" s="36">
        <v>3235</v>
      </c>
      <c r="BD2548" s="36">
        <v>3563</v>
      </c>
      <c r="BG2548" s="36" t="s">
        <v>2739</v>
      </c>
      <c r="BH2548" s="36">
        <v>3411</v>
      </c>
      <c r="BI2548" s="36">
        <v>4838</v>
      </c>
      <c r="BM2548" s="407"/>
      <c r="BN2548" s="407"/>
      <c r="BR2548" s="407"/>
      <c r="BS2548" s="407"/>
      <c r="IO2548" s="36" t="s">
        <v>2741</v>
      </c>
      <c r="IQ2548" s="230"/>
    </row>
    <row r="2549" spans="1:251" s="36" customFormat="1" x14ac:dyDescent="0.25">
      <c r="A2549" s="36">
        <v>119</v>
      </c>
      <c r="B2549" s="36" t="s">
        <v>2726</v>
      </c>
      <c r="C2549" s="36" t="s">
        <v>2727</v>
      </c>
      <c r="D2549" s="36">
        <v>2005</v>
      </c>
      <c r="E2549" s="36">
        <v>2007</v>
      </c>
      <c r="F2549" s="36" t="s">
        <v>2728</v>
      </c>
      <c r="G2549" s="36" t="s">
        <v>2708</v>
      </c>
      <c r="H2549" s="126" t="s">
        <v>2843</v>
      </c>
      <c r="I2549" s="36">
        <v>-15.5</v>
      </c>
      <c r="J2549" s="36">
        <v>35.25</v>
      </c>
      <c r="K2549" s="36">
        <v>1030</v>
      </c>
      <c r="N2549" s="36">
        <v>1160</v>
      </c>
      <c r="O2549" s="36">
        <v>1024</v>
      </c>
      <c r="Q2549" s="51" t="s">
        <v>1724</v>
      </c>
      <c r="R2549" s="51" t="s">
        <v>1938</v>
      </c>
      <c r="S2549" s="51"/>
      <c r="T2549" s="51" t="s">
        <v>2740</v>
      </c>
      <c r="U2549" s="51" t="s">
        <v>1383</v>
      </c>
      <c r="V2549" s="51" t="s">
        <v>1722</v>
      </c>
      <c r="W2549" s="51" t="s">
        <v>1383</v>
      </c>
      <c r="X2549" s="51" t="s">
        <v>1383</v>
      </c>
      <c r="Z2549" s="331">
        <v>46</v>
      </c>
      <c r="AA2549" s="331">
        <v>8</v>
      </c>
      <c r="AB2549" s="36" t="s">
        <v>2710</v>
      </c>
      <c r="AC2549" s="36">
        <v>5.9</v>
      </c>
      <c r="AD2549" s="36">
        <v>0.88</v>
      </c>
      <c r="AF2549" s="36" t="s">
        <v>2709</v>
      </c>
      <c r="AG2549" s="36" t="s">
        <v>2712</v>
      </c>
      <c r="AH2549" s="36" t="s">
        <v>578</v>
      </c>
      <c r="AI2549" s="36" t="s">
        <v>1650</v>
      </c>
      <c r="AJ2549" s="36" t="s">
        <v>133</v>
      </c>
      <c r="AK2549" s="36" t="s">
        <v>178</v>
      </c>
      <c r="AL2549" s="36" t="s">
        <v>178</v>
      </c>
      <c r="AM2549" s="36" t="s">
        <v>178</v>
      </c>
      <c r="AQ2549" s="36" t="s">
        <v>2733</v>
      </c>
      <c r="AR2549" s="36" t="s">
        <v>2733</v>
      </c>
      <c r="AS2549" s="36" t="s">
        <v>178</v>
      </c>
      <c r="AT2549" s="36" t="s">
        <v>161</v>
      </c>
      <c r="AU2549" s="36">
        <v>3</v>
      </c>
      <c r="AV2549" s="36">
        <v>3</v>
      </c>
      <c r="AW2549" s="36" t="s">
        <v>2707</v>
      </c>
      <c r="BC2549" s="36">
        <v>4026</v>
      </c>
      <c r="BD2549" s="36">
        <v>4373</v>
      </c>
      <c r="BG2549" s="36" t="s">
        <v>2739</v>
      </c>
      <c r="BH2549" s="36">
        <v>3794</v>
      </c>
      <c r="BI2549" s="36">
        <v>5797</v>
      </c>
      <c r="BM2549" s="407"/>
      <c r="BN2549" s="407"/>
      <c r="BR2549" s="407"/>
      <c r="BS2549" s="407"/>
      <c r="IO2549" s="36" t="s">
        <v>2741</v>
      </c>
      <c r="IQ2549" s="230"/>
    </row>
    <row r="2550" spans="1:251" s="36" customFormat="1" x14ac:dyDescent="0.25">
      <c r="A2550" s="36">
        <v>119</v>
      </c>
      <c r="B2550" s="36" t="s">
        <v>2726</v>
      </c>
      <c r="C2550" s="36" t="s">
        <v>2727</v>
      </c>
      <c r="D2550" s="36">
        <v>2005</v>
      </c>
      <c r="E2550" s="36">
        <v>2007</v>
      </c>
      <c r="F2550" s="36" t="s">
        <v>2728</v>
      </c>
      <c r="G2550" s="36" t="s">
        <v>2708</v>
      </c>
      <c r="H2550" s="126" t="s">
        <v>2843</v>
      </c>
      <c r="I2550" s="36">
        <v>-15.5</v>
      </c>
      <c r="J2550" s="36">
        <v>35.25</v>
      </c>
      <c r="K2550" s="36">
        <v>1030</v>
      </c>
      <c r="N2550" s="36">
        <v>1160</v>
      </c>
      <c r="O2550" s="36">
        <v>1024</v>
      </c>
      <c r="Q2550" s="51" t="s">
        <v>1724</v>
      </c>
      <c r="R2550" s="51" t="s">
        <v>1938</v>
      </c>
      <c r="S2550" s="51"/>
      <c r="T2550" s="51" t="s">
        <v>2740</v>
      </c>
      <c r="U2550" s="51" t="s">
        <v>1383</v>
      </c>
      <c r="V2550" s="51" t="s">
        <v>1722</v>
      </c>
      <c r="W2550" s="51" t="s">
        <v>1383</v>
      </c>
      <c r="X2550" s="51" t="s">
        <v>1383</v>
      </c>
      <c r="Z2550" s="331">
        <v>46</v>
      </c>
      <c r="AA2550" s="331">
        <v>8</v>
      </c>
      <c r="AB2550" s="36" t="s">
        <v>2710</v>
      </c>
      <c r="AC2550" s="36">
        <v>5.9</v>
      </c>
      <c r="AD2550" s="36">
        <v>0.88</v>
      </c>
      <c r="AF2550" s="36" t="s">
        <v>2709</v>
      </c>
      <c r="AG2550" s="36" t="s">
        <v>2712</v>
      </c>
      <c r="AH2550" s="36" t="s">
        <v>578</v>
      </c>
      <c r="AI2550" s="36" t="s">
        <v>1650</v>
      </c>
      <c r="AJ2550" s="36" t="s">
        <v>133</v>
      </c>
      <c r="AK2550" s="36" t="s">
        <v>178</v>
      </c>
      <c r="AL2550" s="36" t="s">
        <v>178</v>
      </c>
      <c r="AM2550" s="36" t="s">
        <v>178</v>
      </c>
      <c r="AQ2550" s="36" t="s">
        <v>2734</v>
      </c>
      <c r="AR2550" s="36" t="s">
        <v>2734</v>
      </c>
      <c r="AS2550" s="36" t="s">
        <v>178</v>
      </c>
      <c r="AT2550" s="36" t="s">
        <v>161</v>
      </c>
      <c r="AU2550" s="36">
        <v>3</v>
      </c>
      <c r="AV2550" s="36">
        <v>3</v>
      </c>
      <c r="AW2550" s="36" t="s">
        <v>2707</v>
      </c>
      <c r="BC2550" s="36">
        <v>5736</v>
      </c>
      <c r="BD2550" s="36">
        <v>3833</v>
      </c>
      <c r="BG2550" s="36" t="s">
        <v>2739</v>
      </c>
      <c r="BH2550" s="36">
        <v>5061</v>
      </c>
      <c r="BI2550" s="36">
        <v>6311</v>
      </c>
      <c r="BM2550" s="407"/>
      <c r="BN2550" s="407"/>
      <c r="BR2550" s="407"/>
      <c r="BS2550" s="407"/>
      <c r="IO2550" s="36" t="s">
        <v>2741</v>
      </c>
      <c r="IQ2550" s="230"/>
    </row>
    <row r="2551" spans="1:251" s="36" customFormat="1" x14ac:dyDescent="0.25">
      <c r="A2551" s="36">
        <v>119</v>
      </c>
      <c r="B2551" s="36" t="s">
        <v>2726</v>
      </c>
      <c r="C2551" s="36" t="s">
        <v>2727</v>
      </c>
      <c r="D2551" s="36">
        <v>2005</v>
      </c>
      <c r="E2551" s="36">
        <v>2007</v>
      </c>
      <c r="F2551" s="36" t="s">
        <v>2728</v>
      </c>
      <c r="G2551" s="36" t="s">
        <v>2708</v>
      </c>
      <c r="H2551" s="126" t="s">
        <v>2843</v>
      </c>
      <c r="I2551" s="36">
        <v>-15.5</v>
      </c>
      <c r="J2551" s="36">
        <v>35.25</v>
      </c>
      <c r="K2551" s="36">
        <v>1030</v>
      </c>
      <c r="N2551" s="36">
        <v>1160</v>
      </c>
      <c r="O2551" s="36">
        <v>1024</v>
      </c>
      <c r="Q2551" s="51" t="s">
        <v>1724</v>
      </c>
      <c r="R2551" s="51" t="s">
        <v>1938</v>
      </c>
      <c r="S2551" s="51"/>
      <c r="T2551" s="51" t="s">
        <v>2740</v>
      </c>
      <c r="U2551" s="51" t="s">
        <v>1383</v>
      </c>
      <c r="V2551" s="51" t="s">
        <v>1722</v>
      </c>
      <c r="W2551" s="51" t="s">
        <v>1383</v>
      </c>
      <c r="X2551" s="51" t="s">
        <v>1383</v>
      </c>
      <c r="Z2551" s="331">
        <v>46</v>
      </c>
      <c r="AA2551" s="331">
        <v>8</v>
      </c>
      <c r="AB2551" s="36" t="s">
        <v>2710</v>
      </c>
      <c r="AC2551" s="36">
        <v>5.9</v>
      </c>
      <c r="AD2551" s="36">
        <v>0.88</v>
      </c>
      <c r="AF2551" s="36" t="s">
        <v>2709</v>
      </c>
      <c r="AG2551" s="36" t="s">
        <v>2712</v>
      </c>
      <c r="AH2551" s="36" t="s">
        <v>578</v>
      </c>
      <c r="AI2551" s="36" t="s">
        <v>1650</v>
      </c>
      <c r="AJ2551" s="36" t="s">
        <v>133</v>
      </c>
      <c r="AK2551" s="36" t="s">
        <v>178</v>
      </c>
      <c r="AL2551" s="36" t="s">
        <v>178</v>
      </c>
      <c r="AM2551" s="36" t="s">
        <v>178</v>
      </c>
      <c r="AQ2551" s="36" t="s">
        <v>2735</v>
      </c>
      <c r="AR2551" s="36" t="s">
        <v>2735</v>
      </c>
      <c r="AS2551" s="36" t="s">
        <v>178</v>
      </c>
      <c r="AT2551" s="36" t="s">
        <v>161</v>
      </c>
      <c r="AU2551" s="36">
        <v>3</v>
      </c>
      <c r="AV2551" s="36">
        <v>3</v>
      </c>
      <c r="AW2551" s="36" t="s">
        <v>2707</v>
      </c>
      <c r="BC2551" s="36">
        <v>3283</v>
      </c>
      <c r="BD2551" s="36">
        <v>3448</v>
      </c>
      <c r="BG2551" s="36" t="s">
        <v>2739</v>
      </c>
      <c r="BH2551" s="36">
        <v>5239</v>
      </c>
      <c r="BI2551" s="36">
        <v>5338</v>
      </c>
      <c r="BM2551" s="407"/>
      <c r="BN2551" s="407"/>
      <c r="BR2551" s="407"/>
      <c r="BS2551" s="407"/>
      <c r="IO2551" s="36" t="s">
        <v>2741</v>
      </c>
      <c r="IQ2551" s="230"/>
    </row>
    <row r="2552" spans="1:251" s="36" customFormat="1" x14ac:dyDescent="0.25">
      <c r="A2552" s="36">
        <v>119</v>
      </c>
      <c r="B2552" s="36" t="s">
        <v>2726</v>
      </c>
      <c r="C2552" s="36" t="s">
        <v>2727</v>
      </c>
      <c r="D2552" s="36">
        <v>2005</v>
      </c>
      <c r="E2552" s="36">
        <v>2007</v>
      </c>
      <c r="F2552" s="36" t="s">
        <v>2728</v>
      </c>
      <c r="G2552" s="36" t="s">
        <v>2708</v>
      </c>
      <c r="H2552" s="126" t="s">
        <v>2843</v>
      </c>
      <c r="I2552" s="36">
        <v>-15.5</v>
      </c>
      <c r="J2552" s="36">
        <v>35.25</v>
      </c>
      <c r="K2552" s="36">
        <v>1030</v>
      </c>
      <c r="N2552" s="36">
        <v>1160</v>
      </c>
      <c r="O2552" s="36">
        <v>1024</v>
      </c>
      <c r="Q2552" s="51" t="s">
        <v>1724</v>
      </c>
      <c r="R2552" s="51" t="s">
        <v>1938</v>
      </c>
      <c r="S2552" s="51"/>
      <c r="T2552" s="51" t="s">
        <v>2740</v>
      </c>
      <c r="U2552" s="51" t="s">
        <v>1383</v>
      </c>
      <c r="V2552" s="51" t="s">
        <v>1722</v>
      </c>
      <c r="W2552" s="51" t="s">
        <v>1383</v>
      </c>
      <c r="X2552" s="51" t="s">
        <v>1383</v>
      </c>
      <c r="Z2552" s="331">
        <v>46</v>
      </c>
      <c r="AA2552" s="331">
        <v>8</v>
      </c>
      <c r="AB2552" s="36" t="s">
        <v>2710</v>
      </c>
      <c r="AC2552" s="36">
        <v>5.9</v>
      </c>
      <c r="AD2552" s="36">
        <v>0.88</v>
      </c>
      <c r="AF2552" s="36" t="s">
        <v>2709</v>
      </c>
      <c r="AG2552" s="36" t="s">
        <v>2712</v>
      </c>
      <c r="AH2552" s="36" t="s">
        <v>578</v>
      </c>
      <c r="AI2552" s="36" t="s">
        <v>1650</v>
      </c>
      <c r="AJ2552" s="36" t="s">
        <v>133</v>
      </c>
      <c r="AK2552" s="36" t="s">
        <v>178</v>
      </c>
      <c r="AL2552" s="36" t="s">
        <v>178</v>
      </c>
      <c r="AM2552" s="36" t="s">
        <v>178</v>
      </c>
      <c r="AQ2552" s="36" t="s">
        <v>2736</v>
      </c>
      <c r="AR2552" s="36" t="s">
        <v>2736</v>
      </c>
      <c r="AS2552" s="36" t="s">
        <v>178</v>
      </c>
      <c r="AT2552" s="36" t="s">
        <v>161</v>
      </c>
      <c r="AU2552" s="36">
        <v>3</v>
      </c>
      <c r="AV2552" s="36">
        <v>3</v>
      </c>
      <c r="AW2552" s="36" t="s">
        <v>2707</v>
      </c>
      <c r="BC2552" s="36">
        <v>6222</v>
      </c>
      <c r="BD2552" s="36">
        <v>4725</v>
      </c>
      <c r="BG2552" s="36" t="s">
        <v>2739</v>
      </c>
      <c r="BH2552" s="36">
        <v>4842</v>
      </c>
      <c r="BI2552" s="36">
        <v>6014</v>
      </c>
      <c r="BM2552" s="407"/>
      <c r="BN2552" s="407"/>
      <c r="BR2552" s="407"/>
      <c r="BS2552" s="407"/>
      <c r="IO2552" s="36" t="s">
        <v>2741</v>
      </c>
      <c r="IQ2552" s="230"/>
    </row>
    <row r="2553" spans="1:251" s="24" customFormat="1" x14ac:dyDescent="0.25">
      <c r="A2553" s="24">
        <v>120</v>
      </c>
      <c r="B2553" s="24" t="s">
        <v>2743</v>
      </c>
      <c r="C2553" s="24" t="s">
        <v>2744</v>
      </c>
      <c r="D2553" s="24">
        <v>1997</v>
      </c>
      <c r="E2553" s="24">
        <v>1991</v>
      </c>
      <c r="F2553" s="24" t="s">
        <v>2711</v>
      </c>
      <c r="G2553" s="24" t="s">
        <v>2745</v>
      </c>
      <c r="H2553" s="24" t="s">
        <v>2844</v>
      </c>
      <c r="I2553" s="24">
        <f>6+27/60</f>
        <v>6.45</v>
      </c>
      <c r="J2553" s="24">
        <v>2</v>
      </c>
      <c r="K2553" s="24">
        <v>41.3</v>
      </c>
      <c r="M2553" s="24">
        <v>28.7</v>
      </c>
      <c r="O2553" s="24">
        <v>1244</v>
      </c>
      <c r="Q2553" s="42" t="s">
        <v>1986</v>
      </c>
      <c r="R2553" s="42" t="s">
        <v>1735</v>
      </c>
      <c r="S2553" s="42"/>
      <c r="T2553" s="42" t="s">
        <v>2742</v>
      </c>
      <c r="U2553" s="42"/>
      <c r="V2553" s="42"/>
      <c r="W2553" s="42"/>
      <c r="X2553" s="42"/>
      <c r="Z2553" s="321"/>
      <c r="AA2553" s="321"/>
      <c r="AC2553" s="24">
        <v>4.9000000000000004</v>
      </c>
      <c r="AF2553" s="24" t="s">
        <v>2747</v>
      </c>
      <c r="AG2553" s="24" t="s">
        <v>2749</v>
      </c>
      <c r="AH2553" s="24" t="s">
        <v>578</v>
      </c>
      <c r="AI2553" s="24" t="s">
        <v>1650</v>
      </c>
      <c r="AJ2553" s="24" t="s">
        <v>133</v>
      </c>
      <c r="AT2553" s="24" t="s">
        <v>161</v>
      </c>
      <c r="AU2553" s="24">
        <v>4</v>
      </c>
      <c r="AW2553" s="24" t="s">
        <v>142</v>
      </c>
      <c r="AY2553" s="24">
        <f>AVERAGE(197,188,235)*10</f>
        <v>2066.6666666666665</v>
      </c>
      <c r="BH2553" s="24">
        <f>74.8*10</f>
        <v>748</v>
      </c>
      <c r="BI2553" s="24">
        <v>522</v>
      </c>
      <c r="BL2553" s="24" t="s">
        <v>2750</v>
      </c>
      <c r="BM2553" s="395"/>
      <c r="BN2553" s="395"/>
      <c r="BR2553" s="395"/>
      <c r="BS2553" s="395"/>
      <c r="IQ2553" s="249"/>
    </row>
    <row r="2554" spans="1:251" s="24" customFormat="1" x14ac:dyDescent="0.25">
      <c r="A2554" s="24">
        <v>120</v>
      </c>
      <c r="B2554" s="24" t="s">
        <v>2743</v>
      </c>
      <c r="C2554" s="24" t="s">
        <v>2744</v>
      </c>
      <c r="D2554" s="24">
        <v>1997</v>
      </c>
      <c r="E2554" s="24">
        <v>1992</v>
      </c>
      <c r="F2554" s="24" t="s">
        <v>2711</v>
      </c>
      <c r="G2554" s="24" t="s">
        <v>2745</v>
      </c>
      <c r="H2554" s="24" t="s">
        <v>2844</v>
      </c>
      <c r="I2554" s="24">
        <f>6+27/60</f>
        <v>6.45</v>
      </c>
      <c r="J2554" s="24">
        <v>2</v>
      </c>
      <c r="K2554" s="24">
        <v>41.3</v>
      </c>
      <c r="M2554" s="24">
        <v>28.7</v>
      </c>
      <c r="O2554" s="24">
        <v>1244</v>
      </c>
      <c r="Q2554" s="42" t="s">
        <v>1856</v>
      </c>
      <c r="R2554" s="42" t="s">
        <v>1735</v>
      </c>
      <c r="S2554" s="42"/>
      <c r="T2554" s="42" t="s">
        <v>2742</v>
      </c>
      <c r="U2554" s="42"/>
      <c r="V2554" s="42"/>
      <c r="W2554" s="42"/>
      <c r="X2554" s="42"/>
      <c r="Z2554" s="321"/>
      <c r="AA2554" s="321"/>
      <c r="AC2554" s="24">
        <v>4.9000000000000004</v>
      </c>
      <c r="AF2554" s="24" t="s">
        <v>2747</v>
      </c>
      <c r="AG2554" s="24" t="s">
        <v>2749</v>
      </c>
      <c r="AH2554" s="24" t="s">
        <v>578</v>
      </c>
      <c r="AI2554" s="24" t="s">
        <v>1650</v>
      </c>
      <c r="AJ2554" s="24" t="s">
        <v>133</v>
      </c>
      <c r="AT2554" s="24" t="s">
        <v>161</v>
      </c>
      <c r="AU2554" s="24">
        <v>4</v>
      </c>
      <c r="AW2554" s="24" t="s">
        <v>142</v>
      </c>
      <c r="AY2554" s="24">
        <f>AVERAGE(1192,593,997)*10</f>
        <v>9273.3333333333339</v>
      </c>
      <c r="BH2554" s="24">
        <v>1287</v>
      </c>
      <c r="BI2554" s="24">
        <v>1305</v>
      </c>
      <c r="BL2554" s="24" t="s">
        <v>2750</v>
      </c>
      <c r="BM2554" s="395"/>
      <c r="BN2554" s="395"/>
      <c r="BR2554" s="395"/>
      <c r="BS2554" s="395"/>
      <c r="IQ2554" s="249"/>
    </row>
    <row r="2555" spans="1:251" s="24" customFormat="1" x14ac:dyDescent="0.25">
      <c r="A2555" s="24">
        <v>120</v>
      </c>
      <c r="B2555" s="24" t="s">
        <v>2743</v>
      </c>
      <c r="C2555" s="24" t="s">
        <v>2744</v>
      </c>
      <c r="D2555" s="24">
        <v>1997</v>
      </c>
      <c r="E2555" s="24">
        <v>1991</v>
      </c>
      <c r="F2555" s="24" t="s">
        <v>2711</v>
      </c>
      <c r="G2555" s="24" t="s">
        <v>2746</v>
      </c>
      <c r="H2555" s="24" t="s">
        <v>2844</v>
      </c>
      <c r="I2555" s="24">
        <f>7+58/60</f>
        <v>7.9666666666666668</v>
      </c>
      <c r="J2555" s="24">
        <v>3</v>
      </c>
      <c r="K2555" s="24">
        <v>200</v>
      </c>
      <c r="M2555" s="24">
        <v>28.7</v>
      </c>
      <c r="O2555" s="24">
        <v>1156</v>
      </c>
      <c r="Q2555" s="42" t="s">
        <v>1986</v>
      </c>
      <c r="R2555" s="42" t="s">
        <v>1735</v>
      </c>
      <c r="S2555" s="42"/>
      <c r="T2555" s="42" t="s">
        <v>2742</v>
      </c>
      <c r="U2555" s="42"/>
      <c r="V2555" s="42"/>
      <c r="W2555" s="42"/>
      <c r="X2555" s="42"/>
      <c r="Z2555" s="321"/>
      <c r="AA2555" s="321"/>
      <c r="AC2555" s="24">
        <v>5.6</v>
      </c>
      <c r="AF2555" s="24" t="s">
        <v>2748</v>
      </c>
      <c r="AG2555" s="24" t="s">
        <v>2749</v>
      </c>
      <c r="AH2555" s="24" t="s">
        <v>578</v>
      </c>
      <c r="AI2555" s="24" t="s">
        <v>2338</v>
      </c>
      <c r="AJ2555" s="24" t="s">
        <v>1621</v>
      </c>
      <c r="AT2555" s="24" t="s">
        <v>161</v>
      </c>
      <c r="AU2555" s="24">
        <v>4</v>
      </c>
      <c r="AW2555" s="24" t="s">
        <v>142</v>
      </c>
      <c r="AY2555" s="24">
        <f>AVERAGE(197,188,235)*10</f>
        <v>2066.6666666666665</v>
      </c>
      <c r="BH2555" s="24">
        <v>3184</v>
      </c>
      <c r="BI2555" s="24">
        <v>2362</v>
      </c>
      <c r="BL2555" s="24" t="s">
        <v>2750</v>
      </c>
      <c r="BM2555" s="395"/>
      <c r="BN2555" s="395"/>
      <c r="BR2555" s="395"/>
      <c r="BS2555" s="395"/>
      <c r="IQ2555" s="249"/>
    </row>
    <row r="2556" spans="1:251" s="24" customFormat="1" x14ac:dyDescent="0.25">
      <c r="A2556" s="24">
        <v>120</v>
      </c>
      <c r="B2556" s="24" t="s">
        <v>2743</v>
      </c>
      <c r="C2556" s="24" t="s">
        <v>2744</v>
      </c>
      <c r="D2556" s="24">
        <v>1997</v>
      </c>
      <c r="E2556" s="24">
        <v>1992</v>
      </c>
      <c r="F2556" s="24" t="s">
        <v>2711</v>
      </c>
      <c r="G2556" s="24" t="s">
        <v>2746</v>
      </c>
      <c r="H2556" s="24" t="s">
        <v>2844</v>
      </c>
      <c r="I2556" s="24">
        <f>7+58/60</f>
        <v>7.9666666666666668</v>
      </c>
      <c r="J2556" s="24">
        <v>3</v>
      </c>
      <c r="K2556" s="24">
        <v>200</v>
      </c>
      <c r="M2556" s="24">
        <v>28.7</v>
      </c>
      <c r="O2556" s="24">
        <v>1156</v>
      </c>
      <c r="Q2556" s="42" t="s">
        <v>1856</v>
      </c>
      <c r="R2556" s="42" t="s">
        <v>1735</v>
      </c>
      <c r="S2556" s="42"/>
      <c r="T2556" s="42" t="s">
        <v>2742</v>
      </c>
      <c r="U2556" s="42"/>
      <c r="V2556" s="42"/>
      <c r="W2556" s="42"/>
      <c r="X2556" s="42"/>
      <c r="Z2556" s="321"/>
      <c r="AA2556" s="321"/>
      <c r="AC2556" s="24">
        <v>5.6</v>
      </c>
      <c r="AF2556" s="24" t="s">
        <v>2748</v>
      </c>
      <c r="AG2556" s="24" t="s">
        <v>2749</v>
      </c>
      <c r="AH2556" s="24" t="s">
        <v>578</v>
      </c>
      <c r="AI2556" s="24" t="s">
        <v>2338</v>
      </c>
      <c r="AJ2556" s="24" t="s">
        <v>1621</v>
      </c>
      <c r="AT2556" s="24" t="s">
        <v>161</v>
      </c>
      <c r="AU2556" s="24">
        <v>4</v>
      </c>
      <c r="AW2556" s="24" t="s">
        <v>142</v>
      </c>
      <c r="AY2556" s="24">
        <f>AVERAGE(1192,593,997)*10</f>
        <v>9273.3333333333339</v>
      </c>
      <c r="BH2556" s="24">
        <v>3077</v>
      </c>
      <c r="BI2556" s="24">
        <v>3923</v>
      </c>
      <c r="BL2556" s="24" t="s">
        <v>2750</v>
      </c>
      <c r="BM2556" s="395"/>
      <c r="BN2556" s="395"/>
      <c r="BR2556" s="395"/>
      <c r="BS2556" s="395"/>
      <c r="IQ2556" s="249"/>
    </row>
    <row r="2557" spans="1:251" s="126" customFormat="1" x14ac:dyDescent="0.25">
      <c r="A2557" s="126">
        <v>121</v>
      </c>
      <c r="B2557" s="126" t="s">
        <v>2752</v>
      </c>
      <c r="C2557" s="126" t="s">
        <v>2751</v>
      </c>
      <c r="D2557" s="126">
        <v>1999</v>
      </c>
      <c r="E2557" s="126">
        <v>1995</v>
      </c>
      <c r="F2557" s="126" t="s">
        <v>2753</v>
      </c>
      <c r="G2557" s="126" t="s">
        <v>2754</v>
      </c>
      <c r="H2557" s="126" t="s">
        <v>2839</v>
      </c>
      <c r="I2557" s="126">
        <f t="shared" ref="I2557:I2564" si="322">10+24/60</f>
        <v>10.4</v>
      </c>
      <c r="J2557" s="126">
        <f t="shared" ref="J2557:J2564" si="323">7+42/60</f>
        <v>7.7</v>
      </c>
      <c r="K2557" s="126">
        <v>656</v>
      </c>
      <c r="O2557" s="126">
        <v>1350</v>
      </c>
      <c r="Q2557" s="478" t="s">
        <v>1986</v>
      </c>
      <c r="R2557" s="478" t="s">
        <v>1856</v>
      </c>
      <c r="S2557" s="478"/>
      <c r="T2557" s="478" t="s">
        <v>1962</v>
      </c>
      <c r="U2557" s="478" t="s">
        <v>1386</v>
      </c>
      <c r="V2557" s="478" t="s">
        <v>1724</v>
      </c>
      <c r="W2557" s="478" t="s">
        <v>1386</v>
      </c>
      <c r="X2557" s="478" t="s">
        <v>1386</v>
      </c>
      <c r="Z2557" s="479">
        <v>47.5</v>
      </c>
      <c r="AA2557" s="479">
        <f t="shared" ref="AA2557:AA2596" si="324">100-Z2557-30</f>
        <v>22.5</v>
      </c>
      <c r="AB2557" s="126" t="s">
        <v>519</v>
      </c>
      <c r="AC2557" s="126">
        <v>6.5</v>
      </c>
      <c r="AD2557" s="126">
        <v>0.7</v>
      </c>
      <c r="AG2557" s="126" t="s">
        <v>2757</v>
      </c>
      <c r="AH2557" s="126" t="s">
        <v>578</v>
      </c>
      <c r="AI2557" s="126" t="s">
        <v>1650</v>
      </c>
      <c r="AJ2557" s="126" t="s">
        <v>133</v>
      </c>
      <c r="AT2557" s="126" t="s">
        <v>2756</v>
      </c>
      <c r="AU2557" s="126">
        <v>4</v>
      </c>
      <c r="AW2557" s="126" t="s">
        <v>142</v>
      </c>
      <c r="BC2557" s="126">
        <v>5.4</v>
      </c>
      <c r="BD2557" s="126">
        <v>7</v>
      </c>
      <c r="BE2557" s="126">
        <v>1.75</v>
      </c>
      <c r="BF2557" s="126">
        <v>1.75</v>
      </c>
      <c r="BG2557" s="126" t="s">
        <v>2763</v>
      </c>
      <c r="BH2557" s="126">
        <v>2300</v>
      </c>
      <c r="BI2557" s="126">
        <v>3980</v>
      </c>
      <c r="BL2557" s="126" t="s">
        <v>2760</v>
      </c>
      <c r="BM2557" s="481"/>
      <c r="BN2557" s="481"/>
      <c r="BR2557" s="481"/>
      <c r="BS2557" s="481"/>
      <c r="BW2557" s="126">
        <f>0.055*10000</f>
        <v>550</v>
      </c>
      <c r="BX2557" s="126">
        <v>620</v>
      </c>
      <c r="BY2557" s="126">
        <v>53</v>
      </c>
      <c r="BZ2557" s="126">
        <v>53</v>
      </c>
      <c r="CA2557" s="126" t="s">
        <v>2695</v>
      </c>
      <c r="IQ2557" s="480"/>
    </row>
    <row r="2558" spans="1:251" s="126" customFormat="1" x14ac:dyDescent="0.25">
      <c r="A2558" s="126">
        <v>121</v>
      </c>
      <c r="B2558" s="126" t="s">
        <v>2752</v>
      </c>
      <c r="C2558" s="126" t="s">
        <v>2751</v>
      </c>
      <c r="D2558" s="126">
        <v>1999</v>
      </c>
      <c r="E2558" s="126">
        <v>1995</v>
      </c>
      <c r="F2558" s="126" t="s">
        <v>2753</v>
      </c>
      <c r="G2558" s="126" t="s">
        <v>2754</v>
      </c>
      <c r="H2558" s="126" t="s">
        <v>2839</v>
      </c>
      <c r="I2558" s="126">
        <f t="shared" si="322"/>
        <v>10.4</v>
      </c>
      <c r="J2558" s="126">
        <f t="shared" si="323"/>
        <v>7.7</v>
      </c>
      <c r="K2558" s="126">
        <v>656</v>
      </c>
      <c r="O2558" s="126">
        <v>1350</v>
      </c>
      <c r="Q2558" s="478" t="s">
        <v>1986</v>
      </c>
      <c r="R2558" s="478" t="s">
        <v>1856</v>
      </c>
      <c r="S2558" s="478"/>
      <c r="T2558" s="478" t="s">
        <v>1962</v>
      </c>
      <c r="U2558" s="478" t="s">
        <v>1386</v>
      </c>
      <c r="V2558" s="478" t="s">
        <v>1724</v>
      </c>
      <c r="W2558" s="478" t="s">
        <v>1386</v>
      </c>
      <c r="X2558" s="478" t="s">
        <v>1386</v>
      </c>
      <c r="Z2558" s="479">
        <v>47.5</v>
      </c>
      <c r="AA2558" s="479">
        <f t="shared" si="324"/>
        <v>22.5</v>
      </c>
      <c r="AB2558" s="126" t="s">
        <v>519</v>
      </c>
      <c r="AC2558" s="126">
        <v>6.5</v>
      </c>
      <c r="AD2558" s="126">
        <v>0.7</v>
      </c>
      <c r="AG2558" s="126" t="s">
        <v>2758</v>
      </c>
      <c r="AH2558" s="126" t="s">
        <v>578</v>
      </c>
      <c r="AI2558" s="126" t="s">
        <v>1650</v>
      </c>
      <c r="AJ2558" s="126" t="s">
        <v>133</v>
      </c>
      <c r="AT2558" s="126" t="s">
        <v>2756</v>
      </c>
      <c r="AU2558" s="126">
        <v>4</v>
      </c>
      <c r="AW2558" s="126" t="s">
        <v>142</v>
      </c>
      <c r="BC2558" s="126">
        <v>5.4</v>
      </c>
      <c r="BD2558" s="126">
        <v>11.2</v>
      </c>
      <c r="BG2558" s="126" t="s">
        <v>2763</v>
      </c>
      <c r="BH2558" s="126">
        <v>2300</v>
      </c>
      <c r="BI2558" s="126">
        <v>1860</v>
      </c>
      <c r="BL2558" s="126" t="s">
        <v>2760</v>
      </c>
      <c r="BM2558" s="481"/>
      <c r="BN2558" s="481"/>
      <c r="BR2558" s="481"/>
      <c r="BS2558" s="481"/>
      <c r="BW2558" s="126">
        <f t="shared" ref="BW2558:BW2560" si="325">0.055*10000</f>
        <v>550</v>
      </c>
      <c r="BX2558" s="126">
        <v>600</v>
      </c>
      <c r="CA2558" s="126" t="s">
        <v>2695</v>
      </c>
      <c r="IQ2558" s="480"/>
    </row>
    <row r="2559" spans="1:251" s="126" customFormat="1" x14ac:dyDescent="0.25">
      <c r="A2559" s="126">
        <v>121</v>
      </c>
      <c r="B2559" s="126" t="s">
        <v>2752</v>
      </c>
      <c r="C2559" s="126" t="s">
        <v>2751</v>
      </c>
      <c r="D2559" s="126">
        <v>1999</v>
      </c>
      <c r="E2559" s="126">
        <v>1995</v>
      </c>
      <c r="F2559" s="126" t="s">
        <v>2753</v>
      </c>
      <c r="G2559" s="126" t="s">
        <v>2754</v>
      </c>
      <c r="H2559" s="126" t="s">
        <v>2839</v>
      </c>
      <c r="I2559" s="126">
        <f t="shared" si="322"/>
        <v>10.4</v>
      </c>
      <c r="J2559" s="126">
        <f t="shared" si="323"/>
        <v>7.7</v>
      </c>
      <c r="K2559" s="126">
        <v>656</v>
      </c>
      <c r="O2559" s="126">
        <v>1350</v>
      </c>
      <c r="Q2559" s="478" t="s">
        <v>1986</v>
      </c>
      <c r="R2559" s="478" t="s">
        <v>1856</v>
      </c>
      <c r="S2559" s="478"/>
      <c r="T2559" s="478" t="s">
        <v>1962</v>
      </c>
      <c r="U2559" s="478" t="s">
        <v>1386</v>
      </c>
      <c r="V2559" s="478" t="s">
        <v>1724</v>
      </c>
      <c r="W2559" s="478" t="s">
        <v>1386</v>
      </c>
      <c r="X2559" s="478" t="s">
        <v>1386</v>
      </c>
      <c r="Z2559" s="479">
        <v>47.5</v>
      </c>
      <c r="AA2559" s="479">
        <f t="shared" si="324"/>
        <v>22.5</v>
      </c>
      <c r="AB2559" s="126" t="s">
        <v>519</v>
      </c>
      <c r="AC2559" s="126">
        <v>6.5</v>
      </c>
      <c r="AD2559" s="126">
        <v>0.7</v>
      </c>
      <c r="AG2559" s="126" t="s">
        <v>2759</v>
      </c>
      <c r="AH2559" s="126" t="s">
        <v>578</v>
      </c>
      <c r="AI2559" s="126" t="s">
        <v>1650</v>
      </c>
      <c r="AJ2559" s="126" t="s">
        <v>133</v>
      </c>
      <c r="AT2559" s="126" t="s">
        <v>2756</v>
      </c>
      <c r="AU2559" s="126">
        <v>4</v>
      </c>
      <c r="AW2559" s="126" t="s">
        <v>142</v>
      </c>
      <c r="BC2559" s="126">
        <v>5.4</v>
      </c>
      <c r="BD2559" s="126">
        <v>10.8</v>
      </c>
      <c r="BG2559" s="126" t="s">
        <v>2763</v>
      </c>
      <c r="BH2559" s="126">
        <v>2300</v>
      </c>
      <c r="BI2559" s="126">
        <v>5020</v>
      </c>
      <c r="BL2559" s="126" t="s">
        <v>2760</v>
      </c>
      <c r="BM2559" s="481"/>
      <c r="BN2559" s="481"/>
      <c r="BR2559" s="481"/>
      <c r="BS2559" s="481"/>
      <c r="BW2559" s="126">
        <f t="shared" si="325"/>
        <v>550</v>
      </c>
      <c r="BX2559" s="126">
        <v>700</v>
      </c>
      <c r="CA2559" s="126" t="s">
        <v>2695</v>
      </c>
      <c r="IQ2559" s="480"/>
    </row>
    <row r="2560" spans="1:251" s="126" customFormat="1" x14ac:dyDescent="0.25">
      <c r="A2560" s="126">
        <v>121</v>
      </c>
      <c r="B2560" s="126" t="s">
        <v>2752</v>
      </c>
      <c r="C2560" s="126" t="s">
        <v>2751</v>
      </c>
      <c r="D2560" s="126">
        <v>1999</v>
      </c>
      <c r="E2560" s="126">
        <v>1995</v>
      </c>
      <c r="F2560" s="126" t="s">
        <v>2753</v>
      </c>
      <c r="G2560" s="126" t="s">
        <v>2754</v>
      </c>
      <c r="H2560" s="126" t="s">
        <v>2839</v>
      </c>
      <c r="I2560" s="126">
        <f t="shared" si="322"/>
        <v>10.4</v>
      </c>
      <c r="J2560" s="126">
        <f t="shared" si="323"/>
        <v>7.7</v>
      </c>
      <c r="K2560" s="126">
        <v>656</v>
      </c>
      <c r="O2560" s="126">
        <v>1350</v>
      </c>
      <c r="Q2560" s="478" t="s">
        <v>1986</v>
      </c>
      <c r="R2560" s="478" t="s">
        <v>1856</v>
      </c>
      <c r="S2560" s="478"/>
      <c r="T2560" s="478" t="s">
        <v>1962</v>
      </c>
      <c r="U2560" s="478" t="s">
        <v>1386</v>
      </c>
      <c r="V2560" s="478" t="s">
        <v>1724</v>
      </c>
      <c r="W2560" s="478" t="s">
        <v>1386</v>
      </c>
      <c r="X2560" s="478" t="s">
        <v>1386</v>
      </c>
      <c r="Z2560" s="479">
        <v>47.5</v>
      </c>
      <c r="AA2560" s="479">
        <f t="shared" si="324"/>
        <v>22.5</v>
      </c>
      <c r="AB2560" s="126" t="s">
        <v>519</v>
      </c>
      <c r="AC2560" s="126">
        <v>6.5</v>
      </c>
      <c r="AD2560" s="126">
        <v>0.7</v>
      </c>
      <c r="AG2560" s="126" t="s">
        <v>2337</v>
      </c>
      <c r="AH2560" s="126" t="s">
        <v>578</v>
      </c>
      <c r="AI2560" s="126" t="s">
        <v>1650</v>
      </c>
      <c r="AJ2560" s="126" t="s">
        <v>133</v>
      </c>
      <c r="AT2560" s="126" t="s">
        <v>2756</v>
      </c>
      <c r="AU2560" s="126">
        <v>4</v>
      </c>
      <c r="AW2560" s="126" t="s">
        <v>142</v>
      </c>
      <c r="BC2560" s="126">
        <v>5.4</v>
      </c>
      <c r="BD2560" s="126">
        <v>7.8</v>
      </c>
      <c r="BG2560" s="126" t="s">
        <v>2763</v>
      </c>
      <c r="BH2560" s="126">
        <v>2300</v>
      </c>
      <c r="BI2560" s="126">
        <v>610</v>
      </c>
      <c r="BL2560" s="126" t="s">
        <v>2760</v>
      </c>
      <c r="BM2560" s="481"/>
      <c r="BN2560" s="481"/>
      <c r="BR2560" s="481"/>
      <c r="BS2560" s="481"/>
      <c r="BW2560" s="126">
        <f t="shared" si="325"/>
        <v>550</v>
      </c>
      <c r="BX2560" s="126">
        <v>670</v>
      </c>
      <c r="CA2560" s="126" t="s">
        <v>2695</v>
      </c>
      <c r="IQ2560" s="480"/>
    </row>
    <row r="2561" spans="1:251" s="126" customFormat="1" x14ac:dyDescent="0.25">
      <c r="A2561" s="126">
        <v>121</v>
      </c>
      <c r="B2561" s="126" t="s">
        <v>2752</v>
      </c>
      <c r="C2561" s="126" t="s">
        <v>2751</v>
      </c>
      <c r="D2561" s="126">
        <v>1999</v>
      </c>
      <c r="E2561" s="126">
        <v>1995</v>
      </c>
      <c r="F2561" s="126" t="s">
        <v>2753</v>
      </c>
      <c r="G2561" s="126" t="s">
        <v>2754</v>
      </c>
      <c r="H2561" s="126" t="s">
        <v>2839</v>
      </c>
      <c r="I2561" s="126">
        <f t="shared" si="322"/>
        <v>10.4</v>
      </c>
      <c r="J2561" s="126">
        <f t="shared" si="323"/>
        <v>7.7</v>
      </c>
      <c r="K2561" s="126">
        <v>656</v>
      </c>
      <c r="O2561" s="126">
        <v>1350</v>
      </c>
      <c r="Q2561" s="478" t="s">
        <v>1986</v>
      </c>
      <c r="R2561" s="478" t="s">
        <v>1856</v>
      </c>
      <c r="S2561" s="478"/>
      <c r="T2561" s="478" t="s">
        <v>1962</v>
      </c>
      <c r="U2561" s="478" t="s">
        <v>1386</v>
      </c>
      <c r="V2561" s="478" t="s">
        <v>1724</v>
      </c>
      <c r="W2561" s="478" t="s">
        <v>1386</v>
      </c>
      <c r="X2561" s="478" t="s">
        <v>1386</v>
      </c>
      <c r="Z2561" s="479">
        <v>47.5</v>
      </c>
      <c r="AA2561" s="479">
        <f t="shared" si="324"/>
        <v>22.5</v>
      </c>
      <c r="AB2561" s="126" t="s">
        <v>519</v>
      </c>
      <c r="AC2561" s="126">
        <v>6.5</v>
      </c>
      <c r="AD2561" s="126">
        <v>0.7</v>
      </c>
      <c r="AG2561" s="126" t="s">
        <v>2757</v>
      </c>
      <c r="AH2561" s="126" t="s">
        <v>578</v>
      </c>
      <c r="AI2561" s="126" t="s">
        <v>1650</v>
      </c>
      <c r="AJ2561" s="126" t="s">
        <v>133</v>
      </c>
      <c r="AT2561" s="126" t="s">
        <v>2756</v>
      </c>
      <c r="AU2561" s="126">
        <v>4</v>
      </c>
      <c r="AW2561" s="126" t="s">
        <v>142</v>
      </c>
      <c r="BC2561" s="126">
        <v>4.2</v>
      </c>
      <c r="BD2561" s="126">
        <v>5.3</v>
      </c>
      <c r="BG2561" s="126" t="s">
        <v>2763</v>
      </c>
      <c r="BH2561" s="126">
        <v>2160</v>
      </c>
      <c r="BI2561" s="126">
        <v>6170</v>
      </c>
      <c r="BL2561" s="126" t="s">
        <v>2761</v>
      </c>
      <c r="BM2561" s="481"/>
      <c r="BN2561" s="481"/>
      <c r="BR2561" s="481"/>
      <c r="BS2561" s="481"/>
      <c r="IQ2561" s="480"/>
    </row>
    <row r="2562" spans="1:251" s="126" customFormat="1" x14ac:dyDescent="0.25">
      <c r="A2562" s="126">
        <v>121</v>
      </c>
      <c r="B2562" s="126" t="s">
        <v>2752</v>
      </c>
      <c r="C2562" s="126" t="s">
        <v>2751</v>
      </c>
      <c r="D2562" s="126">
        <v>1999</v>
      </c>
      <c r="E2562" s="126">
        <v>1995</v>
      </c>
      <c r="F2562" s="126" t="s">
        <v>2753</v>
      </c>
      <c r="G2562" s="126" t="s">
        <v>2754</v>
      </c>
      <c r="H2562" s="126" t="s">
        <v>2839</v>
      </c>
      <c r="I2562" s="126">
        <f t="shared" si="322"/>
        <v>10.4</v>
      </c>
      <c r="J2562" s="126">
        <f t="shared" si="323"/>
        <v>7.7</v>
      </c>
      <c r="K2562" s="126">
        <v>656</v>
      </c>
      <c r="O2562" s="126">
        <v>1350</v>
      </c>
      <c r="Q2562" s="478" t="s">
        <v>1986</v>
      </c>
      <c r="R2562" s="478" t="s">
        <v>1856</v>
      </c>
      <c r="S2562" s="478"/>
      <c r="T2562" s="478" t="s">
        <v>1962</v>
      </c>
      <c r="U2562" s="478" t="s">
        <v>1386</v>
      </c>
      <c r="V2562" s="478" t="s">
        <v>1724</v>
      </c>
      <c r="W2562" s="478" t="s">
        <v>1386</v>
      </c>
      <c r="X2562" s="478" t="s">
        <v>1386</v>
      </c>
      <c r="Z2562" s="479">
        <v>47.5</v>
      </c>
      <c r="AA2562" s="479">
        <f t="shared" si="324"/>
        <v>22.5</v>
      </c>
      <c r="AB2562" s="126" t="s">
        <v>519</v>
      </c>
      <c r="AC2562" s="126">
        <v>6.5</v>
      </c>
      <c r="AD2562" s="126">
        <v>0.7</v>
      </c>
      <c r="AG2562" s="126" t="s">
        <v>2758</v>
      </c>
      <c r="AH2562" s="126" t="s">
        <v>578</v>
      </c>
      <c r="AI2562" s="126" t="s">
        <v>1650</v>
      </c>
      <c r="AJ2562" s="126" t="s">
        <v>133</v>
      </c>
      <c r="AT2562" s="126" t="s">
        <v>2756</v>
      </c>
      <c r="AU2562" s="126">
        <v>4</v>
      </c>
      <c r="AW2562" s="126" t="s">
        <v>142</v>
      </c>
      <c r="BC2562" s="126">
        <v>4.2</v>
      </c>
      <c r="BD2562" s="126">
        <v>7.1</v>
      </c>
      <c r="BG2562" s="126" t="s">
        <v>2763</v>
      </c>
      <c r="BH2562" s="126">
        <v>2160</v>
      </c>
      <c r="BI2562" s="126">
        <v>1950</v>
      </c>
      <c r="BL2562" s="126" t="s">
        <v>2761</v>
      </c>
      <c r="BM2562" s="481"/>
      <c r="BN2562" s="481"/>
      <c r="BR2562" s="481"/>
      <c r="BS2562" s="481"/>
      <c r="IQ2562" s="480"/>
    </row>
    <row r="2563" spans="1:251" s="126" customFormat="1" x14ac:dyDescent="0.25">
      <c r="A2563" s="126">
        <v>121</v>
      </c>
      <c r="B2563" s="126" t="s">
        <v>2752</v>
      </c>
      <c r="C2563" s="126" t="s">
        <v>2751</v>
      </c>
      <c r="D2563" s="126">
        <v>1999</v>
      </c>
      <c r="E2563" s="126">
        <v>1995</v>
      </c>
      <c r="F2563" s="126" t="s">
        <v>2753</v>
      </c>
      <c r="G2563" s="126" t="s">
        <v>2754</v>
      </c>
      <c r="H2563" s="126" t="s">
        <v>2839</v>
      </c>
      <c r="I2563" s="126">
        <f t="shared" si="322"/>
        <v>10.4</v>
      </c>
      <c r="J2563" s="126">
        <f t="shared" si="323"/>
        <v>7.7</v>
      </c>
      <c r="K2563" s="126">
        <v>656</v>
      </c>
      <c r="O2563" s="126">
        <v>1350</v>
      </c>
      <c r="Q2563" s="478" t="s">
        <v>1986</v>
      </c>
      <c r="R2563" s="478" t="s">
        <v>1856</v>
      </c>
      <c r="S2563" s="478"/>
      <c r="T2563" s="478" t="s">
        <v>1962</v>
      </c>
      <c r="U2563" s="478" t="s">
        <v>1386</v>
      </c>
      <c r="V2563" s="478" t="s">
        <v>1724</v>
      </c>
      <c r="W2563" s="478" t="s">
        <v>1386</v>
      </c>
      <c r="X2563" s="478" t="s">
        <v>1386</v>
      </c>
      <c r="Z2563" s="479">
        <v>47.5</v>
      </c>
      <c r="AA2563" s="479">
        <f t="shared" si="324"/>
        <v>22.5</v>
      </c>
      <c r="AB2563" s="126" t="s">
        <v>519</v>
      </c>
      <c r="AC2563" s="126">
        <v>6.5</v>
      </c>
      <c r="AD2563" s="126">
        <v>0.7</v>
      </c>
      <c r="AG2563" s="126" t="s">
        <v>2759</v>
      </c>
      <c r="AH2563" s="126" t="s">
        <v>578</v>
      </c>
      <c r="AI2563" s="126" t="s">
        <v>1650</v>
      </c>
      <c r="AJ2563" s="126" t="s">
        <v>133</v>
      </c>
      <c r="AT2563" s="126" t="s">
        <v>2756</v>
      </c>
      <c r="AU2563" s="126">
        <v>4</v>
      </c>
      <c r="AW2563" s="126" t="s">
        <v>142</v>
      </c>
      <c r="BC2563" s="126">
        <v>4.2</v>
      </c>
      <c r="BD2563" s="126">
        <v>7.3</v>
      </c>
      <c r="BG2563" s="126" t="s">
        <v>2763</v>
      </c>
      <c r="BH2563" s="126">
        <v>2160</v>
      </c>
      <c r="BI2563" s="126">
        <v>8030</v>
      </c>
      <c r="BL2563" s="126" t="s">
        <v>2761</v>
      </c>
      <c r="BM2563" s="481"/>
      <c r="BN2563" s="481"/>
      <c r="BR2563" s="481"/>
      <c r="BS2563" s="481"/>
      <c r="IQ2563" s="480"/>
    </row>
    <row r="2564" spans="1:251" s="126" customFormat="1" x14ac:dyDescent="0.25">
      <c r="A2564" s="126">
        <v>121</v>
      </c>
      <c r="B2564" s="126" t="s">
        <v>2752</v>
      </c>
      <c r="C2564" s="126" t="s">
        <v>2751</v>
      </c>
      <c r="D2564" s="126">
        <v>1999</v>
      </c>
      <c r="E2564" s="126">
        <v>1995</v>
      </c>
      <c r="F2564" s="126" t="s">
        <v>2753</v>
      </c>
      <c r="G2564" s="126" t="s">
        <v>2754</v>
      </c>
      <c r="H2564" s="126" t="s">
        <v>2839</v>
      </c>
      <c r="I2564" s="126">
        <f t="shared" si="322"/>
        <v>10.4</v>
      </c>
      <c r="J2564" s="126">
        <f t="shared" si="323"/>
        <v>7.7</v>
      </c>
      <c r="K2564" s="126">
        <v>656</v>
      </c>
      <c r="O2564" s="126">
        <v>1350</v>
      </c>
      <c r="Q2564" s="478" t="s">
        <v>1986</v>
      </c>
      <c r="R2564" s="478" t="s">
        <v>1856</v>
      </c>
      <c r="S2564" s="478"/>
      <c r="T2564" s="478" t="s">
        <v>1962</v>
      </c>
      <c r="U2564" s="478" t="s">
        <v>1386</v>
      </c>
      <c r="V2564" s="478" t="s">
        <v>1724</v>
      </c>
      <c r="W2564" s="478" t="s">
        <v>1386</v>
      </c>
      <c r="X2564" s="478" t="s">
        <v>1386</v>
      </c>
      <c r="Z2564" s="479">
        <v>47.5</v>
      </c>
      <c r="AA2564" s="479">
        <f t="shared" si="324"/>
        <v>22.5</v>
      </c>
      <c r="AB2564" s="126" t="s">
        <v>519</v>
      </c>
      <c r="AC2564" s="126">
        <v>6.5</v>
      </c>
      <c r="AD2564" s="126">
        <v>0.7</v>
      </c>
      <c r="AG2564" s="126" t="s">
        <v>2337</v>
      </c>
      <c r="AH2564" s="126" t="s">
        <v>578</v>
      </c>
      <c r="AI2564" s="126" t="s">
        <v>1650</v>
      </c>
      <c r="AJ2564" s="126" t="s">
        <v>133</v>
      </c>
      <c r="AT2564" s="126" t="s">
        <v>2756</v>
      </c>
      <c r="AU2564" s="126">
        <v>4</v>
      </c>
      <c r="AW2564" s="126" t="s">
        <v>142</v>
      </c>
      <c r="BC2564" s="126">
        <v>4.2</v>
      </c>
      <c r="BD2564" s="126">
        <v>5.8</v>
      </c>
      <c r="BG2564" s="126" t="s">
        <v>2763</v>
      </c>
      <c r="BH2564" s="126">
        <v>2160</v>
      </c>
      <c r="BI2564" s="126">
        <v>620</v>
      </c>
      <c r="BL2564" s="126" t="s">
        <v>2761</v>
      </c>
      <c r="BM2564" s="481"/>
      <c r="BN2564" s="481"/>
      <c r="BR2564" s="481"/>
      <c r="BS2564" s="481"/>
      <c r="IQ2564" s="480"/>
    </row>
    <row r="2565" spans="1:251" s="36" customFormat="1" x14ac:dyDescent="0.25">
      <c r="A2565" s="36">
        <v>121</v>
      </c>
      <c r="B2565" s="36" t="s">
        <v>2752</v>
      </c>
      <c r="C2565" s="36" t="s">
        <v>2751</v>
      </c>
      <c r="D2565" s="36">
        <v>1999</v>
      </c>
      <c r="E2565" s="36">
        <v>1995</v>
      </c>
      <c r="F2565" s="36" t="s">
        <v>2753</v>
      </c>
      <c r="G2565" s="36" t="s">
        <v>2755</v>
      </c>
      <c r="H2565" s="36" t="s">
        <v>2839</v>
      </c>
      <c r="I2565" s="36">
        <f t="shared" ref="I2565:I2572" si="326">10+1/60</f>
        <v>10.016666666666667</v>
      </c>
      <c r="J2565" s="36">
        <f t="shared" ref="J2565:J2572" si="327">9+47/60</f>
        <v>9.7833333333333332</v>
      </c>
      <c r="K2565" s="36">
        <v>542</v>
      </c>
      <c r="O2565" s="36">
        <v>1350</v>
      </c>
      <c r="Q2565" s="51" t="s">
        <v>1986</v>
      </c>
      <c r="R2565" s="51" t="s">
        <v>1856</v>
      </c>
      <c r="S2565" s="51"/>
      <c r="T2565" s="51" t="s">
        <v>1962</v>
      </c>
      <c r="U2565" s="51" t="s">
        <v>1386</v>
      </c>
      <c r="V2565" s="51" t="s">
        <v>1724</v>
      </c>
      <c r="W2565" s="51" t="s">
        <v>1386</v>
      </c>
      <c r="X2565" s="51" t="s">
        <v>1386</v>
      </c>
      <c r="Z2565" s="331">
        <v>47.5</v>
      </c>
      <c r="AA2565" s="331">
        <f t="shared" si="324"/>
        <v>22.5</v>
      </c>
      <c r="AB2565" s="36" t="s">
        <v>519</v>
      </c>
      <c r="AC2565" s="36">
        <v>6.5</v>
      </c>
      <c r="AD2565" s="36">
        <v>0.7</v>
      </c>
      <c r="AG2565" s="36" t="s">
        <v>2757</v>
      </c>
      <c r="AH2565" s="36" t="s">
        <v>578</v>
      </c>
      <c r="AI2565" s="36" t="s">
        <v>1650</v>
      </c>
      <c r="AJ2565" s="36" t="s">
        <v>133</v>
      </c>
      <c r="AT2565" s="36" t="s">
        <v>2756</v>
      </c>
      <c r="AU2565" s="36">
        <v>4</v>
      </c>
      <c r="AW2565" s="36" t="s">
        <v>142</v>
      </c>
      <c r="BC2565" s="36">
        <v>3.9</v>
      </c>
      <c r="BD2565" s="36">
        <v>3.9</v>
      </c>
      <c r="BE2565" s="36">
        <v>0.62</v>
      </c>
      <c r="BF2565" s="36">
        <v>0.62</v>
      </c>
      <c r="BG2565" s="36" t="s">
        <v>2763</v>
      </c>
      <c r="BH2565" s="36">
        <v>2070</v>
      </c>
      <c r="BI2565" s="36">
        <v>1720</v>
      </c>
      <c r="BL2565" s="36" t="s">
        <v>2762</v>
      </c>
      <c r="BM2565" s="407"/>
      <c r="BN2565" s="407"/>
      <c r="BR2565" s="407"/>
      <c r="BS2565" s="407"/>
      <c r="BW2565" s="36">
        <v>400</v>
      </c>
      <c r="BX2565" s="36">
        <v>370</v>
      </c>
      <c r="BY2565" s="36">
        <v>75</v>
      </c>
      <c r="BZ2565" s="36">
        <v>75</v>
      </c>
      <c r="CA2565" s="36" t="s">
        <v>2695</v>
      </c>
      <c r="IQ2565" s="230"/>
    </row>
    <row r="2566" spans="1:251" s="36" customFormat="1" x14ac:dyDescent="0.25">
      <c r="A2566" s="36">
        <v>121</v>
      </c>
      <c r="B2566" s="36" t="s">
        <v>2752</v>
      </c>
      <c r="C2566" s="36" t="s">
        <v>2751</v>
      </c>
      <c r="D2566" s="36">
        <v>1999</v>
      </c>
      <c r="E2566" s="36">
        <v>1995</v>
      </c>
      <c r="F2566" s="36" t="s">
        <v>2753</v>
      </c>
      <c r="G2566" s="36" t="s">
        <v>2755</v>
      </c>
      <c r="H2566" s="36" t="s">
        <v>2839</v>
      </c>
      <c r="I2566" s="36">
        <f t="shared" si="326"/>
        <v>10.016666666666667</v>
      </c>
      <c r="J2566" s="36">
        <f t="shared" si="327"/>
        <v>9.7833333333333332</v>
      </c>
      <c r="K2566" s="36">
        <v>542</v>
      </c>
      <c r="O2566" s="36">
        <v>1350</v>
      </c>
      <c r="Q2566" s="51" t="s">
        <v>1986</v>
      </c>
      <c r="R2566" s="51" t="s">
        <v>1856</v>
      </c>
      <c r="S2566" s="51"/>
      <c r="T2566" s="51" t="s">
        <v>1962</v>
      </c>
      <c r="U2566" s="51" t="s">
        <v>1386</v>
      </c>
      <c r="V2566" s="51" t="s">
        <v>1724</v>
      </c>
      <c r="W2566" s="51" t="s">
        <v>1386</v>
      </c>
      <c r="X2566" s="51" t="s">
        <v>1386</v>
      </c>
      <c r="Z2566" s="331">
        <v>47.5</v>
      </c>
      <c r="AA2566" s="331">
        <f t="shared" si="324"/>
        <v>22.5</v>
      </c>
      <c r="AB2566" s="36" t="s">
        <v>519</v>
      </c>
      <c r="AC2566" s="36">
        <v>6.5</v>
      </c>
      <c r="AD2566" s="36">
        <v>0.7</v>
      </c>
      <c r="AG2566" s="36" t="s">
        <v>2758</v>
      </c>
      <c r="AH2566" s="36" t="s">
        <v>578</v>
      </c>
      <c r="AI2566" s="36" t="s">
        <v>1650</v>
      </c>
      <c r="AJ2566" s="36" t="s">
        <v>133</v>
      </c>
      <c r="AT2566" s="36" t="s">
        <v>2756</v>
      </c>
      <c r="AU2566" s="36">
        <v>4</v>
      </c>
      <c r="AW2566" s="36" t="s">
        <v>142</v>
      </c>
      <c r="BC2566" s="36">
        <v>3.9</v>
      </c>
      <c r="BD2566" s="36">
        <v>4.2</v>
      </c>
      <c r="BG2566" s="36" t="s">
        <v>2763</v>
      </c>
      <c r="BH2566" s="36">
        <v>2070</v>
      </c>
      <c r="BI2566" s="36">
        <v>580</v>
      </c>
      <c r="BL2566" s="36" t="s">
        <v>2762</v>
      </c>
      <c r="BM2566" s="407"/>
      <c r="BN2566" s="407"/>
      <c r="BR2566" s="407"/>
      <c r="BS2566" s="407"/>
      <c r="BW2566" s="36">
        <v>400</v>
      </c>
      <c r="BX2566" s="36">
        <v>450</v>
      </c>
      <c r="CA2566" s="36" t="s">
        <v>2695</v>
      </c>
      <c r="IQ2566" s="230"/>
    </row>
    <row r="2567" spans="1:251" s="36" customFormat="1" x14ac:dyDescent="0.25">
      <c r="A2567" s="36">
        <v>121</v>
      </c>
      <c r="B2567" s="36" t="s">
        <v>2752</v>
      </c>
      <c r="C2567" s="36" t="s">
        <v>2751</v>
      </c>
      <c r="D2567" s="36">
        <v>1999</v>
      </c>
      <c r="E2567" s="36">
        <v>1995</v>
      </c>
      <c r="F2567" s="36" t="s">
        <v>2753</v>
      </c>
      <c r="G2567" s="36" t="s">
        <v>2755</v>
      </c>
      <c r="H2567" s="36" t="s">
        <v>2839</v>
      </c>
      <c r="I2567" s="36">
        <f t="shared" si="326"/>
        <v>10.016666666666667</v>
      </c>
      <c r="J2567" s="36">
        <f t="shared" si="327"/>
        <v>9.7833333333333332</v>
      </c>
      <c r="K2567" s="36">
        <v>542</v>
      </c>
      <c r="O2567" s="36">
        <v>1350</v>
      </c>
      <c r="Q2567" s="51" t="s">
        <v>1986</v>
      </c>
      <c r="R2567" s="51" t="s">
        <v>1856</v>
      </c>
      <c r="S2567" s="51"/>
      <c r="T2567" s="51" t="s">
        <v>1962</v>
      </c>
      <c r="U2567" s="51" t="s">
        <v>1386</v>
      </c>
      <c r="V2567" s="51" t="s">
        <v>1724</v>
      </c>
      <c r="W2567" s="51" t="s">
        <v>1386</v>
      </c>
      <c r="X2567" s="51" t="s">
        <v>1386</v>
      </c>
      <c r="Z2567" s="331">
        <v>47.5</v>
      </c>
      <c r="AA2567" s="331">
        <f t="shared" si="324"/>
        <v>22.5</v>
      </c>
      <c r="AB2567" s="36" t="s">
        <v>519</v>
      </c>
      <c r="AC2567" s="36">
        <v>6.5</v>
      </c>
      <c r="AD2567" s="36">
        <v>0.7</v>
      </c>
      <c r="AG2567" s="36" t="s">
        <v>2759</v>
      </c>
      <c r="AH2567" s="36" t="s">
        <v>578</v>
      </c>
      <c r="AI2567" s="36" t="s">
        <v>1650</v>
      </c>
      <c r="AJ2567" s="36" t="s">
        <v>133</v>
      </c>
      <c r="AT2567" s="36" t="s">
        <v>2756</v>
      </c>
      <c r="AU2567" s="36">
        <v>4</v>
      </c>
      <c r="AW2567" s="36" t="s">
        <v>142</v>
      </c>
      <c r="BC2567" s="36">
        <v>3.9</v>
      </c>
      <c r="BD2567" s="36">
        <v>6</v>
      </c>
      <c r="BG2567" s="36" t="s">
        <v>2763</v>
      </c>
      <c r="BH2567" s="36">
        <v>2070</v>
      </c>
      <c r="BI2567" s="36">
        <v>1980</v>
      </c>
      <c r="BL2567" s="36" t="s">
        <v>2762</v>
      </c>
      <c r="BM2567" s="407"/>
      <c r="BN2567" s="407"/>
      <c r="BR2567" s="407"/>
      <c r="BS2567" s="407"/>
      <c r="BW2567" s="36">
        <v>400</v>
      </c>
      <c r="BX2567" s="36">
        <v>470</v>
      </c>
      <c r="CA2567" s="36" t="s">
        <v>2695</v>
      </c>
      <c r="IQ2567" s="230"/>
    </row>
    <row r="2568" spans="1:251" s="36" customFormat="1" x14ac:dyDescent="0.25">
      <c r="A2568" s="36">
        <v>121</v>
      </c>
      <c r="B2568" s="36" t="s">
        <v>2752</v>
      </c>
      <c r="C2568" s="36" t="s">
        <v>2751</v>
      </c>
      <c r="D2568" s="36">
        <v>1999</v>
      </c>
      <c r="E2568" s="36">
        <v>1995</v>
      </c>
      <c r="F2568" s="36" t="s">
        <v>2753</v>
      </c>
      <c r="G2568" s="36" t="s">
        <v>2755</v>
      </c>
      <c r="H2568" s="36" t="s">
        <v>2839</v>
      </c>
      <c r="I2568" s="36">
        <f t="shared" si="326"/>
        <v>10.016666666666667</v>
      </c>
      <c r="J2568" s="36">
        <f t="shared" si="327"/>
        <v>9.7833333333333332</v>
      </c>
      <c r="K2568" s="36">
        <v>542</v>
      </c>
      <c r="O2568" s="36">
        <v>1350</v>
      </c>
      <c r="Q2568" s="51" t="s">
        <v>1986</v>
      </c>
      <c r="R2568" s="51" t="s">
        <v>1856</v>
      </c>
      <c r="S2568" s="51"/>
      <c r="T2568" s="51" t="s">
        <v>1962</v>
      </c>
      <c r="U2568" s="51" t="s">
        <v>1386</v>
      </c>
      <c r="V2568" s="51" t="s">
        <v>1724</v>
      </c>
      <c r="W2568" s="51" t="s">
        <v>1386</v>
      </c>
      <c r="X2568" s="51" t="s">
        <v>1386</v>
      </c>
      <c r="Z2568" s="331">
        <v>47.5</v>
      </c>
      <c r="AA2568" s="331">
        <f t="shared" si="324"/>
        <v>22.5</v>
      </c>
      <c r="AB2568" s="36" t="s">
        <v>519</v>
      </c>
      <c r="AC2568" s="36">
        <v>6.5</v>
      </c>
      <c r="AD2568" s="36">
        <v>0.7</v>
      </c>
      <c r="AG2568" s="36" t="s">
        <v>2337</v>
      </c>
      <c r="AH2568" s="36" t="s">
        <v>578</v>
      </c>
      <c r="AI2568" s="36" t="s">
        <v>1650</v>
      </c>
      <c r="AJ2568" s="36" t="s">
        <v>133</v>
      </c>
      <c r="AT2568" s="36" t="s">
        <v>2756</v>
      </c>
      <c r="AU2568" s="36">
        <v>4</v>
      </c>
      <c r="AW2568" s="36" t="s">
        <v>142</v>
      </c>
      <c r="BC2568" s="36">
        <v>3.9</v>
      </c>
      <c r="BD2568" s="36">
        <v>6.3</v>
      </c>
      <c r="BG2568" s="36" t="s">
        <v>2763</v>
      </c>
      <c r="BH2568" s="36">
        <v>2070</v>
      </c>
      <c r="BI2568" s="36">
        <v>1440</v>
      </c>
      <c r="BL2568" s="36" t="s">
        <v>2762</v>
      </c>
      <c r="BM2568" s="407"/>
      <c r="BN2568" s="407"/>
      <c r="BR2568" s="407"/>
      <c r="BS2568" s="407"/>
      <c r="BW2568" s="36">
        <v>400</v>
      </c>
      <c r="BX2568" s="36">
        <v>360</v>
      </c>
      <c r="CA2568" s="36" t="s">
        <v>2695</v>
      </c>
      <c r="IQ2568" s="230"/>
    </row>
    <row r="2569" spans="1:251" s="36" customFormat="1" x14ac:dyDescent="0.25">
      <c r="A2569" s="36">
        <v>121</v>
      </c>
      <c r="B2569" s="36" t="s">
        <v>2752</v>
      </c>
      <c r="C2569" s="36" t="s">
        <v>2751</v>
      </c>
      <c r="D2569" s="36">
        <v>1999</v>
      </c>
      <c r="E2569" s="36">
        <v>1995</v>
      </c>
      <c r="F2569" s="36" t="s">
        <v>2753</v>
      </c>
      <c r="G2569" s="36" t="s">
        <v>2755</v>
      </c>
      <c r="H2569" s="36" t="s">
        <v>2839</v>
      </c>
      <c r="I2569" s="36">
        <f t="shared" si="326"/>
        <v>10.016666666666667</v>
      </c>
      <c r="J2569" s="36">
        <f t="shared" si="327"/>
        <v>9.7833333333333332</v>
      </c>
      <c r="K2569" s="36">
        <v>542</v>
      </c>
      <c r="O2569" s="36">
        <v>1350</v>
      </c>
      <c r="Q2569" s="51" t="s">
        <v>1986</v>
      </c>
      <c r="R2569" s="51" t="s">
        <v>1856</v>
      </c>
      <c r="S2569" s="51"/>
      <c r="T2569" s="51" t="s">
        <v>1962</v>
      </c>
      <c r="U2569" s="51" t="s">
        <v>1386</v>
      </c>
      <c r="V2569" s="51" t="s">
        <v>1724</v>
      </c>
      <c r="W2569" s="51" t="s">
        <v>1386</v>
      </c>
      <c r="X2569" s="51" t="s">
        <v>1386</v>
      </c>
      <c r="Z2569" s="331">
        <v>47.5</v>
      </c>
      <c r="AA2569" s="331">
        <f t="shared" si="324"/>
        <v>22.5</v>
      </c>
      <c r="AB2569" s="36" t="s">
        <v>519</v>
      </c>
      <c r="AC2569" s="36">
        <v>6.5</v>
      </c>
      <c r="AD2569" s="36">
        <v>0.7</v>
      </c>
      <c r="AG2569" s="36" t="s">
        <v>2757</v>
      </c>
      <c r="AH2569" s="36" t="s">
        <v>578</v>
      </c>
      <c r="AI2569" s="36" t="s">
        <v>1650</v>
      </c>
      <c r="AJ2569" s="36" t="s">
        <v>133</v>
      </c>
      <c r="AT2569" s="36" t="s">
        <v>2756</v>
      </c>
      <c r="AU2569" s="36">
        <v>4</v>
      </c>
      <c r="AW2569" s="36" t="s">
        <v>142</v>
      </c>
      <c r="BC2569" s="36">
        <v>3.1</v>
      </c>
      <c r="BD2569" s="36">
        <v>2.6</v>
      </c>
      <c r="BG2569" s="36" t="s">
        <v>2763</v>
      </c>
      <c r="BH2569" s="36">
        <v>2490</v>
      </c>
      <c r="BI2569" s="36">
        <v>3370</v>
      </c>
      <c r="BL2569" s="36" t="s">
        <v>2761</v>
      </c>
      <c r="BM2569" s="407"/>
      <c r="BN2569" s="407"/>
      <c r="BR2569" s="407"/>
      <c r="BS2569" s="407"/>
      <c r="IQ2569" s="230"/>
    </row>
    <row r="2570" spans="1:251" s="36" customFormat="1" x14ac:dyDescent="0.25">
      <c r="A2570" s="36">
        <v>121</v>
      </c>
      <c r="B2570" s="36" t="s">
        <v>2752</v>
      </c>
      <c r="C2570" s="36" t="s">
        <v>2751</v>
      </c>
      <c r="D2570" s="36">
        <v>1999</v>
      </c>
      <c r="E2570" s="36">
        <v>1995</v>
      </c>
      <c r="F2570" s="36" t="s">
        <v>2753</v>
      </c>
      <c r="G2570" s="36" t="s">
        <v>2755</v>
      </c>
      <c r="H2570" s="36" t="s">
        <v>2839</v>
      </c>
      <c r="I2570" s="36">
        <f t="shared" si="326"/>
        <v>10.016666666666667</v>
      </c>
      <c r="J2570" s="36">
        <f t="shared" si="327"/>
        <v>9.7833333333333332</v>
      </c>
      <c r="K2570" s="36">
        <v>542</v>
      </c>
      <c r="O2570" s="36">
        <v>1350</v>
      </c>
      <c r="Q2570" s="51" t="s">
        <v>1986</v>
      </c>
      <c r="R2570" s="51" t="s">
        <v>1856</v>
      </c>
      <c r="S2570" s="51"/>
      <c r="T2570" s="51" t="s">
        <v>1962</v>
      </c>
      <c r="U2570" s="51" t="s">
        <v>1386</v>
      </c>
      <c r="V2570" s="51" t="s">
        <v>1724</v>
      </c>
      <c r="W2570" s="51" t="s">
        <v>1386</v>
      </c>
      <c r="X2570" s="51" t="s">
        <v>1386</v>
      </c>
      <c r="Z2570" s="331">
        <v>47.5</v>
      </c>
      <c r="AA2570" s="331">
        <f t="shared" si="324"/>
        <v>22.5</v>
      </c>
      <c r="AB2570" s="36" t="s">
        <v>519</v>
      </c>
      <c r="AC2570" s="36">
        <v>6.5</v>
      </c>
      <c r="AD2570" s="36">
        <v>0.7</v>
      </c>
      <c r="AG2570" s="36" t="s">
        <v>2758</v>
      </c>
      <c r="AH2570" s="36" t="s">
        <v>578</v>
      </c>
      <c r="AI2570" s="36" t="s">
        <v>1650</v>
      </c>
      <c r="AJ2570" s="36" t="s">
        <v>133</v>
      </c>
      <c r="AT2570" s="36" t="s">
        <v>2756</v>
      </c>
      <c r="AU2570" s="36">
        <v>4</v>
      </c>
      <c r="AW2570" s="36" t="s">
        <v>142</v>
      </c>
      <c r="BC2570" s="36">
        <v>3.1</v>
      </c>
      <c r="BD2570" s="36">
        <v>2.8</v>
      </c>
      <c r="BG2570" s="36" t="s">
        <v>2763</v>
      </c>
      <c r="BH2570" s="36">
        <v>2490</v>
      </c>
      <c r="BI2570" s="36">
        <v>1760</v>
      </c>
      <c r="BL2570" s="36" t="s">
        <v>2761</v>
      </c>
      <c r="BM2570" s="407"/>
      <c r="BN2570" s="407"/>
      <c r="BR2570" s="407"/>
      <c r="BS2570" s="407"/>
      <c r="IQ2570" s="230"/>
    </row>
    <row r="2571" spans="1:251" s="36" customFormat="1" x14ac:dyDescent="0.25">
      <c r="A2571" s="36">
        <v>121</v>
      </c>
      <c r="B2571" s="36" t="s">
        <v>2752</v>
      </c>
      <c r="C2571" s="36" t="s">
        <v>2751</v>
      </c>
      <c r="D2571" s="36">
        <v>1999</v>
      </c>
      <c r="E2571" s="36">
        <v>1995</v>
      </c>
      <c r="F2571" s="36" t="s">
        <v>2753</v>
      </c>
      <c r="G2571" s="36" t="s">
        <v>2755</v>
      </c>
      <c r="H2571" s="36" t="s">
        <v>2839</v>
      </c>
      <c r="I2571" s="36">
        <f t="shared" si="326"/>
        <v>10.016666666666667</v>
      </c>
      <c r="J2571" s="36">
        <f t="shared" si="327"/>
        <v>9.7833333333333332</v>
      </c>
      <c r="K2571" s="36">
        <v>542</v>
      </c>
      <c r="O2571" s="36">
        <v>1350</v>
      </c>
      <c r="Q2571" s="51" t="s">
        <v>1986</v>
      </c>
      <c r="R2571" s="51" t="s">
        <v>1856</v>
      </c>
      <c r="S2571" s="51"/>
      <c r="T2571" s="51" t="s">
        <v>1962</v>
      </c>
      <c r="U2571" s="51" t="s">
        <v>1386</v>
      </c>
      <c r="V2571" s="51" t="s">
        <v>1724</v>
      </c>
      <c r="W2571" s="51" t="s">
        <v>1386</v>
      </c>
      <c r="X2571" s="51" t="s">
        <v>1386</v>
      </c>
      <c r="Z2571" s="331">
        <v>47.5</v>
      </c>
      <c r="AA2571" s="331">
        <f t="shared" si="324"/>
        <v>22.5</v>
      </c>
      <c r="AB2571" s="36" t="s">
        <v>519</v>
      </c>
      <c r="AC2571" s="36">
        <v>6.5</v>
      </c>
      <c r="AD2571" s="36">
        <v>0.7</v>
      </c>
      <c r="AG2571" s="36" t="s">
        <v>2759</v>
      </c>
      <c r="AH2571" s="36" t="s">
        <v>578</v>
      </c>
      <c r="AI2571" s="36" t="s">
        <v>1650</v>
      </c>
      <c r="AJ2571" s="36" t="s">
        <v>133</v>
      </c>
      <c r="AT2571" s="36" t="s">
        <v>2756</v>
      </c>
      <c r="AU2571" s="36">
        <v>4</v>
      </c>
      <c r="AW2571" s="36" t="s">
        <v>142</v>
      </c>
      <c r="BC2571" s="36">
        <v>3.1</v>
      </c>
      <c r="BD2571" s="36">
        <v>3.9</v>
      </c>
      <c r="BG2571" s="36" t="s">
        <v>2763</v>
      </c>
      <c r="BH2571" s="36">
        <v>2490</v>
      </c>
      <c r="BI2571" s="36">
        <v>3250</v>
      </c>
      <c r="BL2571" s="36" t="s">
        <v>2761</v>
      </c>
      <c r="BM2571" s="407"/>
      <c r="BN2571" s="407"/>
      <c r="BR2571" s="407"/>
      <c r="BS2571" s="407"/>
      <c r="IQ2571" s="230"/>
    </row>
    <row r="2572" spans="1:251" s="36" customFormat="1" x14ac:dyDescent="0.25">
      <c r="A2572" s="36">
        <v>121</v>
      </c>
      <c r="B2572" s="36" t="s">
        <v>2752</v>
      </c>
      <c r="C2572" s="36" t="s">
        <v>2751</v>
      </c>
      <c r="D2572" s="36">
        <v>1999</v>
      </c>
      <c r="E2572" s="36">
        <v>1995</v>
      </c>
      <c r="F2572" s="36" t="s">
        <v>2753</v>
      </c>
      <c r="G2572" s="36" t="s">
        <v>2755</v>
      </c>
      <c r="H2572" s="36" t="s">
        <v>2839</v>
      </c>
      <c r="I2572" s="36">
        <f t="shared" si="326"/>
        <v>10.016666666666667</v>
      </c>
      <c r="J2572" s="36">
        <f t="shared" si="327"/>
        <v>9.7833333333333332</v>
      </c>
      <c r="K2572" s="36">
        <v>542</v>
      </c>
      <c r="O2572" s="36">
        <v>1350</v>
      </c>
      <c r="Q2572" s="51" t="s">
        <v>1986</v>
      </c>
      <c r="R2572" s="51" t="s">
        <v>1856</v>
      </c>
      <c r="S2572" s="51"/>
      <c r="T2572" s="51" t="s">
        <v>1962</v>
      </c>
      <c r="U2572" s="51" t="s">
        <v>1386</v>
      </c>
      <c r="V2572" s="51" t="s">
        <v>1724</v>
      </c>
      <c r="W2572" s="51" t="s">
        <v>1386</v>
      </c>
      <c r="X2572" s="51" t="s">
        <v>1386</v>
      </c>
      <c r="Z2572" s="331">
        <v>47.5</v>
      </c>
      <c r="AA2572" s="331">
        <f t="shared" si="324"/>
        <v>22.5</v>
      </c>
      <c r="AB2572" s="36" t="s">
        <v>519</v>
      </c>
      <c r="AC2572" s="36">
        <v>6.5</v>
      </c>
      <c r="AD2572" s="36">
        <v>0.7</v>
      </c>
      <c r="AG2572" s="36" t="s">
        <v>2337</v>
      </c>
      <c r="AH2572" s="36" t="s">
        <v>578</v>
      </c>
      <c r="AI2572" s="36" t="s">
        <v>1650</v>
      </c>
      <c r="AJ2572" s="36" t="s">
        <v>133</v>
      </c>
      <c r="AT2572" s="36" t="s">
        <v>2756</v>
      </c>
      <c r="AU2572" s="36">
        <v>4</v>
      </c>
      <c r="AW2572" s="36" t="s">
        <v>142</v>
      </c>
      <c r="BC2572" s="36">
        <v>3.1</v>
      </c>
      <c r="BD2572" s="36">
        <v>3.1</v>
      </c>
      <c r="BG2572" s="36" t="s">
        <v>2763</v>
      </c>
      <c r="BH2572" s="36">
        <v>2490</v>
      </c>
      <c r="BI2572" s="36">
        <v>2310</v>
      </c>
      <c r="BL2572" s="36" t="s">
        <v>2761</v>
      </c>
      <c r="BM2572" s="407"/>
      <c r="BN2572" s="407"/>
      <c r="BR2572" s="407"/>
      <c r="BS2572" s="407"/>
      <c r="IQ2572" s="230"/>
    </row>
    <row r="2573" spans="1:251" s="126" customFormat="1" x14ac:dyDescent="0.25">
      <c r="A2573" s="126">
        <v>121</v>
      </c>
      <c r="B2573" s="126" t="s">
        <v>2752</v>
      </c>
      <c r="C2573" s="126" t="s">
        <v>2751</v>
      </c>
      <c r="D2573" s="126">
        <v>1999</v>
      </c>
      <c r="E2573" s="126">
        <v>1995</v>
      </c>
      <c r="F2573" s="126" t="s">
        <v>2753</v>
      </c>
      <c r="G2573" s="126" t="s">
        <v>2754</v>
      </c>
      <c r="H2573" s="126" t="s">
        <v>2839</v>
      </c>
      <c r="I2573" s="126">
        <f t="shared" ref="I2573:I2584" si="328">10+24/60</f>
        <v>10.4</v>
      </c>
      <c r="J2573" s="126">
        <f t="shared" ref="J2573:J2584" si="329">7+42/60</f>
        <v>7.7</v>
      </c>
      <c r="K2573" s="126">
        <v>656</v>
      </c>
      <c r="O2573" s="126">
        <v>1350</v>
      </c>
      <c r="Q2573" s="478" t="s">
        <v>1986</v>
      </c>
      <c r="R2573" s="478" t="s">
        <v>1856</v>
      </c>
      <c r="S2573" s="478"/>
      <c r="T2573" s="478" t="s">
        <v>1962</v>
      </c>
      <c r="U2573" s="478" t="s">
        <v>1386</v>
      </c>
      <c r="V2573" s="478" t="s">
        <v>1724</v>
      </c>
      <c r="W2573" s="478" t="s">
        <v>1386</v>
      </c>
      <c r="X2573" s="478" t="s">
        <v>1386</v>
      </c>
      <c r="Z2573" s="479">
        <v>47.5</v>
      </c>
      <c r="AA2573" s="479">
        <f t="shared" si="324"/>
        <v>22.5</v>
      </c>
      <c r="AB2573" s="126" t="s">
        <v>519</v>
      </c>
      <c r="AC2573" s="126">
        <v>6.5</v>
      </c>
      <c r="AD2573" s="126">
        <v>0.7</v>
      </c>
      <c r="AG2573" s="126" t="s">
        <v>2757</v>
      </c>
      <c r="AH2573" s="126" t="s">
        <v>578</v>
      </c>
      <c r="AI2573" s="126" t="s">
        <v>1650</v>
      </c>
      <c r="AJ2573" s="126" t="s">
        <v>133</v>
      </c>
      <c r="AQ2573" s="126" t="s">
        <v>162</v>
      </c>
      <c r="AR2573" s="126" t="s">
        <v>162</v>
      </c>
      <c r="AS2573" s="126" t="s">
        <v>178</v>
      </c>
      <c r="AT2573" s="126" t="s">
        <v>2756</v>
      </c>
      <c r="AU2573" s="126">
        <v>4</v>
      </c>
      <c r="AW2573" s="126" t="s">
        <v>142</v>
      </c>
      <c r="BC2573" s="126">
        <v>867</v>
      </c>
      <c r="BD2573" s="126">
        <v>1027</v>
      </c>
      <c r="BE2573" s="126">
        <v>296</v>
      </c>
      <c r="BF2573" s="126">
        <v>296</v>
      </c>
      <c r="BG2573" s="126" t="s">
        <v>570</v>
      </c>
      <c r="BH2573" s="126">
        <v>734</v>
      </c>
      <c r="BI2573" s="126">
        <v>815</v>
      </c>
      <c r="BJ2573" s="126">
        <v>205</v>
      </c>
      <c r="BK2573" s="126">
        <v>205</v>
      </c>
      <c r="BL2573" s="126" t="s">
        <v>2766</v>
      </c>
      <c r="BM2573" s="481"/>
      <c r="BN2573" s="481"/>
      <c r="BR2573" s="481"/>
      <c r="BS2573" s="481"/>
      <c r="IQ2573" s="480"/>
    </row>
    <row r="2574" spans="1:251" s="126" customFormat="1" x14ac:dyDescent="0.25">
      <c r="A2574" s="126">
        <v>121</v>
      </c>
      <c r="B2574" s="126" t="s">
        <v>2752</v>
      </c>
      <c r="C2574" s="126" t="s">
        <v>2751</v>
      </c>
      <c r="D2574" s="126">
        <v>1999</v>
      </c>
      <c r="E2574" s="126">
        <v>1995</v>
      </c>
      <c r="F2574" s="126" t="s">
        <v>2753</v>
      </c>
      <c r="G2574" s="126" t="s">
        <v>2754</v>
      </c>
      <c r="H2574" s="126" t="s">
        <v>2839</v>
      </c>
      <c r="I2574" s="126">
        <f t="shared" si="328"/>
        <v>10.4</v>
      </c>
      <c r="J2574" s="126">
        <f t="shared" si="329"/>
        <v>7.7</v>
      </c>
      <c r="K2574" s="126">
        <v>656</v>
      </c>
      <c r="O2574" s="126">
        <v>1350</v>
      </c>
      <c r="Q2574" s="478" t="s">
        <v>1986</v>
      </c>
      <c r="R2574" s="478" t="s">
        <v>1856</v>
      </c>
      <c r="S2574" s="478"/>
      <c r="T2574" s="478" t="s">
        <v>1962</v>
      </c>
      <c r="U2574" s="478" t="s">
        <v>1386</v>
      </c>
      <c r="V2574" s="478" t="s">
        <v>1724</v>
      </c>
      <c r="W2574" s="478" t="s">
        <v>1386</v>
      </c>
      <c r="X2574" s="478" t="s">
        <v>1386</v>
      </c>
      <c r="Z2574" s="479">
        <v>47.5</v>
      </c>
      <c r="AA2574" s="479">
        <f t="shared" si="324"/>
        <v>22.5</v>
      </c>
      <c r="AB2574" s="126" t="s">
        <v>519</v>
      </c>
      <c r="AC2574" s="126">
        <v>6.5</v>
      </c>
      <c r="AD2574" s="126">
        <v>0.7</v>
      </c>
      <c r="AG2574" s="126" t="s">
        <v>2757</v>
      </c>
      <c r="AH2574" s="126" t="s">
        <v>578</v>
      </c>
      <c r="AI2574" s="126" t="s">
        <v>1650</v>
      </c>
      <c r="AJ2574" s="126" t="s">
        <v>133</v>
      </c>
      <c r="AQ2574" s="126" t="s">
        <v>2764</v>
      </c>
      <c r="AR2574" s="126" t="s">
        <v>2764</v>
      </c>
      <c r="AS2574" s="126" t="s">
        <v>178</v>
      </c>
      <c r="AT2574" s="126" t="s">
        <v>2756</v>
      </c>
      <c r="AU2574" s="126">
        <v>4</v>
      </c>
      <c r="AW2574" s="126" t="s">
        <v>142</v>
      </c>
      <c r="BC2574" s="126">
        <v>1649</v>
      </c>
      <c r="BD2574" s="126">
        <v>1789</v>
      </c>
      <c r="BG2574" s="126" t="s">
        <v>570</v>
      </c>
      <c r="BH2574" s="126">
        <v>1214</v>
      </c>
      <c r="BI2574" s="126">
        <v>1544</v>
      </c>
      <c r="BL2574" s="126" t="s">
        <v>2766</v>
      </c>
      <c r="BM2574" s="481"/>
      <c r="BN2574" s="481"/>
      <c r="BR2574" s="481"/>
      <c r="BS2574" s="481"/>
      <c r="IQ2574" s="480"/>
    </row>
    <row r="2575" spans="1:251" s="126" customFormat="1" x14ac:dyDescent="0.25">
      <c r="A2575" s="126">
        <v>121</v>
      </c>
      <c r="B2575" s="126" t="s">
        <v>2752</v>
      </c>
      <c r="C2575" s="126" t="s">
        <v>2751</v>
      </c>
      <c r="D2575" s="126">
        <v>1999</v>
      </c>
      <c r="E2575" s="126">
        <v>1995</v>
      </c>
      <c r="F2575" s="126" t="s">
        <v>2753</v>
      </c>
      <c r="G2575" s="126" t="s">
        <v>2754</v>
      </c>
      <c r="H2575" s="126" t="s">
        <v>2839</v>
      </c>
      <c r="I2575" s="126">
        <f t="shared" si="328"/>
        <v>10.4</v>
      </c>
      <c r="J2575" s="126">
        <f t="shared" si="329"/>
        <v>7.7</v>
      </c>
      <c r="K2575" s="126">
        <v>656</v>
      </c>
      <c r="O2575" s="126">
        <v>1350</v>
      </c>
      <c r="Q2575" s="478" t="s">
        <v>1986</v>
      </c>
      <c r="R2575" s="478" t="s">
        <v>1856</v>
      </c>
      <c r="S2575" s="478"/>
      <c r="T2575" s="478" t="s">
        <v>1962</v>
      </c>
      <c r="U2575" s="478" t="s">
        <v>1386</v>
      </c>
      <c r="V2575" s="478" t="s">
        <v>1724</v>
      </c>
      <c r="W2575" s="478" t="s">
        <v>1386</v>
      </c>
      <c r="X2575" s="478" t="s">
        <v>1386</v>
      </c>
      <c r="Z2575" s="479">
        <v>47.5</v>
      </c>
      <c r="AA2575" s="479">
        <f t="shared" si="324"/>
        <v>22.5</v>
      </c>
      <c r="AB2575" s="126" t="s">
        <v>519</v>
      </c>
      <c r="AC2575" s="126">
        <v>6.5</v>
      </c>
      <c r="AD2575" s="126">
        <v>0.7</v>
      </c>
      <c r="AG2575" s="126" t="s">
        <v>2757</v>
      </c>
      <c r="AH2575" s="126" t="s">
        <v>578</v>
      </c>
      <c r="AI2575" s="126" t="s">
        <v>1650</v>
      </c>
      <c r="AJ2575" s="126" t="s">
        <v>133</v>
      </c>
      <c r="AQ2575" s="126" t="s">
        <v>2765</v>
      </c>
      <c r="AR2575" s="126" t="s">
        <v>2765</v>
      </c>
      <c r="AS2575" s="126" t="s">
        <v>178</v>
      </c>
      <c r="AT2575" s="126" t="s">
        <v>2756</v>
      </c>
      <c r="AU2575" s="126">
        <v>4</v>
      </c>
      <c r="AW2575" s="126" t="s">
        <v>142</v>
      </c>
      <c r="BC2575" s="126">
        <v>2233</v>
      </c>
      <c r="BD2575" s="126">
        <v>2724</v>
      </c>
      <c r="BG2575" s="126" t="s">
        <v>570</v>
      </c>
      <c r="BH2575" s="126">
        <v>2111</v>
      </c>
      <c r="BI2575" s="126">
        <v>2376</v>
      </c>
      <c r="BL2575" s="126" t="s">
        <v>2766</v>
      </c>
      <c r="BM2575" s="481"/>
      <c r="BN2575" s="481"/>
      <c r="BR2575" s="481"/>
      <c r="BS2575" s="481"/>
      <c r="IQ2575" s="480"/>
    </row>
    <row r="2576" spans="1:251" s="126" customFormat="1" x14ac:dyDescent="0.25">
      <c r="A2576" s="126">
        <v>121</v>
      </c>
      <c r="B2576" s="126" t="s">
        <v>2752</v>
      </c>
      <c r="C2576" s="126" t="s">
        <v>2751</v>
      </c>
      <c r="D2576" s="126">
        <v>1999</v>
      </c>
      <c r="E2576" s="126">
        <v>1995</v>
      </c>
      <c r="F2576" s="126" t="s">
        <v>2753</v>
      </c>
      <c r="G2576" s="126" t="s">
        <v>2754</v>
      </c>
      <c r="H2576" s="126" t="s">
        <v>2839</v>
      </c>
      <c r="I2576" s="126">
        <f t="shared" si="328"/>
        <v>10.4</v>
      </c>
      <c r="J2576" s="126">
        <f t="shared" si="329"/>
        <v>7.7</v>
      </c>
      <c r="K2576" s="126">
        <v>656</v>
      </c>
      <c r="O2576" s="126">
        <v>1350</v>
      </c>
      <c r="Q2576" s="478" t="s">
        <v>1986</v>
      </c>
      <c r="R2576" s="478" t="s">
        <v>1856</v>
      </c>
      <c r="S2576" s="478"/>
      <c r="T2576" s="478" t="s">
        <v>1962</v>
      </c>
      <c r="U2576" s="478" t="s">
        <v>1386</v>
      </c>
      <c r="V2576" s="478" t="s">
        <v>1724</v>
      </c>
      <c r="W2576" s="478" t="s">
        <v>1386</v>
      </c>
      <c r="X2576" s="478" t="s">
        <v>1386</v>
      </c>
      <c r="Z2576" s="479">
        <v>47.5</v>
      </c>
      <c r="AA2576" s="479">
        <f t="shared" si="324"/>
        <v>22.5</v>
      </c>
      <c r="AB2576" s="126" t="s">
        <v>519</v>
      </c>
      <c r="AC2576" s="126">
        <v>6.5</v>
      </c>
      <c r="AD2576" s="126">
        <v>0.7</v>
      </c>
      <c r="AG2576" s="126" t="s">
        <v>2758</v>
      </c>
      <c r="AH2576" s="126" t="s">
        <v>578</v>
      </c>
      <c r="AI2576" s="126" t="s">
        <v>1650</v>
      </c>
      <c r="AJ2576" s="126" t="s">
        <v>133</v>
      </c>
      <c r="AQ2576" s="126" t="s">
        <v>162</v>
      </c>
      <c r="AR2576" s="126" t="s">
        <v>162</v>
      </c>
      <c r="AS2576" s="126" t="s">
        <v>178</v>
      </c>
      <c r="AT2576" s="126" t="s">
        <v>2756</v>
      </c>
      <c r="AU2576" s="126">
        <v>4</v>
      </c>
      <c r="AW2576" s="126" t="s">
        <v>142</v>
      </c>
      <c r="BC2576" s="126">
        <v>867</v>
      </c>
      <c r="BD2576" s="126">
        <v>1706</v>
      </c>
      <c r="BG2576" s="126" t="s">
        <v>570</v>
      </c>
      <c r="BH2576" s="126">
        <v>734</v>
      </c>
      <c r="BI2576" s="126">
        <v>929</v>
      </c>
      <c r="BL2576" s="126" t="s">
        <v>2766</v>
      </c>
      <c r="BM2576" s="481"/>
      <c r="BN2576" s="481"/>
      <c r="BR2576" s="481"/>
      <c r="BS2576" s="481"/>
      <c r="IQ2576" s="480"/>
    </row>
    <row r="2577" spans="1:251" s="126" customFormat="1" x14ac:dyDescent="0.25">
      <c r="A2577" s="126">
        <v>121</v>
      </c>
      <c r="B2577" s="126" t="s">
        <v>2752</v>
      </c>
      <c r="C2577" s="126" t="s">
        <v>2751</v>
      </c>
      <c r="D2577" s="126">
        <v>1999</v>
      </c>
      <c r="E2577" s="126">
        <v>1995</v>
      </c>
      <c r="F2577" s="126" t="s">
        <v>2753</v>
      </c>
      <c r="G2577" s="126" t="s">
        <v>2754</v>
      </c>
      <c r="H2577" s="126" t="s">
        <v>2839</v>
      </c>
      <c r="I2577" s="126">
        <f t="shared" si="328"/>
        <v>10.4</v>
      </c>
      <c r="J2577" s="126">
        <f t="shared" si="329"/>
        <v>7.7</v>
      </c>
      <c r="K2577" s="126">
        <v>656</v>
      </c>
      <c r="O2577" s="126">
        <v>1350</v>
      </c>
      <c r="Q2577" s="478" t="s">
        <v>1986</v>
      </c>
      <c r="R2577" s="478" t="s">
        <v>1856</v>
      </c>
      <c r="S2577" s="478"/>
      <c r="T2577" s="478" t="s">
        <v>1962</v>
      </c>
      <c r="U2577" s="478" t="s">
        <v>1386</v>
      </c>
      <c r="V2577" s="478" t="s">
        <v>1724</v>
      </c>
      <c r="W2577" s="478" t="s">
        <v>1386</v>
      </c>
      <c r="X2577" s="478" t="s">
        <v>1386</v>
      </c>
      <c r="Z2577" s="479">
        <v>47.5</v>
      </c>
      <c r="AA2577" s="479">
        <f t="shared" si="324"/>
        <v>22.5</v>
      </c>
      <c r="AB2577" s="126" t="s">
        <v>519</v>
      </c>
      <c r="AC2577" s="126">
        <v>6.5</v>
      </c>
      <c r="AD2577" s="126">
        <v>0.7</v>
      </c>
      <c r="AG2577" s="126" t="s">
        <v>2758</v>
      </c>
      <c r="AH2577" s="126" t="s">
        <v>578</v>
      </c>
      <c r="AI2577" s="126" t="s">
        <v>1650</v>
      </c>
      <c r="AJ2577" s="126" t="s">
        <v>133</v>
      </c>
      <c r="AQ2577" s="126" t="s">
        <v>2764</v>
      </c>
      <c r="AR2577" s="126" t="s">
        <v>2764</v>
      </c>
      <c r="AS2577" s="126" t="s">
        <v>178</v>
      </c>
      <c r="AT2577" s="126" t="s">
        <v>2756</v>
      </c>
      <c r="AU2577" s="126">
        <v>4</v>
      </c>
      <c r="AW2577" s="126" t="s">
        <v>142</v>
      </c>
      <c r="BC2577" s="126">
        <v>1649</v>
      </c>
      <c r="BD2577" s="126">
        <v>2398</v>
      </c>
      <c r="BG2577" s="126" t="s">
        <v>570</v>
      </c>
      <c r="BH2577" s="126">
        <v>1214</v>
      </c>
      <c r="BI2577" s="126">
        <v>2016</v>
      </c>
      <c r="BL2577" s="126" t="s">
        <v>2766</v>
      </c>
      <c r="BM2577" s="481"/>
      <c r="BN2577" s="481"/>
      <c r="BR2577" s="481"/>
      <c r="BS2577" s="481"/>
      <c r="IQ2577" s="480"/>
    </row>
    <row r="2578" spans="1:251" s="126" customFormat="1" x14ac:dyDescent="0.25">
      <c r="A2578" s="126">
        <v>121</v>
      </c>
      <c r="B2578" s="126" t="s">
        <v>2752</v>
      </c>
      <c r="C2578" s="126" t="s">
        <v>2751</v>
      </c>
      <c r="D2578" s="126">
        <v>1999</v>
      </c>
      <c r="E2578" s="126">
        <v>1995</v>
      </c>
      <c r="F2578" s="126" t="s">
        <v>2753</v>
      </c>
      <c r="G2578" s="126" t="s">
        <v>2754</v>
      </c>
      <c r="H2578" s="126" t="s">
        <v>2839</v>
      </c>
      <c r="I2578" s="126">
        <f t="shared" si="328"/>
        <v>10.4</v>
      </c>
      <c r="J2578" s="126">
        <f t="shared" si="329"/>
        <v>7.7</v>
      </c>
      <c r="K2578" s="126">
        <v>656</v>
      </c>
      <c r="O2578" s="126">
        <v>1350</v>
      </c>
      <c r="Q2578" s="478" t="s">
        <v>1986</v>
      </c>
      <c r="R2578" s="478" t="s">
        <v>1856</v>
      </c>
      <c r="S2578" s="478"/>
      <c r="T2578" s="478" t="s">
        <v>1962</v>
      </c>
      <c r="U2578" s="478" t="s">
        <v>1386</v>
      </c>
      <c r="V2578" s="478" t="s">
        <v>1724</v>
      </c>
      <c r="W2578" s="478" t="s">
        <v>1386</v>
      </c>
      <c r="X2578" s="478" t="s">
        <v>1386</v>
      </c>
      <c r="Z2578" s="479">
        <v>47.5</v>
      </c>
      <c r="AA2578" s="479">
        <f t="shared" si="324"/>
        <v>22.5</v>
      </c>
      <c r="AB2578" s="126" t="s">
        <v>519</v>
      </c>
      <c r="AC2578" s="126">
        <v>6.5</v>
      </c>
      <c r="AD2578" s="126">
        <v>0.7</v>
      </c>
      <c r="AG2578" s="126" t="s">
        <v>2758</v>
      </c>
      <c r="AH2578" s="126" t="s">
        <v>578</v>
      </c>
      <c r="AI2578" s="126" t="s">
        <v>1650</v>
      </c>
      <c r="AJ2578" s="126" t="s">
        <v>133</v>
      </c>
      <c r="AQ2578" s="126" t="s">
        <v>2765</v>
      </c>
      <c r="AR2578" s="126" t="s">
        <v>2765</v>
      </c>
      <c r="AS2578" s="126" t="s">
        <v>178</v>
      </c>
      <c r="AT2578" s="126" t="s">
        <v>2756</v>
      </c>
      <c r="AU2578" s="126">
        <v>4</v>
      </c>
      <c r="AW2578" s="126" t="s">
        <v>142</v>
      </c>
      <c r="BC2578" s="126">
        <v>2233</v>
      </c>
      <c r="BD2578" s="126">
        <v>2444</v>
      </c>
      <c r="BG2578" s="126" t="s">
        <v>570</v>
      </c>
      <c r="BH2578" s="126">
        <v>2111</v>
      </c>
      <c r="BI2578" s="126">
        <v>2482</v>
      </c>
      <c r="BL2578" s="126" t="s">
        <v>2766</v>
      </c>
      <c r="BM2578" s="481"/>
      <c r="BN2578" s="481"/>
      <c r="BR2578" s="481"/>
      <c r="BS2578" s="481"/>
      <c r="IQ2578" s="480"/>
    </row>
    <row r="2579" spans="1:251" s="126" customFormat="1" x14ac:dyDescent="0.25">
      <c r="A2579" s="126">
        <v>121</v>
      </c>
      <c r="B2579" s="126" t="s">
        <v>2752</v>
      </c>
      <c r="C2579" s="126" t="s">
        <v>2751</v>
      </c>
      <c r="D2579" s="126">
        <v>1999</v>
      </c>
      <c r="E2579" s="126">
        <v>1995</v>
      </c>
      <c r="F2579" s="126" t="s">
        <v>2753</v>
      </c>
      <c r="G2579" s="126" t="s">
        <v>2754</v>
      </c>
      <c r="H2579" s="126" t="s">
        <v>2839</v>
      </c>
      <c r="I2579" s="126">
        <f t="shared" si="328"/>
        <v>10.4</v>
      </c>
      <c r="J2579" s="126">
        <f t="shared" si="329"/>
        <v>7.7</v>
      </c>
      <c r="K2579" s="126">
        <v>656</v>
      </c>
      <c r="O2579" s="126">
        <v>1350</v>
      </c>
      <c r="Q2579" s="478" t="s">
        <v>1986</v>
      </c>
      <c r="R2579" s="478" t="s">
        <v>1856</v>
      </c>
      <c r="S2579" s="478"/>
      <c r="T2579" s="478" t="s">
        <v>1962</v>
      </c>
      <c r="U2579" s="478" t="s">
        <v>1386</v>
      </c>
      <c r="V2579" s="478" t="s">
        <v>1724</v>
      </c>
      <c r="W2579" s="478" t="s">
        <v>1386</v>
      </c>
      <c r="X2579" s="478" t="s">
        <v>1386</v>
      </c>
      <c r="Z2579" s="479">
        <v>47.5</v>
      </c>
      <c r="AA2579" s="479">
        <f t="shared" si="324"/>
        <v>22.5</v>
      </c>
      <c r="AB2579" s="126" t="s">
        <v>519</v>
      </c>
      <c r="AC2579" s="126">
        <v>6.5</v>
      </c>
      <c r="AD2579" s="126">
        <v>0.7</v>
      </c>
      <c r="AG2579" s="126" t="s">
        <v>2759</v>
      </c>
      <c r="AH2579" s="126" t="s">
        <v>578</v>
      </c>
      <c r="AI2579" s="126" t="s">
        <v>1650</v>
      </c>
      <c r="AJ2579" s="126" t="s">
        <v>133</v>
      </c>
      <c r="AQ2579" s="126" t="s">
        <v>162</v>
      </c>
      <c r="AR2579" s="126" t="s">
        <v>162</v>
      </c>
      <c r="AS2579" s="126" t="s">
        <v>178</v>
      </c>
      <c r="AT2579" s="126" t="s">
        <v>2756</v>
      </c>
      <c r="AU2579" s="126">
        <v>4</v>
      </c>
      <c r="AW2579" s="126" t="s">
        <v>142</v>
      </c>
      <c r="BC2579" s="126">
        <v>867</v>
      </c>
      <c r="BD2579" s="126">
        <v>1444</v>
      </c>
      <c r="BG2579" s="126" t="s">
        <v>570</v>
      </c>
      <c r="BH2579" s="126">
        <v>734</v>
      </c>
      <c r="BI2579" s="126">
        <v>1212</v>
      </c>
      <c r="BL2579" s="126" t="s">
        <v>2766</v>
      </c>
      <c r="BM2579" s="481"/>
      <c r="BN2579" s="481"/>
      <c r="BR2579" s="481"/>
      <c r="BS2579" s="481"/>
      <c r="IQ2579" s="480"/>
    </row>
    <row r="2580" spans="1:251" s="126" customFormat="1" x14ac:dyDescent="0.25">
      <c r="A2580" s="126">
        <v>121</v>
      </c>
      <c r="B2580" s="126" t="s">
        <v>2752</v>
      </c>
      <c r="C2580" s="126" t="s">
        <v>2751</v>
      </c>
      <c r="D2580" s="126">
        <v>1999</v>
      </c>
      <c r="E2580" s="126">
        <v>1995</v>
      </c>
      <c r="F2580" s="126" t="s">
        <v>2753</v>
      </c>
      <c r="G2580" s="126" t="s">
        <v>2754</v>
      </c>
      <c r="H2580" s="126" t="s">
        <v>2839</v>
      </c>
      <c r="I2580" s="126">
        <f t="shared" si="328"/>
        <v>10.4</v>
      </c>
      <c r="J2580" s="126">
        <f t="shared" si="329"/>
        <v>7.7</v>
      </c>
      <c r="K2580" s="126">
        <v>656</v>
      </c>
      <c r="O2580" s="126">
        <v>1350</v>
      </c>
      <c r="Q2580" s="478" t="s">
        <v>1986</v>
      </c>
      <c r="R2580" s="478" t="s">
        <v>1856</v>
      </c>
      <c r="S2580" s="478"/>
      <c r="T2580" s="478" t="s">
        <v>1962</v>
      </c>
      <c r="U2580" s="478" t="s">
        <v>1386</v>
      </c>
      <c r="V2580" s="478" t="s">
        <v>1724</v>
      </c>
      <c r="W2580" s="478" t="s">
        <v>1386</v>
      </c>
      <c r="X2580" s="478" t="s">
        <v>1386</v>
      </c>
      <c r="Z2580" s="479">
        <v>47.5</v>
      </c>
      <c r="AA2580" s="479">
        <f t="shared" si="324"/>
        <v>22.5</v>
      </c>
      <c r="AB2580" s="126" t="s">
        <v>519</v>
      </c>
      <c r="AC2580" s="126">
        <v>6.5</v>
      </c>
      <c r="AD2580" s="126">
        <v>0.7</v>
      </c>
      <c r="AG2580" s="126" t="s">
        <v>2759</v>
      </c>
      <c r="AH2580" s="126" t="s">
        <v>578</v>
      </c>
      <c r="AI2580" s="126" t="s">
        <v>1650</v>
      </c>
      <c r="AJ2580" s="126" t="s">
        <v>133</v>
      </c>
      <c r="AQ2580" s="126" t="s">
        <v>2764</v>
      </c>
      <c r="AR2580" s="126" t="s">
        <v>2764</v>
      </c>
      <c r="AS2580" s="126" t="s">
        <v>178</v>
      </c>
      <c r="AT2580" s="126" t="s">
        <v>2756</v>
      </c>
      <c r="AU2580" s="126">
        <v>4</v>
      </c>
      <c r="AW2580" s="126" t="s">
        <v>142</v>
      </c>
      <c r="BC2580" s="126">
        <v>1649</v>
      </c>
      <c r="BD2580" s="126">
        <v>3430</v>
      </c>
      <c r="BG2580" s="126" t="s">
        <v>570</v>
      </c>
      <c r="BH2580" s="126">
        <v>1214</v>
      </c>
      <c r="BI2580" s="126">
        <v>2051</v>
      </c>
      <c r="BL2580" s="126" t="s">
        <v>2766</v>
      </c>
      <c r="BM2580" s="481"/>
      <c r="BN2580" s="481"/>
      <c r="BR2580" s="481"/>
      <c r="BS2580" s="481"/>
      <c r="IQ2580" s="480"/>
    </row>
    <row r="2581" spans="1:251" s="126" customFormat="1" x14ac:dyDescent="0.25">
      <c r="A2581" s="126">
        <v>121</v>
      </c>
      <c r="B2581" s="126" t="s">
        <v>2752</v>
      </c>
      <c r="C2581" s="126" t="s">
        <v>2751</v>
      </c>
      <c r="D2581" s="126">
        <v>1999</v>
      </c>
      <c r="E2581" s="126">
        <v>1995</v>
      </c>
      <c r="F2581" s="126" t="s">
        <v>2753</v>
      </c>
      <c r="G2581" s="126" t="s">
        <v>2754</v>
      </c>
      <c r="H2581" s="126" t="s">
        <v>2839</v>
      </c>
      <c r="I2581" s="126">
        <f t="shared" si="328"/>
        <v>10.4</v>
      </c>
      <c r="J2581" s="126">
        <f t="shared" si="329"/>
        <v>7.7</v>
      </c>
      <c r="K2581" s="126">
        <v>656</v>
      </c>
      <c r="O2581" s="126">
        <v>1350</v>
      </c>
      <c r="Q2581" s="478" t="s">
        <v>1986</v>
      </c>
      <c r="R2581" s="478" t="s">
        <v>1856</v>
      </c>
      <c r="S2581" s="478"/>
      <c r="T2581" s="478" t="s">
        <v>1962</v>
      </c>
      <c r="U2581" s="478" t="s">
        <v>1386</v>
      </c>
      <c r="V2581" s="478" t="s">
        <v>1724</v>
      </c>
      <c r="W2581" s="478" t="s">
        <v>1386</v>
      </c>
      <c r="X2581" s="478" t="s">
        <v>1386</v>
      </c>
      <c r="Z2581" s="479">
        <v>47.5</v>
      </c>
      <c r="AA2581" s="479">
        <f t="shared" si="324"/>
        <v>22.5</v>
      </c>
      <c r="AB2581" s="126" t="s">
        <v>519</v>
      </c>
      <c r="AC2581" s="126">
        <v>6.5</v>
      </c>
      <c r="AD2581" s="126">
        <v>0.7</v>
      </c>
      <c r="AG2581" s="126" t="s">
        <v>2759</v>
      </c>
      <c r="AH2581" s="126" t="s">
        <v>578</v>
      </c>
      <c r="AI2581" s="126" t="s">
        <v>1650</v>
      </c>
      <c r="AJ2581" s="126" t="s">
        <v>133</v>
      </c>
      <c r="AQ2581" s="126" t="s">
        <v>2765</v>
      </c>
      <c r="AR2581" s="126" t="s">
        <v>2765</v>
      </c>
      <c r="AS2581" s="126" t="s">
        <v>178</v>
      </c>
      <c r="AT2581" s="126" t="s">
        <v>2756</v>
      </c>
      <c r="AU2581" s="126">
        <v>4</v>
      </c>
      <c r="AW2581" s="126" t="s">
        <v>142</v>
      </c>
      <c r="BC2581" s="126">
        <v>2233</v>
      </c>
      <c r="BD2581" s="126">
        <v>2745</v>
      </c>
      <c r="BG2581" s="126" t="s">
        <v>570</v>
      </c>
      <c r="BH2581" s="126">
        <v>2111</v>
      </c>
      <c r="BI2581" s="126">
        <v>1975</v>
      </c>
      <c r="BL2581" s="126" t="s">
        <v>2766</v>
      </c>
      <c r="BM2581" s="481"/>
      <c r="BN2581" s="481"/>
      <c r="BR2581" s="481"/>
      <c r="BS2581" s="481"/>
      <c r="IQ2581" s="480"/>
    </row>
    <row r="2582" spans="1:251" s="126" customFormat="1" x14ac:dyDescent="0.25">
      <c r="A2582" s="126">
        <v>121</v>
      </c>
      <c r="B2582" s="126" t="s">
        <v>2752</v>
      </c>
      <c r="C2582" s="126" t="s">
        <v>2751</v>
      </c>
      <c r="D2582" s="126">
        <v>1999</v>
      </c>
      <c r="E2582" s="126">
        <v>1995</v>
      </c>
      <c r="F2582" s="126" t="s">
        <v>2753</v>
      </c>
      <c r="G2582" s="126" t="s">
        <v>2754</v>
      </c>
      <c r="H2582" s="126" t="s">
        <v>2839</v>
      </c>
      <c r="I2582" s="126">
        <f t="shared" si="328"/>
        <v>10.4</v>
      </c>
      <c r="J2582" s="126">
        <f t="shared" si="329"/>
        <v>7.7</v>
      </c>
      <c r="K2582" s="126">
        <v>656</v>
      </c>
      <c r="O2582" s="126">
        <v>1350</v>
      </c>
      <c r="Q2582" s="478" t="s">
        <v>1986</v>
      </c>
      <c r="R2582" s="478" t="s">
        <v>1856</v>
      </c>
      <c r="S2582" s="478"/>
      <c r="T2582" s="478" t="s">
        <v>1962</v>
      </c>
      <c r="U2582" s="478" t="s">
        <v>1386</v>
      </c>
      <c r="V2582" s="478" t="s">
        <v>1724</v>
      </c>
      <c r="W2582" s="478" t="s">
        <v>1386</v>
      </c>
      <c r="X2582" s="478" t="s">
        <v>1386</v>
      </c>
      <c r="Z2582" s="479">
        <v>47.5</v>
      </c>
      <c r="AA2582" s="479">
        <f t="shared" si="324"/>
        <v>22.5</v>
      </c>
      <c r="AB2582" s="126" t="s">
        <v>519</v>
      </c>
      <c r="AC2582" s="126">
        <v>6.5</v>
      </c>
      <c r="AD2582" s="126">
        <v>0.7</v>
      </c>
      <c r="AG2582" s="126" t="s">
        <v>2337</v>
      </c>
      <c r="AH2582" s="126" t="s">
        <v>578</v>
      </c>
      <c r="AI2582" s="126" t="s">
        <v>1650</v>
      </c>
      <c r="AJ2582" s="126" t="s">
        <v>133</v>
      </c>
      <c r="AQ2582" s="126" t="s">
        <v>162</v>
      </c>
      <c r="AR2582" s="126" t="s">
        <v>162</v>
      </c>
      <c r="AS2582" s="126" t="s">
        <v>178</v>
      </c>
      <c r="AT2582" s="126" t="s">
        <v>2756</v>
      </c>
      <c r="AU2582" s="126">
        <v>4</v>
      </c>
      <c r="AW2582" s="126" t="s">
        <v>142</v>
      </c>
      <c r="BC2582" s="126">
        <v>867</v>
      </c>
      <c r="BD2582" s="126">
        <v>1168</v>
      </c>
      <c r="BG2582" s="126" t="s">
        <v>570</v>
      </c>
      <c r="BH2582" s="126">
        <v>734</v>
      </c>
      <c r="BI2582" s="126">
        <v>895</v>
      </c>
      <c r="BL2582" s="126" t="s">
        <v>2766</v>
      </c>
      <c r="BM2582" s="481"/>
      <c r="BN2582" s="481"/>
      <c r="BR2582" s="481"/>
      <c r="BS2582" s="481"/>
      <c r="IQ2582" s="480"/>
    </row>
    <row r="2583" spans="1:251" s="126" customFormat="1" x14ac:dyDescent="0.25">
      <c r="A2583" s="126">
        <v>121</v>
      </c>
      <c r="B2583" s="126" t="s">
        <v>2752</v>
      </c>
      <c r="C2583" s="126" t="s">
        <v>2751</v>
      </c>
      <c r="D2583" s="126">
        <v>1999</v>
      </c>
      <c r="E2583" s="126">
        <v>1995</v>
      </c>
      <c r="F2583" s="126" t="s">
        <v>2753</v>
      </c>
      <c r="G2583" s="126" t="s">
        <v>2754</v>
      </c>
      <c r="H2583" s="126" t="s">
        <v>2839</v>
      </c>
      <c r="I2583" s="126">
        <f t="shared" si="328"/>
        <v>10.4</v>
      </c>
      <c r="J2583" s="126">
        <f t="shared" si="329"/>
        <v>7.7</v>
      </c>
      <c r="K2583" s="126">
        <v>656</v>
      </c>
      <c r="O2583" s="126">
        <v>1350</v>
      </c>
      <c r="Q2583" s="478" t="s">
        <v>1986</v>
      </c>
      <c r="R2583" s="478" t="s">
        <v>1856</v>
      </c>
      <c r="S2583" s="478"/>
      <c r="T2583" s="478" t="s">
        <v>1962</v>
      </c>
      <c r="U2583" s="478" t="s">
        <v>1386</v>
      </c>
      <c r="V2583" s="478" t="s">
        <v>1724</v>
      </c>
      <c r="W2583" s="478" t="s">
        <v>1386</v>
      </c>
      <c r="X2583" s="478" t="s">
        <v>1386</v>
      </c>
      <c r="Z2583" s="479">
        <v>47.5</v>
      </c>
      <c r="AA2583" s="479">
        <f t="shared" si="324"/>
        <v>22.5</v>
      </c>
      <c r="AB2583" s="126" t="s">
        <v>519</v>
      </c>
      <c r="AC2583" s="126">
        <v>6.5</v>
      </c>
      <c r="AD2583" s="126">
        <v>0.7</v>
      </c>
      <c r="AG2583" s="126" t="s">
        <v>2337</v>
      </c>
      <c r="AH2583" s="126" t="s">
        <v>578</v>
      </c>
      <c r="AI2583" s="126" t="s">
        <v>1650</v>
      </c>
      <c r="AJ2583" s="126" t="s">
        <v>133</v>
      </c>
      <c r="AQ2583" s="126" t="s">
        <v>2764</v>
      </c>
      <c r="AR2583" s="126" t="s">
        <v>2764</v>
      </c>
      <c r="AS2583" s="126" t="s">
        <v>178</v>
      </c>
      <c r="AT2583" s="126" t="s">
        <v>2756</v>
      </c>
      <c r="AU2583" s="126">
        <v>4</v>
      </c>
      <c r="AW2583" s="126" t="s">
        <v>142</v>
      </c>
      <c r="BC2583" s="126">
        <v>1649</v>
      </c>
      <c r="BD2583" s="126">
        <v>1830</v>
      </c>
      <c r="BG2583" s="126" t="s">
        <v>570</v>
      </c>
      <c r="BH2583" s="126">
        <v>1214</v>
      </c>
      <c r="BI2583" s="126">
        <v>1610</v>
      </c>
      <c r="BL2583" s="126" t="s">
        <v>2766</v>
      </c>
      <c r="BM2583" s="481"/>
      <c r="BN2583" s="481"/>
      <c r="BR2583" s="481"/>
      <c r="BS2583" s="481"/>
      <c r="IQ2583" s="480"/>
    </row>
    <row r="2584" spans="1:251" s="126" customFormat="1" x14ac:dyDescent="0.25">
      <c r="A2584" s="126">
        <v>121</v>
      </c>
      <c r="B2584" s="126" t="s">
        <v>2752</v>
      </c>
      <c r="C2584" s="126" t="s">
        <v>2751</v>
      </c>
      <c r="D2584" s="126">
        <v>1999</v>
      </c>
      <c r="E2584" s="126">
        <v>1995</v>
      </c>
      <c r="F2584" s="126" t="s">
        <v>2753</v>
      </c>
      <c r="G2584" s="126" t="s">
        <v>2754</v>
      </c>
      <c r="H2584" s="126" t="s">
        <v>2839</v>
      </c>
      <c r="I2584" s="126">
        <f t="shared" si="328"/>
        <v>10.4</v>
      </c>
      <c r="J2584" s="126">
        <f t="shared" si="329"/>
        <v>7.7</v>
      </c>
      <c r="K2584" s="126">
        <v>656</v>
      </c>
      <c r="O2584" s="126">
        <v>1350</v>
      </c>
      <c r="Q2584" s="478" t="s">
        <v>1986</v>
      </c>
      <c r="R2584" s="478" t="s">
        <v>1856</v>
      </c>
      <c r="S2584" s="478"/>
      <c r="T2584" s="478" t="s">
        <v>1962</v>
      </c>
      <c r="U2584" s="478" t="s">
        <v>1386</v>
      </c>
      <c r="V2584" s="478" t="s">
        <v>1724</v>
      </c>
      <c r="W2584" s="478" t="s">
        <v>1386</v>
      </c>
      <c r="X2584" s="478" t="s">
        <v>1386</v>
      </c>
      <c r="Z2584" s="479">
        <v>47.5</v>
      </c>
      <c r="AA2584" s="479">
        <f t="shared" si="324"/>
        <v>22.5</v>
      </c>
      <c r="AB2584" s="126" t="s">
        <v>519</v>
      </c>
      <c r="AC2584" s="126">
        <v>6.5</v>
      </c>
      <c r="AD2584" s="126">
        <v>0.7</v>
      </c>
      <c r="AG2584" s="126" t="s">
        <v>2337</v>
      </c>
      <c r="AH2584" s="126" t="s">
        <v>578</v>
      </c>
      <c r="AI2584" s="126" t="s">
        <v>1650</v>
      </c>
      <c r="AJ2584" s="126" t="s">
        <v>133</v>
      </c>
      <c r="AQ2584" s="126" t="s">
        <v>2765</v>
      </c>
      <c r="AR2584" s="126" t="s">
        <v>2765</v>
      </c>
      <c r="AS2584" s="126" t="s">
        <v>178</v>
      </c>
      <c r="AT2584" s="126" t="s">
        <v>2756</v>
      </c>
      <c r="AU2584" s="126">
        <v>4</v>
      </c>
      <c r="AW2584" s="126" t="s">
        <v>142</v>
      </c>
      <c r="BC2584" s="126">
        <v>2233</v>
      </c>
      <c r="BD2584" s="126">
        <v>1859</v>
      </c>
      <c r="BG2584" s="126" t="s">
        <v>570</v>
      </c>
      <c r="BH2584" s="126">
        <v>2111</v>
      </c>
      <c r="BI2584" s="126">
        <v>1572</v>
      </c>
      <c r="BL2584" s="126" t="s">
        <v>2766</v>
      </c>
      <c r="BM2584" s="481"/>
      <c r="BN2584" s="481"/>
      <c r="BR2584" s="481"/>
      <c r="BS2584" s="481"/>
      <c r="IQ2584" s="480"/>
    </row>
    <row r="2585" spans="1:251" s="36" customFormat="1" x14ac:dyDescent="0.25">
      <c r="A2585" s="36">
        <v>121</v>
      </c>
      <c r="B2585" s="36" t="s">
        <v>2752</v>
      </c>
      <c r="C2585" s="36" t="s">
        <v>2751</v>
      </c>
      <c r="D2585" s="36">
        <v>1999</v>
      </c>
      <c r="E2585" s="36">
        <v>1995</v>
      </c>
      <c r="F2585" s="36" t="s">
        <v>2753</v>
      </c>
      <c r="G2585" s="36" t="s">
        <v>2755</v>
      </c>
      <c r="H2585" s="36" t="s">
        <v>2839</v>
      </c>
      <c r="I2585" s="36">
        <v>10.016666666666667</v>
      </c>
      <c r="J2585" s="36">
        <v>9.7833333333333332</v>
      </c>
      <c r="K2585" s="36">
        <v>542</v>
      </c>
      <c r="O2585" s="36">
        <v>1350</v>
      </c>
      <c r="Q2585" s="51" t="s">
        <v>1986</v>
      </c>
      <c r="R2585" s="51" t="s">
        <v>1856</v>
      </c>
      <c r="S2585" s="51"/>
      <c r="T2585" s="51" t="s">
        <v>1962</v>
      </c>
      <c r="U2585" s="51" t="s">
        <v>1386</v>
      </c>
      <c r="V2585" s="51" t="s">
        <v>1724</v>
      </c>
      <c r="W2585" s="51" t="s">
        <v>1386</v>
      </c>
      <c r="X2585" s="51" t="s">
        <v>1386</v>
      </c>
      <c r="Z2585" s="331">
        <v>47.5</v>
      </c>
      <c r="AA2585" s="331">
        <f t="shared" si="324"/>
        <v>22.5</v>
      </c>
      <c r="AB2585" s="36" t="s">
        <v>519</v>
      </c>
      <c r="AC2585" s="36">
        <v>6.5</v>
      </c>
      <c r="AD2585" s="36">
        <v>0.7</v>
      </c>
      <c r="AG2585" s="36" t="s">
        <v>2757</v>
      </c>
      <c r="AH2585" s="36" t="s">
        <v>578</v>
      </c>
      <c r="AI2585" s="36" t="s">
        <v>1650</v>
      </c>
      <c r="AJ2585" s="36" t="s">
        <v>133</v>
      </c>
      <c r="AQ2585" s="36" t="s">
        <v>162</v>
      </c>
      <c r="AR2585" s="36" t="s">
        <v>162</v>
      </c>
      <c r="AS2585" s="36" t="s">
        <v>178</v>
      </c>
      <c r="AT2585" s="36" t="s">
        <v>2756</v>
      </c>
      <c r="AU2585" s="36">
        <v>4</v>
      </c>
      <c r="AW2585" s="36" t="s">
        <v>142</v>
      </c>
      <c r="BC2585" s="36">
        <v>720</v>
      </c>
      <c r="BD2585" s="36">
        <v>1133</v>
      </c>
      <c r="BE2585" s="36">
        <v>204</v>
      </c>
      <c r="BF2585" s="36">
        <v>204</v>
      </c>
      <c r="BG2585" s="36" t="s">
        <v>570</v>
      </c>
      <c r="BH2585" s="36">
        <v>565</v>
      </c>
      <c r="BI2585" s="36">
        <v>988</v>
      </c>
      <c r="BJ2585" s="36">
        <v>296</v>
      </c>
      <c r="BK2585" s="36">
        <v>296</v>
      </c>
      <c r="BL2585" s="36" t="s">
        <v>2766</v>
      </c>
      <c r="BM2585" s="407"/>
      <c r="BN2585" s="407"/>
      <c r="BR2585" s="407"/>
      <c r="BS2585" s="407"/>
      <c r="IQ2585" s="230"/>
    </row>
    <row r="2586" spans="1:251" s="36" customFormat="1" x14ac:dyDescent="0.25">
      <c r="A2586" s="36">
        <v>121</v>
      </c>
      <c r="B2586" s="36" t="s">
        <v>2752</v>
      </c>
      <c r="C2586" s="36" t="s">
        <v>2751</v>
      </c>
      <c r="D2586" s="36">
        <v>1999</v>
      </c>
      <c r="E2586" s="36">
        <v>1995</v>
      </c>
      <c r="F2586" s="36" t="s">
        <v>2753</v>
      </c>
      <c r="G2586" s="36" t="s">
        <v>2755</v>
      </c>
      <c r="H2586" s="36" t="s">
        <v>2839</v>
      </c>
      <c r="I2586" s="36">
        <v>10.016666666666667</v>
      </c>
      <c r="J2586" s="36">
        <v>9.7833333333333332</v>
      </c>
      <c r="K2586" s="36">
        <v>542</v>
      </c>
      <c r="O2586" s="36">
        <v>1350</v>
      </c>
      <c r="Q2586" s="51" t="s">
        <v>1986</v>
      </c>
      <c r="R2586" s="51" t="s">
        <v>1856</v>
      </c>
      <c r="S2586" s="51"/>
      <c r="T2586" s="51" t="s">
        <v>1962</v>
      </c>
      <c r="U2586" s="51" t="s">
        <v>1386</v>
      </c>
      <c r="V2586" s="51" t="s">
        <v>1724</v>
      </c>
      <c r="W2586" s="51" t="s">
        <v>1386</v>
      </c>
      <c r="X2586" s="51" t="s">
        <v>1386</v>
      </c>
      <c r="Z2586" s="331">
        <v>47.5</v>
      </c>
      <c r="AA2586" s="331">
        <f t="shared" si="324"/>
        <v>22.5</v>
      </c>
      <c r="AB2586" s="36" t="s">
        <v>519</v>
      </c>
      <c r="AC2586" s="36">
        <v>6.5</v>
      </c>
      <c r="AD2586" s="36">
        <v>0.7</v>
      </c>
      <c r="AG2586" s="36" t="s">
        <v>2757</v>
      </c>
      <c r="AH2586" s="36" t="s">
        <v>578</v>
      </c>
      <c r="AI2586" s="36" t="s">
        <v>1650</v>
      </c>
      <c r="AJ2586" s="36" t="s">
        <v>133</v>
      </c>
      <c r="AQ2586" s="36" t="s">
        <v>2764</v>
      </c>
      <c r="AR2586" s="36" t="s">
        <v>2764</v>
      </c>
      <c r="AS2586" s="36" t="s">
        <v>178</v>
      </c>
      <c r="AT2586" s="36" t="s">
        <v>2756</v>
      </c>
      <c r="AU2586" s="36">
        <v>4</v>
      </c>
      <c r="AW2586" s="36" t="s">
        <v>142</v>
      </c>
      <c r="BC2586" s="36">
        <v>1687</v>
      </c>
      <c r="BD2586" s="36">
        <v>1787</v>
      </c>
      <c r="BG2586" s="36" t="s">
        <v>570</v>
      </c>
      <c r="BH2586" s="36">
        <v>2107</v>
      </c>
      <c r="BI2586" s="36">
        <v>2053</v>
      </c>
      <c r="BL2586" s="36" t="s">
        <v>2766</v>
      </c>
      <c r="BM2586" s="407"/>
      <c r="BN2586" s="407"/>
      <c r="BR2586" s="407"/>
      <c r="BS2586" s="407"/>
      <c r="IQ2586" s="230"/>
    </row>
    <row r="2587" spans="1:251" s="36" customFormat="1" x14ac:dyDescent="0.25">
      <c r="A2587" s="36">
        <v>121</v>
      </c>
      <c r="B2587" s="36" t="s">
        <v>2752</v>
      </c>
      <c r="C2587" s="36" t="s">
        <v>2751</v>
      </c>
      <c r="D2587" s="36">
        <v>1999</v>
      </c>
      <c r="E2587" s="36">
        <v>1995</v>
      </c>
      <c r="F2587" s="36" t="s">
        <v>2753</v>
      </c>
      <c r="G2587" s="36" t="s">
        <v>2755</v>
      </c>
      <c r="H2587" s="36" t="s">
        <v>2839</v>
      </c>
      <c r="I2587" s="36">
        <v>10.016666666666667</v>
      </c>
      <c r="J2587" s="36">
        <v>9.7833333333333332</v>
      </c>
      <c r="K2587" s="36">
        <v>542</v>
      </c>
      <c r="O2587" s="36">
        <v>1350</v>
      </c>
      <c r="Q2587" s="51" t="s">
        <v>1986</v>
      </c>
      <c r="R2587" s="51" t="s">
        <v>1856</v>
      </c>
      <c r="S2587" s="51"/>
      <c r="T2587" s="51" t="s">
        <v>1962</v>
      </c>
      <c r="U2587" s="51" t="s">
        <v>1386</v>
      </c>
      <c r="V2587" s="51" t="s">
        <v>1724</v>
      </c>
      <c r="W2587" s="51" t="s">
        <v>1386</v>
      </c>
      <c r="X2587" s="51" t="s">
        <v>1386</v>
      </c>
      <c r="Z2587" s="331">
        <v>47.5</v>
      </c>
      <c r="AA2587" s="331">
        <f t="shared" si="324"/>
        <v>22.5</v>
      </c>
      <c r="AB2587" s="36" t="s">
        <v>519</v>
      </c>
      <c r="AC2587" s="36">
        <v>6.5</v>
      </c>
      <c r="AD2587" s="36">
        <v>0.7</v>
      </c>
      <c r="AG2587" s="36" t="s">
        <v>2757</v>
      </c>
      <c r="AH2587" s="36" t="s">
        <v>578</v>
      </c>
      <c r="AI2587" s="36" t="s">
        <v>1650</v>
      </c>
      <c r="AJ2587" s="36" t="s">
        <v>133</v>
      </c>
      <c r="AQ2587" s="36" t="s">
        <v>2765</v>
      </c>
      <c r="AR2587" s="36" t="s">
        <v>2765</v>
      </c>
      <c r="AS2587" s="36" t="s">
        <v>178</v>
      </c>
      <c r="AT2587" s="36" t="s">
        <v>2756</v>
      </c>
      <c r="AU2587" s="36">
        <v>4</v>
      </c>
      <c r="AW2587" s="36" t="s">
        <v>142</v>
      </c>
      <c r="BC2587" s="36">
        <v>1653</v>
      </c>
      <c r="BD2587" s="36">
        <v>2193</v>
      </c>
      <c r="BG2587" s="36" t="s">
        <v>570</v>
      </c>
      <c r="BH2587" s="36">
        <v>2286</v>
      </c>
      <c r="BI2587" s="36">
        <v>2521</v>
      </c>
      <c r="BL2587" s="36" t="s">
        <v>2766</v>
      </c>
      <c r="BM2587" s="407"/>
      <c r="BN2587" s="407"/>
      <c r="BR2587" s="407"/>
      <c r="BS2587" s="407"/>
      <c r="IQ2587" s="230"/>
    </row>
    <row r="2588" spans="1:251" s="36" customFormat="1" x14ac:dyDescent="0.25">
      <c r="A2588" s="36">
        <v>121</v>
      </c>
      <c r="B2588" s="36" t="s">
        <v>2752</v>
      </c>
      <c r="C2588" s="36" t="s">
        <v>2751</v>
      </c>
      <c r="D2588" s="36">
        <v>1999</v>
      </c>
      <c r="E2588" s="36">
        <v>1995</v>
      </c>
      <c r="F2588" s="36" t="s">
        <v>2753</v>
      </c>
      <c r="G2588" s="36" t="s">
        <v>2755</v>
      </c>
      <c r="H2588" s="36" t="s">
        <v>2839</v>
      </c>
      <c r="I2588" s="36">
        <v>10.016666666666667</v>
      </c>
      <c r="J2588" s="36">
        <v>9.7833333333333332</v>
      </c>
      <c r="K2588" s="36">
        <v>542</v>
      </c>
      <c r="O2588" s="36">
        <v>1350</v>
      </c>
      <c r="Q2588" s="51" t="s">
        <v>1986</v>
      </c>
      <c r="R2588" s="51" t="s">
        <v>1856</v>
      </c>
      <c r="S2588" s="51"/>
      <c r="T2588" s="51" t="s">
        <v>1962</v>
      </c>
      <c r="U2588" s="51" t="s">
        <v>1386</v>
      </c>
      <c r="V2588" s="51" t="s">
        <v>1724</v>
      </c>
      <c r="W2588" s="51" t="s">
        <v>1386</v>
      </c>
      <c r="X2588" s="51" t="s">
        <v>1386</v>
      </c>
      <c r="Z2588" s="331">
        <v>47.5</v>
      </c>
      <c r="AA2588" s="331">
        <f t="shared" si="324"/>
        <v>22.5</v>
      </c>
      <c r="AB2588" s="36" t="s">
        <v>519</v>
      </c>
      <c r="AC2588" s="36">
        <v>6.5</v>
      </c>
      <c r="AD2588" s="36">
        <v>0.7</v>
      </c>
      <c r="AG2588" s="36" t="s">
        <v>2758</v>
      </c>
      <c r="AH2588" s="36" t="s">
        <v>578</v>
      </c>
      <c r="AI2588" s="36" t="s">
        <v>1650</v>
      </c>
      <c r="AJ2588" s="36" t="s">
        <v>133</v>
      </c>
      <c r="AQ2588" s="36" t="s">
        <v>162</v>
      </c>
      <c r="AR2588" s="36" t="s">
        <v>162</v>
      </c>
      <c r="AS2588" s="36" t="s">
        <v>178</v>
      </c>
      <c r="AT2588" s="36" t="s">
        <v>2756</v>
      </c>
      <c r="AU2588" s="36">
        <v>4</v>
      </c>
      <c r="AW2588" s="36" t="s">
        <v>142</v>
      </c>
      <c r="BC2588" s="36">
        <v>720</v>
      </c>
      <c r="BD2588" s="36">
        <v>853</v>
      </c>
      <c r="BG2588" s="36" t="s">
        <v>570</v>
      </c>
      <c r="BH2588" s="36">
        <v>565</v>
      </c>
      <c r="BI2588" s="36">
        <v>713</v>
      </c>
      <c r="BL2588" s="36" t="s">
        <v>2766</v>
      </c>
      <c r="BM2588" s="407"/>
      <c r="BN2588" s="407"/>
      <c r="BR2588" s="407"/>
      <c r="BS2588" s="407"/>
      <c r="IQ2588" s="230"/>
    </row>
    <row r="2589" spans="1:251" s="36" customFormat="1" x14ac:dyDescent="0.25">
      <c r="A2589" s="36">
        <v>121</v>
      </c>
      <c r="B2589" s="36" t="s">
        <v>2752</v>
      </c>
      <c r="C2589" s="36" t="s">
        <v>2751</v>
      </c>
      <c r="D2589" s="36">
        <v>1999</v>
      </c>
      <c r="E2589" s="36">
        <v>1995</v>
      </c>
      <c r="F2589" s="36" t="s">
        <v>2753</v>
      </c>
      <c r="G2589" s="36" t="s">
        <v>2755</v>
      </c>
      <c r="H2589" s="36" t="s">
        <v>2839</v>
      </c>
      <c r="I2589" s="36">
        <v>10.016666666666667</v>
      </c>
      <c r="J2589" s="36">
        <v>9.7833333333333332</v>
      </c>
      <c r="K2589" s="36">
        <v>542</v>
      </c>
      <c r="O2589" s="36">
        <v>1350</v>
      </c>
      <c r="Q2589" s="51" t="s">
        <v>1986</v>
      </c>
      <c r="R2589" s="51" t="s">
        <v>1856</v>
      </c>
      <c r="S2589" s="51"/>
      <c r="T2589" s="51" t="s">
        <v>1962</v>
      </c>
      <c r="U2589" s="51" t="s">
        <v>1386</v>
      </c>
      <c r="V2589" s="51" t="s">
        <v>1724</v>
      </c>
      <c r="W2589" s="51" t="s">
        <v>1386</v>
      </c>
      <c r="X2589" s="51" t="s">
        <v>1386</v>
      </c>
      <c r="Z2589" s="331">
        <v>47.5</v>
      </c>
      <c r="AA2589" s="331">
        <f t="shared" si="324"/>
        <v>22.5</v>
      </c>
      <c r="AB2589" s="36" t="s">
        <v>519</v>
      </c>
      <c r="AC2589" s="36">
        <v>6.5</v>
      </c>
      <c r="AD2589" s="36">
        <v>0.7</v>
      </c>
      <c r="AG2589" s="36" t="s">
        <v>2758</v>
      </c>
      <c r="AH2589" s="36" t="s">
        <v>578</v>
      </c>
      <c r="AI2589" s="36" t="s">
        <v>1650</v>
      </c>
      <c r="AJ2589" s="36" t="s">
        <v>133</v>
      </c>
      <c r="AQ2589" s="36" t="s">
        <v>2764</v>
      </c>
      <c r="AR2589" s="36" t="s">
        <v>2764</v>
      </c>
      <c r="AS2589" s="36" t="s">
        <v>178</v>
      </c>
      <c r="AT2589" s="36" t="s">
        <v>2756</v>
      </c>
      <c r="AU2589" s="36">
        <v>4</v>
      </c>
      <c r="AW2589" s="36" t="s">
        <v>142</v>
      </c>
      <c r="BC2589" s="36">
        <v>1687</v>
      </c>
      <c r="BD2589" s="36">
        <v>1507</v>
      </c>
      <c r="BG2589" s="36" t="s">
        <v>570</v>
      </c>
      <c r="BH2589" s="36">
        <v>2107</v>
      </c>
      <c r="BI2589" s="36">
        <v>1640</v>
      </c>
      <c r="BL2589" s="36" t="s">
        <v>2766</v>
      </c>
      <c r="BM2589" s="407"/>
      <c r="BN2589" s="407"/>
      <c r="BR2589" s="407"/>
      <c r="BS2589" s="407"/>
      <c r="IQ2589" s="230"/>
    </row>
    <row r="2590" spans="1:251" s="36" customFormat="1" x14ac:dyDescent="0.25">
      <c r="A2590" s="36">
        <v>121</v>
      </c>
      <c r="B2590" s="36" t="s">
        <v>2752</v>
      </c>
      <c r="C2590" s="36" t="s">
        <v>2751</v>
      </c>
      <c r="D2590" s="36">
        <v>1999</v>
      </c>
      <c r="E2590" s="36">
        <v>1995</v>
      </c>
      <c r="F2590" s="36" t="s">
        <v>2753</v>
      </c>
      <c r="G2590" s="36" t="s">
        <v>2755</v>
      </c>
      <c r="H2590" s="36" t="s">
        <v>2839</v>
      </c>
      <c r="I2590" s="36">
        <v>10.016666666666667</v>
      </c>
      <c r="J2590" s="36">
        <v>9.7833333333333332</v>
      </c>
      <c r="K2590" s="36">
        <v>542</v>
      </c>
      <c r="O2590" s="36">
        <v>1350</v>
      </c>
      <c r="Q2590" s="51" t="s">
        <v>1986</v>
      </c>
      <c r="R2590" s="51" t="s">
        <v>1856</v>
      </c>
      <c r="S2590" s="51"/>
      <c r="T2590" s="51" t="s">
        <v>1962</v>
      </c>
      <c r="U2590" s="51" t="s">
        <v>1386</v>
      </c>
      <c r="V2590" s="51" t="s">
        <v>1724</v>
      </c>
      <c r="W2590" s="51" t="s">
        <v>1386</v>
      </c>
      <c r="X2590" s="51" t="s">
        <v>1386</v>
      </c>
      <c r="Z2590" s="331">
        <v>47.5</v>
      </c>
      <c r="AA2590" s="331">
        <f t="shared" si="324"/>
        <v>22.5</v>
      </c>
      <c r="AB2590" s="36" t="s">
        <v>519</v>
      </c>
      <c r="AC2590" s="36">
        <v>6.5</v>
      </c>
      <c r="AD2590" s="36">
        <v>0.7</v>
      </c>
      <c r="AG2590" s="36" t="s">
        <v>2758</v>
      </c>
      <c r="AH2590" s="36" t="s">
        <v>578</v>
      </c>
      <c r="AI2590" s="36" t="s">
        <v>1650</v>
      </c>
      <c r="AJ2590" s="36" t="s">
        <v>133</v>
      </c>
      <c r="AQ2590" s="36" t="s">
        <v>2765</v>
      </c>
      <c r="AR2590" s="36" t="s">
        <v>2765</v>
      </c>
      <c r="AS2590" s="36" t="s">
        <v>178</v>
      </c>
      <c r="AT2590" s="36" t="s">
        <v>2756</v>
      </c>
      <c r="AU2590" s="36">
        <v>4</v>
      </c>
      <c r="AW2590" s="36" t="s">
        <v>142</v>
      </c>
      <c r="BC2590" s="36">
        <v>1653</v>
      </c>
      <c r="BD2590" s="36">
        <v>1767</v>
      </c>
      <c r="BG2590" s="36" t="s">
        <v>570</v>
      </c>
      <c r="BH2590" s="36">
        <v>2286</v>
      </c>
      <c r="BI2590" s="36">
        <v>2253</v>
      </c>
      <c r="BL2590" s="36" t="s">
        <v>2766</v>
      </c>
      <c r="BM2590" s="407"/>
      <c r="BN2590" s="407"/>
      <c r="BR2590" s="407"/>
      <c r="BS2590" s="407"/>
      <c r="IQ2590" s="230"/>
    </row>
    <row r="2591" spans="1:251" s="36" customFormat="1" x14ac:dyDescent="0.25">
      <c r="A2591" s="36">
        <v>121</v>
      </c>
      <c r="B2591" s="36" t="s">
        <v>2752</v>
      </c>
      <c r="C2591" s="36" t="s">
        <v>2751</v>
      </c>
      <c r="D2591" s="36">
        <v>1999</v>
      </c>
      <c r="E2591" s="36">
        <v>1995</v>
      </c>
      <c r="F2591" s="36" t="s">
        <v>2753</v>
      </c>
      <c r="G2591" s="36" t="s">
        <v>2755</v>
      </c>
      <c r="H2591" s="36" t="s">
        <v>2839</v>
      </c>
      <c r="I2591" s="36">
        <v>10.016666666666667</v>
      </c>
      <c r="J2591" s="36">
        <v>9.7833333333333332</v>
      </c>
      <c r="K2591" s="36">
        <v>542</v>
      </c>
      <c r="O2591" s="36">
        <v>1350</v>
      </c>
      <c r="Q2591" s="51" t="s">
        <v>1986</v>
      </c>
      <c r="R2591" s="51" t="s">
        <v>1856</v>
      </c>
      <c r="S2591" s="51"/>
      <c r="T2591" s="51" t="s">
        <v>1962</v>
      </c>
      <c r="U2591" s="51" t="s">
        <v>1386</v>
      </c>
      <c r="V2591" s="51" t="s">
        <v>1724</v>
      </c>
      <c r="W2591" s="51" t="s">
        <v>1386</v>
      </c>
      <c r="X2591" s="51" t="s">
        <v>1386</v>
      </c>
      <c r="Z2591" s="331">
        <v>47.5</v>
      </c>
      <c r="AA2591" s="331">
        <f t="shared" si="324"/>
        <v>22.5</v>
      </c>
      <c r="AB2591" s="36" t="s">
        <v>519</v>
      </c>
      <c r="AC2591" s="36">
        <v>6.5</v>
      </c>
      <c r="AD2591" s="36">
        <v>0.7</v>
      </c>
      <c r="AG2591" s="36" t="s">
        <v>2759</v>
      </c>
      <c r="AH2591" s="36" t="s">
        <v>578</v>
      </c>
      <c r="AI2591" s="36" t="s">
        <v>1650</v>
      </c>
      <c r="AJ2591" s="36" t="s">
        <v>133</v>
      </c>
      <c r="AQ2591" s="36" t="s">
        <v>162</v>
      </c>
      <c r="AR2591" s="36" t="s">
        <v>162</v>
      </c>
      <c r="AS2591" s="36" t="s">
        <v>178</v>
      </c>
      <c r="AT2591" s="36" t="s">
        <v>2756</v>
      </c>
      <c r="AU2591" s="36">
        <v>4</v>
      </c>
      <c r="AW2591" s="36" t="s">
        <v>142</v>
      </c>
      <c r="BC2591" s="36">
        <v>720</v>
      </c>
      <c r="BD2591" s="36">
        <v>1293</v>
      </c>
      <c r="BG2591" s="36" t="s">
        <v>570</v>
      </c>
      <c r="BH2591" s="36">
        <v>565</v>
      </c>
      <c r="BI2591" s="36">
        <v>884</v>
      </c>
      <c r="BL2591" s="36" t="s">
        <v>2766</v>
      </c>
      <c r="BM2591" s="407"/>
      <c r="BN2591" s="407"/>
      <c r="BR2591" s="407"/>
      <c r="BS2591" s="407"/>
      <c r="IQ2591" s="230"/>
    </row>
    <row r="2592" spans="1:251" s="36" customFormat="1" x14ac:dyDescent="0.25">
      <c r="A2592" s="36">
        <v>121</v>
      </c>
      <c r="B2592" s="36" t="s">
        <v>2752</v>
      </c>
      <c r="C2592" s="36" t="s">
        <v>2751</v>
      </c>
      <c r="D2592" s="36">
        <v>1999</v>
      </c>
      <c r="E2592" s="36">
        <v>1995</v>
      </c>
      <c r="F2592" s="36" t="s">
        <v>2753</v>
      </c>
      <c r="G2592" s="36" t="s">
        <v>2755</v>
      </c>
      <c r="H2592" s="36" t="s">
        <v>2839</v>
      </c>
      <c r="I2592" s="36">
        <v>10.016666666666667</v>
      </c>
      <c r="J2592" s="36">
        <v>9.7833333333333332</v>
      </c>
      <c r="K2592" s="36">
        <v>542</v>
      </c>
      <c r="O2592" s="36">
        <v>1350</v>
      </c>
      <c r="Q2592" s="51" t="s">
        <v>1986</v>
      </c>
      <c r="R2592" s="51" t="s">
        <v>1856</v>
      </c>
      <c r="S2592" s="51"/>
      <c r="T2592" s="51" t="s">
        <v>1962</v>
      </c>
      <c r="U2592" s="51" t="s">
        <v>1386</v>
      </c>
      <c r="V2592" s="51" t="s">
        <v>1724</v>
      </c>
      <c r="W2592" s="51" t="s">
        <v>1386</v>
      </c>
      <c r="X2592" s="51" t="s">
        <v>1386</v>
      </c>
      <c r="Z2592" s="331">
        <v>47.5</v>
      </c>
      <c r="AA2592" s="331">
        <f t="shared" si="324"/>
        <v>22.5</v>
      </c>
      <c r="AB2592" s="36" t="s">
        <v>519</v>
      </c>
      <c r="AC2592" s="36">
        <v>6.5</v>
      </c>
      <c r="AD2592" s="36">
        <v>0.7</v>
      </c>
      <c r="AG2592" s="36" t="s">
        <v>2759</v>
      </c>
      <c r="AH2592" s="36" t="s">
        <v>578</v>
      </c>
      <c r="AI2592" s="36" t="s">
        <v>1650</v>
      </c>
      <c r="AJ2592" s="36" t="s">
        <v>133</v>
      </c>
      <c r="AQ2592" s="36" t="s">
        <v>2764</v>
      </c>
      <c r="AR2592" s="36" t="s">
        <v>2764</v>
      </c>
      <c r="AS2592" s="36" t="s">
        <v>178</v>
      </c>
      <c r="AT2592" s="36" t="s">
        <v>2756</v>
      </c>
      <c r="AU2592" s="36">
        <v>4</v>
      </c>
      <c r="AW2592" s="36" t="s">
        <v>142</v>
      </c>
      <c r="BC2592" s="36">
        <v>1687</v>
      </c>
      <c r="BD2592" s="36">
        <v>1527</v>
      </c>
      <c r="BG2592" s="36" t="s">
        <v>570</v>
      </c>
      <c r="BH2592" s="36">
        <v>2107</v>
      </c>
      <c r="BI2592" s="36">
        <v>1745</v>
      </c>
      <c r="BL2592" s="36" t="s">
        <v>2766</v>
      </c>
      <c r="BM2592" s="407"/>
      <c r="BN2592" s="407"/>
      <c r="BR2592" s="407"/>
      <c r="BS2592" s="407"/>
      <c r="IQ2592" s="230"/>
    </row>
    <row r="2593" spans="1:251" s="36" customFormat="1" x14ac:dyDescent="0.25">
      <c r="A2593" s="36">
        <v>121</v>
      </c>
      <c r="B2593" s="36" t="s">
        <v>2752</v>
      </c>
      <c r="C2593" s="36" t="s">
        <v>2751</v>
      </c>
      <c r="D2593" s="36">
        <v>1999</v>
      </c>
      <c r="E2593" s="36">
        <v>1995</v>
      </c>
      <c r="F2593" s="36" t="s">
        <v>2753</v>
      </c>
      <c r="G2593" s="36" t="s">
        <v>2755</v>
      </c>
      <c r="H2593" s="36" t="s">
        <v>2839</v>
      </c>
      <c r="I2593" s="36">
        <v>10.016666666666699</v>
      </c>
      <c r="J2593" s="36">
        <v>9.7833333333333297</v>
      </c>
      <c r="K2593" s="36">
        <v>542</v>
      </c>
      <c r="O2593" s="36">
        <v>1350</v>
      </c>
      <c r="Q2593" s="51" t="s">
        <v>1986</v>
      </c>
      <c r="R2593" s="51" t="s">
        <v>1856</v>
      </c>
      <c r="S2593" s="51"/>
      <c r="T2593" s="51" t="s">
        <v>1962</v>
      </c>
      <c r="U2593" s="51" t="s">
        <v>1386</v>
      </c>
      <c r="V2593" s="51" t="s">
        <v>1724</v>
      </c>
      <c r="W2593" s="51" t="s">
        <v>1386</v>
      </c>
      <c r="X2593" s="51" t="s">
        <v>1386</v>
      </c>
      <c r="Z2593" s="331">
        <v>47.5</v>
      </c>
      <c r="AA2593" s="331">
        <f t="shared" si="324"/>
        <v>22.5</v>
      </c>
      <c r="AB2593" s="36" t="s">
        <v>519</v>
      </c>
      <c r="AC2593" s="36">
        <v>6.5</v>
      </c>
      <c r="AD2593" s="36">
        <v>0.7</v>
      </c>
      <c r="AG2593" s="36" t="s">
        <v>2759</v>
      </c>
      <c r="AH2593" s="36" t="s">
        <v>578</v>
      </c>
      <c r="AI2593" s="36" t="s">
        <v>1650</v>
      </c>
      <c r="AJ2593" s="36" t="s">
        <v>133</v>
      </c>
      <c r="AQ2593" s="36" t="s">
        <v>2765</v>
      </c>
      <c r="AR2593" s="36" t="s">
        <v>2765</v>
      </c>
      <c r="AS2593" s="36" t="s">
        <v>178</v>
      </c>
      <c r="AT2593" s="36" t="s">
        <v>2756</v>
      </c>
      <c r="AU2593" s="36">
        <v>4</v>
      </c>
      <c r="AW2593" s="36" t="s">
        <v>142</v>
      </c>
      <c r="BC2593" s="36">
        <v>1653</v>
      </c>
      <c r="BD2593" s="36">
        <v>1547</v>
      </c>
      <c r="BG2593" s="36" t="s">
        <v>570</v>
      </c>
      <c r="BH2593" s="36">
        <v>2286</v>
      </c>
      <c r="BI2593" s="36">
        <v>1648</v>
      </c>
      <c r="BL2593" s="36" t="s">
        <v>2766</v>
      </c>
      <c r="BM2593" s="407"/>
      <c r="BN2593" s="407"/>
      <c r="BR2593" s="407"/>
      <c r="BS2593" s="407"/>
      <c r="IQ2593" s="230"/>
    </row>
    <row r="2594" spans="1:251" s="36" customFormat="1" x14ac:dyDescent="0.25">
      <c r="A2594" s="36">
        <v>121</v>
      </c>
      <c r="B2594" s="36" t="s">
        <v>2752</v>
      </c>
      <c r="C2594" s="36" t="s">
        <v>2751</v>
      </c>
      <c r="D2594" s="36">
        <v>1999</v>
      </c>
      <c r="E2594" s="36">
        <v>1995</v>
      </c>
      <c r="F2594" s="36" t="s">
        <v>2753</v>
      </c>
      <c r="G2594" s="36" t="s">
        <v>2755</v>
      </c>
      <c r="H2594" s="36" t="s">
        <v>2839</v>
      </c>
      <c r="I2594" s="36">
        <v>10.016666666666699</v>
      </c>
      <c r="J2594" s="36">
        <v>9.7833333333333297</v>
      </c>
      <c r="K2594" s="36">
        <v>542</v>
      </c>
      <c r="O2594" s="36">
        <v>1350</v>
      </c>
      <c r="Q2594" s="51" t="s">
        <v>1986</v>
      </c>
      <c r="R2594" s="51" t="s">
        <v>1856</v>
      </c>
      <c r="S2594" s="51"/>
      <c r="T2594" s="51" t="s">
        <v>1962</v>
      </c>
      <c r="U2594" s="51" t="s">
        <v>1386</v>
      </c>
      <c r="V2594" s="51" t="s">
        <v>1724</v>
      </c>
      <c r="W2594" s="51" t="s">
        <v>1386</v>
      </c>
      <c r="X2594" s="51" t="s">
        <v>1386</v>
      </c>
      <c r="Z2594" s="331">
        <v>47.5</v>
      </c>
      <c r="AA2594" s="331">
        <f t="shared" si="324"/>
        <v>22.5</v>
      </c>
      <c r="AB2594" s="36" t="s">
        <v>519</v>
      </c>
      <c r="AC2594" s="36">
        <v>6.5</v>
      </c>
      <c r="AD2594" s="36">
        <v>0.7</v>
      </c>
      <c r="AG2594" s="36" t="s">
        <v>2337</v>
      </c>
      <c r="AH2594" s="36" t="s">
        <v>578</v>
      </c>
      <c r="AI2594" s="36" t="s">
        <v>1650</v>
      </c>
      <c r="AJ2594" s="36" t="s">
        <v>133</v>
      </c>
      <c r="AQ2594" s="36" t="s">
        <v>162</v>
      </c>
      <c r="AR2594" s="36" t="s">
        <v>162</v>
      </c>
      <c r="AS2594" s="36" t="s">
        <v>178</v>
      </c>
      <c r="AT2594" s="36" t="s">
        <v>2756</v>
      </c>
      <c r="AU2594" s="36">
        <v>4</v>
      </c>
      <c r="AW2594" s="36" t="s">
        <v>142</v>
      </c>
      <c r="BC2594" s="36">
        <v>720</v>
      </c>
      <c r="BD2594" s="36">
        <v>1133</v>
      </c>
      <c r="BG2594" s="36" t="s">
        <v>570</v>
      </c>
      <c r="BH2594" s="36">
        <v>565</v>
      </c>
      <c r="BI2594" s="36">
        <v>992</v>
      </c>
      <c r="BL2594" s="36" t="s">
        <v>2766</v>
      </c>
      <c r="BM2594" s="407"/>
      <c r="BN2594" s="407"/>
      <c r="BR2594" s="407"/>
      <c r="BS2594" s="407"/>
      <c r="IQ2594" s="230"/>
    </row>
    <row r="2595" spans="1:251" s="36" customFormat="1" x14ac:dyDescent="0.25">
      <c r="A2595" s="36">
        <v>121</v>
      </c>
      <c r="B2595" s="36" t="s">
        <v>2752</v>
      </c>
      <c r="C2595" s="36" t="s">
        <v>2751</v>
      </c>
      <c r="D2595" s="36">
        <v>1999</v>
      </c>
      <c r="E2595" s="36">
        <v>1995</v>
      </c>
      <c r="F2595" s="36" t="s">
        <v>2753</v>
      </c>
      <c r="G2595" s="36" t="s">
        <v>2755</v>
      </c>
      <c r="H2595" s="36" t="s">
        <v>2839</v>
      </c>
      <c r="I2595" s="36">
        <v>10.016666666666699</v>
      </c>
      <c r="J2595" s="36">
        <v>9.7833333333333297</v>
      </c>
      <c r="K2595" s="36">
        <v>542</v>
      </c>
      <c r="O2595" s="36">
        <v>1350</v>
      </c>
      <c r="Q2595" s="51" t="s">
        <v>1986</v>
      </c>
      <c r="R2595" s="51" t="s">
        <v>1856</v>
      </c>
      <c r="S2595" s="51"/>
      <c r="T2595" s="51" t="s">
        <v>1962</v>
      </c>
      <c r="U2595" s="51" t="s">
        <v>1386</v>
      </c>
      <c r="V2595" s="51" t="s">
        <v>1724</v>
      </c>
      <c r="W2595" s="51" t="s">
        <v>1386</v>
      </c>
      <c r="X2595" s="51" t="s">
        <v>1386</v>
      </c>
      <c r="Z2595" s="331">
        <v>47.5</v>
      </c>
      <c r="AA2595" s="331">
        <f t="shared" si="324"/>
        <v>22.5</v>
      </c>
      <c r="AB2595" s="36" t="s">
        <v>519</v>
      </c>
      <c r="AC2595" s="36">
        <v>6.5</v>
      </c>
      <c r="AD2595" s="36">
        <v>0.7</v>
      </c>
      <c r="AG2595" s="36" t="s">
        <v>2337</v>
      </c>
      <c r="AH2595" s="36" t="s">
        <v>578</v>
      </c>
      <c r="AI2595" s="36" t="s">
        <v>1650</v>
      </c>
      <c r="AJ2595" s="36" t="s">
        <v>133</v>
      </c>
      <c r="AQ2595" s="36" t="s">
        <v>2764</v>
      </c>
      <c r="AR2595" s="36" t="s">
        <v>2764</v>
      </c>
      <c r="AS2595" s="36" t="s">
        <v>178</v>
      </c>
      <c r="AT2595" s="36" t="s">
        <v>2756</v>
      </c>
      <c r="AU2595" s="36">
        <v>4</v>
      </c>
      <c r="AW2595" s="36" t="s">
        <v>142</v>
      </c>
      <c r="BC2595" s="36">
        <v>1687</v>
      </c>
      <c r="BD2595" s="36">
        <v>2160</v>
      </c>
      <c r="BG2595" s="36" t="s">
        <v>570</v>
      </c>
      <c r="BH2595" s="36">
        <v>2107</v>
      </c>
      <c r="BI2595" s="36">
        <v>2276</v>
      </c>
      <c r="BL2595" s="36" t="s">
        <v>2766</v>
      </c>
      <c r="BM2595" s="407"/>
      <c r="BN2595" s="407"/>
      <c r="BR2595" s="407"/>
      <c r="BS2595" s="407"/>
      <c r="IQ2595" s="230"/>
    </row>
    <row r="2596" spans="1:251" s="36" customFormat="1" x14ac:dyDescent="0.25">
      <c r="A2596" s="36">
        <v>121</v>
      </c>
      <c r="B2596" s="36" t="s">
        <v>2752</v>
      </c>
      <c r="C2596" s="36" t="s">
        <v>2751</v>
      </c>
      <c r="D2596" s="36">
        <v>1999</v>
      </c>
      <c r="E2596" s="36">
        <v>1995</v>
      </c>
      <c r="F2596" s="36" t="s">
        <v>2753</v>
      </c>
      <c r="G2596" s="36" t="s">
        <v>2755</v>
      </c>
      <c r="H2596" s="36" t="s">
        <v>2839</v>
      </c>
      <c r="I2596" s="36">
        <v>10.016666666666699</v>
      </c>
      <c r="J2596" s="36">
        <v>9.7833333333333297</v>
      </c>
      <c r="K2596" s="36">
        <v>542</v>
      </c>
      <c r="O2596" s="36">
        <v>1350</v>
      </c>
      <c r="Q2596" s="51" t="s">
        <v>1986</v>
      </c>
      <c r="R2596" s="51" t="s">
        <v>1856</v>
      </c>
      <c r="S2596" s="51"/>
      <c r="T2596" s="51" t="s">
        <v>1962</v>
      </c>
      <c r="U2596" s="51" t="s">
        <v>1386</v>
      </c>
      <c r="V2596" s="51" t="s">
        <v>1724</v>
      </c>
      <c r="W2596" s="51" t="s">
        <v>1386</v>
      </c>
      <c r="X2596" s="51" t="s">
        <v>1386</v>
      </c>
      <c r="Z2596" s="331">
        <v>47.5</v>
      </c>
      <c r="AA2596" s="331">
        <f t="shared" si="324"/>
        <v>22.5</v>
      </c>
      <c r="AB2596" s="36" t="s">
        <v>519</v>
      </c>
      <c r="AC2596" s="36">
        <v>6.5</v>
      </c>
      <c r="AD2596" s="36">
        <v>0.7</v>
      </c>
      <c r="AG2596" s="36" t="s">
        <v>2337</v>
      </c>
      <c r="AH2596" s="36" t="s">
        <v>578</v>
      </c>
      <c r="AI2596" s="36" t="s">
        <v>1650</v>
      </c>
      <c r="AJ2596" s="36" t="s">
        <v>133</v>
      </c>
      <c r="AQ2596" s="36" t="s">
        <v>2765</v>
      </c>
      <c r="AR2596" s="36" t="s">
        <v>2765</v>
      </c>
      <c r="AS2596" s="36" t="s">
        <v>178</v>
      </c>
      <c r="AT2596" s="36" t="s">
        <v>2756</v>
      </c>
      <c r="AU2596" s="36">
        <v>4</v>
      </c>
      <c r="AW2596" s="36" t="s">
        <v>142</v>
      </c>
      <c r="BC2596" s="36">
        <v>1653</v>
      </c>
      <c r="BD2596" s="36">
        <v>1907</v>
      </c>
      <c r="BG2596" s="36" t="s">
        <v>570</v>
      </c>
      <c r="BH2596" s="36">
        <v>2286</v>
      </c>
      <c r="BI2596" s="36">
        <v>2177</v>
      </c>
      <c r="BL2596" s="36" t="s">
        <v>2766</v>
      </c>
      <c r="BM2596" s="407"/>
      <c r="BN2596" s="407"/>
      <c r="BR2596" s="407"/>
      <c r="BS2596" s="407"/>
      <c r="IQ2596" s="230"/>
    </row>
    <row r="2597" spans="1:251" s="24" customFormat="1" x14ac:dyDescent="0.25">
      <c r="A2597" s="24">
        <v>122</v>
      </c>
      <c r="B2597" s="24" t="s">
        <v>2767</v>
      </c>
      <c r="C2597" s="24" t="s">
        <v>2768</v>
      </c>
      <c r="D2597" s="24">
        <v>2004</v>
      </c>
      <c r="E2597" s="24">
        <v>2001</v>
      </c>
      <c r="F2597" s="24" t="s">
        <v>2711</v>
      </c>
      <c r="G2597" s="24" t="s">
        <v>2769</v>
      </c>
      <c r="H2597" s="24" t="s">
        <v>2845</v>
      </c>
      <c r="I2597" s="24">
        <f t="shared" ref="I2597:I2604" si="330">-13-39/60</f>
        <v>-13.65</v>
      </c>
      <c r="J2597" s="24">
        <f t="shared" ref="J2597:J2604" si="331">32+34/60</f>
        <v>32.56666666666667</v>
      </c>
      <c r="K2597" s="24">
        <v>1028</v>
      </c>
      <c r="M2597" s="24">
        <f t="shared" ref="M2597:M2604" si="332">(25+16)/2</f>
        <v>20.5</v>
      </c>
      <c r="O2597" s="24">
        <v>960</v>
      </c>
      <c r="Q2597" s="42" t="s">
        <v>1867</v>
      </c>
      <c r="R2597" s="42" t="s">
        <v>1729</v>
      </c>
      <c r="S2597" s="42"/>
      <c r="T2597" s="42" t="s">
        <v>1998</v>
      </c>
      <c r="U2597" s="42" t="s">
        <v>1383</v>
      </c>
      <c r="V2597" s="42" t="s">
        <v>1722</v>
      </c>
      <c r="W2597" s="42" t="s">
        <v>1383</v>
      </c>
      <c r="X2597" s="42" t="s">
        <v>1383</v>
      </c>
      <c r="Z2597" s="321">
        <v>58</v>
      </c>
      <c r="AA2597" s="321">
        <v>17</v>
      </c>
      <c r="AB2597" s="24" t="s">
        <v>241</v>
      </c>
      <c r="AD2597" s="24">
        <v>1</v>
      </c>
      <c r="AF2597" s="24" t="s">
        <v>2770</v>
      </c>
      <c r="AG2597" s="24" t="s">
        <v>2778</v>
      </c>
      <c r="AH2597" s="24" t="s">
        <v>1131</v>
      </c>
      <c r="AI2597" s="24" t="s">
        <v>1650</v>
      </c>
      <c r="AJ2597" s="24" t="s">
        <v>133</v>
      </c>
      <c r="AT2597" s="24" t="s">
        <v>161</v>
      </c>
      <c r="AU2597" s="24">
        <v>3</v>
      </c>
      <c r="AW2597" s="24" t="s">
        <v>142</v>
      </c>
      <c r="AY2597" s="24">
        <v>6016</v>
      </c>
      <c r="AZ2597" s="24">
        <f>AY2597/198</f>
        <v>30.383838383838384</v>
      </c>
      <c r="BH2597" s="24">
        <v>1436</v>
      </c>
      <c r="BI2597" s="24">
        <v>3907</v>
      </c>
      <c r="BL2597" s="24" t="s">
        <v>2774</v>
      </c>
      <c r="BM2597" s="395"/>
      <c r="BN2597" s="395"/>
      <c r="BR2597" s="395"/>
      <c r="BS2597" s="395"/>
      <c r="BW2597" s="24">
        <v>7.79</v>
      </c>
      <c r="BX2597" s="24">
        <v>14</v>
      </c>
      <c r="CA2597" s="24" t="s">
        <v>2772</v>
      </c>
      <c r="IQ2597" s="249"/>
    </row>
    <row r="2598" spans="1:251" s="24" customFormat="1" x14ac:dyDescent="0.25">
      <c r="A2598" s="24">
        <v>122</v>
      </c>
      <c r="B2598" s="24" t="s">
        <v>2767</v>
      </c>
      <c r="C2598" s="24" t="s">
        <v>2768</v>
      </c>
      <c r="D2598" s="24">
        <v>2004</v>
      </c>
      <c r="E2598" s="24">
        <v>2001</v>
      </c>
      <c r="F2598" s="24" t="s">
        <v>2711</v>
      </c>
      <c r="G2598" s="24" t="s">
        <v>2769</v>
      </c>
      <c r="H2598" s="24" t="s">
        <v>2845</v>
      </c>
      <c r="I2598" s="24">
        <f t="shared" si="330"/>
        <v>-13.65</v>
      </c>
      <c r="J2598" s="24">
        <f t="shared" si="331"/>
        <v>32.56666666666667</v>
      </c>
      <c r="K2598" s="24">
        <v>1028</v>
      </c>
      <c r="M2598" s="24">
        <f t="shared" si="332"/>
        <v>20.5</v>
      </c>
      <c r="O2598" s="24">
        <v>960</v>
      </c>
      <c r="Q2598" s="42" t="s">
        <v>1867</v>
      </c>
      <c r="R2598" s="42" t="s">
        <v>1729</v>
      </c>
      <c r="S2598" s="42"/>
      <c r="T2598" s="42" t="s">
        <v>1998</v>
      </c>
      <c r="U2598" s="42" t="s">
        <v>1383</v>
      </c>
      <c r="V2598" s="42" t="s">
        <v>1722</v>
      </c>
      <c r="W2598" s="42" t="s">
        <v>1383</v>
      </c>
      <c r="X2598" s="42" t="s">
        <v>1383</v>
      </c>
      <c r="Z2598" s="321">
        <v>58</v>
      </c>
      <c r="AA2598" s="321">
        <v>17</v>
      </c>
      <c r="AB2598" s="24" t="s">
        <v>241</v>
      </c>
      <c r="AD2598" s="24">
        <v>1</v>
      </c>
      <c r="AF2598" s="24" t="s">
        <v>2770</v>
      </c>
      <c r="AG2598" s="24" t="s">
        <v>2778</v>
      </c>
      <c r="AH2598" s="24" t="s">
        <v>1131</v>
      </c>
      <c r="AI2598" s="24" t="s">
        <v>1650</v>
      </c>
      <c r="AJ2598" s="24" t="s">
        <v>133</v>
      </c>
      <c r="AT2598" s="24" t="s">
        <v>161</v>
      </c>
      <c r="AU2598" s="24">
        <v>3</v>
      </c>
      <c r="AW2598" s="24" t="s">
        <v>142</v>
      </c>
      <c r="AY2598" s="24">
        <v>4974</v>
      </c>
      <c r="AZ2598" s="24">
        <f>AY2598/167</f>
        <v>29.78443113772455</v>
      </c>
      <c r="BH2598" s="24">
        <v>1436</v>
      </c>
      <c r="BI2598" s="24">
        <v>3999</v>
      </c>
      <c r="BL2598" s="24" t="s">
        <v>2775</v>
      </c>
      <c r="BM2598" s="395"/>
      <c r="BN2598" s="395"/>
      <c r="BR2598" s="395"/>
      <c r="BS2598" s="395"/>
      <c r="BW2598" s="24">
        <v>7.79</v>
      </c>
      <c r="BX2598" s="24">
        <v>8.94</v>
      </c>
      <c r="CA2598" s="24" t="s">
        <v>2773</v>
      </c>
      <c r="IQ2598" s="249"/>
    </row>
    <row r="2599" spans="1:251" s="24" customFormat="1" x14ac:dyDescent="0.25">
      <c r="A2599" s="24">
        <v>122</v>
      </c>
      <c r="B2599" s="24" t="s">
        <v>2767</v>
      </c>
      <c r="C2599" s="24" t="s">
        <v>2768</v>
      </c>
      <c r="D2599" s="24">
        <v>2004</v>
      </c>
      <c r="E2599" s="24">
        <v>2001</v>
      </c>
      <c r="F2599" s="24" t="s">
        <v>2711</v>
      </c>
      <c r="G2599" s="24" t="s">
        <v>2769</v>
      </c>
      <c r="H2599" s="24" t="s">
        <v>2845</v>
      </c>
      <c r="I2599" s="24">
        <f t="shared" si="330"/>
        <v>-13.65</v>
      </c>
      <c r="J2599" s="24">
        <f t="shared" si="331"/>
        <v>32.56666666666667</v>
      </c>
      <c r="K2599" s="24">
        <v>1028</v>
      </c>
      <c r="M2599" s="24">
        <f t="shared" si="332"/>
        <v>20.5</v>
      </c>
      <c r="O2599" s="24">
        <v>960</v>
      </c>
      <c r="Q2599" s="42" t="s">
        <v>1867</v>
      </c>
      <c r="R2599" s="42" t="s">
        <v>1729</v>
      </c>
      <c r="S2599" s="42"/>
      <c r="T2599" s="42" t="s">
        <v>1998</v>
      </c>
      <c r="U2599" s="42" t="s">
        <v>1383</v>
      </c>
      <c r="V2599" s="42" t="s">
        <v>1722</v>
      </c>
      <c r="W2599" s="42" t="s">
        <v>1383</v>
      </c>
      <c r="X2599" s="42" t="s">
        <v>1383</v>
      </c>
      <c r="Z2599" s="321">
        <v>58</v>
      </c>
      <c r="AA2599" s="321">
        <v>17</v>
      </c>
      <c r="AB2599" s="24" t="s">
        <v>241</v>
      </c>
      <c r="AD2599" s="24">
        <v>1</v>
      </c>
      <c r="AF2599" s="24" t="s">
        <v>2770</v>
      </c>
      <c r="AG2599" s="24" t="s">
        <v>2778</v>
      </c>
      <c r="AH2599" s="24" t="s">
        <v>1131</v>
      </c>
      <c r="AI2599" s="24" t="s">
        <v>1650</v>
      </c>
      <c r="AJ2599" s="24" t="s">
        <v>133</v>
      </c>
      <c r="AT2599" s="24" t="s">
        <v>161</v>
      </c>
      <c r="AU2599" s="24">
        <v>3</v>
      </c>
      <c r="AW2599" s="24" t="s">
        <v>142</v>
      </c>
      <c r="AY2599" s="24">
        <v>3131</v>
      </c>
      <c r="AZ2599" s="24">
        <f>AY2599/103</f>
        <v>30.398058252427184</v>
      </c>
      <c r="BH2599" s="24">
        <v>1436</v>
      </c>
      <c r="BI2599" s="24">
        <v>3086</v>
      </c>
      <c r="BL2599" s="24" t="s">
        <v>2776</v>
      </c>
      <c r="BM2599" s="395"/>
      <c r="BN2599" s="395"/>
      <c r="BR2599" s="395"/>
      <c r="BS2599" s="395"/>
      <c r="IQ2599" s="249"/>
    </row>
    <row r="2600" spans="1:251" s="24" customFormat="1" x14ac:dyDescent="0.25">
      <c r="A2600" s="24">
        <v>122</v>
      </c>
      <c r="B2600" s="24" t="s">
        <v>2767</v>
      </c>
      <c r="C2600" s="24" t="s">
        <v>2768</v>
      </c>
      <c r="D2600" s="24">
        <v>2004</v>
      </c>
      <c r="E2600" s="24">
        <v>2001</v>
      </c>
      <c r="F2600" s="24" t="s">
        <v>2711</v>
      </c>
      <c r="G2600" s="24" t="s">
        <v>2769</v>
      </c>
      <c r="H2600" s="24" t="s">
        <v>2845</v>
      </c>
      <c r="I2600" s="24">
        <f t="shared" si="330"/>
        <v>-13.65</v>
      </c>
      <c r="J2600" s="24">
        <f t="shared" si="331"/>
        <v>32.56666666666667</v>
      </c>
      <c r="K2600" s="24">
        <v>1028</v>
      </c>
      <c r="M2600" s="24">
        <f t="shared" si="332"/>
        <v>20.5</v>
      </c>
      <c r="O2600" s="24">
        <v>960</v>
      </c>
      <c r="Q2600" s="42" t="s">
        <v>1867</v>
      </c>
      <c r="R2600" s="42" t="s">
        <v>1729</v>
      </c>
      <c r="S2600" s="42"/>
      <c r="T2600" s="42" t="s">
        <v>1998</v>
      </c>
      <c r="U2600" s="42" t="s">
        <v>1383</v>
      </c>
      <c r="V2600" s="42" t="s">
        <v>1722</v>
      </c>
      <c r="W2600" s="42" t="s">
        <v>1383</v>
      </c>
      <c r="X2600" s="42" t="s">
        <v>1383</v>
      </c>
      <c r="Z2600" s="321">
        <v>58</v>
      </c>
      <c r="AA2600" s="321">
        <v>17</v>
      </c>
      <c r="AB2600" s="24" t="s">
        <v>241</v>
      </c>
      <c r="AD2600" s="24">
        <v>1</v>
      </c>
      <c r="AF2600" s="24" t="s">
        <v>2770</v>
      </c>
      <c r="AG2600" s="24" t="s">
        <v>2778</v>
      </c>
      <c r="AH2600" s="24" t="s">
        <v>1131</v>
      </c>
      <c r="AI2600" s="24" t="s">
        <v>1650</v>
      </c>
      <c r="AJ2600" s="24" t="s">
        <v>133</v>
      </c>
      <c r="AT2600" s="24" t="s">
        <v>161</v>
      </c>
      <c r="AU2600" s="24">
        <v>3</v>
      </c>
      <c r="AW2600" s="24" t="s">
        <v>142</v>
      </c>
      <c r="BH2600" s="24">
        <v>1436</v>
      </c>
      <c r="BI2600" s="24">
        <v>1864</v>
      </c>
      <c r="BL2600" s="24" t="s">
        <v>2777</v>
      </c>
      <c r="BM2600" s="395"/>
      <c r="BN2600" s="395"/>
      <c r="BR2600" s="395"/>
      <c r="BS2600" s="395"/>
      <c r="IQ2600" s="249"/>
    </row>
    <row r="2601" spans="1:251" s="136" customFormat="1" x14ac:dyDescent="0.25">
      <c r="A2601" s="136">
        <v>122</v>
      </c>
      <c r="B2601" s="136" t="s">
        <v>2767</v>
      </c>
      <c r="C2601" s="136" t="s">
        <v>2768</v>
      </c>
      <c r="D2601" s="136">
        <v>2004</v>
      </c>
      <c r="E2601" s="136">
        <v>2002</v>
      </c>
      <c r="F2601" s="136" t="s">
        <v>2711</v>
      </c>
      <c r="G2601" s="136" t="s">
        <v>2769</v>
      </c>
      <c r="H2601" s="24" t="s">
        <v>2845</v>
      </c>
      <c r="I2601" s="136">
        <f t="shared" si="330"/>
        <v>-13.65</v>
      </c>
      <c r="J2601" s="136">
        <f t="shared" si="331"/>
        <v>32.56666666666667</v>
      </c>
      <c r="K2601" s="136">
        <v>1028</v>
      </c>
      <c r="M2601" s="136">
        <f t="shared" si="332"/>
        <v>20.5</v>
      </c>
      <c r="O2601" s="136">
        <v>960</v>
      </c>
      <c r="Q2601" s="137" t="s">
        <v>1729</v>
      </c>
      <c r="R2601" s="137" t="s">
        <v>1729</v>
      </c>
      <c r="S2601" s="137"/>
      <c r="T2601" s="137" t="s">
        <v>1998</v>
      </c>
      <c r="U2601" s="137" t="s">
        <v>1383</v>
      </c>
      <c r="V2601" s="137" t="s">
        <v>1722</v>
      </c>
      <c r="W2601" s="137" t="s">
        <v>1383</v>
      </c>
      <c r="X2601" s="137" t="s">
        <v>1383</v>
      </c>
      <c r="Z2601" s="357">
        <v>58</v>
      </c>
      <c r="AA2601" s="357">
        <v>17</v>
      </c>
      <c r="AB2601" s="136" t="s">
        <v>241</v>
      </c>
      <c r="AD2601" s="136">
        <v>1</v>
      </c>
      <c r="AF2601" s="136" t="s">
        <v>2770</v>
      </c>
      <c r="AG2601" s="24" t="s">
        <v>2778</v>
      </c>
      <c r="AH2601" s="24" t="s">
        <v>1131</v>
      </c>
      <c r="AI2601" s="24" t="s">
        <v>1650</v>
      </c>
      <c r="AJ2601" s="24" t="s">
        <v>133</v>
      </c>
      <c r="AT2601" s="136" t="s">
        <v>161</v>
      </c>
      <c r="AU2601" s="136">
        <v>3</v>
      </c>
      <c r="AW2601" s="136" t="s">
        <v>142</v>
      </c>
      <c r="AY2601" s="136">
        <v>4297</v>
      </c>
      <c r="AZ2601" s="136">
        <f>AY2601/146</f>
        <v>29.431506849315067</v>
      </c>
      <c r="BH2601" s="136">
        <v>1638</v>
      </c>
      <c r="BI2601" s="136">
        <v>4000</v>
      </c>
      <c r="BL2601" s="136" t="s">
        <v>2774</v>
      </c>
      <c r="BM2601" s="432"/>
      <c r="BN2601" s="432"/>
      <c r="BR2601" s="432"/>
      <c r="BS2601" s="432"/>
      <c r="IQ2601" s="503"/>
    </row>
    <row r="2602" spans="1:251" s="136" customFormat="1" x14ac:dyDescent="0.25">
      <c r="A2602" s="136">
        <v>122</v>
      </c>
      <c r="B2602" s="136" t="s">
        <v>2767</v>
      </c>
      <c r="C2602" s="136" t="s">
        <v>2768</v>
      </c>
      <c r="D2602" s="136">
        <v>2004</v>
      </c>
      <c r="E2602" s="136">
        <v>2002</v>
      </c>
      <c r="F2602" s="136" t="s">
        <v>2711</v>
      </c>
      <c r="G2602" s="136" t="s">
        <v>2769</v>
      </c>
      <c r="H2602" s="24" t="s">
        <v>2845</v>
      </c>
      <c r="I2602" s="136">
        <f t="shared" si="330"/>
        <v>-13.65</v>
      </c>
      <c r="J2602" s="136">
        <f t="shared" si="331"/>
        <v>32.56666666666667</v>
      </c>
      <c r="K2602" s="136">
        <v>1028</v>
      </c>
      <c r="M2602" s="136">
        <f t="shared" si="332"/>
        <v>20.5</v>
      </c>
      <c r="O2602" s="136">
        <v>960</v>
      </c>
      <c r="Q2602" s="137" t="s">
        <v>1729</v>
      </c>
      <c r="R2602" s="137" t="s">
        <v>1729</v>
      </c>
      <c r="S2602" s="137"/>
      <c r="T2602" s="137" t="s">
        <v>1998</v>
      </c>
      <c r="U2602" s="137" t="s">
        <v>1383</v>
      </c>
      <c r="V2602" s="137" t="s">
        <v>1722</v>
      </c>
      <c r="W2602" s="137" t="s">
        <v>1383</v>
      </c>
      <c r="X2602" s="137" t="s">
        <v>1383</v>
      </c>
      <c r="Z2602" s="357">
        <v>58</v>
      </c>
      <c r="AA2602" s="357">
        <v>17</v>
      </c>
      <c r="AB2602" s="136" t="s">
        <v>241</v>
      </c>
      <c r="AD2602" s="136">
        <v>1</v>
      </c>
      <c r="AF2602" s="136" t="s">
        <v>2770</v>
      </c>
      <c r="AG2602" s="24" t="s">
        <v>2778</v>
      </c>
      <c r="AH2602" s="24" t="s">
        <v>1131</v>
      </c>
      <c r="AI2602" s="24" t="s">
        <v>1650</v>
      </c>
      <c r="AJ2602" s="24" t="s">
        <v>133</v>
      </c>
      <c r="AT2602" s="136" t="s">
        <v>161</v>
      </c>
      <c r="AU2602" s="136">
        <v>3</v>
      </c>
      <c r="AW2602" s="136" t="s">
        <v>142</v>
      </c>
      <c r="AY2602" s="136">
        <v>3371</v>
      </c>
      <c r="AZ2602" s="136">
        <f>AY2602/116</f>
        <v>29.060344827586206</v>
      </c>
      <c r="BH2602" s="136">
        <v>1638</v>
      </c>
      <c r="BI2602" s="136">
        <v>3594</v>
      </c>
      <c r="BL2602" s="136" t="s">
        <v>2775</v>
      </c>
      <c r="BM2602" s="432"/>
      <c r="BN2602" s="432"/>
      <c r="BR2602" s="432"/>
      <c r="BS2602" s="432"/>
      <c r="IQ2602" s="503"/>
    </row>
    <row r="2603" spans="1:251" s="136" customFormat="1" x14ac:dyDescent="0.25">
      <c r="A2603" s="136">
        <v>122</v>
      </c>
      <c r="B2603" s="136" t="s">
        <v>2767</v>
      </c>
      <c r="C2603" s="136" t="s">
        <v>2768</v>
      </c>
      <c r="D2603" s="136">
        <v>2004</v>
      </c>
      <c r="E2603" s="136">
        <v>2002</v>
      </c>
      <c r="F2603" s="136" t="s">
        <v>2711</v>
      </c>
      <c r="G2603" s="136" t="s">
        <v>2769</v>
      </c>
      <c r="H2603" s="24" t="s">
        <v>2845</v>
      </c>
      <c r="I2603" s="136">
        <f t="shared" si="330"/>
        <v>-13.65</v>
      </c>
      <c r="J2603" s="136">
        <f t="shared" si="331"/>
        <v>32.56666666666667</v>
      </c>
      <c r="K2603" s="136">
        <v>1028</v>
      </c>
      <c r="M2603" s="136">
        <f t="shared" si="332"/>
        <v>20.5</v>
      </c>
      <c r="O2603" s="136">
        <v>960</v>
      </c>
      <c r="Q2603" s="137" t="s">
        <v>1729</v>
      </c>
      <c r="R2603" s="137" t="s">
        <v>1729</v>
      </c>
      <c r="S2603" s="137"/>
      <c r="T2603" s="137" t="s">
        <v>1998</v>
      </c>
      <c r="U2603" s="137" t="s">
        <v>1383</v>
      </c>
      <c r="V2603" s="137" t="s">
        <v>1722</v>
      </c>
      <c r="W2603" s="137" t="s">
        <v>1383</v>
      </c>
      <c r="X2603" s="137" t="s">
        <v>1383</v>
      </c>
      <c r="Z2603" s="357">
        <v>58</v>
      </c>
      <c r="AA2603" s="357">
        <v>17</v>
      </c>
      <c r="AB2603" s="136" t="s">
        <v>241</v>
      </c>
      <c r="AD2603" s="136">
        <v>1</v>
      </c>
      <c r="AF2603" s="136" t="s">
        <v>2770</v>
      </c>
      <c r="AG2603" s="24" t="s">
        <v>2778</v>
      </c>
      <c r="AH2603" s="24" t="s">
        <v>1131</v>
      </c>
      <c r="AI2603" s="24" t="s">
        <v>1650</v>
      </c>
      <c r="AJ2603" s="24" t="s">
        <v>133</v>
      </c>
      <c r="AT2603" s="136" t="s">
        <v>161</v>
      </c>
      <c r="AU2603" s="136">
        <v>3</v>
      </c>
      <c r="AW2603" s="136" t="s">
        <v>142</v>
      </c>
      <c r="AY2603" s="136">
        <v>1764</v>
      </c>
      <c r="AZ2603" s="136">
        <f>AY2603/61</f>
        <v>28.918032786885245</v>
      </c>
      <c r="BH2603" s="136">
        <v>1638</v>
      </c>
      <c r="BI2603" s="136">
        <v>2817</v>
      </c>
      <c r="BL2603" s="136" t="s">
        <v>2776</v>
      </c>
      <c r="BM2603" s="432"/>
      <c r="BN2603" s="432"/>
      <c r="BR2603" s="432"/>
      <c r="BS2603" s="432"/>
      <c r="IQ2603" s="503"/>
    </row>
    <row r="2604" spans="1:251" s="136" customFormat="1" x14ac:dyDescent="0.25">
      <c r="A2604" s="136">
        <v>122</v>
      </c>
      <c r="B2604" s="136" t="s">
        <v>2767</v>
      </c>
      <c r="C2604" s="136" t="s">
        <v>2768</v>
      </c>
      <c r="D2604" s="136">
        <v>2004</v>
      </c>
      <c r="E2604" s="136">
        <v>2002</v>
      </c>
      <c r="F2604" s="136" t="s">
        <v>2711</v>
      </c>
      <c r="G2604" s="136" t="s">
        <v>2769</v>
      </c>
      <c r="H2604" s="24" t="s">
        <v>2845</v>
      </c>
      <c r="I2604" s="136">
        <f t="shared" si="330"/>
        <v>-13.65</v>
      </c>
      <c r="J2604" s="136">
        <f t="shared" si="331"/>
        <v>32.56666666666667</v>
      </c>
      <c r="K2604" s="136">
        <v>1028</v>
      </c>
      <c r="M2604" s="136">
        <f t="shared" si="332"/>
        <v>20.5</v>
      </c>
      <c r="O2604" s="136">
        <v>960</v>
      </c>
      <c r="Q2604" s="137" t="s">
        <v>1729</v>
      </c>
      <c r="R2604" s="137" t="s">
        <v>1729</v>
      </c>
      <c r="S2604" s="137"/>
      <c r="T2604" s="137" t="s">
        <v>1998</v>
      </c>
      <c r="U2604" s="137" t="s">
        <v>1383</v>
      </c>
      <c r="V2604" s="137" t="s">
        <v>1722</v>
      </c>
      <c r="W2604" s="137" t="s">
        <v>1383</v>
      </c>
      <c r="X2604" s="137" t="s">
        <v>1383</v>
      </c>
      <c r="Z2604" s="357">
        <v>58</v>
      </c>
      <c r="AA2604" s="357">
        <v>17</v>
      </c>
      <c r="AB2604" s="136" t="s">
        <v>241</v>
      </c>
      <c r="AD2604" s="136">
        <v>1</v>
      </c>
      <c r="AF2604" s="136" t="s">
        <v>2770</v>
      </c>
      <c r="AG2604" s="24" t="s">
        <v>2778</v>
      </c>
      <c r="AH2604" s="24" t="s">
        <v>1131</v>
      </c>
      <c r="AI2604" s="24" t="s">
        <v>1650</v>
      </c>
      <c r="AJ2604" s="24" t="s">
        <v>133</v>
      </c>
      <c r="AT2604" s="136" t="s">
        <v>161</v>
      </c>
      <c r="AU2604" s="136">
        <v>3</v>
      </c>
      <c r="AW2604" s="136" t="s">
        <v>142</v>
      </c>
      <c r="BH2604" s="136">
        <v>1638</v>
      </c>
      <c r="BI2604" s="136">
        <v>1604</v>
      </c>
      <c r="BL2604" s="136" t="s">
        <v>2777</v>
      </c>
      <c r="BM2604" s="432"/>
      <c r="BN2604" s="432"/>
      <c r="BR2604" s="432"/>
      <c r="BS2604" s="432"/>
      <c r="IQ2604" s="503"/>
    </row>
    <row r="2605" spans="1:251" x14ac:dyDescent="0.25">
      <c r="A2605" s="37">
        <v>123</v>
      </c>
      <c r="B2605" s="37" t="s">
        <v>2780</v>
      </c>
      <c r="C2605" s="37" t="s">
        <v>2779</v>
      </c>
      <c r="D2605" s="37">
        <v>2003</v>
      </c>
      <c r="E2605" s="37">
        <v>2000</v>
      </c>
      <c r="F2605" s="37" t="s">
        <v>2781</v>
      </c>
      <c r="G2605" s="37" t="s">
        <v>2782</v>
      </c>
      <c r="H2605" s="37" t="s">
        <v>2845</v>
      </c>
      <c r="I2605" s="37">
        <f t="shared" ref="I2605:I2636" si="333">-14-15/60</f>
        <v>-14.25</v>
      </c>
      <c r="J2605" s="37">
        <v>32</v>
      </c>
      <c r="K2605" s="37">
        <v>988</v>
      </c>
      <c r="O2605" s="37">
        <v>850</v>
      </c>
      <c r="Q2605" s="50" t="s">
        <v>1867</v>
      </c>
      <c r="R2605" s="50" t="s">
        <v>1852</v>
      </c>
      <c r="T2605" s="50" t="s">
        <v>2783</v>
      </c>
      <c r="U2605" s="50" t="s">
        <v>1383</v>
      </c>
      <c r="V2605" s="50" t="s">
        <v>1722</v>
      </c>
      <c r="W2605" s="50" t="s">
        <v>1383</v>
      </c>
      <c r="X2605" s="50" t="s">
        <v>1421</v>
      </c>
      <c r="Z2605" s="330">
        <v>44</v>
      </c>
      <c r="AA2605" s="330">
        <f t="shared" ref="AA2605:AA2636" si="334">100-44-50</f>
        <v>6</v>
      </c>
      <c r="AB2605" s="37" t="s">
        <v>797</v>
      </c>
      <c r="AC2605" s="37">
        <v>5.6</v>
      </c>
      <c r="AD2605" s="37">
        <v>0.9</v>
      </c>
      <c r="AF2605" s="37" t="s">
        <v>2784</v>
      </c>
      <c r="AG2605" s="37" t="s">
        <v>2785</v>
      </c>
      <c r="AH2605" s="37" t="s">
        <v>1585</v>
      </c>
      <c r="AQ2605" s="37" t="s">
        <v>2793</v>
      </c>
      <c r="AR2605" s="37" t="s">
        <v>2794</v>
      </c>
      <c r="AT2605" s="37" t="s">
        <v>2795</v>
      </c>
      <c r="AU2605" s="37">
        <v>3</v>
      </c>
      <c r="AW2605" s="37" t="s">
        <v>142</v>
      </c>
      <c r="BH2605" s="37">
        <v>600</v>
      </c>
      <c r="BI2605" s="37">
        <v>1800</v>
      </c>
      <c r="BL2605" s="37" t="s">
        <v>2796</v>
      </c>
      <c r="BW2605" s="37">
        <v>8.8000000000000007</v>
      </c>
      <c r="BX2605" s="37">
        <v>12.8</v>
      </c>
      <c r="CA2605" s="37" t="s">
        <v>2791</v>
      </c>
      <c r="DP2605" s="37">
        <f>AVERAGE(DP2633,DP2640,DP2647,DP2654)</f>
        <v>2.3250000000000002</v>
      </c>
      <c r="DQ2605" s="37">
        <f>AVERAGE(DQ2633,DQ2640,DQ2647,DQ2654)</f>
        <v>1.85</v>
      </c>
      <c r="DU2605" s="37">
        <v>5.9</v>
      </c>
      <c r="DV2605" s="37">
        <v>9.5</v>
      </c>
      <c r="DY2605" s="37" t="s">
        <v>934</v>
      </c>
    </row>
    <row r="2606" spans="1:251" x14ac:dyDescent="0.25">
      <c r="A2606" s="37">
        <v>123</v>
      </c>
      <c r="B2606" s="37" t="s">
        <v>2780</v>
      </c>
      <c r="C2606" s="37" t="s">
        <v>2779</v>
      </c>
      <c r="D2606" s="37">
        <v>2003</v>
      </c>
      <c r="E2606" s="37">
        <v>2000</v>
      </c>
      <c r="F2606" s="37" t="s">
        <v>2781</v>
      </c>
      <c r="G2606" s="37" t="s">
        <v>2782</v>
      </c>
      <c r="H2606" s="37" t="s">
        <v>2845</v>
      </c>
      <c r="I2606" s="37">
        <f t="shared" si="333"/>
        <v>-14.25</v>
      </c>
      <c r="J2606" s="37">
        <v>32</v>
      </c>
      <c r="K2606" s="37">
        <v>988</v>
      </c>
      <c r="O2606" s="37">
        <v>850</v>
      </c>
      <c r="Q2606" s="50" t="s">
        <v>1867</v>
      </c>
      <c r="R2606" s="50" t="s">
        <v>1852</v>
      </c>
      <c r="T2606" s="50" t="s">
        <v>2783</v>
      </c>
      <c r="U2606" s="50" t="s">
        <v>1383</v>
      </c>
      <c r="V2606" s="50" t="s">
        <v>1722</v>
      </c>
      <c r="W2606" s="50" t="s">
        <v>1383</v>
      </c>
      <c r="X2606" s="50" t="s">
        <v>1421</v>
      </c>
      <c r="Z2606" s="330">
        <v>44</v>
      </c>
      <c r="AA2606" s="330">
        <f t="shared" si="334"/>
        <v>6</v>
      </c>
      <c r="AB2606" s="37" t="s">
        <v>797</v>
      </c>
      <c r="AC2606" s="37">
        <v>5.6</v>
      </c>
      <c r="AD2606" s="37">
        <v>0.9</v>
      </c>
      <c r="AF2606" s="37" t="s">
        <v>2784</v>
      </c>
      <c r="AG2606" s="37" t="s">
        <v>2712</v>
      </c>
      <c r="AH2606" s="37" t="s">
        <v>578</v>
      </c>
      <c r="AQ2606" s="37" t="s">
        <v>2793</v>
      </c>
      <c r="AR2606" s="37" t="s">
        <v>2794</v>
      </c>
      <c r="AT2606" s="37" t="s">
        <v>2795</v>
      </c>
      <c r="AU2606" s="37">
        <v>3</v>
      </c>
      <c r="AW2606" s="37" t="s">
        <v>142</v>
      </c>
      <c r="AY2606" s="37">
        <v>2200</v>
      </c>
      <c r="AZ2606" s="37">
        <f>AY2606/72.1</f>
        <v>30.513176144244106</v>
      </c>
      <c r="BH2606" s="37">
        <v>600</v>
      </c>
      <c r="BI2606" s="37">
        <v>1300</v>
      </c>
      <c r="BL2606" s="37" t="s">
        <v>2796</v>
      </c>
      <c r="BW2606" s="37">
        <v>8.8000000000000007</v>
      </c>
      <c r="BX2606" s="37">
        <v>14</v>
      </c>
      <c r="CA2606" s="37" t="s">
        <v>2791</v>
      </c>
      <c r="DP2606" s="37">
        <f t="shared" ref="DP2606:DQ2611" si="335">AVERAGE(DP2634,DP2641,DP2648,DP2655)</f>
        <v>2.3250000000000002</v>
      </c>
      <c r="DQ2606" s="37">
        <f t="shared" si="335"/>
        <v>1.7</v>
      </c>
      <c r="DU2606" s="37">
        <v>5.9</v>
      </c>
      <c r="DV2606" s="37">
        <v>4.4000000000000004</v>
      </c>
      <c r="DY2606" s="37" t="s">
        <v>934</v>
      </c>
    </row>
    <row r="2607" spans="1:251" x14ac:dyDescent="0.25">
      <c r="A2607" s="37">
        <v>123</v>
      </c>
      <c r="B2607" s="37" t="s">
        <v>2780</v>
      </c>
      <c r="C2607" s="37" t="s">
        <v>2779</v>
      </c>
      <c r="D2607" s="37">
        <v>2003</v>
      </c>
      <c r="E2607" s="37">
        <v>2000</v>
      </c>
      <c r="F2607" s="37" t="s">
        <v>2781</v>
      </c>
      <c r="G2607" s="37" t="s">
        <v>2782</v>
      </c>
      <c r="H2607" s="37" t="s">
        <v>2845</v>
      </c>
      <c r="I2607" s="37">
        <f t="shared" si="333"/>
        <v>-14.25</v>
      </c>
      <c r="J2607" s="37">
        <v>32</v>
      </c>
      <c r="K2607" s="37">
        <v>988</v>
      </c>
      <c r="O2607" s="37">
        <v>850</v>
      </c>
      <c r="Q2607" s="50" t="s">
        <v>1867</v>
      </c>
      <c r="R2607" s="50" t="s">
        <v>1852</v>
      </c>
      <c r="T2607" s="50" t="s">
        <v>2783</v>
      </c>
      <c r="U2607" s="50" t="s">
        <v>1383</v>
      </c>
      <c r="V2607" s="50" t="s">
        <v>1722</v>
      </c>
      <c r="W2607" s="50" t="s">
        <v>1383</v>
      </c>
      <c r="X2607" s="50" t="s">
        <v>1421</v>
      </c>
      <c r="Z2607" s="330">
        <v>44</v>
      </c>
      <c r="AA2607" s="330">
        <f t="shared" si="334"/>
        <v>6</v>
      </c>
      <c r="AB2607" s="37" t="s">
        <v>797</v>
      </c>
      <c r="AC2607" s="37">
        <v>5.6</v>
      </c>
      <c r="AD2607" s="37">
        <v>0.9</v>
      </c>
      <c r="AF2607" s="37" t="s">
        <v>2784</v>
      </c>
      <c r="AG2607" s="37" t="s">
        <v>2786</v>
      </c>
      <c r="AH2607" s="37" t="s">
        <v>578</v>
      </c>
      <c r="AQ2607" s="37" t="s">
        <v>2793</v>
      </c>
      <c r="AR2607" s="37" t="s">
        <v>2794</v>
      </c>
      <c r="AT2607" s="37" t="s">
        <v>2795</v>
      </c>
      <c r="AU2607" s="37">
        <v>3</v>
      </c>
      <c r="AW2607" s="37" t="s">
        <v>142</v>
      </c>
      <c r="AY2607" s="37">
        <v>800</v>
      </c>
      <c r="AZ2607" s="37">
        <f>AY2607/28.9</f>
        <v>27.681660899653981</v>
      </c>
      <c r="BH2607" s="37">
        <v>600</v>
      </c>
      <c r="BI2607" s="37">
        <v>1000</v>
      </c>
      <c r="BL2607" s="37" t="s">
        <v>2796</v>
      </c>
      <c r="BW2607" s="37">
        <v>8.8000000000000007</v>
      </c>
      <c r="BX2607" s="37">
        <v>8.1</v>
      </c>
      <c r="CA2607" s="37" t="s">
        <v>2791</v>
      </c>
      <c r="DP2607" s="37">
        <f t="shared" si="335"/>
        <v>2.3250000000000002</v>
      </c>
      <c r="DQ2607" s="37">
        <f t="shared" si="335"/>
        <v>2</v>
      </c>
      <c r="DU2607" s="37">
        <v>5.9</v>
      </c>
      <c r="DV2607" s="37">
        <v>3.7</v>
      </c>
      <c r="DY2607" s="37" t="s">
        <v>934</v>
      </c>
    </row>
    <row r="2608" spans="1:251" x14ac:dyDescent="0.25">
      <c r="A2608" s="37">
        <v>123</v>
      </c>
      <c r="B2608" s="37" t="s">
        <v>2780</v>
      </c>
      <c r="C2608" s="37" t="s">
        <v>2779</v>
      </c>
      <c r="D2608" s="37">
        <v>2003</v>
      </c>
      <c r="E2608" s="37">
        <v>2000</v>
      </c>
      <c r="F2608" s="37" t="s">
        <v>2781</v>
      </c>
      <c r="G2608" s="37" t="s">
        <v>2782</v>
      </c>
      <c r="H2608" s="37" t="s">
        <v>2845</v>
      </c>
      <c r="I2608" s="37">
        <f t="shared" si="333"/>
        <v>-14.25</v>
      </c>
      <c r="J2608" s="37">
        <v>32</v>
      </c>
      <c r="K2608" s="37">
        <v>988</v>
      </c>
      <c r="O2608" s="37">
        <v>850</v>
      </c>
      <c r="Q2608" s="50" t="s">
        <v>1867</v>
      </c>
      <c r="R2608" s="50" t="s">
        <v>1852</v>
      </c>
      <c r="T2608" s="50" t="s">
        <v>2783</v>
      </c>
      <c r="U2608" s="50" t="s">
        <v>1383</v>
      </c>
      <c r="V2608" s="50" t="s">
        <v>1722</v>
      </c>
      <c r="W2608" s="50" t="s">
        <v>1383</v>
      </c>
      <c r="X2608" s="50" t="s">
        <v>1421</v>
      </c>
      <c r="Z2608" s="330">
        <v>44</v>
      </c>
      <c r="AA2608" s="330">
        <f t="shared" si="334"/>
        <v>6</v>
      </c>
      <c r="AB2608" s="37" t="s">
        <v>797</v>
      </c>
      <c r="AC2608" s="37">
        <v>5.6</v>
      </c>
      <c r="AD2608" s="37">
        <v>0.9</v>
      </c>
      <c r="AF2608" s="37" t="s">
        <v>2784</v>
      </c>
      <c r="AG2608" s="37" t="s">
        <v>2789</v>
      </c>
      <c r="AH2608" s="37" t="s">
        <v>578</v>
      </c>
      <c r="AQ2608" s="37" t="s">
        <v>2793</v>
      </c>
      <c r="AR2608" s="37" t="s">
        <v>2794</v>
      </c>
      <c r="AT2608" s="37" t="s">
        <v>2795</v>
      </c>
      <c r="AU2608" s="37">
        <v>3</v>
      </c>
      <c r="AW2608" s="37" t="s">
        <v>142</v>
      </c>
      <c r="AY2608" s="37">
        <v>1700</v>
      </c>
      <c r="AZ2608" s="37">
        <f>AY2608/52.8</f>
        <v>32.196969696969695</v>
      </c>
      <c r="BH2608" s="37">
        <v>600</v>
      </c>
      <c r="BI2608" s="37">
        <v>800</v>
      </c>
      <c r="BL2608" s="37" t="s">
        <v>2796</v>
      </c>
      <c r="BW2608" s="37">
        <v>8.8000000000000007</v>
      </c>
      <c r="BX2608" s="37">
        <v>7.1</v>
      </c>
      <c r="CA2608" s="37" t="s">
        <v>2791</v>
      </c>
      <c r="DP2608" s="37">
        <f t="shared" si="335"/>
        <v>2.3250000000000002</v>
      </c>
      <c r="DQ2608" s="37">
        <f t="shared" si="335"/>
        <v>2.15</v>
      </c>
      <c r="DU2608" s="37">
        <v>5.9</v>
      </c>
      <c r="DV2608" s="37">
        <v>5.5</v>
      </c>
      <c r="DY2608" s="37" t="s">
        <v>934</v>
      </c>
    </row>
    <row r="2609" spans="1:251" x14ac:dyDescent="0.25">
      <c r="A2609" s="37">
        <v>123</v>
      </c>
      <c r="B2609" s="37" t="s">
        <v>2780</v>
      </c>
      <c r="C2609" s="37" t="s">
        <v>2779</v>
      </c>
      <c r="D2609" s="37">
        <v>2003</v>
      </c>
      <c r="E2609" s="37">
        <v>2000</v>
      </c>
      <c r="F2609" s="37" t="s">
        <v>2781</v>
      </c>
      <c r="G2609" s="37" t="s">
        <v>2782</v>
      </c>
      <c r="H2609" s="37" t="s">
        <v>2845</v>
      </c>
      <c r="I2609" s="37">
        <f t="shared" si="333"/>
        <v>-14.25</v>
      </c>
      <c r="J2609" s="37">
        <v>32</v>
      </c>
      <c r="K2609" s="37">
        <v>988</v>
      </c>
      <c r="O2609" s="37">
        <v>850</v>
      </c>
      <c r="Q2609" s="50" t="s">
        <v>1867</v>
      </c>
      <c r="R2609" s="50" t="s">
        <v>1852</v>
      </c>
      <c r="T2609" s="50" t="s">
        <v>2783</v>
      </c>
      <c r="U2609" s="50" t="s">
        <v>1383</v>
      </c>
      <c r="V2609" s="50" t="s">
        <v>1722</v>
      </c>
      <c r="W2609" s="50" t="s">
        <v>1383</v>
      </c>
      <c r="X2609" s="50" t="s">
        <v>1421</v>
      </c>
      <c r="Z2609" s="330">
        <v>44</v>
      </c>
      <c r="AA2609" s="330">
        <f t="shared" si="334"/>
        <v>6</v>
      </c>
      <c r="AB2609" s="37" t="s">
        <v>797</v>
      </c>
      <c r="AC2609" s="37">
        <v>5.6</v>
      </c>
      <c r="AD2609" s="37">
        <v>0.9</v>
      </c>
      <c r="AF2609" s="37" t="s">
        <v>2784</v>
      </c>
      <c r="AG2609" s="37" t="s">
        <v>2787</v>
      </c>
      <c r="AH2609" s="37" t="s">
        <v>1586</v>
      </c>
      <c r="AQ2609" s="37" t="s">
        <v>2793</v>
      </c>
      <c r="AR2609" s="37" t="s">
        <v>2794</v>
      </c>
      <c r="AT2609" s="37" t="s">
        <v>2795</v>
      </c>
      <c r="AU2609" s="37">
        <v>3</v>
      </c>
      <c r="AW2609" s="37" t="s">
        <v>142</v>
      </c>
      <c r="AY2609" s="37">
        <v>3900</v>
      </c>
      <c r="AZ2609" s="37">
        <f>AY2609/125.1</f>
        <v>31.175059952038371</v>
      </c>
      <c r="BH2609" s="37">
        <v>600</v>
      </c>
      <c r="BI2609" s="37">
        <v>2400</v>
      </c>
      <c r="BL2609" s="37" t="s">
        <v>2796</v>
      </c>
      <c r="BW2609" s="37">
        <v>8.8000000000000007</v>
      </c>
      <c r="BX2609" s="37">
        <v>11.7</v>
      </c>
      <c r="CA2609" s="37" t="s">
        <v>2791</v>
      </c>
      <c r="DP2609" s="37">
        <f t="shared" si="335"/>
        <v>2.3250000000000002</v>
      </c>
      <c r="DQ2609" s="37">
        <f t="shared" si="335"/>
        <v>1.5249999999999999</v>
      </c>
      <c r="DU2609" s="37">
        <v>5.9</v>
      </c>
      <c r="DV2609" s="37">
        <v>7.1</v>
      </c>
      <c r="DY2609" s="37" t="s">
        <v>934</v>
      </c>
    </row>
    <row r="2610" spans="1:251" x14ac:dyDescent="0.25">
      <c r="A2610" s="37">
        <v>123</v>
      </c>
      <c r="B2610" s="37" t="s">
        <v>2780</v>
      </c>
      <c r="C2610" s="37" t="s">
        <v>2779</v>
      </c>
      <c r="D2610" s="37">
        <v>2003</v>
      </c>
      <c r="E2610" s="37">
        <v>2000</v>
      </c>
      <c r="F2610" s="37" t="s">
        <v>2781</v>
      </c>
      <c r="G2610" s="37" t="s">
        <v>2782</v>
      </c>
      <c r="H2610" s="37" t="s">
        <v>2845</v>
      </c>
      <c r="I2610" s="37">
        <f t="shared" si="333"/>
        <v>-14.25</v>
      </c>
      <c r="J2610" s="37">
        <v>32</v>
      </c>
      <c r="K2610" s="37">
        <v>988</v>
      </c>
      <c r="O2610" s="37">
        <v>850</v>
      </c>
      <c r="Q2610" s="50" t="s">
        <v>1867</v>
      </c>
      <c r="R2610" s="50" t="s">
        <v>1852</v>
      </c>
      <c r="T2610" s="50" t="s">
        <v>2783</v>
      </c>
      <c r="U2610" s="50" t="s">
        <v>1383</v>
      </c>
      <c r="V2610" s="50" t="s">
        <v>1722</v>
      </c>
      <c r="W2610" s="50" t="s">
        <v>1383</v>
      </c>
      <c r="X2610" s="50" t="s">
        <v>1421</v>
      </c>
      <c r="Z2610" s="330">
        <v>44</v>
      </c>
      <c r="AA2610" s="330">
        <f t="shared" si="334"/>
        <v>6</v>
      </c>
      <c r="AB2610" s="37" t="s">
        <v>797</v>
      </c>
      <c r="AC2610" s="37">
        <v>5.6</v>
      </c>
      <c r="AD2610" s="37">
        <v>0.9</v>
      </c>
      <c r="AF2610" s="37" t="s">
        <v>2784</v>
      </c>
      <c r="AG2610" s="37" t="s">
        <v>2788</v>
      </c>
      <c r="AH2610" s="37" t="s">
        <v>1587</v>
      </c>
      <c r="AQ2610" s="37" t="s">
        <v>2793</v>
      </c>
      <c r="AR2610" s="37" t="s">
        <v>2794</v>
      </c>
      <c r="AT2610" s="37" t="s">
        <v>2795</v>
      </c>
      <c r="AU2610" s="37">
        <v>3</v>
      </c>
      <c r="AW2610" s="37" t="s">
        <v>142</v>
      </c>
      <c r="AY2610" s="37">
        <v>1100</v>
      </c>
      <c r="AZ2610" s="37">
        <f>AY2610/37.9</f>
        <v>29.023746701846967</v>
      </c>
      <c r="BH2610" s="37">
        <v>600</v>
      </c>
      <c r="BI2610" s="37">
        <v>1900</v>
      </c>
      <c r="BL2610" s="37" t="s">
        <v>2796</v>
      </c>
      <c r="BW2610" s="37">
        <v>8.8000000000000007</v>
      </c>
      <c r="BX2610" s="37">
        <v>10.9</v>
      </c>
      <c r="CA2610" s="37" t="s">
        <v>2791</v>
      </c>
      <c r="DP2610" s="37">
        <f t="shared" si="335"/>
        <v>2.3250000000000002</v>
      </c>
      <c r="DQ2610" s="37">
        <f t="shared" si="335"/>
        <v>1.8</v>
      </c>
      <c r="DU2610" s="37">
        <v>5.9</v>
      </c>
      <c r="DV2610" s="37">
        <v>11.9</v>
      </c>
      <c r="DY2610" s="37" t="s">
        <v>934</v>
      </c>
    </row>
    <row r="2611" spans="1:251" x14ac:dyDescent="0.25">
      <c r="A2611" s="37">
        <v>123</v>
      </c>
      <c r="B2611" s="37" t="s">
        <v>2780</v>
      </c>
      <c r="C2611" s="37" t="s">
        <v>2779</v>
      </c>
      <c r="D2611" s="37">
        <v>2003</v>
      </c>
      <c r="E2611" s="37">
        <v>2000</v>
      </c>
      <c r="F2611" s="37" t="s">
        <v>2781</v>
      </c>
      <c r="G2611" s="37" t="s">
        <v>2782</v>
      </c>
      <c r="H2611" s="37" t="s">
        <v>2845</v>
      </c>
      <c r="I2611" s="37">
        <f t="shared" si="333"/>
        <v>-14.25</v>
      </c>
      <c r="J2611" s="37">
        <v>32</v>
      </c>
      <c r="K2611" s="37">
        <v>988</v>
      </c>
      <c r="O2611" s="37">
        <v>850</v>
      </c>
      <c r="Q2611" s="50" t="s">
        <v>1867</v>
      </c>
      <c r="R2611" s="50" t="s">
        <v>1852</v>
      </c>
      <c r="T2611" s="50" t="s">
        <v>2783</v>
      </c>
      <c r="U2611" s="50" t="s">
        <v>1383</v>
      </c>
      <c r="V2611" s="50" t="s">
        <v>1722</v>
      </c>
      <c r="W2611" s="50" t="s">
        <v>1383</v>
      </c>
      <c r="X2611" s="50" t="s">
        <v>1421</v>
      </c>
      <c r="Z2611" s="330">
        <v>44</v>
      </c>
      <c r="AA2611" s="330">
        <f t="shared" si="334"/>
        <v>6</v>
      </c>
      <c r="AB2611" s="37" t="s">
        <v>797</v>
      </c>
      <c r="AC2611" s="37">
        <v>5.6</v>
      </c>
      <c r="AD2611" s="37">
        <v>0.9</v>
      </c>
      <c r="AF2611" s="37" t="s">
        <v>2784</v>
      </c>
      <c r="AG2611" s="37" t="s">
        <v>2790</v>
      </c>
      <c r="AH2611" s="37" t="s">
        <v>1587</v>
      </c>
      <c r="AQ2611" s="37" t="s">
        <v>2793</v>
      </c>
      <c r="AR2611" s="37" t="s">
        <v>2794</v>
      </c>
      <c r="AT2611" s="37" t="s">
        <v>2795</v>
      </c>
      <c r="AU2611" s="37">
        <v>3</v>
      </c>
      <c r="AW2611" s="37" t="s">
        <v>142</v>
      </c>
      <c r="AY2611" s="37">
        <v>1300</v>
      </c>
      <c r="AZ2611" s="37">
        <f>AY2611/41</f>
        <v>31.707317073170731</v>
      </c>
      <c r="BH2611" s="37">
        <v>600</v>
      </c>
      <c r="BI2611" s="37">
        <v>1500</v>
      </c>
      <c r="BL2611" s="37" t="s">
        <v>2796</v>
      </c>
      <c r="BW2611" s="37">
        <v>8.8000000000000007</v>
      </c>
      <c r="BX2611" s="37">
        <v>9.3000000000000007</v>
      </c>
      <c r="CA2611" s="37" t="s">
        <v>2791</v>
      </c>
      <c r="DP2611" s="37">
        <f t="shared" si="335"/>
        <v>2.3250000000000002</v>
      </c>
      <c r="DQ2611" s="37">
        <f t="shared" si="335"/>
        <v>1.925</v>
      </c>
      <c r="DU2611" s="37">
        <v>5.9</v>
      </c>
      <c r="DV2611" s="37">
        <v>9.4</v>
      </c>
      <c r="DY2611" s="37" t="s">
        <v>934</v>
      </c>
    </row>
    <row r="2612" spans="1:251" x14ac:dyDescent="0.25">
      <c r="A2612" s="37">
        <v>123</v>
      </c>
      <c r="B2612" s="37" t="s">
        <v>2780</v>
      </c>
      <c r="C2612" s="37" t="s">
        <v>2779</v>
      </c>
      <c r="D2612" s="37">
        <v>2003</v>
      </c>
      <c r="E2612" s="37">
        <v>2000</v>
      </c>
      <c r="F2612" s="37" t="s">
        <v>2781</v>
      </c>
      <c r="G2612" s="37" t="s">
        <v>2782</v>
      </c>
      <c r="H2612" s="37" t="s">
        <v>2845</v>
      </c>
      <c r="I2612" s="37">
        <f t="shared" si="333"/>
        <v>-14.25</v>
      </c>
      <c r="J2612" s="37">
        <v>32</v>
      </c>
      <c r="K2612" s="37">
        <v>988</v>
      </c>
      <c r="O2612" s="37">
        <v>850</v>
      </c>
      <c r="Q2612" s="50" t="s">
        <v>1867</v>
      </c>
      <c r="R2612" s="50" t="s">
        <v>1852</v>
      </c>
      <c r="T2612" s="50" t="s">
        <v>2783</v>
      </c>
      <c r="U2612" s="50" t="s">
        <v>1383</v>
      </c>
      <c r="V2612" s="50" t="s">
        <v>1722</v>
      </c>
      <c r="W2612" s="50" t="s">
        <v>1383</v>
      </c>
      <c r="X2612" s="50" t="s">
        <v>1421</v>
      </c>
      <c r="Z2612" s="330">
        <v>44</v>
      </c>
      <c r="AA2612" s="330">
        <f t="shared" si="334"/>
        <v>6</v>
      </c>
      <c r="AB2612" s="37" t="s">
        <v>797</v>
      </c>
      <c r="AC2612" s="37">
        <v>5.6</v>
      </c>
      <c r="AD2612" s="37">
        <v>0.9</v>
      </c>
      <c r="AF2612" s="37" t="s">
        <v>2784</v>
      </c>
      <c r="AG2612" s="37" t="s">
        <v>2785</v>
      </c>
      <c r="AH2612" s="37" t="s">
        <v>1585</v>
      </c>
      <c r="AQ2612" s="37" t="s">
        <v>2793</v>
      </c>
      <c r="AR2612" s="37" t="s">
        <v>2794</v>
      </c>
      <c r="AT2612" s="37" t="s">
        <v>2795</v>
      </c>
      <c r="AU2612" s="37">
        <v>3</v>
      </c>
      <c r="AW2612" s="37" t="s">
        <v>142</v>
      </c>
      <c r="BW2612" s="37">
        <v>6.6</v>
      </c>
      <c r="BX2612" s="37">
        <v>9.6</v>
      </c>
      <c r="CA2612" s="37" t="s">
        <v>2792</v>
      </c>
    </row>
    <row r="2613" spans="1:251" x14ac:dyDescent="0.25">
      <c r="A2613" s="37">
        <v>123</v>
      </c>
      <c r="B2613" s="37" t="s">
        <v>2780</v>
      </c>
      <c r="C2613" s="37" t="s">
        <v>2779</v>
      </c>
      <c r="D2613" s="37">
        <v>2003</v>
      </c>
      <c r="E2613" s="37">
        <v>2000</v>
      </c>
      <c r="F2613" s="37" t="s">
        <v>2781</v>
      </c>
      <c r="G2613" s="37" t="s">
        <v>2782</v>
      </c>
      <c r="H2613" s="37" t="s">
        <v>2845</v>
      </c>
      <c r="I2613" s="37">
        <f t="shared" si="333"/>
        <v>-14.25</v>
      </c>
      <c r="J2613" s="37">
        <v>32</v>
      </c>
      <c r="K2613" s="37">
        <v>988</v>
      </c>
      <c r="O2613" s="37">
        <v>850</v>
      </c>
      <c r="Q2613" s="50" t="s">
        <v>1867</v>
      </c>
      <c r="R2613" s="50" t="s">
        <v>1852</v>
      </c>
      <c r="T2613" s="50" t="s">
        <v>2783</v>
      </c>
      <c r="U2613" s="50" t="s">
        <v>1383</v>
      </c>
      <c r="V2613" s="50" t="s">
        <v>1722</v>
      </c>
      <c r="W2613" s="50" t="s">
        <v>1383</v>
      </c>
      <c r="X2613" s="50" t="s">
        <v>1421</v>
      </c>
      <c r="Z2613" s="330">
        <v>44</v>
      </c>
      <c r="AA2613" s="330">
        <f t="shared" si="334"/>
        <v>6</v>
      </c>
      <c r="AB2613" s="37" t="s">
        <v>797</v>
      </c>
      <c r="AC2613" s="37">
        <v>5.6</v>
      </c>
      <c r="AD2613" s="37">
        <v>0.9</v>
      </c>
      <c r="AF2613" s="37" t="s">
        <v>2784</v>
      </c>
      <c r="AG2613" s="37" t="s">
        <v>2712</v>
      </c>
      <c r="AH2613" s="37" t="s">
        <v>578</v>
      </c>
      <c r="AQ2613" s="37" t="s">
        <v>2793</v>
      </c>
      <c r="AR2613" s="37" t="s">
        <v>2794</v>
      </c>
      <c r="AT2613" s="37" t="s">
        <v>2795</v>
      </c>
      <c r="AU2613" s="37">
        <v>3</v>
      </c>
      <c r="AW2613" s="37" t="s">
        <v>142</v>
      </c>
      <c r="BW2613" s="37">
        <v>6.6</v>
      </c>
      <c r="BX2613" s="37">
        <v>21.9</v>
      </c>
      <c r="CA2613" s="37" t="s">
        <v>2792</v>
      </c>
    </row>
    <row r="2614" spans="1:251" x14ac:dyDescent="0.25">
      <c r="A2614" s="37">
        <v>123</v>
      </c>
      <c r="B2614" s="37" t="s">
        <v>2780</v>
      </c>
      <c r="C2614" s="37" t="s">
        <v>2779</v>
      </c>
      <c r="D2614" s="37">
        <v>2003</v>
      </c>
      <c r="E2614" s="37">
        <v>2000</v>
      </c>
      <c r="F2614" s="37" t="s">
        <v>2781</v>
      </c>
      <c r="G2614" s="37" t="s">
        <v>2782</v>
      </c>
      <c r="H2614" s="37" t="s">
        <v>2845</v>
      </c>
      <c r="I2614" s="37">
        <f t="shared" si="333"/>
        <v>-14.25</v>
      </c>
      <c r="J2614" s="37">
        <v>32</v>
      </c>
      <c r="K2614" s="37">
        <v>988</v>
      </c>
      <c r="O2614" s="37">
        <v>850</v>
      </c>
      <c r="Q2614" s="50" t="s">
        <v>1867</v>
      </c>
      <c r="R2614" s="50" t="s">
        <v>1852</v>
      </c>
      <c r="T2614" s="50" t="s">
        <v>2783</v>
      </c>
      <c r="U2614" s="50" t="s">
        <v>1383</v>
      </c>
      <c r="V2614" s="50" t="s">
        <v>1722</v>
      </c>
      <c r="W2614" s="50" t="s">
        <v>1383</v>
      </c>
      <c r="X2614" s="50" t="s">
        <v>1421</v>
      </c>
      <c r="Z2614" s="330">
        <v>44</v>
      </c>
      <c r="AA2614" s="330">
        <f t="shared" si="334"/>
        <v>6</v>
      </c>
      <c r="AB2614" s="37" t="s">
        <v>797</v>
      </c>
      <c r="AC2614" s="37">
        <v>5.6</v>
      </c>
      <c r="AD2614" s="37">
        <v>0.9</v>
      </c>
      <c r="AF2614" s="37" t="s">
        <v>2784</v>
      </c>
      <c r="AG2614" s="37" t="s">
        <v>2786</v>
      </c>
      <c r="AH2614" s="37" t="s">
        <v>578</v>
      </c>
      <c r="AQ2614" s="37" t="s">
        <v>2793</v>
      </c>
      <c r="AR2614" s="37" t="s">
        <v>2794</v>
      </c>
      <c r="AT2614" s="37" t="s">
        <v>2795</v>
      </c>
      <c r="AU2614" s="37">
        <v>3</v>
      </c>
      <c r="AW2614" s="37" t="s">
        <v>142</v>
      </c>
      <c r="BW2614" s="37">
        <v>6.6</v>
      </c>
      <c r="BX2614" s="37">
        <v>6.5</v>
      </c>
      <c r="CA2614" s="37" t="s">
        <v>2792</v>
      </c>
    </row>
    <row r="2615" spans="1:251" x14ac:dyDescent="0.25">
      <c r="A2615" s="37">
        <v>123</v>
      </c>
      <c r="B2615" s="37" t="s">
        <v>2780</v>
      </c>
      <c r="C2615" s="37" t="s">
        <v>2779</v>
      </c>
      <c r="D2615" s="37">
        <v>2003</v>
      </c>
      <c r="E2615" s="37">
        <v>2000</v>
      </c>
      <c r="F2615" s="37" t="s">
        <v>2781</v>
      </c>
      <c r="G2615" s="37" t="s">
        <v>2782</v>
      </c>
      <c r="H2615" s="37" t="s">
        <v>2845</v>
      </c>
      <c r="I2615" s="37">
        <f t="shared" si="333"/>
        <v>-14.25</v>
      </c>
      <c r="J2615" s="37">
        <v>32</v>
      </c>
      <c r="K2615" s="37">
        <v>988</v>
      </c>
      <c r="O2615" s="37">
        <v>850</v>
      </c>
      <c r="Q2615" s="50" t="s">
        <v>1867</v>
      </c>
      <c r="R2615" s="50" t="s">
        <v>1852</v>
      </c>
      <c r="T2615" s="50" t="s">
        <v>2783</v>
      </c>
      <c r="U2615" s="50" t="s">
        <v>1383</v>
      </c>
      <c r="V2615" s="50" t="s">
        <v>1722</v>
      </c>
      <c r="W2615" s="50" t="s">
        <v>1383</v>
      </c>
      <c r="X2615" s="50" t="s">
        <v>1421</v>
      </c>
      <c r="Z2615" s="330">
        <v>44</v>
      </c>
      <c r="AA2615" s="330">
        <f t="shared" si="334"/>
        <v>6</v>
      </c>
      <c r="AB2615" s="37" t="s">
        <v>797</v>
      </c>
      <c r="AC2615" s="37">
        <v>5.6</v>
      </c>
      <c r="AD2615" s="37">
        <v>0.9</v>
      </c>
      <c r="AF2615" s="37" t="s">
        <v>2784</v>
      </c>
      <c r="AG2615" s="37" t="s">
        <v>2789</v>
      </c>
      <c r="AH2615" s="37" t="s">
        <v>578</v>
      </c>
      <c r="AQ2615" s="37" t="s">
        <v>2793</v>
      </c>
      <c r="AR2615" s="37" t="s">
        <v>2794</v>
      </c>
      <c r="AT2615" s="37" t="s">
        <v>2795</v>
      </c>
      <c r="AU2615" s="37">
        <v>3</v>
      </c>
      <c r="AW2615" s="37" t="s">
        <v>142</v>
      </c>
      <c r="BW2615" s="37">
        <v>6.6</v>
      </c>
      <c r="BX2615" s="37">
        <v>8.1999999999999993</v>
      </c>
      <c r="CA2615" s="37" t="s">
        <v>2792</v>
      </c>
    </row>
    <row r="2616" spans="1:251" x14ac:dyDescent="0.25">
      <c r="A2616" s="37">
        <v>123</v>
      </c>
      <c r="B2616" s="37" t="s">
        <v>2780</v>
      </c>
      <c r="C2616" s="37" t="s">
        <v>2779</v>
      </c>
      <c r="D2616" s="37">
        <v>2003</v>
      </c>
      <c r="E2616" s="37">
        <v>2000</v>
      </c>
      <c r="F2616" s="37" t="s">
        <v>2781</v>
      </c>
      <c r="G2616" s="37" t="s">
        <v>2782</v>
      </c>
      <c r="H2616" s="37" t="s">
        <v>2845</v>
      </c>
      <c r="I2616" s="37">
        <f t="shared" si="333"/>
        <v>-14.25</v>
      </c>
      <c r="J2616" s="37">
        <v>32</v>
      </c>
      <c r="K2616" s="37">
        <v>988</v>
      </c>
      <c r="O2616" s="37">
        <v>850</v>
      </c>
      <c r="Q2616" s="50" t="s">
        <v>1867</v>
      </c>
      <c r="R2616" s="50" t="s">
        <v>1852</v>
      </c>
      <c r="T2616" s="50" t="s">
        <v>2783</v>
      </c>
      <c r="U2616" s="50" t="s">
        <v>1383</v>
      </c>
      <c r="V2616" s="50" t="s">
        <v>1722</v>
      </c>
      <c r="W2616" s="50" t="s">
        <v>1383</v>
      </c>
      <c r="X2616" s="50" t="s">
        <v>1421</v>
      </c>
      <c r="Z2616" s="330">
        <v>44</v>
      </c>
      <c r="AA2616" s="330">
        <f t="shared" si="334"/>
        <v>6</v>
      </c>
      <c r="AB2616" s="37" t="s">
        <v>797</v>
      </c>
      <c r="AC2616" s="37">
        <v>5.6</v>
      </c>
      <c r="AD2616" s="37">
        <v>0.9</v>
      </c>
      <c r="AF2616" s="37" t="s">
        <v>2784</v>
      </c>
      <c r="AG2616" s="37" t="s">
        <v>2787</v>
      </c>
      <c r="AH2616" s="37" t="s">
        <v>1586</v>
      </c>
      <c r="AQ2616" s="37" t="s">
        <v>2793</v>
      </c>
      <c r="AR2616" s="37" t="s">
        <v>2794</v>
      </c>
      <c r="AT2616" s="37" t="s">
        <v>2795</v>
      </c>
      <c r="AU2616" s="37">
        <v>3</v>
      </c>
      <c r="AW2616" s="37" t="s">
        <v>142</v>
      </c>
      <c r="BW2616" s="37">
        <v>6.6</v>
      </c>
      <c r="BX2616" s="37">
        <v>10.199999999999999</v>
      </c>
      <c r="CA2616" s="37" t="s">
        <v>2792</v>
      </c>
    </row>
    <row r="2617" spans="1:251" x14ac:dyDescent="0.25">
      <c r="A2617" s="37">
        <v>123</v>
      </c>
      <c r="B2617" s="37" t="s">
        <v>2780</v>
      </c>
      <c r="C2617" s="37" t="s">
        <v>2779</v>
      </c>
      <c r="D2617" s="37">
        <v>2003</v>
      </c>
      <c r="E2617" s="37">
        <v>2000</v>
      </c>
      <c r="F2617" s="37" t="s">
        <v>2781</v>
      </c>
      <c r="G2617" s="37" t="s">
        <v>2782</v>
      </c>
      <c r="H2617" s="37" t="s">
        <v>2845</v>
      </c>
      <c r="I2617" s="37">
        <f t="shared" si="333"/>
        <v>-14.25</v>
      </c>
      <c r="J2617" s="37">
        <v>32</v>
      </c>
      <c r="K2617" s="37">
        <v>988</v>
      </c>
      <c r="O2617" s="37">
        <v>850</v>
      </c>
      <c r="Q2617" s="50" t="s">
        <v>1867</v>
      </c>
      <c r="R2617" s="50" t="s">
        <v>1852</v>
      </c>
      <c r="T2617" s="50" t="s">
        <v>2783</v>
      </c>
      <c r="U2617" s="50" t="s">
        <v>1383</v>
      </c>
      <c r="V2617" s="50" t="s">
        <v>1722</v>
      </c>
      <c r="W2617" s="50" t="s">
        <v>1383</v>
      </c>
      <c r="X2617" s="50" t="s">
        <v>1421</v>
      </c>
      <c r="Z2617" s="330">
        <v>44</v>
      </c>
      <c r="AA2617" s="330">
        <f t="shared" si="334"/>
        <v>6</v>
      </c>
      <c r="AB2617" s="37" t="s">
        <v>797</v>
      </c>
      <c r="AC2617" s="37">
        <v>5.6</v>
      </c>
      <c r="AD2617" s="37">
        <v>0.9</v>
      </c>
      <c r="AF2617" s="37" t="s">
        <v>2784</v>
      </c>
      <c r="AG2617" s="37" t="s">
        <v>2788</v>
      </c>
      <c r="AH2617" s="37" t="s">
        <v>1587</v>
      </c>
      <c r="AQ2617" s="37" t="s">
        <v>2793</v>
      </c>
      <c r="AR2617" s="37" t="s">
        <v>2794</v>
      </c>
      <c r="AT2617" s="37" t="s">
        <v>2795</v>
      </c>
      <c r="AU2617" s="37">
        <v>3</v>
      </c>
      <c r="AW2617" s="37" t="s">
        <v>142</v>
      </c>
      <c r="BW2617" s="37">
        <v>6.6</v>
      </c>
      <c r="BX2617" s="37">
        <v>17.399999999999999</v>
      </c>
      <c r="CA2617" s="37" t="s">
        <v>2792</v>
      </c>
    </row>
    <row r="2618" spans="1:251" x14ac:dyDescent="0.25">
      <c r="A2618" s="37">
        <v>123</v>
      </c>
      <c r="B2618" s="37" t="s">
        <v>2780</v>
      </c>
      <c r="C2618" s="37" t="s">
        <v>2779</v>
      </c>
      <c r="D2618" s="37">
        <v>2003</v>
      </c>
      <c r="E2618" s="37">
        <v>2000</v>
      </c>
      <c r="F2618" s="37" t="s">
        <v>2781</v>
      </c>
      <c r="G2618" s="37" t="s">
        <v>2782</v>
      </c>
      <c r="H2618" s="37" t="s">
        <v>2845</v>
      </c>
      <c r="I2618" s="37">
        <f t="shared" si="333"/>
        <v>-14.25</v>
      </c>
      <c r="J2618" s="37">
        <v>32</v>
      </c>
      <c r="K2618" s="37">
        <v>988</v>
      </c>
      <c r="O2618" s="37">
        <v>850</v>
      </c>
      <c r="Q2618" s="50" t="s">
        <v>1867</v>
      </c>
      <c r="R2618" s="50" t="s">
        <v>1852</v>
      </c>
      <c r="T2618" s="50" t="s">
        <v>2783</v>
      </c>
      <c r="U2618" s="50" t="s">
        <v>1383</v>
      </c>
      <c r="V2618" s="50" t="s">
        <v>1722</v>
      </c>
      <c r="W2618" s="50" t="s">
        <v>1383</v>
      </c>
      <c r="X2618" s="50" t="s">
        <v>1421</v>
      </c>
      <c r="Z2618" s="330">
        <v>44</v>
      </c>
      <c r="AA2618" s="330">
        <f t="shared" si="334"/>
        <v>6</v>
      </c>
      <c r="AB2618" s="37" t="s">
        <v>797</v>
      </c>
      <c r="AC2618" s="37">
        <v>5.6</v>
      </c>
      <c r="AD2618" s="37">
        <v>0.9</v>
      </c>
      <c r="AF2618" s="37" t="s">
        <v>2784</v>
      </c>
      <c r="AG2618" s="37" t="s">
        <v>2790</v>
      </c>
      <c r="AH2618" s="37" t="s">
        <v>1587</v>
      </c>
      <c r="AQ2618" s="37" t="s">
        <v>2793</v>
      </c>
      <c r="AR2618" s="37" t="s">
        <v>2794</v>
      </c>
      <c r="AT2618" s="37" t="s">
        <v>2795</v>
      </c>
      <c r="AU2618" s="37">
        <v>3</v>
      </c>
      <c r="AW2618" s="37" t="s">
        <v>142</v>
      </c>
      <c r="BW2618" s="37">
        <v>6.6</v>
      </c>
      <c r="BX2618" s="37">
        <v>10.199999999999999</v>
      </c>
      <c r="CA2618" s="37" t="s">
        <v>2792</v>
      </c>
    </row>
    <row r="2619" spans="1:251" s="126" customFormat="1" x14ac:dyDescent="0.25">
      <c r="A2619" s="126">
        <v>123</v>
      </c>
      <c r="B2619" s="126" t="s">
        <v>2780</v>
      </c>
      <c r="C2619" s="126" t="s">
        <v>2779</v>
      </c>
      <c r="D2619" s="126">
        <v>2003</v>
      </c>
      <c r="E2619" s="126">
        <v>2001</v>
      </c>
      <c r="F2619" s="126" t="s">
        <v>2781</v>
      </c>
      <c r="G2619" s="126" t="s">
        <v>2782</v>
      </c>
      <c r="H2619" s="126" t="s">
        <v>2845</v>
      </c>
      <c r="I2619" s="126">
        <f t="shared" si="333"/>
        <v>-14.25</v>
      </c>
      <c r="J2619" s="126">
        <v>32</v>
      </c>
      <c r="K2619" s="126">
        <v>988</v>
      </c>
      <c r="O2619" s="126">
        <v>850</v>
      </c>
      <c r="Q2619" s="478" t="s">
        <v>1729</v>
      </c>
      <c r="R2619" s="478" t="s">
        <v>1852</v>
      </c>
      <c r="S2619" s="478"/>
      <c r="T2619" s="478" t="s">
        <v>2783</v>
      </c>
      <c r="U2619" s="478" t="s">
        <v>1383</v>
      </c>
      <c r="V2619" s="478" t="s">
        <v>1722</v>
      </c>
      <c r="W2619" s="478" t="s">
        <v>1383</v>
      </c>
      <c r="X2619" s="478" t="s">
        <v>1421</v>
      </c>
      <c r="Z2619" s="479">
        <v>44</v>
      </c>
      <c r="AA2619" s="479">
        <f t="shared" si="334"/>
        <v>6</v>
      </c>
      <c r="AB2619" s="126" t="s">
        <v>797</v>
      </c>
      <c r="AC2619" s="126">
        <v>5.6</v>
      </c>
      <c r="AD2619" s="126">
        <v>0.9</v>
      </c>
      <c r="AF2619" s="126" t="s">
        <v>2784</v>
      </c>
      <c r="AG2619" s="126" t="s">
        <v>2785</v>
      </c>
      <c r="AH2619" s="126" t="s">
        <v>1585</v>
      </c>
      <c r="AQ2619" s="126" t="s">
        <v>2793</v>
      </c>
      <c r="AR2619" s="126" t="s">
        <v>2794</v>
      </c>
      <c r="AT2619" s="126" t="s">
        <v>2795</v>
      </c>
      <c r="AU2619" s="126">
        <v>3</v>
      </c>
      <c r="AW2619" s="126" t="s">
        <v>142</v>
      </c>
      <c r="BH2619" s="126">
        <v>400</v>
      </c>
      <c r="BI2619" s="126">
        <v>600</v>
      </c>
      <c r="BL2619" s="126" t="s">
        <v>2796</v>
      </c>
      <c r="BM2619" s="481"/>
      <c r="BN2619" s="481"/>
      <c r="BR2619" s="481"/>
      <c r="BS2619" s="481"/>
      <c r="BW2619" s="126">
        <v>9.3000000000000007</v>
      </c>
      <c r="BX2619" s="126">
        <v>12.6</v>
      </c>
      <c r="CA2619" s="37" t="s">
        <v>2791</v>
      </c>
      <c r="IQ2619" s="480"/>
    </row>
    <row r="2620" spans="1:251" s="126" customFormat="1" x14ac:dyDescent="0.25">
      <c r="A2620" s="126">
        <v>123</v>
      </c>
      <c r="B2620" s="126" t="s">
        <v>2780</v>
      </c>
      <c r="C2620" s="126" t="s">
        <v>2779</v>
      </c>
      <c r="D2620" s="126">
        <v>2003</v>
      </c>
      <c r="E2620" s="126">
        <v>2001</v>
      </c>
      <c r="F2620" s="126" t="s">
        <v>2781</v>
      </c>
      <c r="G2620" s="126" t="s">
        <v>2782</v>
      </c>
      <c r="H2620" s="126" t="s">
        <v>2845</v>
      </c>
      <c r="I2620" s="126">
        <f t="shared" si="333"/>
        <v>-14.25</v>
      </c>
      <c r="J2620" s="126">
        <v>32</v>
      </c>
      <c r="K2620" s="126">
        <v>988</v>
      </c>
      <c r="O2620" s="126">
        <v>850</v>
      </c>
      <c r="Q2620" s="478" t="s">
        <v>1729</v>
      </c>
      <c r="R2620" s="478" t="s">
        <v>1852</v>
      </c>
      <c r="S2620" s="478"/>
      <c r="T2620" s="478" t="s">
        <v>2783</v>
      </c>
      <c r="U2620" s="478" t="s">
        <v>1383</v>
      </c>
      <c r="V2620" s="478" t="s">
        <v>1722</v>
      </c>
      <c r="W2620" s="478" t="s">
        <v>1383</v>
      </c>
      <c r="X2620" s="478" t="s">
        <v>1421</v>
      </c>
      <c r="Z2620" s="479">
        <v>44</v>
      </c>
      <c r="AA2620" s="479">
        <f t="shared" si="334"/>
        <v>6</v>
      </c>
      <c r="AB2620" s="126" t="s">
        <v>797</v>
      </c>
      <c r="AC2620" s="126">
        <v>5.6</v>
      </c>
      <c r="AD2620" s="126">
        <v>0.9</v>
      </c>
      <c r="AF2620" s="126" t="s">
        <v>2784</v>
      </c>
      <c r="AG2620" s="126" t="s">
        <v>2712</v>
      </c>
      <c r="AH2620" s="126" t="s">
        <v>578</v>
      </c>
      <c r="AQ2620" s="126" t="s">
        <v>2793</v>
      </c>
      <c r="AR2620" s="126" t="s">
        <v>2794</v>
      </c>
      <c r="AT2620" s="126" t="s">
        <v>2795</v>
      </c>
      <c r="AU2620" s="126">
        <v>3</v>
      </c>
      <c r="AW2620" s="126" t="s">
        <v>142</v>
      </c>
      <c r="AY2620" s="126">
        <v>1800</v>
      </c>
      <c r="AZ2620" s="126">
        <f>AY2620/60.4</f>
        <v>29.80132450331126</v>
      </c>
      <c r="BH2620" s="126">
        <v>400</v>
      </c>
      <c r="BI2620" s="126">
        <v>700</v>
      </c>
      <c r="BL2620" s="126" t="s">
        <v>2796</v>
      </c>
      <c r="BM2620" s="481"/>
      <c r="BN2620" s="481"/>
      <c r="BR2620" s="481"/>
      <c r="BS2620" s="481"/>
      <c r="BW2620" s="126">
        <v>9.3000000000000007</v>
      </c>
      <c r="BX2620" s="126">
        <v>13.8</v>
      </c>
      <c r="CA2620" s="37" t="s">
        <v>2791</v>
      </c>
      <c r="IQ2620" s="480"/>
    </row>
    <row r="2621" spans="1:251" s="126" customFormat="1" x14ac:dyDescent="0.25">
      <c r="A2621" s="126">
        <v>123</v>
      </c>
      <c r="B2621" s="126" t="s">
        <v>2780</v>
      </c>
      <c r="C2621" s="126" t="s">
        <v>2779</v>
      </c>
      <c r="D2621" s="126">
        <v>2003</v>
      </c>
      <c r="E2621" s="126">
        <v>2001</v>
      </c>
      <c r="F2621" s="126" t="s">
        <v>2781</v>
      </c>
      <c r="G2621" s="126" t="s">
        <v>2782</v>
      </c>
      <c r="H2621" s="126" t="s">
        <v>2845</v>
      </c>
      <c r="I2621" s="126">
        <f t="shared" si="333"/>
        <v>-14.25</v>
      </c>
      <c r="J2621" s="126">
        <v>32</v>
      </c>
      <c r="K2621" s="126">
        <v>988</v>
      </c>
      <c r="O2621" s="126">
        <v>850</v>
      </c>
      <c r="Q2621" s="478" t="s">
        <v>1729</v>
      </c>
      <c r="R2621" s="478" t="s">
        <v>1852</v>
      </c>
      <c r="S2621" s="478"/>
      <c r="T2621" s="478" t="s">
        <v>2783</v>
      </c>
      <c r="U2621" s="478" t="s">
        <v>1383</v>
      </c>
      <c r="V2621" s="478" t="s">
        <v>1722</v>
      </c>
      <c r="W2621" s="478" t="s">
        <v>1383</v>
      </c>
      <c r="X2621" s="478" t="s">
        <v>1421</v>
      </c>
      <c r="Z2621" s="479">
        <v>44</v>
      </c>
      <c r="AA2621" s="479">
        <f t="shared" si="334"/>
        <v>6</v>
      </c>
      <c r="AB2621" s="126" t="s">
        <v>797</v>
      </c>
      <c r="AC2621" s="126">
        <v>5.6</v>
      </c>
      <c r="AD2621" s="126">
        <v>0.9</v>
      </c>
      <c r="AF2621" s="126" t="s">
        <v>2784</v>
      </c>
      <c r="AG2621" s="126" t="s">
        <v>2786</v>
      </c>
      <c r="AH2621" s="126" t="s">
        <v>578</v>
      </c>
      <c r="AQ2621" s="126" t="s">
        <v>2793</v>
      </c>
      <c r="AR2621" s="126" t="s">
        <v>2794</v>
      </c>
      <c r="AT2621" s="126" t="s">
        <v>2795</v>
      </c>
      <c r="AU2621" s="126">
        <v>3</v>
      </c>
      <c r="AW2621" s="126" t="s">
        <v>142</v>
      </c>
      <c r="AY2621" s="126">
        <v>400</v>
      </c>
      <c r="AZ2621" s="126">
        <f>AY2621/14.3</f>
        <v>27.97202797202797</v>
      </c>
      <c r="BH2621" s="126">
        <v>400</v>
      </c>
      <c r="BI2621" s="126">
        <v>400</v>
      </c>
      <c r="BL2621" s="126" t="s">
        <v>2796</v>
      </c>
      <c r="BM2621" s="481"/>
      <c r="BN2621" s="481"/>
      <c r="BR2621" s="481"/>
      <c r="BS2621" s="481"/>
      <c r="BW2621" s="126">
        <v>9.3000000000000007</v>
      </c>
      <c r="BX2621" s="126">
        <v>11.4</v>
      </c>
      <c r="CA2621" s="37" t="s">
        <v>2791</v>
      </c>
      <c r="IQ2621" s="480"/>
    </row>
    <row r="2622" spans="1:251" s="126" customFormat="1" x14ac:dyDescent="0.25">
      <c r="A2622" s="126">
        <v>123</v>
      </c>
      <c r="B2622" s="126" t="s">
        <v>2780</v>
      </c>
      <c r="C2622" s="126" t="s">
        <v>2779</v>
      </c>
      <c r="D2622" s="126">
        <v>2003</v>
      </c>
      <c r="E2622" s="126">
        <v>2001</v>
      </c>
      <c r="F2622" s="126" t="s">
        <v>2781</v>
      </c>
      <c r="G2622" s="126" t="s">
        <v>2782</v>
      </c>
      <c r="H2622" s="126" t="s">
        <v>2845</v>
      </c>
      <c r="I2622" s="126">
        <f t="shared" si="333"/>
        <v>-14.25</v>
      </c>
      <c r="J2622" s="126">
        <v>32</v>
      </c>
      <c r="K2622" s="126">
        <v>988</v>
      </c>
      <c r="O2622" s="126">
        <v>850</v>
      </c>
      <c r="Q2622" s="478" t="s">
        <v>1729</v>
      </c>
      <c r="R2622" s="478" t="s">
        <v>1852</v>
      </c>
      <c r="S2622" s="478"/>
      <c r="T2622" s="478" t="s">
        <v>2783</v>
      </c>
      <c r="U2622" s="478" t="s">
        <v>1383</v>
      </c>
      <c r="V2622" s="478" t="s">
        <v>1722</v>
      </c>
      <c r="W2622" s="478" t="s">
        <v>1383</v>
      </c>
      <c r="X2622" s="478" t="s">
        <v>1421</v>
      </c>
      <c r="Z2622" s="479">
        <v>44</v>
      </c>
      <c r="AA2622" s="479">
        <f t="shared" si="334"/>
        <v>6</v>
      </c>
      <c r="AB2622" s="126" t="s">
        <v>797</v>
      </c>
      <c r="AC2622" s="126">
        <v>5.6</v>
      </c>
      <c r="AD2622" s="126">
        <v>0.9</v>
      </c>
      <c r="AF2622" s="126" t="s">
        <v>2784</v>
      </c>
      <c r="AG2622" s="126" t="s">
        <v>2789</v>
      </c>
      <c r="AH2622" s="126" t="s">
        <v>578</v>
      </c>
      <c r="AQ2622" s="126" t="s">
        <v>2793</v>
      </c>
      <c r="AR2622" s="126" t="s">
        <v>2794</v>
      </c>
      <c r="AT2622" s="126" t="s">
        <v>2795</v>
      </c>
      <c r="AU2622" s="126">
        <v>3</v>
      </c>
      <c r="AW2622" s="126" t="s">
        <v>142</v>
      </c>
      <c r="AY2622" s="126">
        <v>1200</v>
      </c>
      <c r="AZ2622" s="126">
        <f>AY2622/38.1</f>
        <v>31.496062992125982</v>
      </c>
      <c r="BH2622" s="126">
        <v>400</v>
      </c>
      <c r="BI2622" s="126">
        <v>400</v>
      </c>
      <c r="BL2622" s="126" t="s">
        <v>2796</v>
      </c>
      <c r="BM2622" s="481"/>
      <c r="BN2622" s="481"/>
      <c r="BR2622" s="481"/>
      <c r="BS2622" s="481"/>
      <c r="BW2622" s="126">
        <v>9.3000000000000007</v>
      </c>
      <c r="BX2622" s="126">
        <v>9.3000000000000007</v>
      </c>
      <c r="CA2622" s="37" t="s">
        <v>2791</v>
      </c>
      <c r="IQ2622" s="480"/>
    </row>
    <row r="2623" spans="1:251" s="126" customFormat="1" x14ac:dyDescent="0.25">
      <c r="A2623" s="126">
        <v>123</v>
      </c>
      <c r="B2623" s="126" t="s">
        <v>2780</v>
      </c>
      <c r="C2623" s="126" t="s">
        <v>2779</v>
      </c>
      <c r="D2623" s="126">
        <v>2003</v>
      </c>
      <c r="E2623" s="126">
        <v>2001</v>
      </c>
      <c r="F2623" s="126" t="s">
        <v>2781</v>
      </c>
      <c r="G2623" s="126" t="s">
        <v>2782</v>
      </c>
      <c r="H2623" s="126" t="s">
        <v>2845</v>
      </c>
      <c r="I2623" s="126">
        <f t="shared" si="333"/>
        <v>-14.25</v>
      </c>
      <c r="J2623" s="126">
        <v>32</v>
      </c>
      <c r="K2623" s="126">
        <v>988</v>
      </c>
      <c r="O2623" s="126">
        <v>850</v>
      </c>
      <c r="Q2623" s="478" t="s">
        <v>1729</v>
      </c>
      <c r="R2623" s="478" t="s">
        <v>1852</v>
      </c>
      <c r="S2623" s="478"/>
      <c r="T2623" s="478" t="s">
        <v>2783</v>
      </c>
      <c r="U2623" s="478" t="s">
        <v>1383</v>
      </c>
      <c r="V2623" s="478" t="s">
        <v>1722</v>
      </c>
      <c r="W2623" s="478" t="s">
        <v>1383</v>
      </c>
      <c r="X2623" s="478" t="s">
        <v>1421</v>
      </c>
      <c r="Z2623" s="479">
        <v>44</v>
      </c>
      <c r="AA2623" s="479">
        <f t="shared" si="334"/>
        <v>6</v>
      </c>
      <c r="AB2623" s="126" t="s">
        <v>797</v>
      </c>
      <c r="AC2623" s="126">
        <v>5.6</v>
      </c>
      <c r="AD2623" s="126">
        <v>0.9</v>
      </c>
      <c r="AF2623" s="126" t="s">
        <v>2784</v>
      </c>
      <c r="AG2623" s="126" t="s">
        <v>2787</v>
      </c>
      <c r="AH2623" s="126" t="s">
        <v>1586</v>
      </c>
      <c r="AQ2623" s="126" t="s">
        <v>2793</v>
      </c>
      <c r="AR2623" s="126" t="s">
        <v>2794</v>
      </c>
      <c r="AT2623" s="126" t="s">
        <v>2795</v>
      </c>
      <c r="AU2623" s="126">
        <v>3</v>
      </c>
      <c r="AW2623" s="126" t="s">
        <v>142</v>
      </c>
      <c r="AY2623" s="126">
        <v>1600</v>
      </c>
      <c r="AZ2623" s="126">
        <f>AY2623/51.3</f>
        <v>31.18908382066277</v>
      </c>
      <c r="BH2623" s="126">
        <v>400</v>
      </c>
      <c r="BI2623" s="126">
        <v>1100</v>
      </c>
      <c r="BL2623" s="126" t="s">
        <v>2796</v>
      </c>
      <c r="BM2623" s="481"/>
      <c r="BN2623" s="481"/>
      <c r="BR2623" s="481"/>
      <c r="BS2623" s="481"/>
      <c r="BW2623" s="126">
        <v>9.3000000000000007</v>
      </c>
      <c r="BX2623" s="126">
        <v>14.7</v>
      </c>
      <c r="CA2623" s="37" t="s">
        <v>2791</v>
      </c>
      <c r="IQ2623" s="480"/>
    </row>
    <row r="2624" spans="1:251" s="126" customFormat="1" x14ac:dyDescent="0.25">
      <c r="A2624" s="126">
        <v>123</v>
      </c>
      <c r="B2624" s="126" t="s">
        <v>2780</v>
      </c>
      <c r="C2624" s="126" t="s">
        <v>2779</v>
      </c>
      <c r="D2624" s="126">
        <v>2003</v>
      </c>
      <c r="E2624" s="126">
        <v>2001</v>
      </c>
      <c r="F2624" s="126" t="s">
        <v>2781</v>
      </c>
      <c r="G2624" s="126" t="s">
        <v>2782</v>
      </c>
      <c r="H2624" s="126" t="s">
        <v>2845</v>
      </c>
      <c r="I2624" s="126">
        <f t="shared" si="333"/>
        <v>-14.25</v>
      </c>
      <c r="J2624" s="126">
        <v>32</v>
      </c>
      <c r="K2624" s="126">
        <v>988</v>
      </c>
      <c r="O2624" s="126">
        <v>850</v>
      </c>
      <c r="Q2624" s="478" t="s">
        <v>1729</v>
      </c>
      <c r="R2624" s="478" t="s">
        <v>1852</v>
      </c>
      <c r="S2624" s="478"/>
      <c r="T2624" s="478" t="s">
        <v>2783</v>
      </c>
      <c r="U2624" s="478" t="s">
        <v>1383</v>
      </c>
      <c r="V2624" s="478" t="s">
        <v>1722</v>
      </c>
      <c r="W2624" s="478" t="s">
        <v>1383</v>
      </c>
      <c r="X2624" s="478" t="s">
        <v>1421</v>
      </c>
      <c r="Z2624" s="479">
        <v>44</v>
      </c>
      <c r="AA2624" s="479">
        <f t="shared" si="334"/>
        <v>6</v>
      </c>
      <c r="AB2624" s="126" t="s">
        <v>797</v>
      </c>
      <c r="AC2624" s="126">
        <v>5.6</v>
      </c>
      <c r="AD2624" s="126">
        <v>0.9</v>
      </c>
      <c r="AF2624" s="126" t="s">
        <v>2784</v>
      </c>
      <c r="AG2624" s="126" t="s">
        <v>2788</v>
      </c>
      <c r="AH2624" s="126" t="s">
        <v>1587</v>
      </c>
      <c r="AQ2624" s="126" t="s">
        <v>2793</v>
      </c>
      <c r="AR2624" s="126" t="s">
        <v>2794</v>
      </c>
      <c r="AT2624" s="126" t="s">
        <v>2795</v>
      </c>
      <c r="AU2624" s="126">
        <v>3</v>
      </c>
      <c r="AW2624" s="126" t="s">
        <v>142</v>
      </c>
      <c r="AY2624" s="126">
        <v>200</v>
      </c>
      <c r="AZ2624" s="126">
        <f>AY2624/6.9</f>
        <v>28.985507246376809</v>
      </c>
      <c r="BH2624" s="126">
        <v>400</v>
      </c>
      <c r="BI2624" s="126">
        <v>600</v>
      </c>
      <c r="BL2624" s="126" t="s">
        <v>2796</v>
      </c>
      <c r="BM2624" s="481"/>
      <c r="BN2624" s="481"/>
      <c r="BR2624" s="481"/>
      <c r="BS2624" s="481"/>
      <c r="BW2624" s="126">
        <v>9.3000000000000007</v>
      </c>
      <c r="BX2624" s="126">
        <v>13.5</v>
      </c>
      <c r="CA2624" s="37" t="s">
        <v>2791</v>
      </c>
      <c r="IQ2624" s="480"/>
    </row>
    <row r="2625" spans="1:251" s="126" customFormat="1" x14ac:dyDescent="0.25">
      <c r="A2625" s="126">
        <v>123</v>
      </c>
      <c r="B2625" s="126" t="s">
        <v>2780</v>
      </c>
      <c r="C2625" s="126" t="s">
        <v>2779</v>
      </c>
      <c r="D2625" s="126">
        <v>2003</v>
      </c>
      <c r="E2625" s="126">
        <v>2001</v>
      </c>
      <c r="F2625" s="126" t="s">
        <v>2781</v>
      </c>
      <c r="G2625" s="126" t="s">
        <v>2782</v>
      </c>
      <c r="H2625" s="126" t="s">
        <v>2845</v>
      </c>
      <c r="I2625" s="126">
        <f t="shared" si="333"/>
        <v>-14.25</v>
      </c>
      <c r="J2625" s="126">
        <v>32</v>
      </c>
      <c r="K2625" s="126">
        <v>988</v>
      </c>
      <c r="O2625" s="126">
        <v>850</v>
      </c>
      <c r="Q2625" s="478" t="s">
        <v>1729</v>
      </c>
      <c r="R2625" s="478" t="s">
        <v>1852</v>
      </c>
      <c r="S2625" s="478"/>
      <c r="T2625" s="478" t="s">
        <v>2783</v>
      </c>
      <c r="U2625" s="478" t="s">
        <v>1383</v>
      </c>
      <c r="V2625" s="478" t="s">
        <v>1722</v>
      </c>
      <c r="W2625" s="478" t="s">
        <v>1383</v>
      </c>
      <c r="X2625" s="478" t="s">
        <v>1421</v>
      </c>
      <c r="Z2625" s="479">
        <v>44</v>
      </c>
      <c r="AA2625" s="479">
        <f t="shared" si="334"/>
        <v>6</v>
      </c>
      <c r="AB2625" s="126" t="s">
        <v>797</v>
      </c>
      <c r="AC2625" s="126">
        <v>5.6</v>
      </c>
      <c r="AD2625" s="126">
        <v>0.9</v>
      </c>
      <c r="AF2625" s="126" t="s">
        <v>2784</v>
      </c>
      <c r="AG2625" s="126" t="s">
        <v>2790</v>
      </c>
      <c r="AH2625" s="126" t="s">
        <v>1587</v>
      </c>
      <c r="AQ2625" s="126" t="s">
        <v>2793</v>
      </c>
      <c r="AR2625" s="126" t="s">
        <v>2794</v>
      </c>
      <c r="AT2625" s="126" t="s">
        <v>2795</v>
      </c>
      <c r="AU2625" s="126">
        <v>3</v>
      </c>
      <c r="AW2625" s="126" t="s">
        <v>142</v>
      </c>
      <c r="AY2625" s="126">
        <v>500</v>
      </c>
      <c r="AZ2625" s="126">
        <f>AY2625/14.1</f>
        <v>35.460992907801419</v>
      </c>
      <c r="BH2625" s="126">
        <v>400</v>
      </c>
      <c r="BI2625" s="126">
        <v>500</v>
      </c>
      <c r="BL2625" s="126" t="s">
        <v>2796</v>
      </c>
      <c r="BM2625" s="481"/>
      <c r="BN2625" s="481"/>
      <c r="BR2625" s="481"/>
      <c r="BS2625" s="481"/>
      <c r="BW2625" s="126">
        <v>9.3000000000000007</v>
      </c>
      <c r="BX2625" s="126">
        <v>13.4</v>
      </c>
      <c r="CA2625" s="37" t="s">
        <v>2791</v>
      </c>
      <c r="IQ2625" s="480"/>
    </row>
    <row r="2626" spans="1:251" s="126" customFormat="1" x14ac:dyDescent="0.25">
      <c r="A2626" s="126">
        <v>123</v>
      </c>
      <c r="B2626" s="126" t="s">
        <v>2780</v>
      </c>
      <c r="C2626" s="126" t="s">
        <v>2779</v>
      </c>
      <c r="D2626" s="126">
        <v>2003</v>
      </c>
      <c r="E2626" s="126">
        <v>2001</v>
      </c>
      <c r="F2626" s="126" t="s">
        <v>2781</v>
      </c>
      <c r="G2626" s="126" t="s">
        <v>2782</v>
      </c>
      <c r="H2626" s="126" t="s">
        <v>2845</v>
      </c>
      <c r="I2626" s="126">
        <f t="shared" si="333"/>
        <v>-14.25</v>
      </c>
      <c r="J2626" s="126">
        <v>32</v>
      </c>
      <c r="K2626" s="126">
        <v>988</v>
      </c>
      <c r="O2626" s="126">
        <v>850</v>
      </c>
      <c r="Q2626" s="478" t="s">
        <v>1729</v>
      </c>
      <c r="R2626" s="478" t="s">
        <v>1852</v>
      </c>
      <c r="S2626" s="478"/>
      <c r="T2626" s="478" t="s">
        <v>2783</v>
      </c>
      <c r="U2626" s="478" t="s">
        <v>1383</v>
      </c>
      <c r="V2626" s="478" t="s">
        <v>1722</v>
      </c>
      <c r="W2626" s="478" t="s">
        <v>1383</v>
      </c>
      <c r="X2626" s="478" t="s">
        <v>1421</v>
      </c>
      <c r="Z2626" s="479">
        <v>44</v>
      </c>
      <c r="AA2626" s="479">
        <f t="shared" si="334"/>
        <v>6</v>
      </c>
      <c r="AB2626" s="126" t="s">
        <v>797</v>
      </c>
      <c r="AC2626" s="126">
        <v>5.6</v>
      </c>
      <c r="AD2626" s="126">
        <v>0.9</v>
      </c>
      <c r="AF2626" s="126" t="s">
        <v>2784</v>
      </c>
      <c r="AG2626" s="126" t="s">
        <v>2785</v>
      </c>
      <c r="AH2626" s="126" t="s">
        <v>1585</v>
      </c>
      <c r="AQ2626" s="126" t="s">
        <v>2793</v>
      </c>
      <c r="AR2626" s="126" t="s">
        <v>2794</v>
      </c>
      <c r="AT2626" s="126" t="s">
        <v>2795</v>
      </c>
      <c r="AU2626" s="126">
        <v>3</v>
      </c>
      <c r="AW2626" s="126" t="s">
        <v>142</v>
      </c>
      <c r="BM2626" s="481"/>
      <c r="BN2626" s="481"/>
      <c r="BR2626" s="481"/>
      <c r="BS2626" s="481"/>
      <c r="BW2626" s="126">
        <v>6.3</v>
      </c>
      <c r="BX2626" s="126">
        <v>7.2</v>
      </c>
      <c r="CA2626" s="37" t="s">
        <v>2792</v>
      </c>
      <c r="IQ2626" s="480"/>
    </row>
    <row r="2627" spans="1:251" s="126" customFormat="1" x14ac:dyDescent="0.25">
      <c r="A2627" s="126">
        <v>123</v>
      </c>
      <c r="B2627" s="126" t="s">
        <v>2780</v>
      </c>
      <c r="C2627" s="126" t="s">
        <v>2779</v>
      </c>
      <c r="D2627" s="126">
        <v>2003</v>
      </c>
      <c r="E2627" s="126">
        <v>2001</v>
      </c>
      <c r="F2627" s="126" t="s">
        <v>2781</v>
      </c>
      <c r="G2627" s="126" t="s">
        <v>2782</v>
      </c>
      <c r="H2627" s="126" t="s">
        <v>2845</v>
      </c>
      <c r="I2627" s="126">
        <f t="shared" si="333"/>
        <v>-14.25</v>
      </c>
      <c r="J2627" s="126">
        <v>32</v>
      </c>
      <c r="K2627" s="126">
        <v>988</v>
      </c>
      <c r="O2627" s="126">
        <v>850</v>
      </c>
      <c r="Q2627" s="478" t="s">
        <v>1729</v>
      </c>
      <c r="R2627" s="478" t="s">
        <v>1852</v>
      </c>
      <c r="S2627" s="478"/>
      <c r="T2627" s="478" t="s">
        <v>2783</v>
      </c>
      <c r="U2627" s="478" t="s">
        <v>1383</v>
      </c>
      <c r="V2627" s="478" t="s">
        <v>1722</v>
      </c>
      <c r="W2627" s="478" t="s">
        <v>1383</v>
      </c>
      <c r="X2627" s="478" t="s">
        <v>1421</v>
      </c>
      <c r="Z2627" s="479">
        <v>44</v>
      </c>
      <c r="AA2627" s="479">
        <f t="shared" si="334"/>
        <v>6</v>
      </c>
      <c r="AB2627" s="126" t="s">
        <v>797</v>
      </c>
      <c r="AC2627" s="126">
        <v>5.6</v>
      </c>
      <c r="AD2627" s="126">
        <v>0.9</v>
      </c>
      <c r="AF2627" s="126" t="s">
        <v>2784</v>
      </c>
      <c r="AG2627" s="126" t="s">
        <v>2712</v>
      </c>
      <c r="AH2627" s="126" t="s">
        <v>578</v>
      </c>
      <c r="AQ2627" s="126" t="s">
        <v>2793</v>
      </c>
      <c r="AR2627" s="126" t="s">
        <v>2794</v>
      </c>
      <c r="AT2627" s="126" t="s">
        <v>2795</v>
      </c>
      <c r="AU2627" s="126">
        <v>3</v>
      </c>
      <c r="AW2627" s="126" t="s">
        <v>142</v>
      </c>
      <c r="BM2627" s="481"/>
      <c r="BN2627" s="481"/>
      <c r="BR2627" s="481"/>
      <c r="BS2627" s="481"/>
      <c r="BW2627" s="126">
        <v>6.3</v>
      </c>
      <c r="BX2627" s="126">
        <v>14.2</v>
      </c>
      <c r="CA2627" s="37" t="s">
        <v>2792</v>
      </c>
      <c r="IQ2627" s="480"/>
    </row>
    <row r="2628" spans="1:251" s="126" customFormat="1" x14ac:dyDescent="0.25">
      <c r="A2628" s="126">
        <v>123</v>
      </c>
      <c r="B2628" s="126" t="s">
        <v>2780</v>
      </c>
      <c r="C2628" s="126" t="s">
        <v>2779</v>
      </c>
      <c r="D2628" s="126">
        <v>2003</v>
      </c>
      <c r="E2628" s="126">
        <v>2001</v>
      </c>
      <c r="F2628" s="126" t="s">
        <v>2781</v>
      </c>
      <c r="G2628" s="126" t="s">
        <v>2782</v>
      </c>
      <c r="H2628" s="126" t="s">
        <v>2845</v>
      </c>
      <c r="I2628" s="126">
        <f t="shared" si="333"/>
        <v>-14.25</v>
      </c>
      <c r="J2628" s="126">
        <v>32</v>
      </c>
      <c r="K2628" s="126">
        <v>988</v>
      </c>
      <c r="O2628" s="126">
        <v>850</v>
      </c>
      <c r="Q2628" s="478" t="s">
        <v>1729</v>
      </c>
      <c r="R2628" s="478" t="s">
        <v>1852</v>
      </c>
      <c r="S2628" s="478"/>
      <c r="T2628" s="478" t="s">
        <v>2783</v>
      </c>
      <c r="U2628" s="478" t="s">
        <v>1383</v>
      </c>
      <c r="V2628" s="478" t="s">
        <v>1722</v>
      </c>
      <c r="W2628" s="478" t="s">
        <v>1383</v>
      </c>
      <c r="X2628" s="478" t="s">
        <v>1421</v>
      </c>
      <c r="Z2628" s="479">
        <v>44</v>
      </c>
      <c r="AA2628" s="479">
        <f t="shared" si="334"/>
        <v>6</v>
      </c>
      <c r="AB2628" s="126" t="s">
        <v>797</v>
      </c>
      <c r="AC2628" s="126">
        <v>5.6</v>
      </c>
      <c r="AD2628" s="126">
        <v>0.9</v>
      </c>
      <c r="AF2628" s="126" t="s">
        <v>2784</v>
      </c>
      <c r="AG2628" s="126" t="s">
        <v>2786</v>
      </c>
      <c r="AH2628" s="126" t="s">
        <v>578</v>
      </c>
      <c r="AQ2628" s="126" t="s">
        <v>2793</v>
      </c>
      <c r="AR2628" s="126" t="s">
        <v>2794</v>
      </c>
      <c r="AT2628" s="126" t="s">
        <v>2795</v>
      </c>
      <c r="AU2628" s="126">
        <v>3</v>
      </c>
      <c r="AW2628" s="126" t="s">
        <v>142</v>
      </c>
      <c r="BM2628" s="481"/>
      <c r="BN2628" s="481"/>
      <c r="BR2628" s="481"/>
      <c r="BS2628" s="481"/>
      <c r="BW2628" s="126">
        <v>6.3</v>
      </c>
      <c r="BX2628" s="126">
        <v>15</v>
      </c>
      <c r="CA2628" s="37" t="s">
        <v>2792</v>
      </c>
      <c r="IQ2628" s="480"/>
    </row>
    <row r="2629" spans="1:251" s="126" customFormat="1" x14ac:dyDescent="0.25">
      <c r="A2629" s="126">
        <v>123</v>
      </c>
      <c r="B2629" s="126" t="s">
        <v>2780</v>
      </c>
      <c r="C2629" s="126" t="s">
        <v>2779</v>
      </c>
      <c r="D2629" s="126">
        <v>2003</v>
      </c>
      <c r="E2629" s="126">
        <v>2001</v>
      </c>
      <c r="F2629" s="126" t="s">
        <v>2781</v>
      </c>
      <c r="G2629" s="126" t="s">
        <v>2782</v>
      </c>
      <c r="H2629" s="126" t="s">
        <v>2845</v>
      </c>
      <c r="I2629" s="126">
        <f t="shared" si="333"/>
        <v>-14.25</v>
      </c>
      <c r="J2629" s="126">
        <v>32</v>
      </c>
      <c r="K2629" s="126">
        <v>988</v>
      </c>
      <c r="O2629" s="126">
        <v>850</v>
      </c>
      <c r="Q2629" s="478" t="s">
        <v>1729</v>
      </c>
      <c r="R2629" s="478" t="s">
        <v>1852</v>
      </c>
      <c r="S2629" s="478"/>
      <c r="T2629" s="478" t="s">
        <v>2783</v>
      </c>
      <c r="U2629" s="478" t="s">
        <v>1383</v>
      </c>
      <c r="V2629" s="478" t="s">
        <v>1722</v>
      </c>
      <c r="W2629" s="478" t="s">
        <v>1383</v>
      </c>
      <c r="X2629" s="478" t="s">
        <v>1421</v>
      </c>
      <c r="Z2629" s="479">
        <v>44</v>
      </c>
      <c r="AA2629" s="479">
        <f t="shared" si="334"/>
        <v>6</v>
      </c>
      <c r="AB2629" s="126" t="s">
        <v>797</v>
      </c>
      <c r="AC2629" s="126">
        <v>5.6</v>
      </c>
      <c r="AD2629" s="126">
        <v>0.9</v>
      </c>
      <c r="AF2629" s="126" t="s">
        <v>2784</v>
      </c>
      <c r="AG2629" s="126" t="s">
        <v>2789</v>
      </c>
      <c r="AH2629" s="126" t="s">
        <v>578</v>
      </c>
      <c r="AQ2629" s="126" t="s">
        <v>2793</v>
      </c>
      <c r="AR2629" s="126" t="s">
        <v>2794</v>
      </c>
      <c r="AT2629" s="126" t="s">
        <v>2795</v>
      </c>
      <c r="AU2629" s="126">
        <v>3</v>
      </c>
      <c r="AW2629" s="126" t="s">
        <v>142</v>
      </c>
      <c r="BM2629" s="481"/>
      <c r="BN2629" s="481"/>
      <c r="BR2629" s="481"/>
      <c r="BS2629" s="481"/>
      <c r="BW2629" s="126">
        <v>6.3</v>
      </c>
      <c r="BX2629" s="126">
        <v>7.3</v>
      </c>
      <c r="CA2629" s="37" t="s">
        <v>2792</v>
      </c>
      <c r="IQ2629" s="480"/>
    </row>
    <row r="2630" spans="1:251" s="126" customFormat="1" x14ac:dyDescent="0.25">
      <c r="A2630" s="126">
        <v>123</v>
      </c>
      <c r="B2630" s="126" t="s">
        <v>2780</v>
      </c>
      <c r="C2630" s="126" t="s">
        <v>2779</v>
      </c>
      <c r="D2630" s="126">
        <v>2003</v>
      </c>
      <c r="E2630" s="126">
        <v>2001</v>
      </c>
      <c r="F2630" s="126" t="s">
        <v>2781</v>
      </c>
      <c r="G2630" s="126" t="s">
        <v>2782</v>
      </c>
      <c r="H2630" s="126" t="s">
        <v>2845</v>
      </c>
      <c r="I2630" s="126">
        <f t="shared" si="333"/>
        <v>-14.25</v>
      </c>
      <c r="J2630" s="126">
        <v>32</v>
      </c>
      <c r="K2630" s="126">
        <v>988</v>
      </c>
      <c r="O2630" s="126">
        <v>850</v>
      </c>
      <c r="Q2630" s="478" t="s">
        <v>1729</v>
      </c>
      <c r="R2630" s="478" t="s">
        <v>1852</v>
      </c>
      <c r="S2630" s="478"/>
      <c r="T2630" s="478" t="s">
        <v>2783</v>
      </c>
      <c r="U2630" s="478" t="s">
        <v>1383</v>
      </c>
      <c r="V2630" s="478" t="s">
        <v>1722</v>
      </c>
      <c r="W2630" s="478" t="s">
        <v>1383</v>
      </c>
      <c r="X2630" s="478" t="s">
        <v>1421</v>
      </c>
      <c r="Z2630" s="479">
        <v>44</v>
      </c>
      <c r="AA2630" s="479">
        <f t="shared" si="334"/>
        <v>6</v>
      </c>
      <c r="AB2630" s="126" t="s">
        <v>797</v>
      </c>
      <c r="AC2630" s="126">
        <v>5.6</v>
      </c>
      <c r="AD2630" s="126">
        <v>0.9</v>
      </c>
      <c r="AF2630" s="126" t="s">
        <v>2784</v>
      </c>
      <c r="AG2630" s="126" t="s">
        <v>2787</v>
      </c>
      <c r="AH2630" s="126" t="s">
        <v>1586</v>
      </c>
      <c r="AQ2630" s="126" t="s">
        <v>2793</v>
      </c>
      <c r="AR2630" s="126" t="s">
        <v>2794</v>
      </c>
      <c r="AT2630" s="126" t="s">
        <v>2795</v>
      </c>
      <c r="AU2630" s="126">
        <v>3</v>
      </c>
      <c r="AW2630" s="126" t="s">
        <v>142</v>
      </c>
      <c r="BM2630" s="481"/>
      <c r="BN2630" s="481"/>
      <c r="BR2630" s="481"/>
      <c r="BS2630" s="481"/>
      <c r="BW2630" s="126">
        <v>6.3</v>
      </c>
      <c r="BX2630" s="126">
        <v>7.2</v>
      </c>
      <c r="CA2630" s="37" t="s">
        <v>2792</v>
      </c>
      <c r="IQ2630" s="480"/>
    </row>
    <row r="2631" spans="1:251" s="126" customFormat="1" x14ac:dyDescent="0.25">
      <c r="A2631" s="126">
        <v>123</v>
      </c>
      <c r="B2631" s="126" t="s">
        <v>2780</v>
      </c>
      <c r="C2631" s="126" t="s">
        <v>2779</v>
      </c>
      <c r="D2631" s="126">
        <v>2003</v>
      </c>
      <c r="E2631" s="126">
        <v>2001</v>
      </c>
      <c r="F2631" s="126" t="s">
        <v>2781</v>
      </c>
      <c r="G2631" s="126" t="s">
        <v>2782</v>
      </c>
      <c r="H2631" s="126" t="s">
        <v>2845</v>
      </c>
      <c r="I2631" s="126">
        <f t="shared" si="333"/>
        <v>-14.25</v>
      </c>
      <c r="J2631" s="126">
        <v>32</v>
      </c>
      <c r="K2631" s="126">
        <v>988</v>
      </c>
      <c r="O2631" s="126">
        <v>850</v>
      </c>
      <c r="Q2631" s="478" t="s">
        <v>1729</v>
      </c>
      <c r="R2631" s="478" t="s">
        <v>1852</v>
      </c>
      <c r="S2631" s="478"/>
      <c r="T2631" s="478" t="s">
        <v>2783</v>
      </c>
      <c r="U2631" s="478" t="s">
        <v>1383</v>
      </c>
      <c r="V2631" s="478" t="s">
        <v>1722</v>
      </c>
      <c r="W2631" s="478" t="s">
        <v>1383</v>
      </c>
      <c r="X2631" s="478" t="s">
        <v>1421</v>
      </c>
      <c r="Z2631" s="479">
        <v>44</v>
      </c>
      <c r="AA2631" s="479">
        <f t="shared" si="334"/>
        <v>6</v>
      </c>
      <c r="AB2631" s="126" t="s">
        <v>797</v>
      </c>
      <c r="AC2631" s="126">
        <v>5.6</v>
      </c>
      <c r="AD2631" s="126">
        <v>0.9</v>
      </c>
      <c r="AF2631" s="126" t="s">
        <v>2784</v>
      </c>
      <c r="AG2631" s="126" t="s">
        <v>2788</v>
      </c>
      <c r="AH2631" s="126" t="s">
        <v>1587</v>
      </c>
      <c r="AQ2631" s="126" t="s">
        <v>2793</v>
      </c>
      <c r="AR2631" s="126" t="s">
        <v>2794</v>
      </c>
      <c r="AT2631" s="126" t="s">
        <v>2795</v>
      </c>
      <c r="AU2631" s="126">
        <v>3</v>
      </c>
      <c r="AW2631" s="126" t="s">
        <v>142</v>
      </c>
      <c r="BM2631" s="481"/>
      <c r="BN2631" s="481"/>
      <c r="BR2631" s="481"/>
      <c r="BS2631" s="481"/>
      <c r="BW2631" s="126">
        <v>6.3</v>
      </c>
      <c r="BX2631" s="126">
        <v>7.5</v>
      </c>
      <c r="CA2631" s="37" t="s">
        <v>2792</v>
      </c>
      <c r="IQ2631" s="480"/>
    </row>
    <row r="2632" spans="1:251" s="126" customFormat="1" x14ac:dyDescent="0.25">
      <c r="A2632" s="126">
        <v>123</v>
      </c>
      <c r="B2632" s="126" t="s">
        <v>2780</v>
      </c>
      <c r="C2632" s="126" t="s">
        <v>2779</v>
      </c>
      <c r="D2632" s="126">
        <v>2003</v>
      </c>
      <c r="E2632" s="126">
        <v>2001</v>
      </c>
      <c r="F2632" s="126" t="s">
        <v>2781</v>
      </c>
      <c r="G2632" s="126" t="s">
        <v>2782</v>
      </c>
      <c r="H2632" s="126" t="s">
        <v>2845</v>
      </c>
      <c r="I2632" s="126">
        <f t="shared" si="333"/>
        <v>-14.25</v>
      </c>
      <c r="J2632" s="126">
        <v>32</v>
      </c>
      <c r="K2632" s="126">
        <v>988</v>
      </c>
      <c r="O2632" s="126">
        <v>850</v>
      </c>
      <c r="Q2632" s="478" t="s">
        <v>1729</v>
      </c>
      <c r="R2632" s="478" t="s">
        <v>1852</v>
      </c>
      <c r="S2632" s="478"/>
      <c r="T2632" s="478" t="s">
        <v>2783</v>
      </c>
      <c r="U2632" s="478" t="s">
        <v>1383</v>
      </c>
      <c r="V2632" s="478" t="s">
        <v>1722</v>
      </c>
      <c r="W2632" s="478" t="s">
        <v>1383</v>
      </c>
      <c r="X2632" s="478" t="s">
        <v>1421</v>
      </c>
      <c r="Z2632" s="479">
        <v>44</v>
      </c>
      <c r="AA2632" s="479">
        <f t="shared" si="334"/>
        <v>6</v>
      </c>
      <c r="AB2632" s="126" t="s">
        <v>797</v>
      </c>
      <c r="AC2632" s="126">
        <v>5.6</v>
      </c>
      <c r="AD2632" s="126">
        <v>0.9</v>
      </c>
      <c r="AF2632" s="126" t="s">
        <v>2784</v>
      </c>
      <c r="AG2632" s="126" t="s">
        <v>2790</v>
      </c>
      <c r="AH2632" s="126" t="s">
        <v>1587</v>
      </c>
      <c r="AQ2632" s="126" t="s">
        <v>2793</v>
      </c>
      <c r="AR2632" s="126" t="s">
        <v>2794</v>
      </c>
      <c r="AT2632" s="126" t="s">
        <v>2795</v>
      </c>
      <c r="AU2632" s="126">
        <v>3</v>
      </c>
      <c r="AW2632" s="126" t="s">
        <v>142</v>
      </c>
      <c r="BM2632" s="481"/>
      <c r="BN2632" s="481"/>
      <c r="BR2632" s="481"/>
      <c r="BS2632" s="481"/>
      <c r="BW2632" s="126">
        <v>6.3</v>
      </c>
      <c r="BX2632" s="126">
        <v>13.4</v>
      </c>
      <c r="CA2632" s="37" t="s">
        <v>2792</v>
      </c>
      <c r="IQ2632" s="480"/>
    </row>
    <row r="2633" spans="1:251" x14ac:dyDescent="0.25">
      <c r="A2633" s="37">
        <v>123</v>
      </c>
      <c r="B2633" s="37" t="s">
        <v>2780</v>
      </c>
      <c r="C2633" s="37" t="s">
        <v>2779</v>
      </c>
      <c r="D2633" s="37">
        <v>2003</v>
      </c>
      <c r="E2633" s="37">
        <v>2000</v>
      </c>
      <c r="F2633" s="37" t="s">
        <v>2781</v>
      </c>
      <c r="G2633" s="37" t="s">
        <v>2782</v>
      </c>
      <c r="H2633" s="37" t="s">
        <v>2845</v>
      </c>
      <c r="I2633" s="37">
        <f t="shared" si="333"/>
        <v>-14.25</v>
      </c>
      <c r="J2633" s="37">
        <v>32</v>
      </c>
      <c r="K2633" s="37">
        <v>988</v>
      </c>
      <c r="O2633" s="37">
        <v>850</v>
      </c>
      <c r="Q2633" s="50" t="s">
        <v>1867</v>
      </c>
      <c r="R2633" s="50" t="s">
        <v>1852</v>
      </c>
      <c r="T2633" s="50" t="s">
        <v>2783</v>
      </c>
      <c r="U2633" s="50" t="s">
        <v>1398</v>
      </c>
      <c r="V2633" s="50" t="s">
        <v>1729</v>
      </c>
      <c r="W2633" s="50" t="s">
        <v>1398</v>
      </c>
      <c r="X2633" s="50" t="s">
        <v>1421</v>
      </c>
      <c r="Z2633" s="330">
        <v>44</v>
      </c>
      <c r="AA2633" s="330">
        <f t="shared" si="334"/>
        <v>6</v>
      </c>
      <c r="AB2633" s="37" t="s">
        <v>797</v>
      </c>
      <c r="AC2633" s="37">
        <v>5.6</v>
      </c>
      <c r="AD2633" s="37">
        <v>0.9</v>
      </c>
      <c r="AF2633" s="37" t="s">
        <v>2784</v>
      </c>
      <c r="AG2633" s="37" t="s">
        <v>2785</v>
      </c>
      <c r="AH2633" s="37" t="s">
        <v>1585</v>
      </c>
      <c r="AQ2633" s="37" t="s">
        <v>2793</v>
      </c>
      <c r="AR2633" s="37" t="s">
        <v>2794</v>
      </c>
      <c r="AT2633" s="37" t="s">
        <v>2795</v>
      </c>
      <c r="AU2633" s="37">
        <v>3</v>
      </c>
      <c r="AW2633" s="37" t="s">
        <v>142</v>
      </c>
      <c r="DP2633" s="37">
        <v>0.9</v>
      </c>
      <c r="DQ2633" s="37">
        <v>0.9</v>
      </c>
      <c r="DT2633" s="37" t="s">
        <v>2425</v>
      </c>
    </row>
    <row r="2634" spans="1:251" x14ac:dyDescent="0.25">
      <c r="A2634" s="37">
        <v>123</v>
      </c>
      <c r="B2634" s="37" t="s">
        <v>2780</v>
      </c>
      <c r="C2634" s="37" t="s">
        <v>2779</v>
      </c>
      <c r="D2634" s="37">
        <v>2003</v>
      </c>
      <c r="E2634" s="37">
        <v>2000</v>
      </c>
      <c r="F2634" s="37" t="s">
        <v>2781</v>
      </c>
      <c r="G2634" s="37" t="s">
        <v>2782</v>
      </c>
      <c r="H2634" s="37" t="s">
        <v>2845</v>
      </c>
      <c r="I2634" s="37">
        <f t="shared" si="333"/>
        <v>-14.25</v>
      </c>
      <c r="J2634" s="37">
        <v>32</v>
      </c>
      <c r="K2634" s="37">
        <v>988</v>
      </c>
      <c r="O2634" s="37">
        <v>850</v>
      </c>
      <c r="Q2634" s="50" t="s">
        <v>1867</v>
      </c>
      <c r="R2634" s="50" t="s">
        <v>1852</v>
      </c>
      <c r="T2634" s="50" t="s">
        <v>2783</v>
      </c>
      <c r="U2634" s="50" t="s">
        <v>1398</v>
      </c>
      <c r="V2634" s="50" t="s">
        <v>1729</v>
      </c>
      <c r="W2634" s="50" t="s">
        <v>1398</v>
      </c>
      <c r="X2634" s="50" t="s">
        <v>1421</v>
      </c>
      <c r="Z2634" s="330">
        <v>44</v>
      </c>
      <c r="AA2634" s="330">
        <f t="shared" si="334"/>
        <v>6</v>
      </c>
      <c r="AB2634" s="37" t="s">
        <v>797</v>
      </c>
      <c r="AC2634" s="37">
        <v>5.6</v>
      </c>
      <c r="AD2634" s="37">
        <v>0.9</v>
      </c>
      <c r="AF2634" s="37" t="s">
        <v>2784</v>
      </c>
      <c r="AG2634" s="37" t="s">
        <v>2712</v>
      </c>
      <c r="AH2634" s="37" t="s">
        <v>578</v>
      </c>
      <c r="AQ2634" s="37" t="s">
        <v>2793</v>
      </c>
      <c r="AR2634" s="37" t="s">
        <v>2794</v>
      </c>
      <c r="AT2634" s="37" t="s">
        <v>2795</v>
      </c>
      <c r="AU2634" s="37">
        <v>3</v>
      </c>
      <c r="AW2634" s="37" t="s">
        <v>142</v>
      </c>
      <c r="DP2634" s="37">
        <v>0.9</v>
      </c>
      <c r="DQ2634" s="37">
        <v>0.6</v>
      </c>
      <c r="DT2634" s="37" t="s">
        <v>2425</v>
      </c>
    </row>
    <row r="2635" spans="1:251" x14ac:dyDescent="0.25">
      <c r="A2635" s="37">
        <v>123</v>
      </c>
      <c r="B2635" s="37" t="s">
        <v>2780</v>
      </c>
      <c r="C2635" s="37" t="s">
        <v>2779</v>
      </c>
      <c r="D2635" s="37">
        <v>2003</v>
      </c>
      <c r="E2635" s="37">
        <v>2000</v>
      </c>
      <c r="F2635" s="37" t="s">
        <v>2781</v>
      </c>
      <c r="G2635" s="37" t="s">
        <v>2782</v>
      </c>
      <c r="H2635" s="37" t="s">
        <v>2845</v>
      </c>
      <c r="I2635" s="37">
        <f t="shared" si="333"/>
        <v>-14.25</v>
      </c>
      <c r="J2635" s="37">
        <v>32</v>
      </c>
      <c r="K2635" s="37">
        <v>988</v>
      </c>
      <c r="O2635" s="37">
        <v>850</v>
      </c>
      <c r="Q2635" s="50" t="s">
        <v>1867</v>
      </c>
      <c r="R2635" s="50" t="s">
        <v>1852</v>
      </c>
      <c r="T2635" s="50" t="s">
        <v>2783</v>
      </c>
      <c r="U2635" s="50" t="s">
        <v>1398</v>
      </c>
      <c r="V2635" s="50" t="s">
        <v>1729</v>
      </c>
      <c r="W2635" s="50" t="s">
        <v>1398</v>
      </c>
      <c r="X2635" s="50" t="s">
        <v>1421</v>
      </c>
      <c r="Z2635" s="330">
        <v>44</v>
      </c>
      <c r="AA2635" s="330">
        <f t="shared" si="334"/>
        <v>6</v>
      </c>
      <c r="AB2635" s="37" t="s">
        <v>797</v>
      </c>
      <c r="AC2635" s="37">
        <v>5.6</v>
      </c>
      <c r="AD2635" s="37">
        <v>0.9</v>
      </c>
      <c r="AF2635" s="37" t="s">
        <v>2784</v>
      </c>
      <c r="AG2635" s="37" t="s">
        <v>2786</v>
      </c>
      <c r="AH2635" s="37" t="s">
        <v>578</v>
      </c>
      <c r="AQ2635" s="37" t="s">
        <v>2793</v>
      </c>
      <c r="AR2635" s="37" t="s">
        <v>2794</v>
      </c>
      <c r="AT2635" s="37" t="s">
        <v>2795</v>
      </c>
      <c r="AU2635" s="37">
        <v>3</v>
      </c>
      <c r="AW2635" s="37" t="s">
        <v>142</v>
      </c>
      <c r="DP2635" s="37">
        <v>0.9</v>
      </c>
      <c r="DQ2635" s="37">
        <v>0.8</v>
      </c>
      <c r="DT2635" s="37" t="s">
        <v>2425</v>
      </c>
    </row>
    <row r="2636" spans="1:251" x14ac:dyDescent="0.25">
      <c r="A2636" s="37">
        <v>123</v>
      </c>
      <c r="B2636" s="37" t="s">
        <v>2780</v>
      </c>
      <c r="C2636" s="37" t="s">
        <v>2779</v>
      </c>
      <c r="D2636" s="37">
        <v>2003</v>
      </c>
      <c r="E2636" s="37">
        <v>2000</v>
      </c>
      <c r="F2636" s="37" t="s">
        <v>2781</v>
      </c>
      <c r="G2636" s="37" t="s">
        <v>2782</v>
      </c>
      <c r="H2636" s="37" t="s">
        <v>2845</v>
      </c>
      <c r="I2636" s="37">
        <f t="shared" si="333"/>
        <v>-14.25</v>
      </c>
      <c r="J2636" s="37">
        <v>32</v>
      </c>
      <c r="K2636" s="37">
        <v>988</v>
      </c>
      <c r="O2636" s="37">
        <v>850</v>
      </c>
      <c r="Q2636" s="50" t="s">
        <v>1867</v>
      </c>
      <c r="R2636" s="50" t="s">
        <v>1852</v>
      </c>
      <c r="T2636" s="50" t="s">
        <v>2783</v>
      </c>
      <c r="U2636" s="50" t="s">
        <v>1398</v>
      </c>
      <c r="V2636" s="50" t="s">
        <v>1729</v>
      </c>
      <c r="W2636" s="50" t="s">
        <v>1398</v>
      </c>
      <c r="X2636" s="50" t="s">
        <v>1421</v>
      </c>
      <c r="Z2636" s="330">
        <v>44</v>
      </c>
      <c r="AA2636" s="330">
        <f t="shared" si="334"/>
        <v>6</v>
      </c>
      <c r="AB2636" s="37" t="s">
        <v>797</v>
      </c>
      <c r="AC2636" s="37">
        <v>5.6</v>
      </c>
      <c r="AD2636" s="37">
        <v>0.9</v>
      </c>
      <c r="AF2636" s="37" t="s">
        <v>2784</v>
      </c>
      <c r="AG2636" s="37" t="s">
        <v>2789</v>
      </c>
      <c r="AH2636" s="37" t="s">
        <v>578</v>
      </c>
      <c r="AQ2636" s="37" t="s">
        <v>2793</v>
      </c>
      <c r="AR2636" s="37" t="s">
        <v>2794</v>
      </c>
      <c r="AT2636" s="37" t="s">
        <v>2795</v>
      </c>
      <c r="AU2636" s="37">
        <v>3</v>
      </c>
      <c r="AW2636" s="37" t="s">
        <v>142</v>
      </c>
      <c r="DP2636" s="37">
        <v>0.9</v>
      </c>
      <c r="DQ2636" s="37">
        <v>1</v>
      </c>
      <c r="DT2636" s="37" t="s">
        <v>2425</v>
      </c>
    </row>
    <row r="2637" spans="1:251" x14ac:dyDescent="0.25">
      <c r="A2637" s="37">
        <v>123</v>
      </c>
      <c r="B2637" s="37" t="s">
        <v>2780</v>
      </c>
      <c r="C2637" s="37" t="s">
        <v>2779</v>
      </c>
      <c r="D2637" s="37">
        <v>2003</v>
      </c>
      <c r="E2637" s="37">
        <v>2000</v>
      </c>
      <c r="F2637" s="37" t="s">
        <v>2781</v>
      </c>
      <c r="G2637" s="37" t="s">
        <v>2782</v>
      </c>
      <c r="H2637" s="37" t="s">
        <v>2845</v>
      </c>
      <c r="I2637" s="37">
        <f t="shared" ref="I2637:I2668" si="336">-14-15/60</f>
        <v>-14.25</v>
      </c>
      <c r="J2637" s="37">
        <v>32</v>
      </c>
      <c r="K2637" s="37">
        <v>988</v>
      </c>
      <c r="O2637" s="37">
        <v>850</v>
      </c>
      <c r="Q2637" s="50" t="s">
        <v>1867</v>
      </c>
      <c r="R2637" s="50" t="s">
        <v>1852</v>
      </c>
      <c r="T2637" s="50" t="s">
        <v>2783</v>
      </c>
      <c r="U2637" s="50" t="s">
        <v>1398</v>
      </c>
      <c r="V2637" s="50" t="s">
        <v>1729</v>
      </c>
      <c r="W2637" s="50" t="s">
        <v>1398</v>
      </c>
      <c r="X2637" s="50" t="s">
        <v>1421</v>
      </c>
      <c r="Z2637" s="330">
        <v>44</v>
      </c>
      <c r="AA2637" s="330">
        <f t="shared" ref="AA2637:AA2668" si="337">100-44-50</f>
        <v>6</v>
      </c>
      <c r="AB2637" s="37" t="s">
        <v>797</v>
      </c>
      <c r="AC2637" s="37">
        <v>5.6</v>
      </c>
      <c r="AD2637" s="37">
        <v>0.9</v>
      </c>
      <c r="AF2637" s="37" t="s">
        <v>2784</v>
      </c>
      <c r="AG2637" s="37" t="s">
        <v>2787</v>
      </c>
      <c r="AH2637" s="37" t="s">
        <v>1586</v>
      </c>
      <c r="AQ2637" s="37" t="s">
        <v>2793</v>
      </c>
      <c r="AR2637" s="37" t="s">
        <v>2794</v>
      </c>
      <c r="AT2637" s="37" t="s">
        <v>2795</v>
      </c>
      <c r="AU2637" s="37">
        <v>3</v>
      </c>
      <c r="AW2637" s="37" t="s">
        <v>142</v>
      </c>
      <c r="DP2637" s="37">
        <v>0.9</v>
      </c>
      <c r="DQ2637" s="37">
        <v>0.7</v>
      </c>
      <c r="DT2637" s="37" t="s">
        <v>2425</v>
      </c>
    </row>
    <row r="2638" spans="1:251" x14ac:dyDescent="0.25">
      <c r="A2638" s="37">
        <v>123</v>
      </c>
      <c r="B2638" s="37" t="s">
        <v>2780</v>
      </c>
      <c r="C2638" s="37" t="s">
        <v>2779</v>
      </c>
      <c r="D2638" s="37">
        <v>2003</v>
      </c>
      <c r="E2638" s="37">
        <v>2000</v>
      </c>
      <c r="F2638" s="37" t="s">
        <v>2781</v>
      </c>
      <c r="G2638" s="37" t="s">
        <v>2782</v>
      </c>
      <c r="H2638" s="37" t="s">
        <v>2845</v>
      </c>
      <c r="I2638" s="37">
        <f t="shared" si="336"/>
        <v>-14.25</v>
      </c>
      <c r="J2638" s="37">
        <v>32</v>
      </c>
      <c r="K2638" s="37">
        <v>988</v>
      </c>
      <c r="O2638" s="37">
        <v>850</v>
      </c>
      <c r="Q2638" s="50" t="s">
        <v>1867</v>
      </c>
      <c r="R2638" s="50" t="s">
        <v>1852</v>
      </c>
      <c r="T2638" s="50" t="s">
        <v>2783</v>
      </c>
      <c r="U2638" s="50" t="s">
        <v>1398</v>
      </c>
      <c r="V2638" s="50" t="s">
        <v>1729</v>
      </c>
      <c r="W2638" s="50" t="s">
        <v>1398</v>
      </c>
      <c r="X2638" s="50" t="s">
        <v>1421</v>
      </c>
      <c r="Z2638" s="330">
        <v>44</v>
      </c>
      <c r="AA2638" s="330">
        <f t="shared" si="337"/>
        <v>6</v>
      </c>
      <c r="AB2638" s="37" t="s">
        <v>797</v>
      </c>
      <c r="AC2638" s="37">
        <v>5.6</v>
      </c>
      <c r="AD2638" s="37">
        <v>0.9</v>
      </c>
      <c r="AF2638" s="37" t="s">
        <v>2784</v>
      </c>
      <c r="AG2638" s="37" t="s">
        <v>2788</v>
      </c>
      <c r="AH2638" s="37" t="s">
        <v>1587</v>
      </c>
      <c r="AQ2638" s="37" t="s">
        <v>2793</v>
      </c>
      <c r="AR2638" s="37" t="s">
        <v>2794</v>
      </c>
      <c r="AT2638" s="37" t="s">
        <v>2795</v>
      </c>
      <c r="AU2638" s="37">
        <v>3</v>
      </c>
      <c r="AW2638" s="37" t="s">
        <v>142</v>
      </c>
      <c r="DP2638" s="37">
        <v>0.9</v>
      </c>
      <c r="DQ2638" s="37">
        <v>0.7</v>
      </c>
      <c r="DT2638" s="37" t="s">
        <v>2425</v>
      </c>
    </row>
    <row r="2639" spans="1:251" x14ac:dyDescent="0.25">
      <c r="A2639" s="37">
        <v>123</v>
      </c>
      <c r="B2639" s="37" t="s">
        <v>2780</v>
      </c>
      <c r="C2639" s="37" t="s">
        <v>2779</v>
      </c>
      <c r="D2639" s="37">
        <v>2003</v>
      </c>
      <c r="E2639" s="37">
        <v>2000</v>
      </c>
      <c r="F2639" s="37" t="s">
        <v>2781</v>
      </c>
      <c r="G2639" s="37" t="s">
        <v>2782</v>
      </c>
      <c r="H2639" s="37" t="s">
        <v>2845</v>
      </c>
      <c r="I2639" s="37">
        <f t="shared" si="336"/>
        <v>-14.25</v>
      </c>
      <c r="J2639" s="37">
        <v>32</v>
      </c>
      <c r="K2639" s="37">
        <v>988</v>
      </c>
      <c r="O2639" s="37">
        <v>850</v>
      </c>
      <c r="Q2639" s="50" t="s">
        <v>1867</v>
      </c>
      <c r="R2639" s="50" t="s">
        <v>1852</v>
      </c>
      <c r="T2639" s="50" t="s">
        <v>2783</v>
      </c>
      <c r="U2639" s="50" t="s">
        <v>1398</v>
      </c>
      <c r="V2639" s="50" t="s">
        <v>1729</v>
      </c>
      <c r="W2639" s="50" t="s">
        <v>1398</v>
      </c>
      <c r="X2639" s="50" t="s">
        <v>1421</v>
      </c>
      <c r="Z2639" s="330">
        <v>44</v>
      </c>
      <c r="AA2639" s="330">
        <f t="shared" si="337"/>
        <v>6</v>
      </c>
      <c r="AB2639" s="37" t="s">
        <v>797</v>
      </c>
      <c r="AC2639" s="37">
        <v>5.6</v>
      </c>
      <c r="AD2639" s="37">
        <v>0.9</v>
      </c>
      <c r="AF2639" s="37" t="s">
        <v>2784</v>
      </c>
      <c r="AG2639" s="37" t="s">
        <v>2790</v>
      </c>
      <c r="AH2639" s="37" t="s">
        <v>1587</v>
      </c>
      <c r="AQ2639" s="37" t="s">
        <v>2793</v>
      </c>
      <c r="AR2639" s="37" t="s">
        <v>2794</v>
      </c>
      <c r="AT2639" s="37" t="s">
        <v>2795</v>
      </c>
      <c r="AU2639" s="37">
        <v>3</v>
      </c>
      <c r="AW2639" s="37" t="s">
        <v>142</v>
      </c>
      <c r="DP2639" s="37">
        <v>0.9</v>
      </c>
      <c r="DQ2639" s="37">
        <v>1</v>
      </c>
      <c r="DT2639" s="37" t="s">
        <v>2425</v>
      </c>
    </row>
    <row r="2640" spans="1:251" s="36" customFormat="1" x14ac:dyDescent="0.25">
      <c r="A2640" s="36">
        <v>123</v>
      </c>
      <c r="B2640" s="36" t="s">
        <v>2780</v>
      </c>
      <c r="C2640" s="36" t="s">
        <v>2779</v>
      </c>
      <c r="D2640" s="36">
        <v>2003</v>
      </c>
      <c r="E2640" s="36">
        <v>2000</v>
      </c>
      <c r="F2640" s="36" t="s">
        <v>2781</v>
      </c>
      <c r="G2640" s="36" t="s">
        <v>2782</v>
      </c>
      <c r="H2640" s="36" t="s">
        <v>2845</v>
      </c>
      <c r="I2640" s="36">
        <f t="shared" si="336"/>
        <v>-14.25</v>
      </c>
      <c r="J2640" s="36">
        <v>32</v>
      </c>
      <c r="K2640" s="36">
        <v>988</v>
      </c>
      <c r="O2640" s="36">
        <v>850</v>
      </c>
      <c r="Q2640" s="51" t="s">
        <v>1867</v>
      </c>
      <c r="R2640" s="51" t="s">
        <v>1852</v>
      </c>
      <c r="S2640" s="51"/>
      <c r="T2640" s="51" t="s">
        <v>2783</v>
      </c>
      <c r="U2640" s="51" t="s">
        <v>1405</v>
      </c>
      <c r="V2640" s="51" t="s">
        <v>1729</v>
      </c>
      <c r="W2640" s="51" t="s">
        <v>1398</v>
      </c>
      <c r="X2640" s="51" t="s">
        <v>1421</v>
      </c>
      <c r="Z2640" s="331">
        <v>44</v>
      </c>
      <c r="AA2640" s="331">
        <f t="shared" si="337"/>
        <v>6</v>
      </c>
      <c r="AB2640" s="36" t="s">
        <v>797</v>
      </c>
      <c r="AC2640" s="36">
        <v>5.6</v>
      </c>
      <c r="AD2640" s="36">
        <v>0.9</v>
      </c>
      <c r="AF2640" s="36" t="s">
        <v>2784</v>
      </c>
      <c r="AG2640" s="36" t="s">
        <v>2785</v>
      </c>
      <c r="AH2640" s="36" t="s">
        <v>1585</v>
      </c>
      <c r="AQ2640" s="36" t="s">
        <v>2793</v>
      </c>
      <c r="AR2640" s="36" t="s">
        <v>2794</v>
      </c>
      <c r="AT2640" s="36" t="s">
        <v>2795</v>
      </c>
      <c r="AU2640" s="36">
        <v>3</v>
      </c>
      <c r="AW2640" s="36" t="s">
        <v>142</v>
      </c>
      <c r="BM2640" s="407"/>
      <c r="BN2640" s="407"/>
      <c r="BR2640" s="407"/>
      <c r="BS2640" s="407"/>
      <c r="DP2640" s="36">
        <v>1.6</v>
      </c>
      <c r="DQ2640" s="36">
        <v>1.1000000000000001</v>
      </c>
      <c r="DT2640" s="36" t="s">
        <v>2425</v>
      </c>
      <c r="IQ2640" s="230"/>
    </row>
    <row r="2641" spans="1:251" s="36" customFormat="1" x14ac:dyDescent="0.25">
      <c r="A2641" s="36">
        <v>123</v>
      </c>
      <c r="B2641" s="36" t="s">
        <v>2780</v>
      </c>
      <c r="C2641" s="36" t="s">
        <v>2779</v>
      </c>
      <c r="D2641" s="36">
        <v>2003</v>
      </c>
      <c r="E2641" s="36">
        <v>2000</v>
      </c>
      <c r="F2641" s="36" t="s">
        <v>2781</v>
      </c>
      <c r="G2641" s="36" t="s">
        <v>2782</v>
      </c>
      <c r="H2641" s="36" t="s">
        <v>2845</v>
      </c>
      <c r="I2641" s="36">
        <f t="shared" si="336"/>
        <v>-14.25</v>
      </c>
      <c r="J2641" s="36">
        <v>32</v>
      </c>
      <c r="K2641" s="36">
        <v>988</v>
      </c>
      <c r="O2641" s="36">
        <v>850</v>
      </c>
      <c r="Q2641" s="51" t="s">
        <v>1867</v>
      </c>
      <c r="R2641" s="51" t="s">
        <v>1852</v>
      </c>
      <c r="S2641" s="51"/>
      <c r="T2641" s="51" t="s">
        <v>2783</v>
      </c>
      <c r="U2641" s="51" t="s">
        <v>1405</v>
      </c>
      <c r="V2641" s="51" t="s">
        <v>1729</v>
      </c>
      <c r="W2641" s="51" t="s">
        <v>1398</v>
      </c>
      <c r="X2641" s="51" t="s">
        <v>1421</v>
      </c>
      <c r="Z2641" s="331">
        <v>44</v>
      </c>
      <c r="AA2641" s="331">
        <f t="shared" si="337"/>
        <v>6</v>
      </c>
      <c r="AB2641" s="36" t="s">
        <v>797</v>
      </c>
      <c r="AC2641" s="36">
        <v>5.6</v>
      </c>
      <c r="AD2641" s="36">
        <v>0.9</v>
      </c>
      <c r="AF2641" s="36" t="s">
        <v>2784</v>
      </c>
      <c r="AG2641" s="36" t="s">
        <v>2712</v>
      </c>
      <c r="AH2641" s="36" t="s">
        <v>578</v>
      </c>
      <c r="AQ2641" s="36" t="s">
        <v>2793</v>
      </c>
      <c r="AR2641" s="36" t="s">
        <v>2794</v>
      </c>
      <c r="AT2641" s="36" t="s">
        <v>2795</v>
      </c>
      <c r="AU2641" s="36">
        <v>3</v>
      </c>
      <c r="AW2641" s="36" t="s">
        <v>142</v>
      </c>
      <c r="BM2641" s="407"/>
      <c r="BN2641" s="407"/>
      <c r="BR2641" s="407"/>
      <c r="BS2641" s="407"/>
      <c r="DP2641" s="36">
        <v>1.6</v>
      </c>
      <c r="DQ2641" s="36">
        <v>0.9</v>
      </c>
      <c r="DT2641" s="36" t="s">
        <v>2425</v>
      </c>
      <c r="IQ2641" s="230"/>
    </row>
    <row r="2642" spans="1:251" s="36" customFormat="1" x14ac:dyDescent="0.25">
      <c r="A2642" s="36">
        <v>123</v>
      </c>
      <c r="B2642" s="36" t="s">
        <v>2780</v>
      </c>
      <c r="C2642" s="36" t="s">
        <v>2779</v>
      </c>
      <c r="D2642" s="36">
        <v>2003</v>
      </c>
      <c r="E2642" s="36">
        <v>2000</v>
      </c>
      <c r="F2642" s="36" t="s">
        <v>2781</v>
      </c>
      <c r="G2642" s="36" t="s">
        <v>2782</v>
      </c>
      <c r="H2642" s="36" t="s">
        <v>2845</v>
      </c>
      <c r="I2642" s="36">
        <f t="shared" si="336"/>
        <v>-14.25</v>
      </c>
      <c r="J2642" s="36">
        <v>32</v>
      </c>
      <c r="K2642" s="36">
        <v>988</v>
      </c>
      <c r="O2642" s="36">
        <v>850</v>
      </c>
      <c r="Q2642" s="51" t="s">
        <v>1867</v>
      </c>
      <c r="R2642" s="51" t="s">
        <v>1852</v>
      </c>
      <c r="S2642" s="51"/>
      <c r="T2642" s="51" t="s">
        <v>2783</v>
      </c>
      <c r="U2642" s="51" t="s">
        <v>1405</v>
      </c>
      <c r="V2642" s="51" t="s">
        <v>1729</v>
      </c>
      <c r="W2642" s="51" t="s">
        <v>1398</v>
      </c>
      <c r="X2642" s="51" t="s">
        <v>1421</v>
      </c>
      <c r="Z2642" s="331">
        <v>44</v>
      </c>
      <c r="AA2642" s="331">
        <f t="shared" si="337"/>
        <v>6</v>
      </c>
      <c r="AB2642" s="36" t="s">
        <v>797</v>
      </c>
      <c r="AC2642" s="36">
        <v>5.6</v>
      </c>
      <c r="AD2642" s="36">
        <v>0.9</v>
      </c>
      <c r="AF2642" s="36" t="s">
        <v>2784</v>
      </c>
      <c r="AG2642" s="36" t="s">
        <v>2786</v>
      </c>
      <c r="AH2642" s="36" t="s">
        <v>578</v>
      </c>
      <c r="AQ2642" s="36" t="s">
        <v>2793</v>
      </c>
      <c r="AR2642" s="36" t="s">
        <v>2794</v>
      </c>
      <c r="AT2642" s="36" t="s">
        <v>2795</v>
      </c>
      <c r="AU2642" s="36">
        <v>3</v>
      </c>
      <c r="AW2642" s="36" t="s">
        <v>142</v>
      </c>
      <c r="BM2642" s="407"/>
      <c r="BN2642" s="407"/>
      <c r="BR2642" s="407"/>
      <c r="BS2642" s="407"/>
      <c r="DP2642" s="36">
        <v>1.6</v>
      </c>
      <c r="DQ2642" s="36">
        <v>1.1000000000000001</v>
      </c>
      <c r="DT2642" s="36" t="s">
        <v>2425</v>
      </c>
      <c r="IQ2642" s="230"/>
    </row>
    <row r="2643" spans="1:251" s="36" customFormat="1" x14ac:dyDescent="0.25">
      <c r="A2643" s="36">
        <v>123</v>
      </c>
      <c r="B2643" s="36" t="s">
        <v>2780</v>
      </c>
      <c r="C2643" s="36" t="s">
        <v>2779</v>
      </c>
      <c r="D2643" s="36">
        <v>2003</v>
      </c>
      <c r="E2643" s="36">
        <v>2000</v>
      </c>
      <c r="F2643" s="36" t="s">
        <v>2781</v>
      </c>
      <c r="G2643" s="36" t="s">
        <v>2782</v>
      </c>
      <c r="H2643" s="36" t="s">
        <v>2845</v>
      </c>
      <c r="I2643" s="36">
        <f t="shared" si="336"/>
        <v>-14.25</v>
      </c>
      <c r="J2643" s="36">
        <v>32</v>
      </c>
      <c r="K2643" s="36">
        <v>988</v>
      </c>
      <c r="O2643" s="36">
        <v>850</v>
      </c>
      <c r="Q2643" s="51" t="s">
        <v>1867</v>
      </c>
      <c r="R2643" s="51" t="s">
        <v>1852</v>
      </c>
      <c r="S2643" s="51"/>
      <c r="T2643" s="51" t="s">
        <v>2783</v>
      </c>
      <c r="U2643" s="51" t="s">
        <v>1405</v>
      </c>
      <c r="V2643" s="51" t="s">
        <v>1729</v>
      </c>
      <c r="W2643" s="51" t="s">
        <v>1398</v>
      </c>
      <c r="X2643" s="51" t="s">
        <v>1421</v>
      </c>
      <c r="Z2643" s="331">
        <v>44</v>
      </c>
      <c r="AA2643" s="331">
        <f t="shared" si="337"/>
        <v>6</v>
      </c>
      <c r="AB2643" s="36" t="s">
        <v>797</v>
      </c>
      <c r="AC2643" s="36">
        <v>5.6</v>
      </c>
      <c r="AD2643" s="36">
        <v>0.9</v>
      </c>
      <c r="AF2643" s="36" t="s">
        <v>2784</v>
      </c>
      <c r="AG2643" s="36" t="s">
        <v>2789</v>
      </c>
      <c r="AH2643" s="36" t="s">
        <v>578</v>
      </c>
      <c r="AQ2643" s="36" t="s">
        <v>2793</v>
      </c>
      <c r="AR2643" s="36" t="s">
        <v>2794</v>
      </c>
      <c r="AT2643" s="36" t="s">
        <v>2795</v>
      </c>
      <c r="AU2643" s="36">
        <v>3</v>
      </c>
      <c r="AW2643" s="36" t="s">
        <v>142</v>
      </c>
      <c r="BM2643" s="407"/>
      <c r="BN2643" s="407"/>
      <c r="BR2643" s="407"/>
      <c r="BS2643" s="407"/>
      <c r="DP2643" s="36">
        <v>1.6</v>
      </c>
      <c r="DQ2643" s="36">
        <v>1.6</v>
      </c>
      <c r="DT2643" s="36" t="s">
        <v>2425</v>
      </c>
      <c r="IQ2643" s="230"/>
    </row>
    <row r="2644" spans="1:251" s="36" customFormat="1" x14ac:dyDescent="0.25">
      <c r="A2644" s="36">
        <v>123</v>
      </c>
      <c r="B2644" s="36" t="s">
        <v>2780</v>
      </c>
      <c r="C2644" s="36" t="s">
        <v>2779</v>
      </c>
      <c r="D2644" s="36">
        <v>2003</v>
      </c>
      <c r="E2644" s="36">
        <v>2000</v>
      </c>
      <c r="F2644" s="36" t="s">
        <v>2781</v>
      </c>
      <c r="G2644" s="36" t="s">
        <v>2782</v>
      </c>
      <c r="H2644" s="36" t="s">
        <v>2845</v>
      </c>
      <c r="I2644" s="36">
        <f t="shared" si="336"/>
        <v>-14.25</v>
      </c>
      <c r="J2644" s="36">
        <v>32</v>
      </c>
      <c r="K2644" s="36">
        <v>988</v>
      </c>
      <c r="O2644" s="36">
        <v>850</v>
      </c>
      <c r="Q2644" s="51" t="s">
        <v>1867</v>
      </c>
      <c r="R2644" s="51" t="s">
        <v>1852</v>
      </c>
      <c r="S2644" s="51"/>
      <c r="T2644" s="51" t="s">
        <v>2783</v>
      </c>
      <c r="U2644" s="51" t="s">
        <v>1405</v>
      </c>
      <c r="V2644" s="51" t="s">
        <v>1729</v>
      </c>
      <c r="W2644" s="51" t="s">
        <v>1398</v>
      </c>
      <c r="X2644" s="51" t="s">
        <v>1421</v>
      </c>
      <c r="Z2644" s="331">
        <v>44</v>
      </c>
      <c r="AA2644" s="331">
        <f t="shared" si="337"/>
        <v>6</v>
      </c>
      <c r="AB2644" s="36" t="s">
        <v>797</v>
      </c>
      <c r="AC2644" s="36">
        <v>5.6</v>
      </c>
      <c r="AD2644" s="36">
        <v>0.9</v>
      </c>
      <c r="AF2644" s="36" t="s">
        <v>2784</v>
      </c>
      <c r="AG2644" s="36" t="s">
        <v>2787</v>
      </c>
      <c r="AH2644" s="36" t="s">
        <v>1586</v>
      </c>
      <c r="AQ2644" s="36" t="s">
        <v>2793</v>
      </c>
      <c r="AR2644" s="36" t="s">
        <v>2794</v>
      </c>
      <c r="AT2644" s="36" t="s">
        <v>2795</v>
      </c>
      <c r="AU2644" s="36">
        <v>3</v>
      </c>
      <c r="AW2644" s="36" t="s">
        <v>142</v>
      </c>
      <c r="BM2644" s="407"/>
      <c r="BN2644" s="407"/>
      <c r="BR2644" s="407"/>
      <c r="BS2644" s="407"/>
      <c r="DP2644" s="36">
        <v>1.6</v>
      </c>
      <c r="DQ2644" s="36">
        <v>0.8</v>
      </c>
      <c r="DT2644" s="36" t="s">
        <v>2425</v>
      </c>
      <c r="IQ2644" s="230"/>
    </row>
    <row r="2645" spans="1:251" s="36" customFormat="1" x14ac:dyDescent="0.25">
      <c r="A2645" s="36">
        <v>123</v>
      </c>
      <c r="B2645" s="36" t="s">
        <v>2780</v>
      </c>
      <c r="C2645" s="36" t="s">
        <v>2779</v>
      </c>
      <c r="D2645" s="36">
        <v>2003</v>
      </c>
      <c r="E2645" s="36">
        <v>2000</v>
      </c>
      <c r="F2645" s="36" t="s">
        <v>2781</v>
      </c>
      <c r="G2645" s="36" t="s">
        <v>2782</v>
      </c>
      <c r="H2645" s="36" t="s">
        <v>2845</v>
      </c>
      <c r="I2645" s="36">
        <f t="shared" si="336"/>
        <v>-14.25</v>
      </c>
      <c r="J2645" s="36">
        <v>32</v>
      </c>
      <c r="K2645" s="36">
        <v>988</v>
      </c>
      <c r="O2645" s="36">
        <v>850</v>
      </c>
      <c r="Q2645" s="51" t="s">
        <v>1867</v>
      </c>
      <c r="R2645" s="51" t="s">
        <v>1852</v>
      </c>
      <c r="S2645" s="51"/>
      <c r="T2645" s="51" t="s">
        <v>2783</v>
      </c>
      <c r="U2645" s="51" t="s">
        <v>1405</v>
      </c>
      <c r="V2645" s="51" t="s">
        <v>1729</v>
      </c>
      <c r="W2645" s="51" t="s">
        <v>1398</v>
      </c>
      <c r="X2645" s="51" t="s">
        <v>1421</v>
      </c>
      <c r="Z2645" s="331">
        <v>44</v>
      </c>
      <c r="AA2645" s="331">
        <f t="shared" si="337"/>
        <v>6</v>
      </c>
      <c r="AB2645" s="36" t="s">
        <v>797</v>
      </c>
      <c r="AC2645" s="36">
        <v>5.6</v>
      </c>
      <c r="AD2645" s="36">
        <v>0.9</v>
      </c>
      <c r="AF2645" s="36" t="s">
        <v>2784</v>
      </c>
      <c r="AG2645" s="36" t="s">
        <v>2788</v>
      </c>
      <c r="AH2645" s="36" t="s">
        <v>1587</v>
      </c>
      <c r="AQ2645" s="36" t="s">
        <v>2793</v>
      </c>
      <c r="AR2645" s="36" t="s">
        <v>2794</v>
      </c>
      <c r="AT2645" s="36" t="s">
        <v>2795</v>
      </c>
      <c r="AU2645" s="36">
        <v>3</v>
      </c>
      <c r="AW2645" s="36" t="s">
        <v>142</v>
      </c>
      <c r="BM2645" s="407"/>
      <c r="BN2645" s="407"/>
      <c r="BR2645" s="407"/>
      <c r="BS2645" s="407"/>
      <c r="DP2645" s="36">
        <v>1.6</v>
      </c>
      <c r="DQ2645" s="36">
        <v>0.8</v>
      </c>
      <c r="DT2645" s="36" t="s">
        <v>2425</v>
      </c>
      <c r="IQ2645" s="230"/>
    </row>
    <row r="2646" spans="1:251" s="36" customFormat="1" x14ac:dyDescent="0.25">
      <c r="A2646" s="36">
        <v>123</v>
      </c>
      <c r="B2646" s="36" t="s">
        <v>2780</v>
      </c>
      <c r="C2646" s="36" t="s">
        <v>2779</v>
      </c>
      <c r="D2646" s="36">
        <v>2003</v>
      </c>
      <c r="E2646" s="36">
        <v>2000</v>
      </c>
      <c r="F2646" s="36" t="s">
        <v>2781</v>
      </c>
      <c r="G2646" s="36" t="s">
        <v>2782</v>
      </c>
      <c r="H2646" s="36" t="s">
        <v>2845</v>
      </c>
      <c r="I2646" s="36">
        <f t="shared" si="336"/>
        <v>-14.25</v>
      </c>
      <c r="J2646" s="36">
        <v>32</v>
      </c>
      <c r="K2646" s="36">
        <v>988</v>
      </c>
      <c r="O2646" s="36">
        <v>850</v>
      </c>
      <c r="Q2646" s="51" t="s">
        <v>1867</v>
      </c>
      <c r="R2646" s="51" t="s">
        <v>1852</v>
      </c>
      <c r="S2646" s="51"/>
      <c r="T2646" s="51" t="s">
        <v>2783</v>
      </c>
      <c r="U2646" s="51" t="s">
        <v>1405</v>
      </c>
      <c r="V2646" s="51" t="s">
        <v>1729</v>
      </c>
      <c r="W2646" s="51" t="s">
        <v>1398</v>
      </c>
      <c r="X2646" s="51" t="s">
        <v>1421</v>
      </c>
      <c r="Z2646" s="331">
        <v>44</v>
      </c>
      <c r="AA2646" s="331">
        <f t="shared" si="337"/>
        <v>6</v>
      </c>
      <c r="AB2646" s="36" t="s">
        <v>797</v>
      </c>
      <c r="AC2646" s="36">
        <v>5.6</v>
      </c>
      <c r="AD2646" s="36">
        <v>0.9</v>
      </c>
      <c r="AF2646" s="36" t="s">
        <v>2784</v>
      </c>
      <c r="AG2646" s="36" t="s">
        <v>2790</v>
      </c>
      <c r="AH2646" s="36" t="s">
        <v>1587</v>
      </c>
      <c r="AQ2646" s="36" t="s">
        <v>2793</v>
      </c>
      <c r="AR2646" s="36" t="s">
        <v>2794</v>
      </c>
      <c r="AT2646" s="36" t="s">
        <v>2795</v>
      </c>
      <c r="AU2646" s="36">
        <v>3</v>
      </c>
      <c r="AW2646" s="36" t="s">
        <v>142</v>
      </c>
      <c r="BM2646" s="407"/>
      <c r="BN2646" s="407"/>
      <c r="BR2646" s="407"/>
      <c r="BS2646" s="407"/>
      <c r="DP2646" s="36">
        <v>1.6</v>
      </c>
      <c r="DQ2646" s="36">
        <v>1.2</v>
      </c>
      <c r="DT2646" s="36" t="s">
        <v>2425</v>
      </c>
      <c r="IQ2646" s="230"/>
    </row>
    <row r="2647" spans="1:251" x14ac:dyDescent="0.25">
      <c r="A2647" s="37">
        <v>123</v>
      </c>
      <c r="B2647" s="37" t="s">
        <v>2780</v>
      </c>
      <c r="C2647" s="37" t="s">
        <v>2779</v>
      </c>
      <c r="D2647" s="37">
        <v>2003</v>
      </c>
      <c r="E2647" s="37">
        <v>2000</v>
      </c>
      <c r="F2647" s="37" t="s">
        <v>2781</v>
      </c>
      <c r="G2647" s="37" t="s">
        <v>2782</v>
      </c>
      <c r="H2647" s="37" t="s">
        <v>2845</v>
      </c>
      <c r="I2647" s="37">
        <f t="shared" si="336"/>
        <v>-14.25</v>
      </c>
      <c r="J2647" s="37">
        <v>32</v>
      </c>
      <c r="K2647" s="37">
        <v>988</v>
      </c>
      <c r="O2647" s="37">
        <v>850</v>
      </c>
      <c r="Q2647" s="50" t="s">
        <v>1867</v>
      </c>
      <c r="R2647" s="50" t="s">
        <v>1852</v>
      </c>
      <c r="T2647" s="50" t="s">
        <v>2783</v>
      </c>
      <c r="U2647" s="50" t="s">
        <v>1413</v>
      </c>
      <c r="V2647" s="50" t="s">
        <v>1729</v>
      </c>
      <c r="W2647" s="50" t="s">
        <v>1398</v>
      </c>
      <c r="X2647" s="50" t="s">
        <v>1421</v>
      </c>
      <c r="Z2647" s="330">
        <v>44</v>
      </c>
      <c r="AA2647" s="330">
        <f t="shared" si="337"/>
        <v>6</v>
      </c>
      <c r="AB2647" s="37" t="s">
        <v>797</v>
      </c>
      <c r="AC2647" s="37">
        <v>5.6</v>
      </c>
      <c r="AD2647" s="37">
        <v>0.9</v>
      </c>
      <c r="AF2647" s="37" t="s">
        <v>2784</v>
      </c>
      <c r="AG2647" s="37" t="s">
        <v>2785</v>
      </c>
      <c r="AH2647" s="37" t="s">
        <v>1585</v>
      </c>
      <c r="AQ2647" s="37" t="s">
        <v>2793</v>
      </c>
      <c r="AR2647" s="37" t="s">
        <v>2794</v>
      </c>
      <c r="AT2647" s="37" t="s">
        <v>2795</v>
      </c>
      <c r="AU2647" s="37">
        <v>3</v>
      </c>
      <c r="AW2647" s="37" t="s">
        <v>142</v>
      </c>
      <c r="DP2647" s="37">
        <v>3</v>
      </c>
      <c r="DQ2647" s="37">
        <v>2.2999999999999998</v>
      </c>
      <c r="DT2647" s="37" t="s">
        <v>2425</v>
      </c>
    </row>
    <row r="2648" spans="1:251" x14ac:dyDescent="0.25">
      <c r="A2648" s="37">
        <v>123</v>
      </c>
      <c r="B2648" s="37" t="s">
        <v>2780</v>
      </c>
      <c r="C2648" s="37" t="s">
        <v>2779</v>
      </c>
      <c r="D2648" s="37">
        <v>2003</v>
      </c>
      <c r="E2648" s="37">
        <v>2000</v>
      </c>
      <c r="F2648" s="37" t="s">
        <v>2781</v>
      </c>
      <c r="G2648" s="37" t="s">
        <v>2782</v>
      </c>
      <c r="H2648" s="37" t="s">
        <v>2845</v>
      </c>
      <c r="I2648" s="37">
        <f t="shared" si="336"/>
        <v>-14.25</v>
      </c>
      <c r="J2648" s="37">
        <v>32</v>
      </c>
      <c r="K2648" s="37">
        <v>988</v>
      </c>
      <c r="O2648" s="37">
        <v>850</v>
      </c>
      <c r="Q2648" s="50" t="s">
        <v>1867</v>
      </c>
      <c r="R2648" s="50" t="s">
        <v>1852</v>
      </c>
      <c r="T2648" s="50" t="s">
        <v>2783</v>
      </c>
      <c r="U2648" s="50" t="s">
        <v>1413</v>
      </c>
      <c r="V2648" s="50" t="s">
        <v>1729</v>
      </c>
      <c r="W2648" s="50" t="s">
        <v>1398</v>
      </c>
      <c r="X2648" s="50" t="s">
        <v>1421</v>
      </c>
      <c r="Z2648" s="330">
        <v>44</v>
      </c>
      <c r="AA2648" s="330">
        <f t="shared" si="337"/>
        <v>6</v>
      </c>
      <c r="AB2648" s="37" t="s">
        <v>797</v>
      </c>
      <c r="AC2648" s="37">
        <v>5.6</v>
      </c>
      <c r="AD2648" s="37">
        <v>0.9</v>
      </c>
      <c r="AF2648" s="37" t="s">
        <v>2784</v>
      </c>
      <c r="AG2648" s="37" t="s">
        <v>2712</v>
      </c>
      <c r="AH2648" s="37" t="s">
        <v>578</v>
      </c>
      <c r="AQ2648" s="37" t="s">
        <v>2793</v>
      </c>
      <c r="AR2648" s="37" t="s">
        <v>2794</v>
      </c>
      <c r="AT2648" s="37" t="s">
        <v>2795</v>
      </c>
      <c r="AU2648" s="37">
        <v>3</v>
      </c>
      <c r="AW2648" s="37" t="s">
        <v>142</v>
      </c>
      <c r="DP2648" s="37">
        <v>3</v>
      </c>
      <c r="DQ2648" s="37">
        <v>2</v>
      </c>
      <c r="DT2648" s="37" t="s">
        <v>2425</v>
      </c>
    </row>
    <row r="2649" spans="1:251" x14ac:dyDescent="0.25">
      <c r="A2649" s="37">
        <v>123</v>
      </c>
      <c r="B2649" s="37" t="s">
        <v>2780</v>
      </c>
      <c r="C2649" s="37" t="s">
        <v>2779</v>
      </c>
      <c r="D2649" s="37">
        <v>2003</v>
      </c>
      <c r="E2649" s="37">
        <v>2000</v>
      </c>
      <c r="F2649" s="37" t="s">
        <v>2781</v>
      </c>
      <c r="G2649" s="37" t="s">
        <v>2782</v>
      </c>
      <c r="H2649" s="37" t="s">
        <v>2845</v>
      </c>
      <c r="I2649" s="37">
        <f t="shared" si="336"/>
        <v>-14.25</v>
      </c>
      <c r="J2649" s="37">
        <v>32</v>
      </c>
      <c r="K2649" s="37">
        <v>988</v>
      </c>
      <c r="O2649" s="37">
        <v>850</v>
      </c>
      <c r="Q2649" s="50" t="s">
        <v>1867</v>
      </c>
      <c r="R2649" s="50" t="s">
        <v>1852</v>
      </c>
      <c r="T2649" s="50" t="s">
        <v>2783</v>
      </c>
      <c r="U2649" s="50" t="s">
        <v>1413</v>
      </c>
      <c r="V2649" s="50" t="s">
        <v>1729</v>
      </c>
      <c r="W2649" s="50" t="s">
        <v>1398</v>
      </c>
      <c r="X2649" s="50" t="s">
        <v>1421</v>
      </c>
      <c r="Z2649" s="330">
        <v>44</v>
      </c>
      <c r="AA2649" s="330">
        <f t="shared" si="337"/>
        <v>6</v>
      </c>
      <c r="AB2649" s="37" t="s">
        <v>797</v>
      </c>
      <c r="AC2649" s="37">
        <v>5.6</v>
      </c>
      <c r="AD2649" s="37">
        <v>0.9</v>
      </c>
      <c r="AF2649" s="37" t="s">
        <v>2784</v>
      </c>
      <c r="AG2649" s="37" t="s">
        <v>2786</v>
      </c>
      <c r="AH2649" s="37" t="s">
        <v>578</v>
      </c>
      <c r="AQ2649" s="37" t="s">
        <v>2793</v>
      </c>
      <c r="AR2649" s="37" t="s">
        <v>2794</v>
      </c>
      <c r="AT2649" s="37" t="s">
        <v>2795</v>
      </c>
      <c r="AU2649" s="37">
        <v>3</v>
      </c>
      <c r="AW2649" s="37" t="s">
        <v>142</v>
      </c>
      <c r="DP2649" s="37">
        <v>3</v>
      </c>
      <c r="DQ2649" s="37">
        <v>2.5</v>
      </c>
      <c r="DT2649" s="37" t="s">
        <v>2425</v>
      </c>
    </row>
    <row r="2650" spans="1:251" x14ac:dyDescent="0.25">
      <c r="A2650" s="37">
        <v>123</v>
      </c>
      <c r="B2650" s="37" t="s">
        <v>2780</v>
      </c>
      <c r="C2650" s="37" t="s">
        <v>2779</v>
      </c>
      <c r="D2650" s="37">
        <v>2003</v>
      </c>
      <c r="E2650" s="37">
        <v>2000</v>
      </c>
      <c r="F2650" s="37" t="s">
        <v>2781</v>
      </c>
      <c r="G2650" s="37" t="s">
        <v>2782</v>
      </c>
      <c r="H2650" s="37" t="s">
        <v>2845</v>
      </c>
      <c r="I2650" s="37">
        <f t="shared" si="336"/>
        <v>-14.25</v>
      </c>
      <c r="J2650" s="37">
        <v>32</v>
      </c>
      <c r="K2650" s="37">
        <v>988</v>
      </c>
      <c r="O2650" s="37">
        <v>850</v>
      </c>
      <c r="Q2650" s="50" t="s">
        <v>1867</v>
      </c>
      <c r="R2650" s="50" t="s">
        <v>1852</v>
      </c>
      <c r="T2650" s="50" t="s">
        <v>2783</v>
      </c>
      <c r="U2650" s="50" t="s">
        <v>1413</v>
      </c>
      <c r="V2650" s="50" t="s">
        <v>1729</v>
      </c>
      <c r="W2650" s="50" t="s">
        <v>1398</v>
      </c>
      <c r="X2650" s="50" t="s">
        <v>1421</v>
      </c>
      <c r="Z2650" s="330">
        <v>44</v>
      </c>
      <c r="AA2650" s="330">
        <f t="shared" si="337"/>
        <v>6</v>
      </c>
      <c r="AB2650" s="37" t="s">
        <v>797</v>
      </c>
      <c r="AC2650" s="37">
        <v>5.6</v>
      </c>
      <c r="AD2650" s="37">
        <v>0.9</v>
      </c>
      <c r="AF2650" s="37" t="s">
        <v>2784</v>
      </c>
      <c r="AG2650" s="37" t="s">
        <v>2789</v>
      </c>
      <c r="AH2650" s="37" t="s">
        <v>578</v>
      </c>
      <c r="AQ2650" s="37" t="s">
        <v>2793</v>
      </c>
      <c r="AR2650" s="37" t="s">
        <v>2794</v>
      </c>
      <c r="AT2650" s="37" t="s">
        <v>2795</v>
      </c>
      <c r="AU2650" s="37">
        <v>3</v>
      </c>
      <c r="AW2650" s="37" t="s">
        <v>142</v>
      </c>
      <c r="DP2650" s="37">
        <v>3</v>
      </c>
      <c r="DQ2650" s="37">
        <v>2.6</v>
      </c>
      <c r="DT2650" s="37" t="s">
        <v>2425</v>
      </c>
    </row>
    <row r="2651" spans="1:251" x14ac:dyDescent="0.25">
      <c r="A2651" s="37">
        <v>123</v>
      </c>
      <c r="B2651" s="37" t="s">
        <v>2780</v>
      </c>
      <c r="C2651" s="37" t="s">
        <v>2779</v>
      </c>
      <c r="D2651" s="37">
        <v>2003</v>
      </c>
      <c r="E2651" s="37">
        <v>2000</v>
      </c>
      <c r="F2651" s="37" t="s">
        <v>2781</v>
      </c>
      <c r="G2651" s="37" t="s">
        <v>2782</v>
      </c>
      <c r="H2651" s="37" t="s">
        <v>2845</v>
      </c>
      <c r="I2651" s="37">
        <f t="shared" si="336"/>
        <v>-14.25</v>
      </c>
      <c r="J2651" s="37">
        <v>32</v>
      </c>
      <c r="K2651" s="37">
        <v>988</v>
      </c>
      <c r="O2651" s="37">
        <v>850</v>
      </c>
      <c r="Q2651" s="50" t="s">
        <v>1867</v>
      </c>
      <c r="R2651" s="50" t="s">
        <v>1852</v>
      </c>
      <c r="T2651" s="50" t="s">
        <v>2783</v>
      </c>
      <c r="U2651" s="50" t="s">
        <v>1413</v>
      </c>
      <c r="V2651" s="50" t="s">
        <v>1729</v>
      </c>
      <c r="W2651" s="50" t="s">
        <v>1398</v>
      </c>
      <c r="X2651" s="50" t="s">
        <v>1421</v>
      </c>
      <c r="Z2651" s="330">
        <v>44</v>
      </c>
      <c r="AA2651" s="330">
        <f t="shared" si="337"/>
        <v>6</v>
      </c>
      <c r="AB2651" s="37" t="s">
        <v>797</v>
      </c>
      <c r="AC2651" s="37">
        <v>5.6</v>
      </c>
      <c r="AD2651" s="37">
        <v>0.9</v>
      </c>
      <c r="AF2651" s="37" t="s">
        <v>2784</v>
      </c>
      <c r="AG2651" s="37" t="s">
        <v>2787</v>
      </c>
      <c r="AH2651" s="37" t="s">
        <v>1586</v>
      </c>
      <c r="AQ2651" s="37" t="s">
        <v>2793</v>
      </c>
      <c r="AR2651" s="37" t="s">
        <v>2794</v>
      </c>
      <c r="AT2651" s="37" t="s">
        <v>2795</v>
      </c>
      <c r="AU2651" s="37">
        <v>3</v>
      </c>
      <c r="AW2651" s="37" t="s">
        <v>142</v>
      </c>
      <c r="DP2651" s="37">
        <v>3</v>
      </c>
      <c r="DQ2651" s="37">
        <v>1.7</v>
      </c>
      <c r="DT2651" s="37" t="s">
        <v>2425</v>
      </c>
    </row>
    <row r="2652" spans="1:251" x14ac:dyDescent="0.25">
      <c r="A2652" s="37">
        <v>123</v>
      </c>
      <c r="B2652" s="37" t="s">
        <v>2780</v>
      </c>
      <c r="C2652" s="37" t="s">
        <v>2779</v>
      </c>
      <c r="D2652" s="37">
        <v>2003</v>
      </c>
      <c r="E2652" s="37">
        <v>2000</v>
      </c>
      <c r="F2652" s="37" t="s">
        <v>2781</v>
      </c>
      <c r="G2652" s="37" t="s">
        <v>2782</v>
      </c>
      <c r="H2652" s="37" t="s">
        <v>2845</v>
      </c>
      <c r="I2652" s="37">
        <f t="shared" si="336"/>
        <v>-14.25</v>
      </c>
      <c r="J2652" s="37">
        <v>32</v>
      </c>
      <c r="K2652" s="37">
        <v>988</v>
      </c>
      <c r="O2652" s="37">
        <v>850</v>
      </c>
      <c r="Q2652" s="50" t="s">
        <v>1867</v>
      </c>
      <c r="R2652" s="50" t="s">
        <v>1852</v>
      </c>
      <c r="T2652" s="50" t="s">
        <v>2783</v>
      </c>
      <c r="U2652" s="50" t="s">
        <v>1413</v>
      </c>
      <c r="V2652" s="50" t="s">
        <v>1729</v>
      </c>
      <c r="W2652" s="50" t="s">
        <v>1398</v>
      </c>
      <c r="X2652" s="50" t="s">
        <v>1421</v>
      </c>
      <c r="Z2652" s="330">
        <v>44</v>
      </c>
      <c r="AA2652" s="330">
        <f t="shared" si="337"/>
        <v>6</v>
      </c>
      <c r="AB2652" s="37" t="s">
        <v>797</v>
      </c>
      <c r="AC2652" s="37">
        <v>5.6</v>
      </c>
      <c r="AD2652" s="37">
        <v>0.9</v>
      </c>
      <c r="AF2652" s="37" t="s">
        <v>2784</v>
      </c>
      <c r="AG2652" s="37" t="s">
        <v>2788</v>
      </c>
      <c r="AH2652" s="37" t="s">
        <v>1587</v>
      </c>
      <c r="AQ2652" s="37" t="s">
        <v>2793</v>
      </c>
      <c r="AR2652" s="37" t="s">
        <v>2794</v>
      </c>
      <c r="AT2652" s="37" t="s">
        <v>2795</v>
      </c>
      <c r="AU2652" s="37">
        <v>3</v>
      </c>
      <c r="AW2652" s="37" t="s">
        <v>142</v>
      </c>
      <c r="DP2652" s="37">
        <v>3</v>
      </c>
      <c r="DQ2652" s="37">
        <v>2.1</v>
      </c>
      <c r="DT2652" s="37" t="s">
        <v>2425</v>
      </c>
    </row>
    <row r="2653" spans="1:251" x14ac:dyDescent="0.25">
      <c r="A2653" s="37">
        <v>123</v>
      </c>
      <c r="B2653" s="37" t="s">
        <v>2780</v>
      </c>
      <c r="C2653" s="37" t="s">
        <v>2779</v>
      </c>
      <c r="D2653" s="37">
        <v>2003</v>
      </c>
      <c r="E2653" s="37">
        <v>2000</v>
      </c>
      <c r="F2653" s="37" t="s">
        <v>2781</v>
      </c>
      <c r="G2653" s="37" t="s">
        <v>2782</v>
      </c>
      <c r="H2653" s="37" t="s">
        <v>2845</v>
      </c>
      <c r="I2653" s="37">
        <f t="shared" si="336"/>
        <v>-14.25</v>
      </c>
      <c r="J2653" s="37">
        <v>32</v>
      </c>
      <c r="K2653" s="37">
        <v>988</v>
      </c>
      <c r="O2653" s="37">
        <v>850</v>
      </c>
      <c r="Q2653" s="50" t="s">
        <v>1867</v>
      </c>
      <c r="R2653" s="50" t="s">
        <v>1852</v>
      </c>
      <c r="T2653" s="50" t="s">
        <v>2783</v>
      </c>
      <c r="U2653" s="50" t="s">
        <v>1413</v>
      </c>
      <c r="V2653" s="50" t="s">
        <v>1729</v>
      </c>
      <c r="W2653" s="50" t="s">
        <v>1398</v>
      </c>
      <c r="X2653" s="50" t="s">
        <v>1421</v>
      </c>
      <c r="Z2653" s="330">
        <v>44</v>
      </c>
      <c r="AA2653" s="330">
        <f t="shared" si="337"/>
        <v>6</v>
      </c>
      <c r="AB2653" s="37" t="s">
        <v>797</v>
      </c>
      <c r="AC2653" s="37">
        <v>5.6</v>
      </c>
      <c r="AD2653" s="37">
        <v>0.9</v>
      </c>
      <c r="AF2653" s="37" t="s">
        <v>2784</v>
      </c>
      <c r="AG2653" s="37" t="s">
        <v>2790</v>
      </c>
      <c r="AH2653" s="37" t="s">
        <v>1587</v>
      </c>
      <c r="AQ2653" s="37" t="s">
        <v>2793</v>
      </c>
      <c r="AR2653" s="37" t="s">
        <v>2794</v>
      </c>
      <c r="AT2653" s="37" t="s">
        <v>2795</v>
      </c>
      <c r="AU2653" s="37">
        <v>3</v>
      </c>
      <c r="AW2653" s="37" t="s">
        <v>142</v>
      </c>
      <c r="DP2653" s="37">
        <v>3</v>
      </c>
      <c r="DQ2653" s="37">
        <v>2.2000000000000002</v>
      </c>
      <c r="DT2653" s="37" t="s">
        <v>2425</v>
      </c>
    </row>
    <row r="2654" spans="1:251" s="36" customFormat="1" x14ac:dyDescent="0.25">
      <c r="A2654" s="36">
        <v>123</v>
      </c>
      <c r="B2654" s="36" t="s">
        <v>2780</v>
      </c>
      <c r="C2654" s="36" t="s">
        <v>2779</v>
      </c>
      <c r="D2654" s="36">
        <v>2003</v>
      </c>
      <c r="E2654" s="36">
        <v>2000</v>
      </c>
      <c r="F2654" s="36" t="s">
        <v>2781</v>
      </c>
      <c r="G2654" s="36" t="s">
        <v>2782</v>
      </c>
      <c r="H2654" s="36" t="s">
        <v>2845</v>
      </c>
      <c r="I2654" s="36">
        <f t="shared" si="336"/>
        <v>-14.25</v>
      </c>
      <c r="J2654" s="36">
        <v>32</v>
      </c>
      <c r="K2654" s="36">
        <v>988</v>
      </c>
      <c r="O2654" s="36">
        <v>850</v>
      </c>
      <c r="Q2654" s="51" t="s">
        <v>1867</v>
      </c>
      <c r="R2654" s="51" t="s">
        <v>1852</v>
      </c>
      <c r="S2654" s="51"/>
      <c r="T2654" s="51" t="s">
        <v>2783</v>
      </c>
      <c r="U2654" s="51" t="s">
        <v>2086</v>
      </c>
      <c r="V2654" s="51" t="s">
        <v>1729</v>
      </c>
      <c r="W2654" s="51" t="s">
        <v>1398</v>
      </c>
      <c r="X2654" s="51" t="s">
        <v>1421</v>
      </c>
      <c r="Z2654" s="331">
        <v>44</v>
      </c>
      <c r="AA2654" s="331">
        <f t="shared" si="337"/>
        <v>6</v>
      </c>
      <c r="AB2654" s="36" t="s">
        <v>797</v>
      </c>
      <c r="AC2654" s="36">
        <v>5.6</v>
      </c>
      <c r="AD2654" s="36">
        <v>0.9</v>
      </c>
      <c r="AF2654" s="36" t="s">
        <v>2784</v>
      </c>
      <c r="AG2654" s="36" t="s">
        <v>2785</v>
      </c>
      <c r="AH2654" s="36" t="s">
        <v>1585</v>
      </c>
      <c r="AQ2654" s="36" t="s">
        <v>2793</v>
      </c>
      <c r="AR2654" s="36" t="s">
        <v>2794</v>
      </c>
      <c r="AT2654" s="36" t="s">
        <v>2795</v>
      </c>
      <c r="AU2654" s="36">
        <v>3</v>
      </c>
      <c r="AW2654" s="36" t="s">
        <v>142</v>
      </c>
      <c r="BM2654" s="407"/>
      <c r="BN2654" s="407"/>
      <c r="BR2654" s="407"/>
      <c r="BS2654" s="407"/>
      <c r="DP2654" s="36">
        <v>3.8</v>
      </c>
      <c r="DQ2654" s="36">
        <v>3.1</v>
      </c>
      <c r="DT2654" s="36" t="s">
        <v>2425</v>
      </c>
      <c r="IQ2654" s="230"/>
    </row>
    <row r="2655" spans="1:251" s="36" customFormat="1" x14ac:dyDescent="0.25">
      <c r="A2655" s="36">
        <v>123</v>
      </c>
      <c r="B2655" s="36" t="s">
        <v>2780</v>
      </c>
      <c r="C2655" s="36" t="s">
        <v>2779</v>
      </c>
      <c r="D2655" s="36">
        <v>2003</v>
      </c>
      <c r="E2655" s="36">
        <v>2000</v>
      </c>
      <c r="F2655" s="36" t="s">
        <v>2781</v>
      </c>
      <c r="G2655" s="36" t="s">
        <v>2782</v>
      </c>
      <c r="H2655" s="36" t="s">
        <v>2845</v>
      </c>
      <c r="I2655" s="36">
        <f t="shared" si="336"/>
        <v>-14.25</v>
      </c>
      <c r="J2655" s="36">
        <v>32</v>
      </c>
      <c r="K2655" s="36">
        <v>988</v>
      </c>
      <c r="O2655" s="36">
        <v>850</v>
      </c>
      <c r="Q2655" s="51" t="s">
        <v>1867</v>
      </c>
      <c r="R2655" s="51" t="s">
        <v>1852</v>
      </c>
      <c r="S2655" s="51"/>
      <c r="T2655" s="51" t="s">
        <v>2783</v>
      </c>
      <c r="U2655" s="51" t="s">
        <v>2086</v>
      </c>
      <c r="V2655" s="51" t="s">
        <v>1729</v>
      </c>
      <c r="W2655" s="51" t="s">
        <v>1398</v>
      </c>
      <c r="X2655" s="51" t="s">
        <v>1421</v>
      </c>
      <c r="Z2655" s="331">
        <v>44</v>
      </c>
      <c r="AA2655" s="331">
        <f t="shared" si="337"/>
        <v>6</v>
      </c>
      <c r="AB2655" s="36" t="s">
        <v>797</v>
      </c>
      <c r="AC2655" s="36">
        <v>5.6</v>
      </c>
      <c r="AD2655" s="36">
        <v>0.9</v>
      </c>
      <c r="AF2655" s="36" t="s">
        <v>2784</v>
      </c>
      <c r="AG2655" s="36" t="s">
        <v>2712</v>
      </c>
      <c r="AH2655" s="36" t="s">
        <v>578</v>
      </c>
      <c r="AQ2655" s="36" t="s">
        <v>2793</v>
      </c>
      <c r="AR2655" s="36" t="s">
        <v>2794</v>
      </c>
      <c r="AT2655" s="36" t="s">
        <v>2795</v>
      </c>
      <c r="AU2655" s="36">
        <v>3</v>
      </c>
      <c r="AW2655" s="36" t="s">
        <v>142</v>
      </c>
      <c r="BM2655" s="407"/>
      <c r="BN2655" s="407"/>
      <c r="BR2655" s="407"/>
      <c r="BS2655" s="407"/>
      <c r="DP2655" s="36">
        <v>3.8</v>
      </c>
      <c r="DQ2655" s="36">
        <v>3.3</v>
      </c>
      <c r="DT2655" s="36" t="s">
        <v>2425</v>
      </c>
      <c r="IQ2655" s="230"/>
    </row>
    <row r="2656" spans="1:251" s="36" customFormat="1" x14ac:dyDescent="0.25">
      <c r="A2656" s="36">
        <v>123</v>
      </c>
      <c r="B2656" s="36" t="s">
        <v>2780</v>
      </c>
      <c r="C2656" s="36" t="s">
        <v>2779</v>
      </c>
      <c r="D2656" s="36">
        <v>2003</v>
      </c>
      <c r="E2656" s="36">
        <v>2000</v>
      </c>
      <c r="F2656" s="36" t="s">
        <v>2781</v>
      </c>
      <c r="G2656" s="36" t="s">
        <v>2782</v>
      </c>
      <c r="H2656" s="36" t="s">
        <v>2845</v>
      </c>
      <c r="I2656" s="36">
        <f t="shared" si="336"/>
        <v>-14.25</v>
      </c>
      <c r="J2656" s="36">
        <v>32</v>
      </c>
      <c r="K2656" s="36">
        <v>988</v>
      </c>
      <c r="O2656" s="36">
        <v>850</v>
      </c>
      <c r="Q2656" s="51" t="s">
        <v>1867</v>
      </c>
      <c r="R2656" s="51" t="s">
        <v>1852</v>
      </c>
      <c r="S2656" s="51"/>
      <c r="T2656" s="51" t="s">
        <v>2783</v>
      </c>
      <c r="U2656" s="51" t="s">
        <v>2086</v>
      </c>
      <c r="V2656" s="51" t="s">
        <v>1729</v>
      </c>
      <c r="W2656" s="51" t="s">
        <v>1398</v>
      </c>
      <c r="X2656" s="51" t="s">
        <v>1421</v>
      </c>
      <c r="Z2656" s="331">
        <v>44</v>
      </c>
      <c r="AA2656" s="331">
        <f t="shared" si="337"/>
        <v>6</v>
      </c>
      <c r="AB2656" s="36" t="s">
        <v>797</v>
      </c>
      <c r="AC2656" s="36">
        <v>5.6</v>
      </c>
      <c r="AD2656" s="36">
        <v>0.9</v>
      </c>
      <c r="AF2656" s="36" t="s">
        <v>2784</v>
      </c>
      <c r="AG2656" s="36" t="s">
        <v>2786</v>
      </c>
      <c r="AH2656" s="36" t="s">
        <v>578</v>
      </c>
      <c r="AQ2656" s="36" t="s">
        <v>2793</v>
      </c>
      <c r="AR2656" s="36" t="s">
        <v>2794</v>
      </c>
      <c r="AT2656" s="36" t="s">
        <v>2795</v>
      </c>
      <c r="AU2656" s="36">
        <v>3</v>
      </c>
      <c r="AW2656" s="36" t="s">
        <v>142</v>
      </c>
      <c r="BM2656" s="407"/>
      <c r="BN2656" s="407"/>
      <c r="BR2656" s="407"/>
      <c r="BS2656" s="407"/>
      <c r="DP2656" s="36">
        <v>3.8</v>
      </c>
      <c r="DQ2656" s="36">
        <v>3.6</v>
      </c>
      <c r="DT2656" s="36" t="s">
        <v>2425</v>
      </c>
      <c r="IQ2656" s="230"/>
    </row>
    <row r="2657" spans="1:251" s="36" customFormat="1" x14ac:dyDescent="0.25">
      <c r="A2657" s="36">
        <v>123</v>
      </c>
      <c r="B2657" s="36" t="s">
        <v>2780</v>
      </c>
      <c r="C2657" s="36" t="s">
        <v>2779</v>
      </c>
      <c r="D2657" s="36">
        <v>2003</v>
      </c>
      <c r="E2657" s="36">
        <v>2000</v>
      </c>
      <c r="F2657" s="36" t="s">
        <v>2781</v>
      </c>
      <c r="G2657" s="36" t="s">
        <v>2782</v>
      </c>
      <c r="H2657" s="36" t="s">
        <v>2845</v>
      </c>
      <c r="I2657" s="36">
        <f t="shared" si="336"/>
        <v>-14.25</v>
      </c>
      <c r="J2657" s="36">
        <v>32</v>
      </c>
      <c r="K2657" s="36">
        <v>988</v>
      </c>
      <c r="O2657" s="36">
        <v>850</v>
      </c>
      <c r="Q2657" s="51" t="s">
        <v>1867</v>
      </c>
      <c r="R2657" s="51" t="s">
        <v>1852</v>
      </c>
      <c r="S2657" s="51"/>
      <c r="T2657" s="51" t="s">
        <v>2783</v>
      </c>
      <c r="U2657" s="51" t="s">
        <v>2086</v>
      </c>
      <c r="V2657" s="51" t="s">
        <v>1729</v>
      </c>
      <c r="W2657" s="51" t="s">
        <v>1398</v>
      </c>
      <c r="X2657" s="51" t="s">
        <v>1421</v>
      </c>
      <c r="Z2657" s="331">
        <v>44</v>
      </c>
      <c r="AA2657" s="331">
        <f t="shared" si="337"/>
        <v>6</v>
      </c>
      <c r="AB2657" s="36" t="s">
        <v>797</v>
      </c>
      <c r="AC2657" s="36">
        <v>5.6</v>
      </c>
      <c r="AD2657" s="36">
        <v>0.9</v>
      </c>
      <c r="AF2657" s="36" t="s">
        <v>2784</v>
      </c>
      <c r="AG2657" s="36" t="s">
        <v>2789</v>
      </c>
      <c r="AH2657" s="36" t="s">
        <v>578</v>
      </c>
      <c r="AQ2657" s="36" t="s">
        <v>2793</v>
      </c>
      <c r="AR2657" s="36" t="s">
        <v>2794</v>
      </c>
      <c r="AT2657" s="36" t="s">
        <v>2795</v>
      </c>
      <c r="AU2657" s="36">
        <v>3</v>
      </c>
      <c r="AW2657" s="36" t="s">
        <v>142</v>
      </c>
      <c r="BM2657" s="407"/>
      <c r="BN2657" s="407"/>
      <c r="BR2657" s="407"/>
      <c r="BS2657" s="407"/>
      <c r="DP2657" s="36">
        <v>3.8</v>
      </c>
      <c r="DQ2657" s="36">
        <v>3.4</v>
      </c>
      <c r="DT2657" s="36" t="s">
        <v>2425</v>
      </c>
      <c r="IQ2657" s="230"/>
    </row>
    <row r="2658" spans="1:251" s="36" customFormat="1" x14ac:dyDescent="0.25">
      <c r="A2658" s="36">
        <v>123</v>
      </c>
      <c r="B2658" s="36" t="s">
        <v>2780</v>
      </c>
      <c r="C2658" s="36" t="s">
        <v>2779</v>
      </c>
      <c r="D2658" s="36">
        <v>2003</v>
      </c>
      <c r="E2658" s="36">
        <v>2000</v>
      </c>
      <c r="F2658" s="36" t="s">
        <v>2781</v>
      </c>
      <c r="G2658" s="36" t="s">
        <v>2782</v>
      </c>
      <c r="H2658" s="36" t="s">
        <v>2845</v>
      </c>
      <c r="I2658" s="36">
        <f t="shared" si="336"/>
        <v>-14.25</v>
      </c>
      <c r="J2658" s="36">
        <v>32</v>
      </c>
      <c r="K2658" s="36">
        <v>988</v>
      </c>
      <c r="O2658" s="36">
        <v>850</v>
      </c>
      <c r="Q2658" s="51" t="s">
        <v>1867</v>
      </c>
      <c r="R2658" s="51" t="s">
        <v>1852</v>
      </c>
      <c r="S2658" s="51"/>
      <c r="T2658" s="51" t="s">
        <v>2783</v>
      </c>
      <c r="U2658" s="51" t="s">
        <v>2086</v>
      </c>
      <c r="V2658" s="51" t="s">
        <v>1729</v>
      </c>
      <c r="W2658" s="51" t="s">
        <v>1398</v>
      </c>
      <c r="X2658" s="51" t="s">
        <v>1421</v>
      </c>
      <c r="Z2658" s="331">
        <v>44</v>
      </c>
      <c r="AA2658" s="331">
        <f t="shared" si="337"/>
        <v>6</v>
      </c>
      <c r="AB2658" s="36" t="s">
        <v>797</v>
      </c>
      <c r="AC2658" s="36">
        <v>5.6</v>
      </c>
      <c r="AD2658" s="36">
        <v>0.9</v>
      </c>
      <c r="AF2658" s="36" t="s">
        <v>2784</v>
      </c>
      <c r="AG2658" s="36" t="s">
        <v>2787</v>
      </c>
      <c r="AH2658" s="36" t="s">
        <v>1586</v>
      </c>
      <c r="AQ2658" s="36" t="s">
        <v>2793</v>
      </c>
      <c r="AR2658" s="36" t="s">
        <v>2794</v>
      </c>
      <c r="AT2658" s="36" t="s">
        <v>2795</v>
      </c>
      <c r="AU2658" s="36">
        <v>3</v>
      </c>
      <c r="AW2658" s="36" t="s">
        <v>142</v>
      </c>
      <c r="BM2658" s="407"/>
      <c r="BN2658" s="407"/>
      <c r="BR2658" s="407"/>
      <c r="BS2658" s="407"/>
      <c r="DP2658" s="36">
        <v>3.8</v>
      </c>
      <c r="DQ2658" s="36">
        <v>2.9</v>
      </c>
      <c r="DT2658" s="36" t="s">
        <v>2425</v>
      </c>
      <c r="IQ2658" s="230"/>
    </row>
    <row r="2659" spans="1:251" s="36" customFormat="1" x14ac:dyDescent="0.25">
      <c r="A2659" s="36">
        <v>123</v>
      </c>
      <c r="B2659" s="36" t="s">
        <v>2780</v>
      </c>
      <c r="C2659" s="36" t="s">
        <v>2779</v>
      </c>
      <c r="D2659" s="36">
        <v>2003</v>
      </c>
      <c r="E2659" s="36">
        <v>2000</v>
      </c>
      <c r="F2659" s="36" t="s">
        <v>2781</v>
      </c>
      <c r="G2659" s="36" t="s">
        <v>2782</v>
      </c>
      <c r="H2659" s="36" t="s">
        <v>2845</v>
      </c>
      <c r="I2659" s="36">
        <f t="shared" si="336"/>
        <v>-14.25</v>
      </c>
      <c r="J2659" s="36">
        <v>32</v>
      </c>
      <c r="K2659" s="36">
        <v>988</v>
      </c>
      <c r="O2659" s="36">
        <v>850</v>
      </c>
      <c r="Q2659" s="51" t="s">
        <v>1867</v>
      </c>
      <c r="R2659" s="51" t="s">
        <v>1852</v>
      </c>
      <c r="S2659" s="51"/>
      <c r="T2659" s="51" t="s">
        <v>2783</v>
      </c>
      <c r="U2659" s="51" t="s">
        <v>2086</v>
      </c>
      <c r="V2659" s="51" t="s">
        <v>1729</v>
      </c>
      <c r="W2659" s="51" t="s">
        <v>1398</v>
      </c>
      <c r="X2659" s="51" t="s">
        <v>1421</v>
      </c>
      <c r="Z2659" s="331">
        <v>44</v>
      </c>
      <c r="AA2659" s="331">
        <f t="shared" si="337"/>
        <v>6</v>
      </c>
      <c r="AB2659" s="36" t="s">
        <v>797</v>
      </c>
      <c r="AC2659" s="36">
        <v>5.6</v>
      </c>
      <c r="AD2659" s="36">
        <v>0.9</v>
      </c>
      <c r="AF2659" s="36" t="s">
        <v>2784</v>
      </c>
      <c r="AG2659" s="36" t="s">
        <v>2788</v>
      </c>
      <c r="AH2659" s="36" t="s">
        <v>1587</v>
      </c>
      <c r="AQ2659" s="36" t="s">
        <v>2793</v>
      </c>
      <c r="AR2659" s="36" t="s">
        <v>2794</v>
      </c>
      <c r="AT2659" s="36" t="s">
        <v>2795</v>
      </c>
      <c r="AU2659" s="36">
        <v>3</v>
      </c>
      <c r="AW2659" s="36" t="s">
        <v>142</v>
      </c>
      <c r="BM2659" s="407"/>
      <c r="BN2659" s="407"/>
      <c r="BR2659" s="407"/>
      <c r="BS2659" s="407"/>
      <c r="DP2659" s="36">
        <v>3.8</v>
      </c>
      <c r="DQ2659" s="36">
        <v>3.6</v>
      </c>
      <c r="DT2659" s="36" t="s">
        <v>2425</v>
      </c>
      <c r="IQ2659" s="230"/>
    </row>
    <row r="2660" spans="1:251" s="36" customFormat="1" x14ac:dyDescent="0.25">
      <c r="A2660" s="36">
        <v>123</v>
      </c>
      <c r="B2660" s="36" t="s">
        <v>2780</v>
      </c>
      <c r="C2660" s="36" t="s">
        <v>2779</v>
      </c>
      <c r="D2660" s="36">
        <v>2003</v>
      </c>
      <c r="E2660" s="36">
        <v>2000</v>
      </c>
      <c r="F2660" s="36" t="s">
        <v>2781</v>
      </c>
      <c r="G2660" s="36" t="s">
        <v>2782</v>
      </c>
      <c r="H2660" s="36" t="s">
        <v>2845</v>
      </c>
      <c r="I2660" s="36">
        <f t="shared" si="336"/>
        <v>-14.25</v>
      </c>
      <c r="J2660" s="36">
        <v>32</v>
      </c>
      <c r="K2660" s="36">
        <v>988</v>
      </c>
      <c r="O2660" s="36">
        <v>850</v>
      </c>
      <c r="Q2660" s="51" t="s">
        <v>1867</v>
      </c>
      <c r="R2660" s="51" t="s">
        <v>1852</v>
      </c>
      <c r="S2660" s="51"/>
      <c r="T2660" s="51" t="s">
        <v>2783</v>
      </c>
      <c r="U2660" s="51" t="s">
        <v>2086</v>
      </c>
      <c r="V2660" s="51" t="s">
        <v>1729</v>
      </c>
      <c r="W2660" s="51" t="s">
        <v>1398</v>
      </c>
      <c r="X2660" s="51" t="s">
        <v>1421</v>
      </c>
      <c r="Z2660" s="331">
        <v>44</v>
      </c>
      <c r="AA2660" s="331">
        <f t="shared" si="337"/>
        <v>6</v>
      </c>
      <c r="AB2660" s="36" t="s">
        <v>797</v>
      </c>
      <c r="AC2660" s="36">
        <v>5.6</v>
      </c>
      <c r="AD2660" s="36">
        <v>0.9</v>
      </c>
      <c r="AF2660" s="36" t="s">
        <v>2784</v>
      </c>
      <c r="AG2660" s="36" t="s">
        <v>2790</v>
      </c>
      <c r="AH2660" s="36" t="s">
        <v>1587</v>
      </c>
      <c r="AQ2660" s="36" t="s">
        <v>2793</v>
      </c>
      <c r="AR2660" s="36" t="s">
        <v>2794</v>
      </c>
      <c r="AT2660" s="36" t="s">
        <v>2795</v>
      </c>
      <c r="AU2660" s="36">
        <v>3</v>
      </c>
      <c r="AW2660" s="36" t="s">
        <v>142</v>
      </c>
      <c r="BM2660" s="407"/>
      <c r="BN2660" s="407"/>
      <c r="BR2660" s="407"/>
      <c r="BS2660" s="407"/>
      <c r="DP2660" s="36">
        <v>3.8</v>
      </c>
      <c r="DQ2660" s="36">
        <v>3.3</v>
      </c>
      <c r="DT2660" s="36" t="s">
        <v>2425</v>
      </c>
      <c r="IQ2660" s="230"/>
    </row>
    <row r="2661" spans="1:251" s="24" customFormat="1" x14ac:dyDescent="0.25">
      <c r="A2661" s="24">
        <v>124</v>
      </c>
      <c r="B2661" s="24" t="s">
        <v>2780</v>
      </c>
      <c r="C2661" s="24" t="s">
        <v>2779</v>
      </c>
      <c r="D2661" s="24">
        <v>2004</v>
      </c>
      <c r="E2661" s="24">
        <v>2000</v>
      </c>
      <c r="F2661" s="24" t="s">
        <v>795</v>
      </c>
      <c r="G2661" s="24" t="s">
        <v>2782</v>
      </c>
      <c r="H2661" s="24" t="s">
        <v>2845</v>
      </c>
      <c r="I2661" s="24">
        <f t="shared" si="336"/>
        <v>-14.25</v>
      </c>
      <c r="J2661" s="24">
        <v>32</v>
      </c>
      <c r="K2661" s="24">
        <v>988</v>
      </c>
      <c r="O2661" s="24">
        <v>850</v>
      </c>
      <c r="Q2661" s="42" t="s">
        <v>1867</v>
      </c>
      <c r="R2661" s="42" t="s">
        <v>1852</v>
      </c>
      <c r="S2661" s="42"/>
      <c r="T2661" s="42" t="s">
        <v>2783</v>
      </c>
      <c r="U2661" s="42" t="s">
        <v>1383</v>
      </c>
      <c r="V2661" s="42" t="s">
        <v>1722</v>
      </c>
      <c r="W2661" s="42" t="s">
        <v>1383</v>
      </c>
      <c r="X2661" s="42" t="s">
        <v>1421</v>
      </c>
      <c r="Z2661" s="321">
        <v>44</v>
      </c>
      <c r="AA2661" s="321">
        <f t="shared" si="337"/>
        <v>6</v>
      </c>
      <c r="AB2661" s="24" t="s">
        <v>797</v>
      </c>
      <c r="AC2661" s="24">
        <v>5.6</v>
      </c>
      <c r="AD2661" s="24">
        <v>0.9</v>
      </c>
      <c r="AF2661" s="24" t="s">
        <v>2784</v>
      </c>
      <c r="AG2661" s="24" t="s">
        <v>2797</v>
      </c>
      <c r="AH2661" s="24" t="s">
        <v>578</v>
      </c>
      <c r="AQ2661" s="24" t="s">
        <v>2793</v>
      </c>
      <c r="AR2661" s="24" t="s">
        <v>2794</v>
      </c>
      <c r="AT2661" s="24" t="s">
        <v>2795</v>
      </c>
      <c r="AU2661" s="24">
        <v>3</v>
      </c>
      <c r="AW2661" s="24" t="s">
        <v>142</v>
      </c>
      <c r="BM2661" s="395"/>
      <c r="BN2661" s="395"/>
      <c r="BR2661" s="395"/>
      <c r="BS2661" s="395"/>
      <c r="BW2661" s="24">
        <v>1.5</v>
      </c>
      <c r="BX2661" s="24">
        <v>3.5</v>
      </c>
      <c r="CA2661" s="24" t="s">
        <v>1681</v>
      </c>
      <c r="GW2661" s="24">
        <v>0.72</v>
      </c>
      <c r="GX2661" s="24">
        <v>38.520000000000003</v>
      </c>
      <c r="HA2661" s="24" t="s">
        <v>2771</v>
      </c>
      <c r="IQ2661" s="249"/>
    </row>
    <row r="2662" spans="1:251" s="24" customFormat="1" x14ac:dyDescent="0.25">
      <c r="A2662" s="24">
        <v>124</v>
      </c>
      <c r="B2662" s="24" t="s">
        <v>2780</v>
      </c>
      <c r="C2662" s="24" t="s">
        <v>2779</v>
      </c>
      <c r="D2662" s="24">
        <v>2004</v>
      </c>
      <c r="E2662" s="24">
        <v>2000</v>
      </c>
      <c r="F2662" s="24" t="s">
        <v>795</v>
      </c>
      <c r="G2662" s="24" t="s">
        <v>2782</v>
      </c>
      <c r="H2662" s="24" t="s">
        <v>2845</v>
      </c>
      <c r="I2662" s="24">
        <f t="shared" si="336"/>
        <v>-14.25</v>
      </c>
      <c r="J2662" s="24">
        <v>32</v>
      </c>
      <c r="K2662" s="24">
        <v>988</v>
      </c>
      <c r="O2662" s="24">
        <v>850</v>
      </c>
      <c r="Q2662" s="42" t="s">
        <v>1867</v>
      </c>
      <c r="R2662" s="42" t="s">
        <v>1852</v>
      </c>
      <c r="S2662" s="42"/>
      <c r="T2662" s="42" t="s">
        <v>2783</v>
      </c>
      <c r="U2662" s="42" t="s">
        <v>1383</v>
      </c>
      <c r="V2662" s="42" t="s">
        <v>1722</v>
      </c>
      <c r="W2662" s="42" t="s">
        <v>1383</v>
      </c>
      <c r="X2662" s="42" t="s">
        <v>1421</v>
      </c>
      <c r="Z2662" s="321">
        <v>44</v>
      </c>
      <c r="AA2662" s="321">
        <f t="shared" si="337"/>
        <v>6</v>
      </c>
      <c r="AB2662" s="24" t="s">
        <v>797</v>
      </c>
      <c r="AC2662" s="24">
        <v>5.6</v>
      </c>
      <c r="AD2662" s="24">
        <v>0.9</v>
      </c>
      <c r="AF2662" s="24" t="s">
        <v>2784</v>
      </c>
      <c r="AG2662" s="24" t="s">
        <v>2785</v>
      </c>
      <c r="AH2662" s="24" t="s">
        <v>578</v>
      </c>
      <c r="AQ2662" s="24" t="s">
        <v>2793</v>
      </c>
      <c r="AR2662" s="24" t="s">
        <v>2794</v>
      </c>
      <c r="AT2662" s="24" t="s">
        <v>2795</v>
      </c>
      <c r="AU2662" s="24">
        <v>3</v>
      </c>
      <c r="AW2662" s="24" t="s">
        <v>142</v>
      </c>
      <c r="BM2662" s="395"/>
      <c r="BN2662" s="395"/>
      <c r="BR2662" s="395"/>
      <c r="BS2662" s="395"/>
      <c r="BW2662" s="24">
        <v>1.5</v>
      </c>
      <c r="BX2662" s="24">
        <v>2.5</v>
      </c>
      <c r="CA2662" s="24" t="s">
        <v>1681</v>
      </c>
      <c r="GW2662" s="24">
        <v>0.72</v>
      </c>
      <c r="GX2662" s="24">
        <v>59.33</v>
      </c>
      <c r="HA2662" s="24" t="s">
        <v>2771</v>
      </c>
      <c r="IQ2662" s="249"/>
    </row>
    <row r="2663" spans="1:251" s="101" customFormat="1" x14ac:dyDescent="0.25">
      <c r="A2663" s="101">
        <v>124</v>
      </c>
      <c r="B2663" s="101" t="s">
        <v>2780</v>
      </c>
      <c r="C2663" s="101" t="s">
        <v>2779</v>
      </c>
      <c r="D2663" s="101">
        <v>2004</v>
      </c>
      <c r="E2663" s="101">
        <v>2000</v>
      </c>
      <c r="F2663" s="101" t="s">
        <v>795</v>
      </c>
      <c r="G2663" s="101" t="s">
        <v>2782</v>
      </c>
      <c r="H2663" s="24" t="s">
        <v>2845</v>
      </c>
      <c r="I2663" s="101">
        <f t="shared" si="336"/>
        <v>-14.25</v>
      </c>
      <c r="J2663" s="101">
        <v>32</v>
      </c>
      <c r="K2663" s="101">
        <v>988</v>
      </c>
      <c r="O2663" s="101">
        <v>850</v>
      </c>
      <c r="Q2663" s="102" t="s">
        <v>1867</v>
      </c>
      <c r="R2663" s="102" t="s">
        <v>1852</v>
      </c>
      <c r="S2663" s="102"/>
      <c r="T2663" s="102" t="s">
        <v>2783</v>
      </c>
      <c r="U2663" s="102" t="s">
        <v>1387</v>
      </c>
      <c r="V2663" s="102" t="s">
        <v>1722</v>
      </c>
      <c r="W2663" s="102" t="s">
        <v>1383</v>
      </c>
      <c r="X2663" s="102" t="s">
        <v>1421</v>
      </c>
      <c r="Z2663" s="352">
        <v>44</v>
      </c>
      <c r="AA2663" s="352">
        <f t="shared" si="337"/>
        <v>6</v>
      </c>
      <c r="AB2663" s="101" t="s">
        <v>797</v>
      </c>
      <c r="AC2663" s="101">
        <v>5.6</v>
      </c>
      <c r="AD2663" s="101">
        <v>0.9</v>
      </c>
      <c r="AF2663" s="101" t="s">
        <v>2784</v>
      </c>
      <c r="AG2663" s="101" t="s">
        <v>2797</v>
      </c>
      <c r="AH2663" s="101" t="s">
        <v>578</v>
      </c>
      <c r="AQ2663" s="101" t="s">
        <v>2793</v>
      </c>
      <c r="AR2663" s="101" t="s">
        <v>2794</v>
      </c>
      <c r="AT2663" s="101" t="s">
        <v>2795</v>
      </c>
      <c r="AU2663" s="101">
        <v>3</v>
      </c>
      <c r="AW2663" s="101" t="s">
        <v>142</v>
      </c>
      <c r="BM2663" s="427"/>
      <c r="BN2663" s="427"/>
      <c r="BR2663" s="427"/>
      <c r="BS2663" s="427"/>
      <c r="BW2663" s="101">
        <v>0.7</v>
      </c>
      <c r="BX2663" s="101">
        <v>2.4</v>
      </c>
      <c r="CA2663" s="24" t="s">
        <v>1681</v>
      </c>
      <c r="IQ2663" s="177"/>
    </row>
    <row r="2664" spans="1:251" s="101" customFormat="1" x14ac:dyDescent="0.25">
      <c r="A2664" s="101">
        <v>124</v>
      </c>
      <c r="B2664" s="101" t="s">
        <v>2780</v>
      </c>
      <c r="C2664" s="101" t="s">
        <v>2779</v>
      </c>
      <c r="D2664" s="101">
        <v>2004</v>
      </c>
      <c r="E2664" s="101">
        <v>2000</v>
      </c>
      <c r="F2664" s="101" t="s">
        <v>795</v>
      </c>
      <c r="G2664" s="101" t="s">
        <v>2782</v>
      </c>
      <c r="H2664" s="24" t="s">
        <v>2845</v>
      </c>
      <c r="I2664" s="101">
        <f t="shared" si="336"/>
        <v>-14.25</v>
      </c>
      <c r="J2664" s="101">
        <v>32</v>
      </c>
      <c r="K2664" s="101">
        <v>988</v>
      </c>
      <c r="O2664" s="101">
        <v>850</v>
      </c>
      <c r="Q2664" s="102" t="s">
        <v>1867</v>
      </c>
      <c r="R2664" s="102" t="s">
        <v>1852</v>
      </c>
      <c r="S2664" s="102"/>
      <c r="T2664" s="102" t="s">
        <v>2783</v>
      </c>
      <c r="U2664" s="102" t="s">
        <v>1387</v>
      </c>
      <c r="V2664" s="102" t="s">
        <v>1722</v>
      </c>
      <c r="W2664" s="102" t="s">
        <v>1383</v>
      </c>
      <c r="X2664" s="102" t="s">
        <v>1421</v>
      </c>
      <c r="Z2664" s="352">
        <v>44</v>
      </c>
      <c r="AA2664" s="352">
        <f t="shared" si="337"/>
        <v>6</v>
      </c>
      <c r="AB2664" s="101" t="s">
        <v>797</v>
      </c>
      <c r="AC2664" s="101">
        <v>5.6</v>
      </c>
      <c r="AD2664" s="101">
        <v>0.9</v>
      </c>
      <c r="AF2664" s="101" t="s">
        <v>2784</v>
      </c>
      <c r="AG2664" s="101" t="s">
        <v>2785</v>
      </c>
      <c r="AH2664" s="101" t="s">
        <v>578</v>
      </c>
      <c r="AQ2664" s="101" t="s">
        <v>2793</v>
      </c>
      <c r="AR2664" s="101" t="s">
        <v>2794</v>
      </c>
      <c r="AT2664" s="101" t="s">
        <v>2795</v>
      </c>
      <c r="AU2664" s="101">
        <v>3</v>
      </c>
      <c r="AW2664" s="101" t="s">
        <v>142</v>
      </c>
      <c r="BM2664" s="427"/>
      <c r="BN2664" s="427"/>
      <c r="BR2664" s="427"/>
      <c r="BS2664" s="427"/>
      <c r="BW2664" s="101">
        <v>0.7</v>
      </c>
      <c r="BX2664" s="101">
        <v>1.5</v>
      </c>
      <c r="CA2664" s="24" t="s">
        <v>1681</v>
      </c>
      <c r="IQ2664" s="177"/>
    </row>
    <row r="2665" spans="1:251" s="24" customFormat="1" x14ac:dyDescent="0.25">
      <c r="A2665" s="24">
        <v>124</v>
      </c>
      <c r="B2665" s="24" t="s">
        <v>2780</v>
      </c>
      <c r="C2665" s="24" t="s">
        <v>2779</v>
      </c>
      <c r="D2665" s="24">
        <v>2004</v>
      </c>
      <c r="E2665" s="24">
        <v>2000</v>
      </c>
      <c r="F2665" s="24" t="s">
        <v>795</v>
      </c>
      <c r="G2665" s="24" t="s">
        <v>2782</v>
      </c>
      <c r="H2665" s="24" t="s">
        <v>2845</v>
      </c>
      <c r="I2665" s="24">
        <f t="shared" si="336"/>
        <v>-14.25</v>
      </c>
      <c r="J2665" s="24">
        <v>32</v>
      </c>
      <c r="K2665" s="24">
        <v>988</v>
      </c>
      <c r="O2665" s="24">
        <v>850</v>
      </c>
      <c r="Q2665" s="42" t="s">
        <v>1867</v>
      </c>
      <c r="R2665" s="42" t="s">
        <v>1852</v>
      </c>
      <c r="S2665" s="42"/>
      <c r="T2665" s="42" t="s">
        <v>2783</v>
      </c>
      <c r="U2665" s="42" t="s">
        <v>1388</v>
      </c>
      <c r="V2665" s="42" t="s">
        <v>1722</v>
      </c>
      <c r="W2665" s="42" t="s">
        <v>1383</v>
      </c>
      <c r="X2665" s="42" t="s">
        <v>1421</v>
      </c>
      <c r="Z2665" s="321">
        <v>44</v>
      </c>
      <c r="AA2665" s="321">
        <f t="shared" si="337"/>
        <v>6</v>
      </c>
      <c r="AB2665" s="24" t="s">
        <v>797</v>
      </c>
      <c r="AC2665" s="24">
        <v>5.6</v>
      </c>
      <c r="AD2665" s="24">
        <v>0.9</v>
      </c>
      <c r="AF2665" s="24" t="s">
        <v>2784</v>
      </c>
      <c r="AG2665" s="24" t="s">
        <v>2797</v>
      </c>
      <c r="AH2665" s="24" t="s">
        <v>578</v>
      </c>
      <c r="AQ2665" s="24" t="s">
        <v>2793</v>
      </c>
      <c r="AR2665" s="24" t="s">
        <v>2794</v>
      </c>
      <c r="AT2665" s="24" t="s">
        <v>2795</v>
      </c>
      <c r="AU2665" s="24">
        <v>3</v>
      </c>
      <c r="AW2665" s="24" t="s">
        <v>142</v>
      </c>
      <c r="BM2665" s="395"/>
      <c r="BN2665" s="395"/>
      <c r="BR2665" s="395"/>
      <c r="BS2665" s="395"/>
      <c r="BW2665" s="24">
        <v>0.6</v>
      </c>
      <c r="BX2665" s="24">
        <v>1.3</v>
      </c>
      <c r="CA2665" s="24" t="s">
        <v>1681</v>
      </c>
      <c r="IQ2665" s="249"/>
    </row>
    <row r="2666" spans="1:251" s="24" customFormat="1" x14ac:dyDescent="0.25">
      <c r="A2666" s="24">
        <v>124</v>
      </c>
      <c r="B2666" s="24" t="s">
        <v>2780</v>
      </c>
      <c r="C2666" s="24" t="s">
        <v>2779</v>
      </c>
      <c r="D2666" s="24">
        <v>2004</v>
      </c>
      <c r="E2666" s="24">
        <v>2000</v>
      </c>
      <c r="F2666" s="24" t="s">
        <v>795</v>
      </c>
      <c r="G2666" s="24" t="s">
        <v>2782</v>
      </c>
      <c r="H2666" s="24" t="s">
        <v>2845</v>
      </c>
      <c r="I2666" s="24">
        <f t="shared" si="336"/>
        <v>-14.25</v>
      </c>
      <c r="J2666" s="24">
        <v>32</v>
      </c>
      <c r="K2666" s="24">
        <v>988</v>
      </c>
      <c r="O2666" s="24">
        <v>850</v>
      </c>
      <c r="Q2666" s="42" t="s">
        <v>1867</v>
      </c>
      <c r="R2666" s="42" t="s">
        <v>1852</v>
      </c>
      <c r="S2666" s="42"/>
      <c r="T2666" s="42" t="s">
        <v>2783</v>
      </c>
      <c r="U2666" s="42" t="s">
        <v>1388</v>
      </c>
      <c r="V2666" s="42" t="s">
        <v>1722</v>
      </c>
      <c r="W2666" s="42" t="s">
        <v>1383</v>
      </c>
      <c r="X2666" s="42" t="s">
        <v>1421</v>
      </c>
      <c r="Z2666" s="321">
        <v>44</v>
      </c>
      <c r="AA2666" s="321">
        <f t="shared" si="337"/>
        <v>6</v>
      </c>
      <c r="AB2666" s="24" t="s">
        <v>797</v>
      </c>
      <c r="AC2666" s="24">
        <v>5.6</v>
      </c>
      <c r="AD2666" s="24">
        <v>0.9</v>
      </c>
      <c r="AF2666" s="24" t="s">
        <v>2784</v>
      </c>
      <c r="AG2666" s="24" t="s">
        <v>2785</v>
      </c>
      <c r="AH2666" s="24" t="s">
        <v>578</v>
      </c>
      <c r="AQ2666" s="24" t="s">
        <v>2793</v>
      </c>
      <c r="AR2666" s="24" t="s">
        <v>2794</v>
      </c>
      <c r="AT2666" s="24" t="s">
        <v>2795</v>
      </c>
      <c r="AU2666" s="24">
        <v>3</v>
      </c>
      <c r="AW2666" s="24" t="s">
        <v>142</v>
      </c>
      <c r="BM2666" s="395"/>
      <c r="BN2666" s="395"/>
      <c r="BR2666" s="395"/>
      <c r="BS2666" s="395"/>
      <c r="BW2666" s="24">
        <v>0.6</v>
      </c>
      <c r="BX2666" s="24">
        <v>2.1</v>
      </c>
      <c r="CA2666" s="24" t="s">
        <v>1681</v>
      </c>
      <c r="IQ2666" s="249"/>
    </row>
    <row r="2667" spans="1:251" s="101" customFormat="1" x14ac:dyDescent="0.25">
      <c r="A2667" s="101">
        <v>124</v>
      </c>
      <c r="B2667" s="101" t="s">
        <v>2780</v>
      </c>
      <c r="C2667" s="101" t="s">
        <v>2779</v>
      </c>
      <c r="D2667" s="101">
        <v>2004</v>
      </c>
      <c r="E2667" s="101">
        <v>2000</v>
      </c>
      <c r="F2667" s="101" t="s">
        <v>795</v>
      </c>
      <c r="G2667" s="101" t="s">
        <v>2782</v>
      </c>
      <c r="H2667" s="24" t="s">
        <v>2845</v>
      </c>
      <c r="I2667" s="101">
        <f t="shared" si="336"/>
        <v>-14.25</v>
      </c>
      <c r="J2667" s="101">
        <v>32</v>
      </c>
      <c r="K2667" s="101">
        <v>988</v>
      </c>
      <c r="O2667" s="101">
        <v>850</v>
      </c>
      <c r="Q2667" s="102" t="s">
        <v>1867</v>
      </c>
      <c r="R2667" s="102" t="s">
        <v>1852</v>
      </c>
      <c r="S2667" s="102"/>
      <c r="T2667" s="102" t="s">
        <v>2783</v>
      </c>
      <c r="U2667" s="102" t="s">
        <v>1421</v>
      </c>
      <c r="V2667" s="102" t="s">
        <v>1731</v>
      </c>
      <c r="W2667" s="102" t="s">
        <v>1383</v>
      </c>
      <c r="X2667" s="102" t="s">
        <v>1421</v>
      </c>
      <c r="Z2667" s="352">
        <v>44</v>
      </c>
      <c r="AA2667" s="352">
        <f t="shared" si="337"/>
        <v>6</v>
      </c>
      <c r="AB2667" s="101" t="s">
        <v>797</v>
      </c>
      <c r="AC2667" s="101">
        <v>5.6</v>
      </c>
      <c r="AD2667" s="101">
        <v>0.9</v>
      </c>
      <c r="AF2667" s="101" t="s">
        <v>2784</v>
      </c>
      <c r="AG2667" s="101" t="s">
        <v>2797</v>
      </c>
      <c r="AH2667" s="101" t="s">
        <v>578</v>
      </c>
      <c r="AQ2667" s="101" t="s">
        <v>2793</v>
      </c>
      <c r="AR2667" s="101" t="s">
        <v>2794</v>
      </c>
      <c r="AT2667" s="101" t="s">
        <v>2795</v>
      </c>
      <c r="AU2667" s="101">
        <v>3</v>
      </c>
      <c r="AW2667" s="101" t="s">
        <v>142</v>
      </c>
      <c r="BM2667" s="427"/>
      <c r="BN2667" s="427"/>
      <c r="BR2667" s="427"/>
      <c r="BS2667" s="427"/>
      <c r="BW2667" s="101">
        <v>2.8</v>
      </c>
      <c r="BX2667" s="101">
        <v>7.2</v>
      </c>
      <c r="CA2667" s="24" t="s">
        <v>1681</v>
      </c>
      <c r="IQ2667" s="177"/>
    </row>
    <row r="2668" spans="1:251" s="101" customFormat="1" x14ac:dyDescent="0.25">
      <c r="A2668" s="101">
        <v>124</v>
      </c>
      <c r="B2668" s="101" t="s">
        <v>2780</v>
      </c>
      <c r="C2668" s="101" t="s">
        <v>2779</v>
      </c>
      <c r="D2668" s="101">
        <v>2004</v>
      </c>
      <c r="E2668" s="101">
        <v>2000</v>
      </c>
      <c r="F2668" s="101" t="s">
        <v>795</v>
      </c>
      <c r="G2668" s="101" t="s">
        <v>2782</v>
      </c>
      <c r="H2668" s="24" t="s">
        <v>2845</v>
      </c>
      <c r="I2668" s="101">
        <f t="shared" si="336"/>
        <v>-14.25</v>
      </c>
      <c r="J2668" s="101">
        <v>32</v>
      </c>
      <c r="K2668" s="101">
        <v>988</v>
      </c>
      <c r="O2668" s="101">
        <v>850</v>
      </c>
      <c r="Q2668" s="102" t="s">
        <v>1867</v>
      </c>
      <c r="R2668" s="102" t="s">
        <v>1852</v>
      </c>
      <c r="S2668" s="102"/>
      <c r="T2668" s="102" t="s">
        <v>2783</v>
      </c>
      <c r="U2668" s="102" t="s">
        <v>1421</v>
      </c>
      <c r="V2668" s="102" t="s">
        <v>1731</v>
      </c>
      <c r="W2668" s="102" t="s">
        <v>1383</v>
      </c>
      <c r="X2668" s="102" t="s">
        <v>1421</v>
      </c>
      <c r="Z2668" s="352">
        <v>44</v>
      </c>
      <c r="AA2668" s="352">
        <f t="shared" si="337"/>
        <v>6</v>
      </c>
      <c r="AB2668" s="101" t="s">
        <v>797</v>
      </c>
      <c r="AC2668" s="101">
        <v>5.6</v>
      </c>
      <c r="AD2668" s="101">
        <v>0.9</v>
      </c>
      <c r="AF2668" s="101" t="s">
        <v>2784</v>
      </c>
      <c r="AG2668" s="101" t="s">
        <v>2785</v>
      </c>
      <c r="AH2668" s="101" t="s">
        <v>578</v>
      </c>
      <c r="AQ2668" s="101" t="s">
        <v>2793</v>
      </c>
      <c r="AR2668" s="101" t="s">
        <v>2794</v>
      </c>
      <c r="AT2668" s="101" t="s">
        <v>2795</v>
      </c>
      <c r="AU2668" s="101">
        <v>3</v>
      </c>
      <c r="AW2668" s="101" t="s">
        <v>142</v>
      </c>
      <c r="BM2668" s="427"/>
      <c r="BN2668" s="427"/>
      <c r="BR2668" s="427"/>
      <c r="BS2668" s="427"/>
      <c r="BW2668" s="101">
        <v>2.8</v>
      </c>
      <c r="BX2668" s="101">
        <v>6.1</v>
      </c>
      <c r="CA2668" s="24" t="s">
        <v>1681</v>
      </c>
      <c r="IQ2668" s="177"/>
    </row>
    <row r="2669" spans="1:251" s="32" customFormat="1" x14ac:dyDescent="0.25">
      <c r="A2669" s="32">
        <v>124</v>
      </c>
      <c r="B2669" s="32" t="s">
        <v>2780</v>
      </c>
      <c r="C2669" s="32" t="s">
        <v>2779</v>
      </c>
      <c r="D2669" s="32">
        <v>2004</v>
      </c>
      <c r="E2669" s="32">
        <v>2000</v>
      </c>
      <c r="F2669" s="32" t="s">
        <v>795</v>
      </c>
      <c r="G2669" s="32" t="s">
        <v>2782</v>
      </c>
      <c r="H2669" s="32" t="s">
        <v>2845</v>
      </c>
      <c r="I2669" s="32">
        <f t="shared" ref="I2669:I2676" si="338">-14-15/60</f>
        <v>-14.25</v>
      </c>
      <c r="J2669" s="32">
        <v>32</v>
      </c>
      <c r="K2669" s="32">
        <v>988</v>
      </c>
      <c r="O2669" s="32">
        <v>850</v>
      </c>
      <c r="Q2669" s="44" t="s">
        <v>1867</v>
      </c>
      <c r="R2669" s="44" t="s">
        <v>1852</v>
      </c>
      <c r="S2669" s="44"/>
      <c r="T2669" s="44" t="s">
        <v>2783</v>
      </c>
      <c r="U2669" s="44" t="s">
        <v>1383</v>
      </c>
      <c r="V2669" s="44" t="s">
        <v>1722</v>
      </c>
      <c r="W2669" s="44" t="s">
        <v>1383</v>
      </c>
      <c r="X2669" s="44" t="s">
        <v>1421</v>
      </c>
      <c r="Z2669" s="323">
        <v>44</v>
      </c>
      <c r="AA2669" s="323">
        <f t="shared" ref="AA2669:AA2676" si="339">100-44-50</f>
        <v>6</v>
      </c>
      <c r="AB2669" s="32" t="s">
        <v>797</v>
      </c>
      <c r="AC2669" s="32">
        <v>5.6</v>
      </c>
      <c r="AD2669" s="32">
        <v>0.9</v>
      </c>
      <c r="AF2669" s="32" t="s">
        <v>2784</v>
      </c>
      <c r="AG2669" s="32" t="s">
        <v>2797</v>
      </c>
      <c r="AH2669" s="32" t="s">
        <v>578</v>
      </c>
      <c r="AQ2669" s="32" t="s">
        <v>2793</v>
      </c>
      <c r="AR2669" s="32" t="s">
        <v>2794</v>
      </c>
      <c r="AT2669" s="32" t="s">
        <v>2795</v>
      </c>
      <c r="AU2669" s="32">
        <v>3</v>
      </c>
      <c r="AW2669" s="32" t="s">
        <v>142</v>
      </c>
      <c r="BM2669" s="397"/>
      <c r="BN2669" s="397"/>
      <c r="BR2669" s="397"/>
      <c r="BS2669" s="397"/>
      <c r="BW2669" s="32">
        <v>4.5999999999999996</v>
      </c>
      <c r="BX2669" s="32">
        <v>7.1</v>
      </c>
      <c r="CA2669" s="32" t="s">
        <v>2798</v>
      </c>
      <c r="IQ2669" s="243"/>
    </row>
    <row r="2670" spans="1:251" s="32" customFormat="1" x14ac:dyDescent="0.25">
      <c r="A2670" s="32">
        <v>124</v>
      </c>
      <c r="B2670" s="32" t="s">
        <v>2780</v>
      </c>
      <c r="C2670" s="32" t="s">
        <v>2779</v>
      </c>
      <c r="D2670" s="32">
        <v>2004</v>
      </c>
      <c r="E2670" s="32">
        <v>2000</v>
      </c>
      <c r="F2670" s="32" t="s">
        <v>795</v>
      </c>
      <c r="G2670" s="32" t="s">
        <v>2782</v>
      </c>
      <c r="H2670" s="32" t="s">
        <v>2845</v>
      </c>
      <c r="I2670" s="32">
        <f t="shared" si="338"/>
        <v>-14.25</v>
      </c>
      <c r="J2670" s="32">
        <v>32</v>
      </c>
      <c r="K2670" s="32">
        <v>988</v>
      </c>
      <c r="O2670" s="32">
        <v>850</v>
      </c>
      <c r="Q2670" s="44" t="s">
        <v>1867</v>
      </c>
      <c r="R2670" s="44" t="s">
        <v>1852</v>
      </c>
      <c r="S2670" s="44"/>
      <c r="T2670" s="44" t="s">
        <v>2783</v>
      </c>
      <c r="U2670" s="44" t="s">
        <v>1383</v>
      </c>
      <c r="V2670" s="44" t="s">
        <v>1722</v>
      </c>
      <c r="W2670" s="44" t="s">
        <v>1383</v>
      </c>
      <c r="X2670" s="44" t="s">
        <v>1421</v>
      </c>
      <c r="Z2670" s="323">
        <v>44</v>
      </c>
      <c r="AA2670" s="323">
        <f t="shared" si="339"/>
        <v>6</v>
      </c>
      <c r="AB2670" s="32" t="s">
        <v>797</v>
      </c>
      <c r="AC2670" s="32">
        <v>5.6</v>
      </c>
      <c r="AD2670" s="32">
        <v>0.9</v>
      </c>
      <c r="AF2670" s="32" t="s">
        <v>2784</v>
      </c>
      <c r="AG2670" s="32" t="s">
        <v>2785</v>
      </c>
      <c r="AH2670" s="32" t="s">
        <v>578</v>
      </c>
      <c r="AQ2670" s="32" t="s">
        <v>2793</v>
      </c>
      <c r="AR2670" s="32" t="s">
        <v>2794</v>
      </c>
      <c r="AT2670" s="32" t="s">
        <v>2795</v>
      </c>
      <c r="AU2670" s="32">
        <v>3</v>
      </c>
      <c r="AW2670" s="32" t="s">
        <v>142</v>
      </c>
      <c r="BM2670" s="397"/>
      <c r="BN2670" s="397"/>
      <c r="BR2670" s="397"/>
      <c r="BS2670" s="397"/>
      <c r="BW2670" s="32">
        <v>4.5999999999999996</v>
      </c>
      <c r="BX2670" s="32">
        <v>6.7</v>
      </c>
      <c r="CA2670" s="32" t="s">
        <v>2798</v>
      </c>
      <c r="IQ2670" s="243"/>
    </row>
    <row r="2671" spans="1:251" s="105" customFormat="1" x14ac:dyDescent="0.25">
      <c r="A2671" s="105">
        <v>124</v>
      </c>
      <c r="B2671" s="105" t="s">
        <v>2780</v>
      </c>
      <c r="C2671" s="105" t="s">
        <v>2779</v>
      </c>
      <c r="D2671" s="105">
        <v>2004</v>
      </c>
      <c r="E2671" s="105">
        <v>2000</v>
      </c>
      <c r="F2671" s="105" t="s">
        <v>795</v>
      </c>
      <c r="G2671" s="105" t="s">
        <v>2782</v>
      </c>
      <c r="H2671" s="32" t="s">
        <v>2845</v>
      </c>
      <c r="I2671" s="105">
        <f t="shared" si="338"/>
        <v>-14.25</v>
      </c>
      <c r="J2671" s="105">
        <v>32</v>
      </c>
      <c r="K2671" s="105">
        <v>988</v>
      </c>
      <c r="O2671" s="105">
        <v>850</v>
      </c>
      <c r="Q2671" s="106" t="s">
        <v>1867</v>
      </c>
      <c r="R2671" s="106" t="s">
        <v>1852</v>
      </c>
      <c r="S2671" s="106"/>
      <c r="T2671" s="106" t="s">
        <v>2783</v>
      </c>
      <c r="U2671" s="106" t="s">
        <v>1387</v>
      </c>
      <c r="V2671" s="106" t="s">
        <v>1722</v>
      </c>
      <c r="W2671" s="106" t="s">
        <v>1383</v>
      </c>
      <c r="X2671" s="106" t="s">
        <v>1421</v>
      </c>
      <c r="Z2671" s="354">
        <v>44</v>
      </c>
      <c r="AA2671" s="354">
        <f t="shared" si="339"/>
        <v>6</v>
      </c>
      <c r="AB2671" s="105" t="s">
        <v>797</v>
      </c>
      <c r="AC2671" s="105">
        <v>5.6</v>
      </c>
      <c r="AD2671" s="105">
        <v>0.9</v>
      </c>
      <c r="AF2671" s="105" t="s">
        <v>2784</v>
      </c>
      <c r="AG2671" s="105" t="s">
        <v>2797</v>
      </c>
      <c r="AH2671" s="105" t="s">
        <v>578</v>
      </c>
      <c r="AQ2671" s="105" t="s">
        <v>2793</v>
      </c>
      <c r="AR2671" s="105" t="s">
        <v>2794</v>
      </c>
      <c r="AT2671" s="105" t="s">
        <v>2795</v>
      </c>
      <c r="AU2671" s="105">
        <v>3</v>
      </c>
      <c r="AW2671" s="105" t="s">
        <v>142</v>
      </c>
      <c r="BM2671" s="429"/>
      <c r="BN2671" s="429"/>
      <c r="BR2671" s="429"/>
      <c r="BS2671" s="429"/>
      <c r="BW2671" s="105">
        <v>2.9</v>
      </c>
      <c r="BX2671" s="105">
        <v>4.9000000000000004</v>
      </c>
      <c r="CA2671" s="32" t="s">
        <v>2798</v>
      </c>
      <c r="IQ2671" s="502"/>
    </row>
    <row r="2672" spans="1:251" s="105" customFormat="1" x14ac:dyDescent="0.25">
      <c r="A2672" s="105">
        <v>124</v>
      </c>
      <c r="B2672" s="105" t="s">
        <v>2780</v>
      </c>
      <c r="C2672" s="105" t="s">
        <v>2779</v>
      </c>
      <c r="D2672" s="105">
        <v>2004</v>
      </c>
      <c r="E2672" s="105">
        <v>2000</v>
      </c>
      <c r="F2672" s="105" t="s">
        <v>795</v>
      </c>
      <c r="G2672" s="105" t="s">
        <v>2782</v>
      </c>
      <c r="H2672" s="32" t="s">
        <v>2845</v>
      </c>
      <c r="I2672" s="105">
        <f t="shared" si="338"/>
        <v>-14.25</v>
      </c>
      <c r="J2672" s="105">
        <v>32</v>
      </c>
      <c r="K2672" s="105">
        <v>988</v>
      </c>
      <c r="O2672" s="105">
        <v>850</v>
      </c>
      <c r="Q2672" s="106" t="s">
        <v>1867</v>
      </c>
      <c r="R2672" s="106" t="s">
        <v>1852</v>
      </c>
      <c r="S2672" s="106"/>
      <c r="T2672" s="106" t="s">
        <v>2783</v>
      </c>
      <c r="U2672" s="106" t="s">
        <v>1387</v>
      </c>
      <c r="V2672" s="106" t="s">
        <v>1722</v>
      </c>
      <c r="W2672" s="106" t="s">
        <v>1383</v>
      </c>
      <c r="X2672" s="106" t="s">
        <v>1421</v>
      </c>
      <c r="Z2672" s="354">
        <v>44</v>
      </c>
      <c r="AA2672" s="354">
        <f t="shared" si="339"/>
        <v>6</v>
      </c>
      <c r="AB2672" s="105" t="s">
        <v>797</v>
      </c>
      <c r="AC2672" s="105">
        <v>5.6</v>
      </c>
      <c r="AD2672" s="105">
        <v>0.9</v>
      </c>
      <c r="AF2672" s="105" t="s">
        <v>2784</v>
      </c>
      <c r="AG2672" s="105" t="s">
        <v>2785</v>
      </c>
      <c r="AH2672" s="105" t="s">
        <v>578</v>
      </c>
      <c r="AQ2672" s="105" t="s">
        <v>2793</v>
      </c>
      <c r="AR2672" s="105" t="s">
        <v>2794</v>
      </c>
      <c r="AT2672" s="105" t="s">
        <v>2795</v>
      </c>
      <c r="AU2672" s="105">
        <v>3</v>
      </c>
      <c r="AW2672" s="105" t="s">
        <v>142</v>
      </c>
      <c r="BM2672" s="429"/>
      <c r="BN2672" s="429"/>
      <c r="BR2672" s="429"/>
      <c r="BS2672" s="429"/>
      <c r="BW2672" s="105">
        <v>2.9</v>
      </c>
      <c r="BX2672" s="105">
        <v>3.4</v>
      </c>
      <c r="CA2672" s="32" t="s">
        <v>2798</v>
      </c>
      <c r="IQ2672" s="502"/>
    </row>
    <row r="2673" spans="1:251" s="32" customFormat="1" x14ac:dyDescent="0.25">
      <c r="A2673" s="32">
        <v>124</v>
      </c>
      <c r="B2673" s="32" t="s">
        <v>2780</v>
      </c>
      <c r="C2673" s="32" t="s">
        <v>2779</v>
      </c>
      <c r="D2673" s="32">
        <v>2004</v>
      </c>
      <c r="E2673" s="32">
        <v>2000</v>
      </c>
      <c r="F2673" s="32" t="s">
        <v>795</v>
      </c>
      <c r="G2673" s="32" t="s">
        <v>2782</v>
      </c>
      <c r="H2673" s="32" t="s">
        <v>2845</v>
      </c>
      <c r="I2673" s="32">
        <f t="shared" si="338"/>
        <v>-14.25</v>
      </c>
      <c r="J2673" s="32">
        <v>32</v>
      </c>
      <c r="K2673" s="32">
        <v>988</v>
      </c>
      <c r="O2673" s="32">
        <v>850</v>
      </c>
      <c r="Q2673" s="44" t="s">
        <v>1867</v>
      </c>
      <c r="R2673" s="44" t="s">
        <v>1852</v>
      </c>
      <c r="S2673" s="44"/>
      <c r="T2673" s="44" t="s">
        <v>2783</v>
      </c>
      <c r="U2673" s="44" t="s">
        <v>1388</v>
      </c>
      <c r="V2673" s="44" t="s">
        <v>1722</v>
      </c>
      <c r="W2673" s="44" t="s">
        <v>1383</v>
      </c>
      <c r="X2673" s="44" t="s">
        <v>1421</v>
      </c>
      <c r="Z2673" s="323">
        <v>44</v>
      </c>
      <c r="AA2673" s="323">
        <f t="shared" si="339"/>
        <v>6</v>
      </c>
      <c r="AB2673" s="32" t="s">
        <v>797</v>
      </c>
      <c r="AC2673" s="32">
        <v>5.6</v>
      </c>
      <c r="AD2673" s="32">
        <v>0.9</v>
      </c>
      <c r="AF2673" s="32" t="s">
        <v>2784</v>
      </c>
      <c r="AG2673" s="32" t="s">
        <v>2797</v>
      </c>
      <c r="AH2673" s="32" t="s">
        <v>578</v>
      </c>
      <c r="AQ2673" s="32" t="s">
        <v>2793</v>
      </c>
      <c r="AR2673" s="32" t="s">
        <v>2794</v>
      </c>
      <c r="AT2673" s="32" t="s">
        <v>2795</v>
      </c>
      <c r="AU2673" s="32">
        <v>3</v>
      </c>
      <c r="AW2673" s="32" t="s">
        <v>142</v>
      </c>
      <c r="BM2673" s="397"/>
      <c r="BN2673" s="397"/>
      <c r="BR2673" s="397"/>
      <c r="BS2673" s="397"/>
      <c r="BW2673" s="32">
        <v>2.2000000000000002</v>
      </c>
      <c r="BX2673" s="32">
        <v>3.4</v>
      </c>
      <c r="CA2673" s="32" t="s">
        <v>2798</v>
      </c>
      <c r="IQ2673" s="243"/>
    </row>
    <row r="2674" spans="1:251" s="32" customFormat="1" x14ac:dyDescent="0.25">
      <c r="A2674" s="32">
        <v>124</v>
      </c>
      <c r="B2674" s="32" t="s">
        <v>2780</v>
      </c>
      <c r="C2674" s="32" t="s">
        <v>2779</v>
      </c>
      <c r="D2674" s="32">
        <v>2004</v>
      </c>
      <c r="E2674" s="32">
        <v>2000</v>
      </c>
      <c r="F2674" s="32" t="s">
        <v>795</v>
      </c>
      <c r="G2674" s="32" t="s">
        <v>2782</v>
      </c>
      <c r="H2674" s="32" t="s">
        <v>2845</v>
      </c>
      <c r="I2674" s="32">
        <f t="shared" si="338"/>
        <v>-14.25</v>
      </c>
      <c r="J2674" s="32">
        <v>32</v>
      </c>
      <c r="K2674" s="32">
        <v>988</v>
      </c>
      <c r="O2674" s="32">
        <v>850</v>
      </c>
      <c r="Q2674" s="44" t="s">
        <v>1867</v>
      </c>
      <c r="R2674" s="44" t="s">
        <v>1852</v>
      </c>
      <c r="S2674" s="44"/>
      <c r="T2674" s="44" t="s">
        <v>2783</v>
      </c>
      <c r="U2674" s="44" t="s">
        <v>1388</v>
      </c>
      <c r="V2674" s="44" t="s">
        <v>1722</v>
      </c>
      <c r="W2674" s="44" t="s">
        <v>1383</v>
      </c>
      <c r="X2674" s="44" t="s">
        <v>1421</v>
      </c>
      <c r="Z2674" s="323">
        <v>44</v>
      </c>
      <c r="AA2674" s="323">
        <f t="shared" si="339"/>
        <v>6</v>
      </c>
      <c r="AB2674" s="32" t="s">
        <v>797</v>
      </c>
      <c r="AC2674" s="32">
        <v>5.6</v>
      </c>
      <c r="AD2674" s="32">
        <v>0.9</v>
      </c>
      <c r="AF2674" s="32" t="s">
        <v>2784</v>
      </c>
      <c r="AG2674" s="32" t="s">
        <v>2785</v>
      </c>
      <c r="AH2674" s="32" t="s">
        <v>578</v>
      </c>
      <c r="AQ2674" s="32" t="s">
        <v>2793</v>
      </c>
      <c r="AR2674" s="32" t="s">
        <v>2794</v>
      </c>
      <c r="AT2674" s="32" t="s">
        <v>2795</v>
      </c>
      <c r="AU2674" s="32">
        <v>3</v>
      </c>
      <c r="AW2674" s="32" t="s">
        <v>142</v>
      </c>
      <c r="BM2674" s="397"/>
      <c r="BN2674" s="397"/>
      <c r="BR2674" s="397"/>
      <c r="BS2674" s="397"/>
      <c r="BW2674" s="32">
        <v>2.2000000000000002</v>
      </c>
      <c r="BX2674" s="32">
        <v>4</v>
      </c>
      <c r="CA2674" s="32" t="s">
        <v>2798</v>
      </c>
      <c r="IQ2674" s="243"/>
    </row>
    <row r="2675" spans="1:251" s="105" customFormat="1" x14ac:dyDescent="0.25">
      <c r="A2675" s="105">
        <v>124</v>
      </c>
      <c r="B2675" s="105" t="s">
        <v>2780</v>
      </c>
      <c r="C2675" s="105" t="s">
        <v>2779</v>
      </c>
      <c r="D2675" s="105">
        <v>2004</v>
      </c>
      <c r="E2675" s="105">
        <v>2000</v>
      </c>
      <c r="F2675" s="105" t="s">
        <v>795</v>
      </c>
      <c r="G2675" s="105" t="s">
        <v>2782</v>
      </c>
      <c r="H2675" s="32" t="s">
        <v>2845</v>
      </c>
      <c r="I2675" s="105">
        <f t="shared" si="338"/>
        <v>-14.25</v>
      </c>
      <c r="J2675" s="105">
        <v>32</v>
      </c>
      <c r="K2675" s="105">
        <v>988</v>
      </c>
      <c r="O2675" s="105">
        <v>850</v>
      </c>
      <c r="Q2675" s="106" t="s">
        <v>1867</v>
      </c>
      <c r="R2675" s="106" t="s">
        <v>1852</v>
      </c>
      <c r="S2675" s="106"/>
      <c r="T2675" s="106" t="s">
        <v>2783</v>
      </c>
      <c r="U2675" s="106" t="s">
        <v>1421</v>
      </c>
      <c r="V2675" s="106" t="s">
        <v>1731</v>
      </c>
      <c r="W2675" s="106" t="s">
        <v>1383</v>
      </c>
      <c r="X2675" s="106" t="s">
        <v>1421</v>
      </c>
      <c r="Z2675" s="354">
        <v>44</v>
      </c>
      <c r="AA2675" s="354">
        <f t="shared" si="339"/>
        <v>6</v>
      </c>
      <c r="AB2675" s="105" t="s">
        <v>797</v>
      </c>
      <c r="AC2675" s="105">
        <v>5.6</v>
      </c>
      <c r="AD2675" s="105">
        <v>0.9</v>
      </c>
      <c r="AF2675" s="105" t="s">
        <v>2784</v>
      </c>
      <c r="AG2675" s="105" t="s">
        <v>2797</v>
      </c>
      <c r="AH2675" s="105" t="s">
        <v>578</v>
      </c>
      <c r="AQ2675" s="105" t="s">
        <v>2793</v>
      </c>
      <c r="AR2675" s="105" t="s">
        <v>2794</v>
      </c>
      <c r="AT2675" s="105" t="s">
        <v>2795</v>
      </c>
      <c r="AU2675" s="105">
        <v>3</v>
      </c>
      <c r="AW2675" s="105" t="s">
        <v>142</v>
      </c>
      <c r="BM2675" s="429"/>
      <c r="BN2675" s="429"/>
      <c r="BR2675" s="429"/>
      <c r="BS2675" s="429"/>
      <c r="BW2675" s="105">
        <v>9.6999999999999993</v>
      </c>
      <c r="BX2675" s="105">
        <v>15.4</v>
      </c>
      <c r="CA2675" s="32" t="s">
        <v>2798</v>
      </c>
      <c r="IQ2675" s="502"/>
    </row>
    <row r="2676" spans="1:251" s="105" customFormat="1" x14ac:dyDescent="0.25">
      <c r="A2676" s="105">
        <v>124</v>
      </c>
      <c r="B2676" s="105" t="s">
        <v>2780</v>
      </c>
      <c r="C2676" s="105" t="s">
        <v>2779</v>
      </c>
      <c r="D2676" s="105">
        <v>2004</v>
      </c>
      <c r="E2676" s="105">
        <v>2000</v>
      </c>
      <c r="F2676" s="105" t="s">
        <v>795</v>
      </c>
      <c r="G2676" s="105" t="s">
        <v>2782</v>
      </c>
      <c r="H2676" s="32" t="s">
        <v>2845</v>
      </c>
      <c r="I2676" s="105">
        <f t="shared" si="338"/>
        <v>-14.25</v>
      </c>
      <c r="J2676" s="105">
        <v>32</v>
      </c>
      <c r="K2676" s="105">
        <v>988</v>
      </c>
      <c r="O2676" s="105">
        <v>850</v>
      </c>
      <c r="Q2676" s="106" t="s">
        <v>1867</v>
      </c>
      <c r="R2676" s="106" t="s">
        <v>1852</v>
      </c>
      <c r="S2676" s="106"/>
      <c r="T2676" s="106" t="s">
        <v>2783</v>
      </c>
      <c r="U2676" s="106" t="s">
        <v>1421</v>
      </c>
      <c r="V2676" s="106" t="s">
        <v>1731</v>
      </c>
      <c r="W2676" s="106" t="s">
        <v>1383</v>
      </c>
      <c r="X2676" s="106" t="s">
        <v>1421</v>
      </c>
      <c r="Z2676" s="354">
        <v>44</v>
      </c>
      <c r="AA2676" s="354">
        <f t="shared" si="339"/>
        <v>6</v>
      </c>
      <c r="AB2676" s="105" t="s">
        <v>797</v>
      </c>
      <c r="AC2676" s="105">
        <v>5.6</v>
      </c>
      <c r="AD2676" s="105">
        <v>0.9</v>
      </c>
      <c r="AF2676" s="105" t="s">
        <v>2784</v>
      </c>
      <c r="AG2676" s="105" t="s">
        <v>2785</v>
      </c>
      <c r="AH2676" s="105" t="s">
        <v>578</v>
      </c>
      <c r="AQ2676" s="105" t="s">
        <v>2793</v>
      </c>
      <c r="AR2676" s="105" t="s">
        <v>2794</v>
      </c>
      <c r="AT2676" s="105" t="s">
        <v>2795</v>
      </c>
      <c r="AU2676" s="105">
        <v>3</v>
      </c>
      <c r="AW2676" s="105" t="s">
        <v>142</v>
      </c>
      <c r="BM2676" s="429"/>
      <c r="BN2676" s="429"/>
      <c r="BR2676" s="429"/>
      <c r="BS2676" s="429"/>
      <c r="BW2676" s="105">
        <v>9.6999999999999993</v>
      </c>
      <c r="BX2676" s="105">
        <v>14.1</v>
      </c>
      <c r="CA2676" s="32" t="s">
        <v>2798</v>
      </c>
      <c r="IQ2676" s="502"/>
    </row>
    <row r="2677" spans="1:251" x14ac:dyDescent="0.25">
      <c r="A2677" s="37">
        <v>125</v>
      </c>
      <c r="B2677" s="37" t="s">
        <v>2800</v>
      </c>
      <c r="C2677" s="37" t="s">
        <v>2799</v>
      </c>
      <c r="D2677" s="37">
        <v>1996</v>
      </c>
      <c r="E2677" s="37">
        <v>1990</v>
      </c>
      <c r="F2677" s="37" t="s">
        <v>2711</v>
      </c>
      <c r="G2677" s="37" t="s">
        <v>2846</v>
      </c>
      <c r="H2677" s="37" t="s">
        <v>2843</v>
      </c>
      <c r="I2677" s="37">
        <v>-13.98</v>
      </c>
      <c r="J2677" s="37">
        <v>33.64</v>
      </c>
      <c r="K2677" s="37">
        <v>1155</v>
      </c>
      <c r="AG2677" s="37" t="s">
        <v>2801</v>
      </c>
      <c r="AH2677" s="37" t="s">
        <v>578</v>
      </c>
      <c r="AQ2677" s="37" t="s">
        <v>339</v>
      </c>
      <c r="AR2677" s="37" t="s">
        <v>2794</v>
      </c>
      <c r="AT2677" s="37" t="s">
        <v>161</v>
      </c>
      <c r="BH2677" s="37">
        <v>1110</v>
      </c>
      <c r="BI2677" s="37">
        <v>730</v>
      </c>
    </row>
    <row r="2678" spans="1:251" x14ac:dyDescent="0.25">
      <c r="A2678" s="37">
        <v>125</v>
      </c>
      <c r="B2678" s="37" t="s">
        <v>2800</v>
      </c>
      <c r="C2678" s="37" t="s">
        <v>2799</v>
      </c>
      <c r="D2678" s="37">
        <v>1996</v>
      </c>
      <c r="E2678" s="37">
        <v>1990</v>
      </c>
      <c r="F2678" s="37" t="s">
        <v>2711</v>
      </c>
      <c r="G2678" s="37" t="s">
        <v>2846</v>
      </c>
      <c r="H2678" s="37" t="s">
        <v>2843</v>
      </c>
      <c r="I2678" s="37">
        <v>-13.98</v>
      </c>
      <c r="J2678" s="37">
        <v>33.64</v>
      </c>
      <c r="K2678" s="37">
        <v>1155</v>
      </c>
      <c r="AG2678" s="37" t="s">
        <v>2801</v>
      </c>
      <c r="AH2678" s="37" t="s">
        <v>578</v>
      </c>
      <c r="AQ2678" s="37" t="s">
        <v>2802</v>
      </c>
      <c r="AR2678" s="37" t="s">
        <v>2794</v>
      </c>
      <c r="AT2678" s="37" t="s">
        <v>161</v>
      </c>
      <c r="BH2678" s="37">
        <v>2080</v>
      </c>
      <c r="BI2678" s="37">
        <v>730</v>
      </c>
    </row>
    <row r="2679" spans="1:251" s="36" customFormat="1" x14ac:dyDescent="0.25">
      <c r="A2679" s="36">
        <v>125</v>
      </c>
      <c r="B2679" s="36" t="s">
        <v>2800</v>
      </c>
      <c r="C2679" s="36" t="s">
        <v>2799</v>
      </c>
      <c r="D2679" s="36">
        <v>1996</v>
      </c>
      <c r="E2679" s="36">
        <v>1991</v>
      </c>
      <c r="F2679" s="36" t="s">
        <v>2711</v>
      </c>
      <c r="G2679" s="36" t="s">
        <v>2846</v>
      </c>
      <c r="H2679" s="37" t="s">
        <v>2843</v>
      </c>
      <c r="I2679" s="36">
        <v>-13.98</v>
      </c>
      <c r="J2679" s="36">
        <v>33.64</v>
      </c>
      <c r="K2679" s="36">
        <v>1155</v>
      </c>
      <c r="Q2679" s="51"/>
      <c r="R2679" s="51"/>
      <c r="S2679" s="51"/>
      <c r="T2679" s="51"/>
      <c r="U2679" s="51"/>
      <c r="V2679" s="51"/>
      <c r="W2679" s="51"/>
      <c r="X2679" s="51"/>
      <c r="Z2679" s="331"/>
      <c r="AA2679" s="331"/>
      <c r="AG2679" s="36" t="s">
        <v>2801</v>
      </c>
      <c r="AH2679" s="36" t="s">
        <v>578</v>
      </c>
      <c r="AQ2679" s="36" t="s">
        <v>339</v>
      </c>
      <c r="AR2679" s="36" t="s">
        <v>2794</v>
      </c>
      <c r="AT2679" s="36" t="s">
        <v>161</v>
      </c>
      <c r="BH2679" s="36">
        <v>820</v>
      </c>
      <c r="BI2679" s="36">
        <v>960</v>
      </c>
      <c r="BM2679" s="407"/>
      <c r="BN2679" s="407"/>
      <c r="BR2679" s="407"/>
      <c r="BS2679" s="407"/>
      <c r="IQ2679" s="230"/>
    </row>
    <row r="2680" spans="1:251" s="36" customFormat="1" x14ac:dyDescent="0.25">
      <c r="A2680" s="36">
        <v>125</v>
      </c>
      <c r="B2680" s="36" t="s">
        <v>2800</v>
      </c>
      <c r="C2680" s="36" t="s">
        <v>2799</v>
      </c>
      <c r="D2680" s="36">
        <v>1996</v>
      </c>
      <c r="E2680" s="36">
        <v>1991</v>
      </c>
      <c r="F2680" s="36" t="s">
        <v>2711</v>
      </c>
      <c r="G2680" s="36" t="s">
        <v>2846</v>
      </c>
      <c r="H2680" s="37" t="s">
        <v>2843</v>
      </c>
      <c r="I2680" s="36">
        <v>-13.98</v>
      </c>
      <c r="J2680" s="36">
        <v>33.64</v>
      </c>
      <c r="K2680" s="36">
        <v>1155</v>
      </c>
      <c r="Q2680" s="51"/>
      <c r="R2680" s="51"/>
      <c r="S2680" s="51"/>
      <c r="T2680" s="51"/>
      <c r="U2680" s="51"/>
      <c r="V2680" s="51"/>
      <c r="W2680" s="51"/>
      <c r="X2680" s="51"/>
      <c r="Z2680" s="331"/>
      <c r="AA2680" s="331"/>
      <c r="AG2680" s="36" t="s">
        <v>2801</v>
      </c>
      <c r="AH2680" s="36" t="s">
        <v>578</v>
      </c>
      <c r="AQ2680" s="36" t="s">
        <v>2802</v>
      </c>
      <c r="AR2680" s="36" t="s">
        <v>2794</v>
      </c>
      <c r="AT2680" s="36" t="s">
        <v>161</v>
      </c>
      <c r="BH2680" s="36">
        <v>4530</v>
      </c>
      <c r="BI2680" s="36">
        <v>960</v>
      </c>
      <c r="BM2680" s="407"/>
      <c r="BN2680" s="407"/>
      <c r="BR2680" s="407"/>
      <c r="BS2680" s="407"/>
      <c r="IQ2680" s="230"/>
    </row>
    <row r="2681" spans="1:251" s="126" customFormat="1" x14ac:dyDescent="0.25">
      <c r="A2681" s="126">
        <v>125</v>
      </c>
      <c r="B2681" s="126" t="s">
        <v>2800</v>
      </c>
      <c r="C2681" s="126" t="s">
        <v>2799</v>
      </c>
      <c r="D2681" s="126">
        <v>1996</v>
      </c>
      <c r="E2681" s="126">
        <v>1992</v>
      </c>
      <c r="F2681" s="126" t="s">
        <v>2711</v>
      </c>
      <c r="G2681" s="126" t="s">
        <v>2846</v>
      </c>
      <c r="H2681" s="37" t="s">
        <v>2843</v>
      </c>
      <c r="I2681" s="126">
        <v>-13.98</v>
      </c>
      <c r="J2681" s="126">
        <v>33.64</v>
      </c>
      <c r="K2681" s="126">
        <v>1155</v>
      </c>
      <c r="Q2681" s="478"/>
      <c r="R2681" s="478"/>
      <c r="S2681" s="478"/>
      <c r="T2681" s="478"/>
      <c r="U2681" s="478"/>
      <c r="V2681" s="478"/>
      <c r="W2681" s="478"/>
      <c r="X2681" s="478"/>
      <c r="Z2681" s="479"/>
      <c r="AA2681" s="479"/>
      <c r="AG2681" s="126" t="s">
        <v>2801</v>
      </c>
      <c r="AH2681" s="126" t="s">
        <v>578</v>
      </c>
      <c r="AQ2681" s="126" t="s">
        <v>339</v>
      </c>
      <c r="AR2681" s="126" t="s">
        <v>2794</v>
      </c>
      <c r="AT2681" s="126" t="s">
        <v>161</v>
      </c>
      <c r="BH2681" s="126">
        <v>400</v>
      </c>
      <c r="BI2681" s="126">
        <v>2570</v>
      </c>
      <c r="BM2681" s="481"/>
      <c r="BN2681" s="481"/>
      <c r="BR2681" s="481"/>
      <c r="BS2681" s="481"/>
      <c r="IQ2681" s="480"/>
    </row>
    <row r="2682" spans="1:251" s="126" customFormat="1" x14ac:dyDescent="0.25">
      <c r="A2682" s="126">
        <v>125</v>
      </c>
      <c r="B2682" s="126" t="s">
        <v>2800</v>
      </c>
      <c r="C2682" s="126" t="s">
        <v>2799</v>
      </c>
      <c r="D2682" s="126">
        <v>1996</v>
      </c>
      <c r="E2682" s="126">
        <v>1992</v>
      </c>
      <c r="F2682" s="126" t="s">
        <v>2711</v>
      </c>
      <c r="G2682" s="126" t="s">
        <v>2846</v>
      </c>
      <c r="H2682" s="37" t="s">
        <v>2843</v>
      </c>
      <c r="I2682" s="126">
        <v>-13.98</v>
      </c>
      <c r="J2682" s="126">
        <v>33.64</v>
      </c>
      <c r="K2682" s="126">
        <v>1155</v>
      </c>
      <c r="Q2682" s="478"/>
      <c r="R2682" s="478"/>
      <c r="S2682" s="478"/>
      <c r="T2682" s="478"/>
      <c r="U2682" s="478"/>
      <c r="V2682" s="478"/>
      <c r="W2682" s="478"/>
      <c r="X2682" s="478"/>
      <c r="Z2682" s="479"/>
      <c r="AA2682" s="479"/>
      <c r="AG2682" s="126" t="s">
        <v>2801</v>
      </c>
      <c r="AH2682" s="126" t="s">
        <v>578</v>
      </c>
      <c r="AQ2682" s="126" t="s">
        <v>2802</v>
      </c>
      <c r="AR2682" s="126" t="s">
        <v>2794</v>
      </c>
      <c r="AT2682" s="126" t="s">
        <v>161</v>
      </c>
      <c r="BH2682" s="126">
        <v>1930</v>
      </c>
      <c r="BI2682" s="126">
        <v>2570</v>
      </c>
      <c r="BM2682" s="481"/>
      <c r="BN2682" s="481"/>
      <c r="BR2682" s="481"/>
      <c r="BS2682" s="481"/>
      <c r="IQ2682" s="480"/>
    </row>
    <row r="2683" spans="1:251" s="90" customFormat="1" x14ac:dyDescent="0.25">
      <c r="A2683" s="90">
        <v>125</v>
      </c>
      <c r="B2683" s="90" t="s">
        <v>2800</v>
      </c>
      <c r="C2683" s="90" t="s">
        <v>2799</v>
      </c>
      <c r="D2683" s="90">
        <v>1996</v>
      </c>
      <c r="E2683" s="90">
        <v>1990</v>
      </c>
      <c r="F2683" s="90" t="s">
        <v>2711</v>
      </c>
      <c r="G2683" s="90" t="s">
        <v>2846</v>
      </c>
      <c r="H2683" s="90" t="s">
        <v>2843</v>
      </c>
      <c r="I2683" s="90">
        <v>-13.98</v>
      </c>
      <c r="J2683" s="90">
        <v>33.64</v>
      </c>
      <c r="K2683" s="90">
        <v>1155</v>
      </c>
      <c r="Q2683" s="91"/>
      <c r="R2683" s="91"/>
      <c r="S2683" s="91"/>
      <c r="T2683" s="91"/>
      <c r="U2683" s="91"/>
      <c r="V2683" s="91"/>
      <c r="W2683" s="91"/>
      <c r="X2683" s="91"/>
      <c r="Z2683" s="348"/>
      <c r="AA2683" s="348"/>
      <c r="AG2683" s="90" t="s">
        <v>2803</v>
      </c>
      <c r="AH2683" s="90" t="s">
        <v>578</v>
      </c>
      <c r="AQ2683" s="90" t="s">
        <v>339</v>
      </c>
      <c r="AR2683" s="90" t="s">
        <v>2794</v>
      </c>
      <c r="AT2683" s="90" t="s">
        <v>161</v>
      </c>
      <c r="BH2683" s="90">
        <v>1110</v>
      </c>
      <c r="BI2683" s="90">
        <v>1300</v>
      </c>
      <c r="BM2683" s="423"/>
      <c r="BN2683" s="423"/>
      <c r="BR2683" s="423"/>
      <c r="BS2683" s="423"/>
      <c r="IQ2683" s="505"/>
    </row>
    <row r="2684" spans="1:251" s="90" customFormat="1" x14ac:dyDescent="0.25">
      <c r="A2684" s="90">
        <v>125</v>
      </c>
      <c r="B2684" s="90" t="s">
        <v>2800</v>
      </c>
      <c r="C2684" s="90" t="s">
        <v>2799</v>
      </c>
      <c r="D2684" s="90">
        <v>1996</v>
      </c>
      <c r="E2684" s="90">
        <v>1990</v>
      </c>
      <c r="F2684" s="90" t="s">
        <v>2711</v>
      </c>
      <c r="G2684" s="90" t="s">
        <v>2846</v>
      </c>
      <c r="H2684" s="90" t="s">
        <v>2843</v>
      </c>
      <c r="I2684" s="90">
        <v>-13.98</v>
      </c>
      <c r="J2684" s="90">
        <v>33.64</v>
      </c>
      <c r="K2684" s="90">
        <v>1155</v>
      </c>
      <c r="Q2684" s="91"/>
      <c r="R2684" s="91"/>
      <c r="S2684" s="91"/>
      <c r="T2684" s="91"/>
      <c r="U2684" s="91"/>
      <c r="V2684" s="91"/>
      <c r="W2684" s="91"/>
      <c r="X2684" s="91"/>
      <c r="Z2684" s="348"/>
      <c r="AA2684" s="348"/>
      <c r="AG2684" s="90" t="s">
        <v>2803</v>
      </c>
      <c r="AH2684" s="90" t="s">
        <v>578</v>
      </c>
      <c r="AQ2684" s="90" t="s">
        <v>2802</v>
      </c>
      <c r="AR2684" s="90" t="s">
        <v>2794</v>
      </c>
      <c r="AT2684" s="90" t="s">
        <v>161</v>
      </c>
      <c r="BH2684" s="90">
        <v>2080</v>
      </c>
      <c r="BI2684" s="90">
        <v>1300</v>
      </c>
      <c r="BM2684" s="423"/>
      <c r="BN2684" s="423"/>
      <c r="BR2684" s="423"/>
      <c r="BS2684" s="423"/>
      <c r="IQ2684" s="505"/>
    </row>
    <row r="2685" spans="1:251" s="92" customFormat="1" x14ac:dyDescent="0.25">
      <c r="A2685" s="92">
        <v>125</v>
      </c>
      <c r="B2685" s="92" t="s">
        <v>2800</v>
      </c>
      <c r="C2685" s="92" t="s">
        <v>2799</v>
      </c>
      <c r="D2685" s="92">
        <v>1996</v>
      </c>
      <c r="E2685" s="92">
        <v>1991</v>
      </c>
      <c r="F2685" s="92" t="s">
        <v>2711</v>
      </c>
      <c r="G2685" s="90" t="s">
        <v>2846</v>
      </c>
      <c r="H2685" s="90" t="s">
        <v>2843</v>
      </c>
      <c r="I2685" s="92">
        <v>-13.98</v>
      </c>
      <c r="J2685" s="92">
        <v>33.64</v>
      </c>
      <c r="K2685" s="92">
        <v>1155</v>
      </c>
      <c r="Q2685" s="93"/>
      <c r="R2685" s="93"/>
      <c r="S2685" s="93"/>
      <c r="T2685" s="93"/>
      <c r="U2685" s="93"/>
      <c r="V2685" s="93"/>
      <c r="W2685" s="93"/>
      <c r="X2685" s="93"/>
      <c r="Z2685" s="349"/>
      <c r="AA2685" s="349"/>
      <c r="AG2685" s="92" t="s">
        <v>2803</v>
      </c>
      <c r="AH2685" s="92" t="s">
        <v>578</v>
      </c>
      <c r="AQ2685" s="92" t="s">
        <v>339</v>
      </c>
      <c r="AR2685" s="92" t="s">
        <v>2794</v>
      </c>
      <c r="AT2685" s="92" t="s">
        <v>161</v>
      </c>
      <c r="BH2685" s="92">
        <v>820</v>
      </c>
      <c r="BI2685" s="92">
        <v>990</v>
      </c>
      <c r="BM2685" s="424"/>
      <c r="BN2685" s="424"/>
      <c r="BR2685" s="424"/>
      <c r="BS2685" s="424"/>
      <c r="IQ2685" s="259"/>
    </row>
    <row r="2686" spans="1:251" s="92" customFormat="1" x14ac:dyDescent="0.25">
      <c r="A2686" s="92">
        <v>125</v>
      </c>
      <c r="B2686" s="92" t="s">
        <v>2800</v>
      </c>
      <c r="C2686" s="92" t="s">
        <v>2799</v>
      </c>
      <c r="D2686" s="92">
        <v>1996</v>
      </c>
      <c r="E2686" s="92">
        <v>1991</v>
      </c>
      <c r="F2686" s="92" t="s">
        <v>2711</v>
      </c>
      <c r="G2686" s="90" t="s">
        <v>2846</v>
      </c>
      <c r="H2686" s="90" t="s">
        <v>2843</v>
      </c>
      <c r="I2686" s="92">
        <v>-13.98</v>
      </c>
      <c r="J2686" s="92">
        <v>33.64</v>
      </c>
      <c r="K2686" s="92">
        <v>1155</v>
      </c>
      <c r="Q2686" s="93"/>
      <c r="R2686" s="93"/>
      <c r="S2686" s="93"/>
      <c r="T2686" s="93"/>
      <c r="U2686" s="93"/>
      <c r="V2686" s="93"/>
      <c r="W2686" s="93"/>
      <c r="X2686" s="93"/>
      <c r="Z2686" s="349"/>
      <c r="AA2686" s="349"/>
      <c r="AG2686" s="92" t="s">
        <v>2803</v>
      </c>
      <c r="AH2686" s="92" t="s">
        <v>578</v>
      </c>
      <c r="AQ2686" s="92" t="s">
        <v>2802</v>
      </c>
      <c r="AR2686" s="92" t="s">
        <v>2794</v>
      </c>
      <c r="AT2686" s="92" t="s">
        <v>161</v>
      </c>
      <c r="BH2686" s="92">
        <v>4530</v>
      </c>
      <c r="BI2686" s="92">
        <v>990</v>
      </c>
      <c r="BM2686" s="424"/>
      <c r="BN2686" s="424"/>
      <c r="BR2686" s="424"/>
      <c r="BS2686" s="424"/>
      <c r="IQ2686" s="259"/>
    </row>
    <row r="2687" spans="1:251" s="506" customFormat="1" x14ac:dyDescent="0.25">
      <c r="A2687" s="506">
        <v>125</v>
      </c>
      <c r="B2687" s="506" t="s">
        <v>2800</v>
      </c>
      <c r="C2687" s="506" t="s">
        <v>2799</v>
      </c>
      <c r="D2687" s="506">
        <v>1996</v>
      </c>
      <c r="E2687" s="506">
        <v>1992</v>
      </c>
      <c r="F2687" s="506" t="s">
        <v>2711</v>
      </c>
      <c r="G2687" s="90" t="s">
        <v>2846</v>
      </c>
      <c r="H2687" s="90" t="s">
        <v>2843</v>
      </c>
      <c r="I2687" s="506">
        <v>-13.98</v>
      </c>
      <c r="J2687" s="506">
        <v>33.64</v>
      </c>
      <c r="K2687" s="506">
        <v>1155</v>
      </c>
      <c r="Q2687" s="507"/>
      <c r="R2687" s="507"/>
      <c r="S2687" s="507"/>
      <c r="T2687" s="507"/>
      <c r="U2687" s="507"/>
      <c r="V2687" s="507"/>
      <c r="W2687" s="507"/>
      <c r="X2687" s="507"/>
      <c r="Z2687" s="508"/>
      <c r="AA2687" s="508"/>
      <c r="AG2687" s="506" t="s">
        <v>2803</v>
      </c>
      <c r="AH2687" s="506" t="s">
        <v>578</v>
      </c>
      <c r="AQ2687" s="506" t="s">
        <v>339</v>
      </c>
      <c r="AR2687" s="506" t="s">
        <v>2794</v>
      </c>
      <c r="AT2687" s="506" t="s">
        <v>161</v>
      </c>
      <c r="BH2687" s="506">
        <v>400</v>
      </c>
      <c r="BI2687" s="506">
        <v>1180</v>
      </c>
      <c r="BM2687" s="509"/>
      <c r="BN2687" s="509"/>
      <c r="BR2687" s="509"/>
      <c r="BS2687" s="509"/>
      <c r="IQ2687" s="510"/>
    </row>
    <row r="2688" spans="1:251" s="506" customFormat="1" x14ac:dyDescent="0.25">
      <c r="A2688" s="506">
        <v>125</v>
      </c>
      <c r="B2688" s="506" t="s">
        <v>2800</v>
      </c>
      <c r="C2688" s="506" t="s">
        <v>2799</v>
      </c>
      <c r="D2688" s="506">
        <v>1996</v>
      </c>
      <c r="E2688" s="506">
        <v>1992</v>
      </c>
      <c r="F2688" s="506" t="s">
        <v>2711</v>
      </c>
      <c r="G2688" s="90" t="s">
        <v>2846</v>
      </c>
      <c r="H2688" s="90" t="s">
        <v>2843</v>
      </c>
      <c r="I2688" s="506">
        <v>-13.98</v>
      </c>
      <c r="J2688" s="506">
        <v>33.64</v>
      </c>
      <c r="K2688" s="506">
        <v>1155</v>
      </c>
      <c r="Q2688" s="507"/>
      <c r="R2688" s="507"/>
      <c r="S2688" s="507"/>
      <c r="T2688" s="507"/>
      <c r="U2688" s="507"/>
      <c r="V2688" s="507"/>
      <c r="W2688" s="507"/>
      <c r="X2688" s="507"/>
      <c r="Z2688" s="508"/>
      <c r="AA2688" s="508"/>
      <c r="AG2688" s="506" t="s">
        <v>2803</v>
      </c>
      <c r="AH2688" s="506" t="s">
        <v>578</v>
      </c>
      <c r="AQ2688" s="506" t="s">
        <v>2802</v>
      </c>
      <c r="AR2688" s="506" t="s">
        <v>2794</v>
      </c>
      <c r="AT2688" s="506" t="s">
        <v>161</v>
      </c>
      <c r="BH2688" s="506">
        <v>1930</v>
      </c>
      <c r="BI2688" s="506">
        <v>1180</v>
      </c>
      <c r="BM2688" s="509"/>
      <c r="BN2688" s="509"/>
      <c r="BR2688" s="509"/>
      <c r="BS2688" s="509"/>
      <c r="IQ2688" s="510"/>
    </row>
    <row r="2689" spans="1:251" s="36" customFormat="1" x14ac:dyDescent="0.25">
      <c r="A2689" s="36">
        <v>125</v>
      </c>
      <c r="B2689" s="36" t="s">
        <v>2800</v>
      </c>
      <c r="C2689" s="36" t="s">
        <v>2799</v>
      </c>
      <c r="D2689" s="36">
        <v>1996</v>
      </c>
      <c r="E2689" s="36">
        <v>1990</v>
      </c>
      <c r="F2689" s="36" t="s">
        <v>2711</v>
      </c>
      <c r="G2689" s="36" t="s">
        <v>2804</v>
      </c>
      <c r="H2689" s="36" t="s">
        <v>2847</v>
      </c>
      <c r="I2689" s="36">
        <v>3.85</v>
      </c>
      <c r="J2689" s="36">
        <v>11.5</v>
      </c>
      <c r="K2689" s="36">
        <v>719</v>
      </c>
      <c r="Q2689" s="51"/>
      <c r="R2689" s="51"/>
      <c r="S2689" s="51"/>
      <c r="T2689" s="51"/>
      <c r="U2689" s="51"/>
      <c r="V2689" s="51"/>
      <c r="W2689" s="51"/>
      <c r="X2689" s="51"/>
      <c r="Z2689" s="331"/>
      <c r="AA2689" s="331"/>
      <c r="AG2689" s="36" t="s">
        <v>2805</v>
      </c>
      <c r="AT2689" s="36" t="s">
        <v>161</v>
      </c>
      <c r="BH2689" s="36">
        <v>1520</v>
      </c>
      <c r="BI2689" s="36">
        <v>2130</v>
      </c>
      <c r="BJ2689" s="36">
        <v>380</v>
      </c>
      <c r="BK2689" s="36">
        <v>380</v>
      </c>
      <c r="BM2689" s="407"/>
      <c r="BN2689" s="407"/>
      <c r="BR2689" s="407"/>
      <c r="BS2689" s="407"/>
      <c r="IQ2689" s="230"/>
    </row>
    <row r="2690" spans="1:251" s="36" customFormat="1" x14ac:dyDescent="0.25">
      <c r="A2690" s="36">
        <v>125</v>
      </c>
      <c r="B2690" s="36" t="s">
        <v>2800</v>
      </c>
      <c r="C2690" s="36" t="s">
        <v>2799</v>
      </c>
      <c r="D2690" s="36">
        <v>1996</v>
      </c>
      <c r="E2690" s="36">
        <v>1991</v>
      </c>
      <c r="F2690" s="36" t="s">
        <v>2711</v>
      </c>
      <c r="G2690" s="36" t="s">
        <v>2804</v>
      </c>
      <c r="H2690" s="36" t="s">
        <v>2847</v>
      </c>
      <c r="I2690" s="36">
        <v>3.85</v>
      </c>
      <c r="J2690" s="36">
        <v>11.5</v>
      </c>
      <c r="K2690" s="36">
        <v>719</v>
      </c>
      <c r="Q2690" s="51"/>
      <c r="R2690" s="51"/>
      <c r="S2690" s="51"/>
      <c r="T2690" s="51"/>
      <c r="U2690" s="51"/>
      <c r="V2690" s="51"/>
      <c r="W2690" s="51"/>
      <c r="X2690" s="51"/>
      <c r="Z2690" s="331"/>
      <c r="AA2690" s="331"/>
      <c r="AG2690" s="36" t="s">
        <v>2805</v>
      </c>
      <c r="AT2690" s="36" t="s">
        <v>161</v>
      </c>
      <c r="BH2690" s="36">
        <v>2980</v>
      </c>
      <c r="BI2690" s="36">
        <v>3700</v>
      </c>
      <c r="BJ2690" s="36">
        <v>290</v>
      </c>
      <c r="BK2690" s="36">
        <v>290</v>
      </c>
      <c r="BM2690" s="407"/>
      <c r="BN2690" s="407"/>
      <c r="BR2690" s="407"/>
      <c r="BS2690" s="407"/>
      <c r="IQ2690" s="230"/>
    </row>
    <row r="2691" spans="1:251" s="36" customFormat="1" x14ac:dyDescent="0.25">
      <c r="A2691" s="36">
        <v>125</v>
      </c>
      <c r="B2691" s="36" t="s">
        <v>2800</v>
      </c>
      <c r="C2691" s="36" t="s">
        <v>2799</v>
      </c>
      <c r="D2691" s="36">
        <v>1996</v>
      </c>
      <c r="E2691" s="36">
        <v>1992</v>
      </c>
      <c r="F2691" s="36" t="s">
        <v>2711</v>
      </c>
      <c r="G2691" s="36" t="s">
        <v>2804</v>
      </c>
      <c r="H2691" s="36" t="s">
        <v>2847</v>
      </c>
      <c r="I2691" s="36">
        <v>3.85</v>
      </c>
      <c r="J2691" s="36">
        <v>11.5</v>
      </c>
      <c r="K2691" s="36">
        <v>719</v>
      </c>
      <c r="Q2691" s="51"/>
      <c r="R2691" s="51"/>
      <c r="S2691" s="51"/>
      <c r="T2691" s="51"/>
      <c r="U2691" s="51"/>
      <c r="V2691" s="51"/>
      <c r="W2691" s="51"/>
      <c r="X2691" s="51"/>
      <c r="Z2691" s="331"/>
      <c r="AA2691" s="331"/>
      <c r="AG2691" s="36" t="s">
        <v>2805</v>
      </c>
      <c r="AT2691" s="36" t="s">
        <v>161</v>
      </c>
      <c r="BH2691" s="36">
        <v>3540</v>
      </c>
      <c r="BI2691" s="36">
        <v>4790</v>
      </c>
      <c r="BJ2691" s="36">
        <v>350</v>
      </c>
      <c r="BK2691" s="36">
        <v>350</v>
      </c>
      <c r="BM2691" s="407"/>
      <c r="BN2691" s="407"/>
      <c r="BR2691" s="407"/>
      <c r="BS2691" s="407"/>
      <c r="IQ2691" s="230"/>
    </row>
    <row r="2692" spans="1:251" s="36" customFormat="1" x14ac:dyDescent="0.25">
      <c r="A2692" s="36">
        <v>125</v>
      </c>
      <c r="B2692" s="36" t="s">
        <v>2800</v>
      </c>
      <c r="C2692" s="36" t="s">
        <v>2799</v>
      </c>
      <c r="D2692" s="36">
        <v>1996</v>
      </c>
      <c r="E2692" s="36">
        <v>1993</v>
      </c>
      <c r="F2692" s="36" t="s">
        <v>2711</v>
      </c>
      <c r="G2692" s="36" t="s">
        <v>2804</v>
      </c>
      <c r="H2692" s="36" t="s">
        <v>2847</v>
      </c>
      <c r="I2692" s="36">
        <v>3.85</v>
      </c>
      <c r="J2692" s="36">
        <v>11.5</v>
      </c>
      <c r="K2692" s="36">
        <v>719</v>
      </c>
      <c r="Q2692" s="51"/>
      <c r="R2692" s="51"/>
      <c r="S2692" s="51"/>
      <c r="T2692" s="51"/>
      <c r="U2692" s="51"/>
      <c r="V2692" s="51"/>
      <c r="W2692" s="51"/>
      <c r="X2692" s="51"/>
      <c r="Z2692" s="331"/>
      <c r="AA2692" s="331"/>
      <c r="AG2692" s="36" t="s">
        <v>2805</v>
      </c>
      <c r="AT2692" s="36" t="s">
        <v>161</v>
      </c>
      <c r="BH2692" s="36">
        <v>2540</v>
      </c>
      <c r="BI2692" s="36">
        <v>5090</v>
      </c>
      <c r="BJ2692" s="36">
        <v>440</v>
      </c>
      <c r="BK2692" s="36">
        <v>440</v>
      </c>
      <c r="BM2692" s="407"/>
      <c r="BN2692" s="407"/>
      <c r="BR2692" s="407"/>
      <c r="BS2692" s="407"/>
      <c r="IQ2692" s="230"/>
    </row>
    <row r="2693" spans="1:251" s="36" customFormat="1" x14ac:dyDescent="0.25">
      <c r="A2693" s="36">
        <v>125</v>
      </c>
      <c r="B2693" s="36" t="s">
        <v>2800</v>
      </c>
      <c r="C2693" s="36" t="s">
        <v>2799</v>
      </c>
      <c r="D2693" s="36">
        <v>1996</v>
      </c>
      <c r="E2693" s="36">
        <v>1994</v>
      </c>
      <c r="F2693" s="36" t="s">
        <v>2711</v>
      </c>
      <c r="G2693" s="36" t="s">
        <v>2804</v>
      </c>
      <c r="H2693" s="36" t="s">
        <v>2847</v>
      </c>
      <c r="I2693" s="36">
        <v>3.85</v>
      </c>
      <c r="J2693" s="36">
        <v>11.5</v>
      </c>
      <c r="K2693" s="36">
        <v>719</v>
      </c>
      <c r="Q2693" s="51"/>
      <c r="R2693" s="51"/>
      <c r="S2693" s="51"/>
      <c r="T2693" s="51"/>
      <c r="U2693" s="51"/>
      <c r="V2693" s="51"/>
      <c r="W2693" s="51"/>
      <c r="X2693" s="51"/>
      <c r="Z2693" s="331"/>
      <c r="AA2693" s="331"/>
      <c r="AG2693" s="36" t="s">
        <v>2805</v>
      </c>
      <c r="AT2693" s="36" t="s">
        <v>161</v>
      </c>
      <c r="BH2693" s="36">
        <v>2170</v>
      </c>
      <c r="BI2693" s="36">
        <v>4550</v>
      </c>
      <c r="BJ2693" s="36">
        <v>140</v>
      </c>
      <c r="BK2693" s="36">
        <v>140</v>
      </c>
      <c r="BM2693" s="407"/>
      <c r="BN2693" s="407"/>
      <c r="BR2693" s="407"/>
      <c r="BS2693" s="407"/>
      <c r="IQ2693" s="230"/>
    </row>
    <row r="2694" spans="1:251" s="22" customFormat="1" x14ac:dyDescent="0.25">
      <c r="A2694" s="22">
        <v>125</v>
      </c>
      <c r="B2694" s="22" t="s">
        <v>2800</v>
      </c>
      <c r="C2694" s="22" t="s">
        <v>2799</v>
      </c>
      <c r="D2694" s="22">
        <v>1996</v>
      </c>
      <c r="E2694" s="22">
        <v>1992</v>
      </c>
      <c r="F2694" s="22" t="s">
        <v>2711</v>
      </c>
      <c r="G2694" s="22" t="s">
        <v>2806</v>
      </c>
      <c r="H2694" s="22" t="s">
        <v>2848</v>
      </c>
      <c r="I2694" s="22">
        <v>-5.9</v>
      </c>
      <c r="J2694" s="22">
        <v>-76.14</v>
      </c>
      <c r="K2694" s="22">
        <v>135.4</v>
      </c>
      <c r="N2694" s="22">
        <v>2200</v>
      </c>
      <c r="Q2694" s="45" t="s">
        <v>2825</v>
      </c>
      <c r="R2694" s="45" t="s">
        <v>2826</v>
      </c>
      <c r="S2694" s="45"/>
      <c r="T2694" s="45"/>
      <c r="U2694" s="45"/>
      <c r="V2694" s="45"/>
      <c r="W2694" s="45"/>
      <c r="X2694" s="45"/>
      <c r="Z2694" s="325"/>
      <c r="AA2694" s="325"/>
      <c r="AF2694" s="22" t="s">
        <v>2819</v>
      </c>
      <c r="AG2694" s="22" t="s">
        <v>2814</v>
      </c>
      <c r="AH2694" s="22" t="s">
        <v>578</v>
      </c>
      <c r="AT2694" s="22" t="s">
        <v>161</v>
      </c>
      <c r="BM2694" s="399"/>
      <c r="BN2694" s="399"/>
      <c r="BR2694" s="399"/>
      <c r="BS2694" s="399"/>
      <c r="EE2694" s="22">
        <v>79</v>
      </c>
      <c r="EF2694" s="22">
        <v>6</v>
      </c>
      <c r="EI2694" s="22" t="s">
        <v>2827</v>
      </c>
      <c r="EK2694" s="22">
        <v>347</v>
      </c>
      <c r="EL2694" s="22">
        <v>60</v>
      </c>
      <c r="EN2694" s="22" t="s">
        <v>2828</v>
      </c>
      <c r="IQ2694" s="276"/>
    </row>
    <row r="2695" spans="1:251" s="22" customFormat="1" x14ac:dyDescent="0.25">
      <c r="A2695" s="22">
        <v>125</v>
      </c>
      <c r="B2695" s="22" t="s">
        <v>2800</v>
      </c>
      <c r="C2695" s="22" t="s">
        <v>2799</v>
      </c>
      <c r="D2695" s="22">
        <v>1996</v>
      </c>
      <c r="E2695" s="22">
        <v>1988</v>
      </c>
      <c r="F2695" s="22" t="s">
        <v>2711</v>
      </c>
      <c r="G2695" s="22" t="s">
        <v>2807</v>
      </c>
      <c r="H2695" s="22" t="s">
        <v>2849</v>
      </c>
      <c r="I2695" s="22">
        <v>-6.44</v>
      </c>
      <c r="J2695" s="22">
        <v>106.75</v>
      </c>
      <c r="K2695" s="22">
        <v>104.9</v>
      </c>
      <c r="N2695" s="22">
        <v>2044</v>
      </c>
      <c r="Q2695" s="45" t="s">
        <v>1986</v>
      </c>
      <c r="R2695" s="45" t="s">
        <v>1986</v>
      </c>
      <c r="S2695" s="45"/>
      <c r="T2695" s="45"/>
      <c r="U2695" s="45"/>
      <c r="V2695" s="45"/>
      <c r="W2695" s="45"/>
      <c r="X2695" s="45"/>
      <c r="Z2695" s="325"/>
      <c r="AA2695" s="325"/>
      <c r="AF2695" s="22" t="s">
        <v>2820</v>
      </c>
      <c r="AG2695" s="22" t="s">
        <v>2813</v>
      </c>
      <c r="AH2695" s="22" t="s">
        <v>578</v>
      </c>
      <c r="AT2695" s="22" t="s">
        <v>161</v>
      </c>
      <c r="BM2695" s="399"/>
      <c r="BN2695" s="399"/>
      <c r="BR2695" s="399"/>
      <c r="BS2695" s="399"/>
      <c r="EE2695" s="22">
        <v>103</v>
      </c>
      <c r="EF2695" s="22">
        <v>11</v>
      </c>
      <c r="EI2695" s="22" t="s">
        <v>2827</v>
      </c>
      <c r="EK2695" s="22">
        <v>232</v>
      </c>
      <c r="EL2695" s="22">
        <v>56</v>
      </c>
      <c r="EN2695" s="22" t="s">
        <v>2828</v>
      </c>
      <c r="IQ2695" s="276"/>
    </row>
    <row r="2696" spans="1:251" s="22" customFormat="1" x14ac:dyDescent="0.25">
      <c r="A2696" s="22">
        <v>125</v>
      </c>
      <c r="B2696" s="22" t="s">
        <v>2800</v>
      </c>
      <c r="C2696" s="22" t="s">
        <v>2799</v>
      </c>
      <c r="D2696" s="22">
        <v>1996</v>
      </c>
      <c r="E2696" s="22">
        <v>1988</v>
      </c>
      <c r="F2696" s="22" t="s">
        <v>2711</v>
      </c>
      <c r="G2696" s="22" t="s">
        <v>2808</v>
      </c>
      <c r="H2696" s="22" t="s">
        <v>2850</v>
      </c>
      <c r="I2696" s="22">
        <v>14.17</v>
      </c>
      <c r="J2696" s="22">
        <v>121.17</v>
      </c>
      <c r="K2696" s="22">
        <v>238.2</v>
      </c>
      <c r="N2696" s="22">
        <v>2074</v>
      </c>
      <c r="Q2696" s="45" t="s">
        <v>1986</v>
      </c>
      <c r="R2696" s="45" t="s">
        <v>1986</v>
      </c>
      <c r="S2696" s="45"/>
      <c r="T2696" s="45"/>
      <c r="U2696" s="45"/>
      <c r="V2696" s="45"/>
      <c r="W2696" s="45"/>
      <c r="X2696" s="45"/>
      <c r="Z2696" s="325"/>
      <c r="AA2696" s="325"/>
      <c r="AF2696" s="22" t="s">
        <v>2821</v>
      </c>
      <c r="AG2696" s="22" t="s">
        <v>2815</v>
      </c>
      <c r="AH2696" s="22" t="s">
        <v>578</v>
      </c>
      <c r="AT2696" s="22" t="s">
        <v>161</v>
      </c>
      <c r="BM2696" s="399"/>
      <c r="BN2696" s="399"/>
      <c r="BR2696" s="399"/>
      <c r="BS2696" s="399"/>
      <c r="EE2696" s="22">
        <v>127</v>
      </c>
      <c r="EF2696" s="22">
        <v>3</v>
      </c>
      <c r="EI2696" s="22" t="s">
        <v>2827</v>
      </c>
      <c r="EK2696" s="22">
        <v>347</v>
      </c>
      <c r="EL2696" s="22">
        <v>75</v>
      </c>
      <c r="EN2696" s="22" t="s">
        <v>2828</v>
      </c>
      <c r="IQ2696" s="276"/>
    </row>
    <row r="2697" spans="1:251" s="22" customFormat="1" x14ac:dyDescent="0.25">
      <c r="A2697" s="22">
        <v>125</v>
      </c>
      <c r="B2697" s="22" t="s">
        <v>2800</v>
      </c>
      <c r="C2697" s="22" t="s">
        <v>2799</v>
      </c>
      <c r="D2697" s="22">
        <v>1996</v>
      </c>
      <c r="E2697" s="22">
        <v>1987</v>
      </c>
      <c r="F2697" s="22" t="s">
        <v>2711</v>
      </c>
      <c r="G2697" s="22" t="s">
        <v>2809</v>
      </c>
      <c r="H2697" s="22" t="s">
        <v>2839</v>
      </c>
      <c r="I2697" s="22">
        <v>7.41</v>
      </c>
      <c r="J2697" s="22">
        <v>3.95</v>
      </c>
      <c r="K2697" s="22">
        <v>187</v>
      </c>
      <c r="N2697" s="22">
        <v>1358</v>
      </c>
      <c r="Q2697" s="45" t="s">
        <v>1852</v>
      </c>
      <c r="R2697" s="45" t="s">
        <v>1852</v>
      </c>
      <c r="S2697" s="45"/>
      <c r="T2697" s="45"/>
      <c r="U2697" s="45"/>
      <c r="V2697" s="45"/>
      <c r="W2697" s="45"/>
      <c r="X2697" s="45"/>
      <c r="Z2697" s="325"/>
      <c r="AA2697" s="325"/>
      <c r="AF2697" s="22" t="s">
        <v>2822</v>
      </c>
      <c r="AG2697" s="22" t="s">
        <v>2816</v>
      </c>
      <c r="AH2697" s="22" t="s">
        <v>578</v>
      </c>
      <c r="AT2697" s="22" t="s">
        <v>161</v>
      </c>
      <c r="BM2697" s="399"/>
      <c r="BN2697" s="399"/>
      <c r="BR2697" s="399"/>
      <c r="BS2697" s="399"/>
      <c r="EE2697" s="22">
        <v>5</v>
      </c>
      <c r="EF2697" s="22">
        <v>1</v>
      </c>
      <c r="EI2697" s="22" t="s">
        <v>2827</v>
      </c>
      <c r="EK2697" s="22">
        <v>252</v>
      </c>
      <c r="EL2697" s="22">
        <v>72</v>
      </c>
      <c r="EN2697" s="22" t="s">
        <v>2828</v>
      </c>
      <c r="IQ2697" s="276"/>
    </row>
    <row r="2698" spans="1:251" s="22" customFormat="1" x14ac:dyDescent="0.25">
      <c r="A2698" s="22">
        <v>125</v>
      </c>
      <c r="B2698" s="22" t="s">
        <v>2800</v>
      </c>
      <c r="C2698" s="22" t="s">
        <v>2799</v>
      </c>
      <c r="D2698" s="22">
        <v>1996</v>
      </c>
      <c r="E2698" s="22">
        <v>1990</v>
      </c>
      <c r="F2698" s="22" t="s">
        <v>2711</v>
      </c>
      <c r="G2698" s="22" t="s">
        <v>2810</v>
      </c>
      <c r="H2698" s="22" t="s">
        <v>2851</v>
      </c>
      <c r="I2698" s="22">
        <v>-2.61</v>
      </c>
      <c r="J2698" s="22">
        <v>29.72</v>
      </c>
      <c r="K2698" s="22">
        <v>1743</v>
      </c>
      <c r="N2698" s="22">
        <v>1279</v>
      </c>
      <c r="Q2698" s="45" t="s">
        <v>1867</v>
      </c>
      <c r="R2698" s="45" t="s">
        <v>1867</v>
      </c>
      <c r="S2698" s="45"/>
      <c r="T2698" s="45"/>
      <c r="U2698" s="45"/>
      <c r="V2698" s="45"/>
      <c r="W2698" s="45"/>
      <c r="X2698" s="45"/>
      <c r="Z2698" s="325"/>
      <c r="AA2698" s="325"/>
      <c r="AF2698" s="22" t="s">
        <v>2820</v>
      </c>
      <c r="AG2698" s="22" t="s">
        <v>2817</v>
      </c>
      <c r="AH2698" s="22" t="s">
        <v>1587</v>
      </c>
      <c r="AT2698" s="22" t="s">
        <v>161</v>
      </c>
      <c r="BM2698" s="399"/>
      <c r="BN2698" s="399"/>
      <c r="BR2698" s="399"/>
      <c r="BS2698" s="399"/>
      <c r="EE2698" s="22">
        <v>303</v>
      </c>
      <c r="EF2698" s="22">
        <v>7</v>
      </c>
      <c r="EI2698" s="22" t="s">
        <v>2827</v>
      </c>
      <c r="EK2698" s="22">
        <v>111</v>
      </c>
      <c r="EL2698" s="22">
        <f>(28+35)/2</f>
        <v>31.5</v>
      </c>
      <c r="EN2698" s="22" t="s">
        <v>2828</v>
      </c>
      <c r="IQ2698" s="276"/>
    </row>
    <row r="2699" spans="1:251" s="22" customFormat="1" x14ac:dyDescent="0.25">
      <c r="A2699" s="22">
        <v>125</v>
      </c>
      <c r="B2699" s="22" t="s">
        <v>2800</v>
      </c>
      <c r="C2699" s="22" t="s">
        <v>2799</v>
      </c>
      <c r="D2699" s="22">
        <v>1996</v>
      </c>
      <c r="E2699" s="22">
        <v>1992</v>
      </c>
      <c r="F2699" s="22" t="s">
        <v>2711</v>
      </c>
      <c r="G2699" s="22" t="s">
        <v>2811</v>
      </c>
      <c r="H2699" s="22" t="s">
        <v>2843</v>
      </c>
      <c r="I2699" s="22">
        <v>-14.86</v>
      </c>
      <c r="J2699" s="22">
        <v>34.229999999999997</v>
      </c>
      <c r="K2699" s="22">
        <v>1034.3</v>
      </c>
      <c r="N2699" s="22">
        <v>1125</v>
      </c>
      <c r="Q2699" s="45" t="s">
        <v>1852</v>
      </c>
      <c r="R2699" s="45" t="s">
        <v>1852</v>
      </c>
      <c r="S2699" s="45"/>
      <c r="T2699" s="45"/>
      <c r="U2699" s="45"/>
      <c r="V2699" s="45"/>
      <c r="W2699" s="45"/>
      <c r="X2699" s="45"/>
      <c r="Z2699" s="325"/>
      <c r="AA2699" s="325"/>
      <c r="AF2699" s="22" t="s">
        <v>2823</v>
      </c>
      <c r="AG2699" s="22" t="s">
        <v>2816</v>
      </c>
      <c r="AH2699" s="22" t="s">
        <v>578</v>
      </c>
      <c r="AT2699" s="22" t="s">
        <v>161</v>
      </c>
      <c r="BM2699" s="399"/>
      <c r="BN2699" s="399"/>
      <c r="BR2699" s="399"/>
      <c r="BS2699" s="399"/>
      <c r="EE2699" s="22">
        <v>44</v>
      </c>
      <c r="EF2699" s="22">
        <v>2</v>
      </c>
      <c r="EI2699" s="22" t="s">
        <v>2827</v>
      </c>
      <c r="EN2699" s="22" t="s">
        <v>2828</v>
      </c>
      <c r="IQ2699" s="276"/>
    </row>
    <row r="2700" spans="1:251" s="22" customFormat="1" x14ac:dyDescent="0.25">
      <c r="A2700" s="22">
        <v>125</v>
      </c>
      <c r="B2700" s="22" t="s">
        <v>2800</v>
      </c>
      <c r="C2700" s="22" t="s">
        <v>2799</v>
      </c>
      <c r="D2700" s="22">
        <v>1996</v>
      </c>
      <c r="E2700" s="22">
        <v>1991</v>
      </c>
      <c r="F2700" s="22" t="s">
        <v>2711</v>
      </c>
      <c r="G2700" s="22" t="s">
        <v>2812</v>
      </c>
      <c r="H2700" s="22" t="s">
        <v>2852</v>
      </c>
      <c r="I2700" s="22">
        <v>-1.51</v>
      </c>
      <c r="J2700" s="22">
        <v>37.25</v>
      </c>
      <c r="K2700" s="22">
        <v>1611</v>
      </c>
      <c r="N2700" s="22">
        <v>750</v>
      </c>
      <c r="Q2700" s="45" t="s">
        <v>1867</v>
      </c>
      <c r="R2700" s="45" t="s">
        <v>1867</v>
      </c>
      <c r="S2700" s="45"/>
      <c r="T2700" s="45"/>
      <c r="U2700" s="45"/>
      <c r="V2700" s="45"/>
      <c r="W2700" s="45"/>
      <c r="X2700" s="45"/>
      <c r="Z2700" s="325"/>
      <c r="AA2700" s="325"/>
      <c r="AF2700" s="22" t="s">
        <v>2824</v>
      </c>
      <c r="AG2700" s="22" t="s">
        <v>2818</v>
      </c>
      <c r="AH2700" s="22" t="s">
        <v>1587</v>
      </c>
      <c r="AT2700" s="22" t="s">
        <v>161</v>
      </c>
      <c r="BM2700" s="399"/>
      <c r="BN2700" s="399"/>
      <c r="BR2700" s="399"/>
      <c r="BS2700" s="399"/>
      <c r="EE2700" s="22">
        <v>19</v>
      </c>
      <c r="EF2700" s="22">
        <v>2</v>
      </c>
      <c r="EI2700" s="22" t="s">
        <v>2827</v>
      </c>
      <c r="EK2700" s="22">
        <v>21</v>
      </c>
      <c r="EL2700" s="22">
        <v>5</v>
      </c>
      <c r="EN2700" s="22" t="s">
        <v>2828</v>
      </c>
      <c r="IQ2700" s="276"/>
    </row>
    <row r="2701" spans="1:251" s="24" customFormat="1" x14ac:dyDescent="0.25">
      <c r="A2701" s="24">
        <v>126</v>
      </c>
      <c r="B2701" s="24" t="s">
        <v>2857</v>
      </c>
      <c r="C2701" s="24" t="s">
        <v>2858</v>
      </c>
      <c r="D2701" s="24">
        <v>1994</v>
      </c>
      <c r="E2701" s="24">
        <v>1986</v>
      </c>
      <c r="F2701" s="24" t="s">
        <v>2781</v>
      </c>
      <c r="G2701" s="24" t="s">
        <v>2859</v>
      </c>
      <c r="I2701" s="24">
        <f t="shared" ref="I2701:I2718" si="340">-14-17/60</f>
        <v>-14.283333333333333</v>
      </c>
      <c r="J2701" s="24">
        <f t="shared" ref="J2701:J2718" si="341">34+36/60</f>
        <v>34.6</v>
      </c>
      <c r="K2701" s="24">
        <v>1260</v>
      </c>
      <c r="O2701" s="24">
        <f t="shared" ref="O2701:O2718" si="342">(850+1400)/2</f>
        <v>1125</v>
      </c>
      <c r="Q2701" s="42" t="s">
        <v>1735</v>
      </c>
      <c r="R2701" s="42" t="s">
        <v>1991</v>
      </c>
      <c r="S2701" s="42"/>
      <c r="T2701" s="42" t="s">
        <v>2861</v>
      </c>
      <c r="U2701" s="42"/>
      <c r="V2701" s="42"/>
      <c r="W2701" s="42"/>
      <c r="X2701" s="42"/>
      <c r="Z2701" s="321"/>
      <c r="AA2701" s="321"/>
      <c r="AB2701" s="24" t="s">
        <v>241</v>
      </c>
      <c r="AF2701" s="24" t="s">
        <v>2860</v>
      </c>
      <c r="AG2701" s="24" t="s">
        <v>2862</v>
      </c>
      <c r="AH2701" s="24" t="s">
        <v>578</v>
      </c>
      <c r="AT2701" s="24" t="s">
        <v>161</v>
      </c>
      <c r="AU2701" s="24">
        <v>4</v>
      </c>
      <c r="BH2701" s="24">
        <v>815</v>
      </c>
      <c r="BI2701" s="24">
        <v>2479</v>
      </c>
      <c r="BM2701" s="395"/>
      <c r="BN2701" s="395"/>
      <c r="BR2701" s="395"/>
      <c r="BS2701" s="395"/>
      <c r="EE2701" s="24">
        <v>78</v>
      </c>
      <c r="EF2701" s="24">
        <v>3</v>
      </c>
      <c r="EI2701" s="24" t="s">
        <v>2827</v>
      </c>
      <c r="IQ2701" s="249"/>
    </row>
    <row r="2702" spans="1:251" s="24" customFormat="1" x14ac:dyDescent="0.25">
      <c r="A2702" s="24">
        <v>126</v>
      </c>
      <c r="B2702" s="24" t="s">
        <v>2857</v>
      </c>
      <c r="C2702" s="24" t="s">
        <v>2858</v>
      </c>
      <c r="D2702" s="24">
        <v>1994</v>
      </c>
      <c r="E2702" s="24">
        <v>1987</v>
      </c>
      <c r="F2702" s="24" t="s">
        <v>2781</v>
      </c>
      <c r="G2702" s="24" t="s">
        <v>2859</v>
      </c>
      <c r="I2702" s="24">
        <f t="shared" si="340"/>
        <v>-14.283333333333333</v>
      </c>
      <c r="J2702" s="24">
        <f t="shared" si="341"/>
        <v>34.6</v>
      </c>
      <c r="K2702" s="24">
        <v>1260</v>
      </c>
      <c r="O2702" s="24">
        <f t="shared" si="342"/>
        <v>1125</v>
      </c>
      <c r="Q2702" s="42" t="s">
        <v>1867</v>
      </c>
      <c r="R2702" s="42" t="s">
        <v>1991</v>
      </c>
      <c r="S2702" s="42"/>
      <c r="T2702" s="42" t="s">
        <v>2861</v>
      </c>
      <c r="U2702" s="42"/>
      <c r="V2702" s="42"/>
      <c r="W2702" s="42"/>
      <c r="X2702" s="42"/>
      <c r="Z2702" s="321"/>
      <c r="AA2702" s="321"/>
      <c r="AB2702" s="24" t="s">
        <v>241</v>
      </c>
      <c r="AF2702" s="24" t="s">
        <v>2860</v>
      </c>
      <c r="AG2702" s="24" t="s">
        <v>2862</v>
      </c>
      <c r="AH2702" s="24" t="s">
        <v>578</v>
      </c>
      <c r="AT2702" s="24" t="s">
        <v>161</v>
      </c>
      <c r="AU2702" s="24">
        <v>4</v>
      </c>
      <c r="BH2702" s="24">
        <v>455</v>
      </c>
      <c r="BI2702" s="24">
        <v>3818</v>
      </c>
      <c r="BM2702" s="395"/>
      <c r="BN2702" s="395"/>
      <c r="BR2702" s="395"/>
      <c r="BS2702" s="395"/>
      <c r="EE2702" s="24">
        <v>81.3</v>
      </c>
      <c r="EF2702" s="24">
        <v>1.6</v>
      </c>
      <c r="EI2702" s="24" t="s">
        <v>2827</v>
      </c>
      <c r="IQ2702" s="249"/>
    </row>
    <row r="2703" spans="1:251" s="24" customFormat="1" x14ac:dyDescent="0.25">
      <c r="A2703" s="24">
        <v>126</v>
      </c>
      <c r="B2703" s="24" t="s">
        <v>2857</v>
      </c>
      <c r="C2703" s="24" t="s">
        <v>2858</v>
      </c>
      <c r="D2703" s="24">
        <v>1994</v>
      </c>
      <c r="E2703" s="24">
        <v>1988</v>
      </c>
      <c r="F2703" s="24" t="s">
        <v>2781</v>
      </c>
      <c r="G2703" s="24" t="s">
        <v>2859</v>
      </c>
      <c r="I2703" s="24">
        <f t="shared" si="340"/>
        <v>-14.283333333333333</v>
      </c>
      <c r="J2703" s="24">
        <f t="shared" si="341"/>
        <v>34.6</v>
      </c>
      <c r="K2703" s="24">
        <v>1260</v>
      </c>
      <c r="O2703" s="24">
        <f t="shared" si="342"/>
        <v>1125</v>
      </c>
      <c r="Q2703" s="42" t="s">
        <v>1729</v>
      </c>
      <c r="R2703" s="42" t="s">
        <v>1991</v>
      </c>
      <c r="S2703" s="42"/>
      <c r="T2703" s="42" t="s">
        <v>2861</v>
      </c>
      <c r="U2703" s="42"/>
      <c r="V2703" s="42"/>
      <c r="W2703" s="42"/>
      <c r="X2703" s="42"/>
      <c r="Z2703" s="321"/>
      <c r="AA2703" s="321"/>
      <c r="AB2703" s="24" t="s">
        <v>241</v>
      </c>
      <c r="AF2703" s="24" t="s">
        <v>2860</v>
      </c>
      <c r="AG2703" s="24" t="s">
        <v>2862</v>
      </c>
      <c r="AH2703" s="24" t="s">
        <v>578</v>
      </c>
      <c r="AT2703" s="24" t="s">
        <v>161</v>
      </c>
      <c r="AU2703" s="24">
        <v>4</v>
      </c>
      <c r="BM2703" s="395"/>
      <c r="BN2703" s="395"/>
      <c r="BR2703" s="395"/>
      <c r="BS2703" s="395"/>
      <c r="EE2703" s="24">
        <v>30.4</v>
      </c>
      <c r="EF2703" s="24">
        <v>0.8</v>
      </c>
      <c r="EI2703" s="24" t="s">
        <v>2827</v>
      </c>
      <c r="IQ2703" s="249"/>
    </row>
    <row r="2704" spans="1:251" s="24" customFormat="1" x14ac:dyDescent="0.25">
      <c r="A2704" s="24">
        <v>126</v>
      </c>
      <c r="B2704" s="24" t="s">
        <v>2857</v>
      </c>
      <c r="C2704" s="24" t="s">
        <v>2858</v>
      </c>
      <c r="D2704" s="24">
        <v>1994</v>
      </c>
      <c r="E2704" s="24">
        <v>1989</v>
      </c>
      <c r="F2704" s="24" t="s">
        <v>2781</v>
      </c>
      <c r="G2704" s="24" t="s">
        <v>2859</v>
      </c>
      <c r="I2704" s="24">
        <f t="shared" si="340"/>
        <v>-14.283333333333333</v>
      </c>
      <c r="J2704" s="24">
        <f t="shared" si="341"/>
        <v>34.6</v>
      </c>
      <c r="K2704" s="24">
        <v>1260</v>
      </c>
      <c r="O2704" s="24">
        <f t="shared" si="342"/>
        <v>1125</v>
      </c>
      <c r="Q2704" s="42" t="s">
        <v>1852</v>
      </c>
      <c r="R2704" s="42" t="s">
        <v>1991</v>
      </c>
      <c r="S2704" s="42"/>
      <c r="T2704" s="42" t="s">
        <v>2861</v>
      </c>
      <c r="U2704" s="42"/>
      <c r="V2704" s="42"/>
      <c r="W2704" s="42"/>
      <c r="X2704" s="42"/>
      <c r="Z2704" s="321"/>
      <c r="AA2704" s="321"/>
      <c r="AB2704" s="24" t="s">
        <v>241</v>
      </c>
      <c r="AF2704" s="24" t="s">
        <v>2860</v>
      </c>
      <c r="AG2704" s="24" t="s">
        <v>2862</v>
      </c>
      <c r="AH2704" s="24" t="s">
        <v>578</v>
      </c>
      <c r="AT2704" s="24" t="s">
        <v>161</v>
      </c>
      <c r="AU2704" s="24">
        <v>4</v>
      </c>
      <c r="BH2704" s="24">
        <v>318</v>
      </c>
      <c r="BI2704" s="24">
        <v>4106</v>
      </c>
      <c r="BM2704" s="395"/>
      <c r="BN2704" s="395"/>
      <c r="BR2704" s="395"/>
      <c r="BS2704" s="395"/>
      <c r="EE2704" s="24">
        <v>23.2</v>
      </c>
      <c r="EF2704" s="24">
        <v>0.8</v>
      </c>
      <c r="EI2704" s="24" t="s">
        <v>2827</v>
      </c>
      <c r="IQ2704" s="249"/>
    </row>
    <row r="2705" spans="1:251" s="24" customFormat="1" x14ac:dyDescent="0.25">
      <c r="A2705" s="24">
        <v>126</v>
      </c>
      <c r="B2705" s="24" t="s">
        <v>2857</v>
      </c>
      <c r="C2705" s="24" t="s">
        <v>2858</v>
      </c>
      <c r="D2705" s="24">
        <v>1994</v>
      </c>
      <c r="E2705" s="24">
        <v>1990</v>
      </c>
      <c r="F2705" s="24" t="s">
        <v>2781</v>
      </c>
      <c r="G2705" s="24" t="s">
        <v>2859</v>
      </c>
      <c r="I2705" s="24">
        <f t="shared" si="340"/>
        <v>-14.283333333333333</v>
      </c>
      <c r="J2705" s="24">
        <f t="shared" si="341"/>
        <v>34.6</v>
      </c>
      <c r="K2705" s="24">
        <v>1260</v>
      </c>
      <c r="O2705" s="24">
        <f t="shared" si="342"/>
        <v>1125</v>
      </c>
      <c r="Q2705" s="42" t="s">
        <v>1741</v>
      </c>
      <c r="R2705" s="42" t="s">
        <v>1991</v>
      </c>
      <c r="S2705" s="42"/>
      <c r="T2705" s="42" t="s">
        <v>2861</v>
      </c>
      <c r="U2705" s="42"/>
      <c r="V2705" s="42"/>
      <c r="W2705" s="42"/>
      <c r="X2705" s="42"/>
      <c r="Z2705" s="321"/>
      <c r="AA2705" s="321"/>
      <c r="AB2705" s="24" t="s">
        <v>241</v>
      </c>
      <c r="AF2705" s="24" t="s">
        <v>2860</v>
      </c>
      <c r="AG2705" s="24" t="s">
        <v>2862</v>
      </c>
      <c r="AH2705" s="24" t="s">
        <v>578</v>
      </c>
      <c r="AT2705" s="24" t="s">
        <v>161</v>
      </c>
      <c r="AU2705" s="24">
        <v>4</v>
      </c>
      <c r="BH2705" s="24">
        <v>309</v>
      </c>
      <c r="BI2705" s="24">
        <v>2143</v>
      </c>
      <c r="BM2705" s="395"/>
      <c r="BN2705" s="395"/>
      <c r="BR2705" s="395"/>
      <c r="BS2705" s="395"/>
      <c r="EE2705" s="24">
        <v>32</v>
      </c>
      <c r="EF2705" s="24">
        <v>1.7</v>
      </c>
      <c r="EI2705" s="24" t="s">
        <v>2827</v>
      </c>
      <c r="IQ2705" s="249"/>
    </row>
    <row r="2706" spans="1:251" s="24" customFormat="1" x14ac:dyDescent="0.25">
      <c r="A2706" s="24">
        <v>126</v>
      </c>
      <c r="B2706" s="24" t="s">
        <v>2857</v>
      </c>
      <c r="C2706" s="24" t="s">
        <v>2858</v>
      </c>
      <c r="D2706" s="24">
        <v>1994</v>
      </c>
      <c r="E2706" s="24">
        <v>1991</v>
      </c>
      <c r="F2706" s="24" t="s">
        <v>2781</v>
      </c>
      <c r="G2706" s="24" t="s">
        <v>2859</v>
      </c>
      <c r="I2706" s="24">
        <f t="shared" si="340"/>
        <v>-14.283333333333333</v>
      </c>
      <c r="J2706" s="24">
        <f t="shared" si="341"/>
        <v>34.6</v>
      </c>
      <c r="K2706" s="24">
        <v>1260</v>
      </c>
      <c r="O2706" s="24">
        <f t="shared" si="342"/>
        <v>1125</v>
      </c>
      <c r="Q2706" s="42" t="s">
        <v>1991</v>
      </c>
      <c r="R2706" s="42" t="s">
        <v>1991</v>
      </c>
      <c r="S2706" s="42"/>
      <c r="T2706" s="42" t="s">
        <v>2861</v>
      </c>
      <c r="U2706" s="42"/>
      <c r="V2706" s="42"/>
      <c r="W2706" s="42"/>
      <c r="X2706" s="42"/>
      <c r="Z2706" s="321"/>
      <c r="AA2706" s="321"/>
      <c r="AB2706" s="24" t="s">
        <v>241</v>
      </c>
      <c r="AF2706" s="24" t="s">
        <v>2860</v>
      </c>
      <c r="AG2706" s="24" t="s">
        <v>2862</v>
      </c>
      <c r="AH2706" s="24" t="s">
        <v>578</v>
      </c>
      <c r="AT2706" s="24" t="s">
        <v>161</v>
      </c>
      <c r="AU2706" s="24">
        <v>4</v>
      </c>
      <c r="BH2706" s="24">
        <v>152</v>
      </c>
      <c r="BI2706" s="24">
        <v>2295</v>
      </c>
      <c r="BM2706" s="395"/>
      <c r="BN2706" s="395"/>
      <c r="BR2706" s="395"/>
      <c r="BS2706" s="395"/>
      <c r="EE2706" s="24">
        <v>21.6</v>
      </c>
      <c r="EF2706" s="24">
        <v>1.7</v>
      </c>
      <c r="EI2706" s="24" t="s">
        <v>2827</v>
      </c>
      <c r="IQ2706" s="249"/>
    </row>
    <row r="2707" spans="1:251" s="32" customFormat="1" x14ac:dyDescent="0.25">
      <c r="A2707" s="32">
        <v>126</v>
      </c>
      <c r="B2707" s="32" t="s">
        <v>2857</v>
      </c>
      <c r="C2707" s="32" t="s">
        <v>2858</v>
      </c>
      <c r="D2707" s="32">
        <v>1994</v>
      </c>
      <c r="E2707" s="32">
        <v>1986</v>
      </c>
      <c r="F2707" s="32" t="s">
        <v>2781</v>
      </c>
      <c r="G2707" s="32" t="s">
        <v>2859</v>
      </c>
      <c r="I2707" s="32">
        <f t="shared" si="340"/>
        <v>-14.283333333333333</v>
      </c>
      <c r="J2707" s="32">
        <f t="shared" si="341"/>
        <v>34.6</v>
      </c>
      <c r="K2707" s="32">
        <v>1260</v>
      </c>
      <c r="O2707" s="32">
        <f t="shared" si="342"/>
        <v>1125</v>
      </c>
      <c r="Q2707" s="44" t="s">
        <v>1735</v>
      </c>
      <c r="R2707" s="44" t="s">
        <v>1991</v>
      </c>
      <c r="S2707" s="44"/>
      <c r="T2707" s="44" t="s">
        <v>2861</v>
      </c>
      <c r="U2707" s="44"/>
      <c r="V2707" s="44"/>
      <c r="W2707" s="44"/>
      <c r="X2707" s="44"/>
      <c r="Z2707" s="323"/>
      <c r="AA2707" s="323"/>
      <c r="AB2707" s="32" t="s">
        <v>241</v>
      </c>
      <c r="AF2707" s="32" t="s">
        <v>2860</v>
      </c>
      <c r="AG2707" s="32" t="s">
        <v>2863</v>
      </c>
      <c r="AH2707" s="32" t="s">
        <v>578</v>
      </c>
      <c r="AT2707" s="32" t="s">
        <v>161</v>
      </c>
      <c r="AU2707" s="32">
        <v>4</v>
      </c>
      <c r="BH2707" s="32">
        <v>815</v>
      </c>
      <c r="BI2707" s="32">
        <v>2033</v>
      </c>
      <c r="BM2707" s="397"/>
      <c r="BN2707" s="397"/>
      <c r="BR2707" s="397"/>
      <c r="BS2707" s="397"/>
      <c r="EE2707" s="32">
        <v>78</v>
      </c>
      <c r="EF2707" s="32">
        <v>3.1</v>
      </c>
      <c r="EI2707" s="32" t="s">
        <v>2827</v>
      </c>
      <c r="IQ2707" s="243"/>
    </row>
    <row r="2708" spans="1:251" s="32" customFormat="1" x14ac:dyDescent="0.25">
      <c r="A2708" s="32">
        <v>126</v>
      </c>
      <c r="B2708" s="32" t="s">
        <v>2857</v>
      </c>
      <c r="C2708" s="32" t="s">
        <v>2858</v>
      </c>
      <c r="D2708" s="32">
        <v>1994</v>
      </c>
      <c r="E2708" s="32">
        <v>1987</v>
      </c>
      <c r="F2708" s="32" t="s">
        <v>2781</v>
      </c>
      <c r="G2708" s="32" t="s">
        <v>2859</v>
      </c>
      <c r="I2708" s="32">
        <f t="shared" si="340"/>
        <v>-14.283333333333333</v>
      </c>
      <c r="J2708" s="32">
        <f t="shared" si="341"/>
        <v>34.6</v>
      </c>
      <c r="K2708" s="32">
        <v>1260</v>
      </c>
      <c r="O2708" s="32">
        <f t="shared" si="342"/>
        <v>1125</v>
      </c>
      <c r="Q2708" s="44" t="s">
        <v>1867</v>
      </c>
      <c r="R2708" s="44" t="s">
        <v>1991</v>
      </c>
      <c r="S2708" s="44"/>
      <c r="T2708" s="44" t="s">
        <v>2861</v>
      </c>
      <c r="U2708" s="44"/>
      <c r="V2708" s="44"/>
      <c r="W2708" s="44"/>
      <c r="X2708" s="44"/>
      <c r="Z2708" s="323"/>
      <c r="AA2708" s="323"/>
      <c r="AB2708" s="32" t="s">
        <v>241</v>
      </c>
      <c r="AF2708" s="32" t="s">
        <v>2860</v>
      </c>
      <c r="AG2708" s="32" t="s">
        <v>2863</v>
      </c>
      <c r="AH2708" s="32" t="s">
        <v>578</v>
      </c>
      <c r="AT2708" s="32" t="s">
        <v>161</v>
      </c>
      <c r="AU2708" s="32">
        <v>4</v>
      </c>
      <c r="BH2708" s="32">
        <v>455</v>
      </c>
      <c r="BI2708" s="32">
        <v>1530</v>
      </c>
      <c r="BM2708" s="397"/>
      <c r="BN2708" s="397"/>
      <c r="BR2708" s="397"/>
      <c r="BS2708" s="397"/>
      <c r="EE2708" s="32">
        <v>81.3</v>
      </c>
      <c r="EF2708" s="32">
        <v>2.1</v>
      </c>
      <c r="EI2708" s="32" t="s">
        <v>2827</v>
      </c>
      <c r="IQ2708" s="243"/>
    </row>
    <row r="2709" spans="1:251" s="32" customFormat="1" x14ac:dyDescent="0.25">
      <c r="A2709" s="32">
        <v>126</v>
      </c>
      <c r="B2709" s="32" t="s">
        <v>2857</v>
      </c>
      <c r="C2709" s="32" t="s">
        <v>2858</v>
      </c>
      <c r="D2709" s="32">
        <v>1994</v>
      </c>
      <c r="E2709" s="32">
        <v>1988</v>
      </c>
      <c r="F2709" s="32" t="s">
        <v>2781</v>
      </c>
      <c r="G2709" s="32" t="s">
        <v>2859</v>
      </c>
      <c r="I2709" s="32">
        <f t="shared" si="340"/>
        <v>-14.283333333333333</v>
      </c>
      <c r="J2709" s="32">
        <f t="shared" si="341"/>
        <v>34.6</v>
      </c>
      <c r="K2709" s="32">
        <v>1260</v>
      </c>
      <c r="O2709" s="32">
        <f t="shared" si="342"/>
        <v>1125</v>
      </c>
      <c r="Q2709" s="44" t="s">
        <v>1729</v>
      </c>
      <c r="R2709" s="44" t="s">
        <v>1991</v>
      </c>
      <c r="S2709" s="44"/>
      <c r="T2709" s="44" t="s">
        <v>2861</v>
      </c>
      <c r="U2709" s="44"/>
      <c r="V2709" s="44"/>
      <c r="W2709" s="44"/>
      <c r="X2709" s="44"/>
      <c r="Z2709" s="323"/>
      <c r="AA2709" s="323"/>
      <c r="AB2709" s="32" t="s">
        <v>241</v>
      </c>
      <c r="AF2709" s="32" t="s">
        <v>2860</v>
      </c>
      <c r="AG2709" s="32" t="s">
        <v>2863</v>
      </c>
      <c r="AH2709" s="32" t="s">
        <v>578</v>
      </c>
      <c r="AT2709" s="32" t="s">
        <v>161</v>
      </c>
      <c r="AU2709" s="32">
        <v>4</v>
      </c>
      <c r="BM2709" s="397"/>
      <c r="BN2709" s="397"/>
      <c r="BR2709" s="397"/>
      <c r="BS2709" s="397"/>
      <c r="EE2709" s="32">
        <v>30.4</v>
      </c>
      <c r="EF2709" s="32">
        <v>1.2</v>
      </c>
      <c r="EI2709" s="32" t="s">
        <v>2827</v>
      </c>
      <c r="IQ2709" s="243"/>
    </row>
    <row r="2710" spans="1:251" s="32" customFormat="1" x14ac:dyDescent="0.25">
      <c r="A2710" s="32">
        <v>126</v>
      </c>
      <c r="B2710" s="32" t="s">
        <v>2857</v>
      </c>
      <c r="C2710" s="32" t="s">
        <v>2858</v>
      </c>
      <c r="D2710" s="32">
        <v>1994</v>
      </c>
      <c r="E2710" s="32">
        <v>1989</v>
      </c>
      <c r="F2710" s="32" t="s">
        <v>2781</v>
      </c>
      <c r="G2710" s="32" t="s">
        <v>2859</v>
      </c>
      <c r="I2710" s="32">
        <f t="shared" si="340"/>
        <v>-14.283333333333333</v>
      </c>
      <c r="J2710" s="32">
        <f t="shared" si="341"/>
        <v>34.6</v>
      </c>
      <c r="K2710" s="32">
        <v>1260</v>
      </c>
      <c r="O2710" s="32">
        <f t="shared" si="342"/>
        <v>1125</v>
      </c>
      <c r="Q2710" s="44" t="s">
        <v>1852</v>
      </c>
      <c r="R2710" s="44" t="s">
        <v>1991</v>
      </c>
      <c r="S2710" s="44"/>
      <c r="T2710" s="44" t="s">
        <v>2861</v>
      </c>
      <c r="U2710" s="44"/>
      <c r="V2710" s="44"/>
      <c r="W2710" s="44"/>
      <c r="X2710" s="44"/>
      <c r="Z2710" s="323"/>
      <c r="AA2710" s="323"/>
      <c r="AB2710" s="32" t="s">
        <v>241</v>
      </c>
      <c r="AF2710" s="32" t="s">
        <v>2860</v>
      </c>
      <c r="AG2710" s="32" t="s">
        <v>2863</v>
      </c>
      <c r="AH2710" s="32" t="s">
        <v>578</v>
      </c>
      <c r="AT2710" s="32" t="s">
        <v>161</v>
      </c>
      <c r="AU2710" s="32">
        <v>4</v>
      </c>
      <c r="BH2710" s="32">
        <v>318</v>
      </c>
      <c r="BI2710" s="32">
        <v>3652</v>
      </c>
      <c r="BM2710" s="397"/>
      <c r="BN2710" s="397"/>
      <c r="BR2710" s="397"/>
      <c r="BS2710" s="397"/>
      <c r="EE2710" s="32">
        <v>23.2</v>
      </c>
      <c r="EF2710" s="32">
        <v>3</v>
      </c>
      <c r="EI2710" s="32" t="s">
        <v>2827</v>
      </c>
      <c r="IQ2710" s="243"/>
    </row>
    <row r="2711" spans="1:251" s="32" customFormat="1" x14ac:dyDescent="0.25">
      <c r="A2711" s="32">
        <v>126</v>
      </c>
      <c r="B2711" s="32" t="s">
        <v>2857</v>
      </c>
      <c r="C2711" s="32" t="s">
        <v>2858</v>
      </c>
      <c r="D2711" s="32">
        <v>1994</v>
      </c>
      <c r="E2711" s="32">
        <v>1990</v>
      </c>
      <c r="F2711" s="32" t="s">
        <v>2781</v>
      </c>
      <c r="G2711" s="32" t="s">
        <v>2859</v>
      </c>
      <c r="I2711" s="32">
        <f t="shared" si="340"/>
        <v>-14.283333333333333</v>
      </c>
      <c r="J2711" s="32">
        <f t="shared" si="341"/>
        <v>34.6</v>
      </c>
      <c r="K2711" s="32">
        <v>1260</v>
      </c>
      <c r="O2711" s="32">
        <f t="shared" si="342"/>
        <v>1125</v>
      </c>
      <c r="Q2711" s="44" t="s">
        <v>1741</v>
      </c>
      <c r="R2711" s="44" t="s">
        <v>1991</v>
      </c>
      <c r="S2711" s="44"/>
      <c r="T2711" s="44" t="s">
        <v>2861</v>
      </c>
      <c r="U2711" s="44"/>
      <c r="V2711" s="44"/>
      <c r="W2711" s="44"/>
      <c r="X2711" s="44"/>
      <c r="Z2711" s="323"/>
      <c r="AA2711" s="323"/>
      <c r="AB2711" s="32" t="s">
        <v>241</v>
      </c>
      <c r="AF2711" s="32" t="s">
        <v>2860</v>
      </c>
      <c r="AG2711" s="32" t="s">
        <v>2863</v>
      </c>
      <c r="AH2711" s="32" t="s">
        <v>578</v>
      </c>
      <c r="AT2711" s="32" t="s">
        <v>161</v>
      </c>
      <c r="AU2711" s="32">
        <v>4</v>
      </c>
      <c r="BH2711" s="32">
        <v>309</v>
      </c>
      <c r="BI2711" s="32">
        <v>1571</v>
      </c>
      <c r="BM2711" s="397"/>
      <c r="BN2711" s="397"/>
      <c r="BR2711" s="397"/>
      <c r="BS2711" s="397"/>
      <c r="EE2711" s="32">
        <v>32</v>
      </c>
      <c r="EF2711" s="32">
        <v>1.6</v>
      </c>
      <c r="EI2711" s="32" t="s">
        <v>2827</v>
      </c>
      <c r="IQ2711" s="243"/>
    </row>
    <row r="2712" spans="1:251" s="32" customFormat="1" x14ac:dyDescent="0.25">
      <c r="A2712" s="32">
        <v>126</v>
      </c>
      <c r="B2712" s="32" t="s">
        <v>2857</v>
      </c>
      <c r="C2712" s="32" t="s">
        <v>2858</v>
      </c>
      <c r="D2712" s="32">
        <v>1994</v>
      </c>
      <c r="E2712" s="32">
        <v>1991</v>
      </c>
      <c r="F2712" s="32" t="s">
        <v>2781</v>
      </c>
      <c r="G2712" s="32" t="s">
        <v>2859</v>
      </c>
      <c r="I2712" s="32">
        <f t="shared" si="340"/>
        <v>-14.283333333333333</v>
      </c>
      <c r="J2712" s="32">
        <f t="shared" si="341"/>
        <v>34.6</v>
      </c>
      <c r="K2712" s="32">
        <v>1260</v>
      </c>
      <c r="O2712" s="32">
        <f t="shared" si="342"/>
        <v>1125</v>
      </c>
      <c r="Q2712" s="44" t="s">
        <v>1991</v>
      </c>
      <c r="R2712" s="44" t="s">
        <v>1991</v>
      </c>
      <c r="S2712" s="44"/>
      <c r="T2712" s="44" t="s">
        <v>2861</v>
      </c>
      <c r="U2712" s="44"/>
      <c r="V2712" s="44"/>
      <c r="W2712" s="44"/>
      <c r="X2712" s="44"/>
      <c r="Z2712" s="323"/>
      <c r="AA2712" s="323"/>
      <c r="AB2712" s="32" t="s">
        <v>241</v>
      </c>
      <c r="AF2712" s="32" t="s">
        <v>2860</v>
      </c>
      <c r="AG2712" s="32" t="s">
        <v>2863</v>
      </c>
      <c r="AH2712" s="32" t="s">
        <v>578</v>
      </c>
      <c r="AT2712" s="32" t="s">
        <v>161</v>
      </c>
      <c r="AU2712" s="32">
        <v>4</v>
      </c>
      <c r="BH2712" s="32">
        <v>152</v>
      </c>
      <c r="BI2712" s="32">
        <v>1369</v>
      </c>
      <c r="BM2712" s="397"/>
      <c r="BN2712" s="397"/>
      <c r="BR2712" s="397"/>
      <c r="BS2712" s="397"/>
      <c r="EE2712" s="32">
        <v>21.6</v>
      </c>
      <c r="EF2712" s="32">
        <v>1.3</v>
      </c>
      <c r="EI2712" s="32" t="s">
        <v>2827</v>
      </c>
      <c r="IQ2712" s="243"/>
    </row>
    <row r="2713" spans="1:251" s="24" customFormat="1" x14ac:dyDescent="0.25">
      <c r="A2713" s="24">
        <v>126</v>
      </c>
      <c r="B2713" s="24" t="s">
        <v>2857</v>
      </c>
      <c r="C2713" s="24" t="s">
        <v>2858</v>
      </c>
      <c r="D2713" s="24">
        <v>1994</v>
      </c>
      <c r="E2713" s="24">
        <v>1986</v>
      </c>
      <c r="F2713" s="24" t="s">
        <v>2781</v>
      </c>
      <c r="G2713" s="24" t="s">
        <v>2859</v>
      </c>
      <c r="I2713" s="24">
        <f t="shared" si="340"/>
        <v>-14.283333333333333</v>
      </c>
      <c r="J2713" s="24">
        <f t="shared" si="341"/>
        <v>34.6</v>
      </c>
      <c r="K2713" s="24">
        <v>1260</v>
      </c>
      <c r="O2713" s="24">
        <f t="shared" si="342"/>
        <v>1125</v>
      </c>
      <c r="Q2713" s="42" t="s">
        <v>1735</v>
      </c>
      <c r="R2713" s="42" t="s">
        <v>1991</v>
      </c>
      <c r="S2713" s="42"/>
      <c r="T2713" s="42" t="s">
        <v>2861</v>
      </c>
      <c r="U2713" s="42"/>
      <c r="V2713" s="42"/>
      <c r="W2713" s="42"/>
      <c r="X2713" s="42"/>
      <c r="Z2713" s="321"/>
      <c r="AA2713" s="321"/>
      <c r="AB2713" s="24" t="s">
        <v>241</v>
      </c>
      <c r="AF2713" s="24" t="s">
        <v>2860</v>
      </c>
      <c r="AG2713" s="24" t="s">
        <v>2864</v>
      </c>
      <c r="AH2713" s="24" t="s">
        <v>578</v>
      </c>
      <c r="AT2713" s="24" t="s">
        <v>161</v>
      </c>
      <c r="AU2713" s="24">
        <v>4</v>
      </c>
      <c r="BH2713" s="24">
        <v>815</v>
      </c>
      <c r="BI2713" s="24">
        <v>1639</v>
      </c>
      <c r="BM2713" s="395"/>
      <c r="BN2713" s="395"/>
      <c r="BR2713" s="395"/>
      <c r="BS2713" s="395"/>
      <c r="EE2713" s="24">
        <v>78</v>
      </c>
      <c r="EF2713" s="24">
        <v>5.3</v>
      </c>
      <c r="EI2713" s="24" t="s">
        <v>2827</v>
      </c>
      <c r="IQ2713" s="249"/>
    </row>
    <row r="2714" spans="1:251" s="24" customFormat="1" x14ac:dyDescent="0.25">
      <c r="A2714" s="24">
        <v>126</v>
      </c>
      <c r="B2714" s="24" t="s">
        <v>2857</v>
      </c>
      <c r="C2714" s="24" t="s">
        <v>2858</v>
      </c>
      <c r="D2714" s="24">
        <v>1994</v>
      </c>
      <c r="E2714" s="24">
        <v>1987</v>
      </c>
      <c r="F2714" s="24" t="s">
        <v>2781</v>
      </c>
      <c r="G2714" s="24" t="s">
        <v>2859</v>
      </c>
      <c r="I2714" s="24">
        <f t="shared" si="340"/>
        <v>-14.283333333333333</v>
      </c>
      <c r="J2714" s="24">
        <f t="shared" si="341"/>
        <v>34.6</v>
      </c>
      <c r="K2714" s="24">
        <v>1260</v>
      </c>
      <c r="O2714" s="24">
        <f t="shared" si="342"/>
        <v>1125</v>
      </c>
      <c r="Q2714" s="42" t="s">
        <v>1867</v>
      </c>
      <c r="R2714" s="42" t="s">
        <v>1991</v>
      </c>
      <c r="S2714" s="42"/>
      <c r="T2714" s="42" t="s">
        <v>2861</v>
      </c>
      <c r="U2714" s="42"/>
      <c r="V2714" s="42"/>
      <c r="W2714" s="42"/>
      <c r="X2714" s="42"/>
      <c r="Z2714" s="321"/>
      <c r="AA2714" s="321"/>
      <c r="AB2714" s="24" t="s">
        <v>241</v>
      </c>
      <c r="AF2714" s="24" t="s">
        <v>2860</v>
      </c>
      <c r="AG2714" s="24" t="s">
        <v>2864</v>
      </c>
      <c r="AH2714" s="24" t="s">
        <v>578</v>
      </c>
      <c r="AT2714" s="24" t="s">
        <v>161</v>
      </c>
      <c r="AU2714" s="24">
        <v>4</v>
      </c>
      <c r="BH2714" s="24">
        <v>455</v>
      </c>
      <c r="BI2714" s="24">
        <v>1936</v>
      </c>
      <c r="BM2714" s="395"/>
      <c r="BN2714" s="395"/>
      <c r="BR2714" s="395"/>
      <c r="BS2714" s="395"/>
      <c r="EE2714" s="24">
        <v>81.3</v>
      </c>
      <c r="EF2714" s="24">
        <v>2.4</v>
      </c>
      <c r="EI2714" s="24" t="s">
        <v>2827</v>
      </c>
      <c r="IQ2714" s="249"/>
    </row>
    <row r="2715" spans="1:251" s="24" customFormat="1" x14ac:dyDescent="0.25">
      <c r="A2715" s="24">
        <v>126</v>
      </c>
      <c r="B2715" s="24" t="s">
        <v>2857</v>
      </c>
      <c r="C2715" s="24" t="s">
        <v>2858</v>
      </c>
      <c r="D2715" s="24">
        <v>1994</v>
      </c>
      <c r="E2715" s="24">
        <v>1988</v>
      </c>
      <c r="F2715" s="24" t="s">
        <v>2781</v>
      </c>
      <c r="G2715" s="24" t="s">
        <v>2859</v>
      </c>
      <c r="I2715" s="24">
        <f t="shared" si="340"/>
        <v>-14.283333333333333</v>
      </c>
      <c r="J2715" s="24">
        <f t="shared" si="341"/>
        <v>34.6</v>
      </c>
      <c r="K2715" s="24">
        <v>1260</v>
      </c>
      <c r="O2715" s="24">
        <f t="shared" si="342"/>
        <v>1125</v>
      </c>
      <c r="Q2715" s="42" t="s">
        <v>1729</v>
      </c>
      <c r="R2715" s="42" t="s">
        <v>1991</v>
      </c>
      <c r="S2715" s="42"/>
      <c r="T2715" s="42" t="s">
        <v>2861</v>
      </c>
      <c r="U2715" s="42"/>
      <c r="V2715" s="42"/>
      <c r="W2715" s="42"/>
      <c r="X2715" s="42"/>
      <c r="Z2715" s="321"/>
      <c r="AA2715" s="321"/>
      <c r="AB2715" s="24" t="s">
        <v>241</v>
      </c>
      <c r="AF2715" s="24" t="s">
        <v>2860</v>
      </c>
      <c r="AG2715" s="24" t="s">
        <v>2864</v>
      </c>
      <c r="AH2715" s="24" t="s">
        <v>578</v>
      </c>
      <c r="AT2715" s="24" t="s">
        <v>161</v>
      </c>
      <c r="AU2715" s="24">
        <v>4</v>
      </c>
      <c r="BM2715" s="395"/>
      <c r="BN2715" s="395"/>
      <c r="BR2715" s="395"/>
      <c r="BS2715" s="395"/>
      <c r="EE2715" s="24">
        <v>30.4</v>
      </c>
      <c r="EF2715" s="24">
        <v>1.3</v>
      </c>
      <c r="EI2715" s="24" t="s">
        <v>2827</v>
      </c>
      <c r="IQ2715" s="249"/>
    </row>
    <row r="2716" spans="1:251" s="24" customFormat="1" x14ac:dyDescent="0.25">
      <c r="A2716" s="24">
        <v>126</v>
      </c>
      <c r="B2716" s="24" t="s">
        <v>2857</v>
      </c>
      <c r="C2716" s="24" t="s">
        <v>2858</v>
      </c>
      <c r="D2716" s="24">
        <v>1994</v>
      </c>
      <c r="E2716" s="24">
        <v>1989</v>
      </c>
      <c r="F2716" s="24" t="s">
        <v>2781</v>
      </c>
      <c r="G2716" s="24" t="s">
        <v>2859</v>
      </c>
      <c r="I2716" s="24">
        <f t="shared" si="340"/>
        <v>-14.283333333333333</v>
      </c>
      <c r="J2716" s="24">
        <f t="shared" si="341"/>
        <v>34.6</v>
      </c>
      <c r="K2716" s="24">
        <v>1260</v>
      </c>
      <c r="O2716" s="24">
        <f t="shared" si="342"/>
        <v>1125</v>
      </c>
      <c r="Q2716" s="42" t="s">
        <v>1852</v>
      </c>
      <c r="R2716" s="42" t="s">
        <v>1991</v>
      </c>
      <c r="S2716" s="42"/>
      <c r="T2716" s="42" t="s">
        <v>2861</v>
      </c>
      <c r="U2716" s="42"/>
      <c r="V2716" s="42"/>
      <c r="W2716" s="42"/>
      <c r="X2716" s="42"/>
      <c r="Z2716" s="321"/>
      <c r="AA2716" s="321"/>
      <c r="AB2716" s="24" t="s">
        <v>241</v>
      </c>
      <c r="AF2716" s="24" t="s">
        <v>2860</v>
      </c>
      <c r="AG2716" s="24" t="s">
        <v>2864</v>
      </c>
      <c r="AH2716" s="24" t="s">
        <v>578</v>
      </c>
      <c r="AT2716" s="24" t="s">
        <v>161</v>
      </c>
      <c r="AU2716" s="24">
        <v>4</v>
      </c>
      <c r="BH2716" s="24">
        <v>318</v>
      </c>
      <c r="BI2716" s="24">
        <v>2136</v>
      </c>
      <c r="BM2716" s="395"/>
      <c r="BN2716" s="395"/>
      <c r="BR2716" s="395"/>
      <c r="BS2716" s="395"/>
      <c r="EE2716" s="24">
        <v>23.2</v>
      </c>
      <c r="EF2716" s="24">
        <v>2</v>
      </c>
      <c r="EI2716" s="24" t="s">
        <v>2827</v>
      </c>
      <c r="IQ2716" s="249"/>
    </row>
    <row r="2717" spans="1:251" s="24" customFormat="1" x14ac:dyDescent="0.25">
      <c r="A2717" s="24">
        <v>126</v>
      </c>
      <c r="B2717" s="24" t="s">
        <v>2857</v>
      </c>
      <c r="C2717" s="24" t="s">
        <v>2858</v>
      </c>
      <c r="D2717" s="24">
        <v>1994</v>
      </c>
      <c r="E2717" s="24">
        <v>1990</v>
      </c>
      <c r="F2717" s="24" t="s">
        <v>2781</v>
      </c>
      <c r="G2717" s="24" t="s">
        <v>2859</v>
      </c>
      <c r="I2717" s="24">
        <f t="shared" si="340"/>
        <v>-14.283333333333333</v>
      </c>
      <c r="J2717" s="24">
        <f t="shared" si="341"/>
        <v>34.6</v>
      </c>
      <c r="K2717" s="24">
        <v>1260</v>
      </c>
      <c r="O2717" s="24">
        <f t="shared" si="342"/>
        <v>1125</v>
      </c>
      <c r="Q2717" s="42" t="s">
        <v>1741</v>
      </c>
      <c r="R2717" s="42" t="s">
        <v>1991</v>
      </c>
      <c r="S2717" s="42"/>
      <c r="T2717" s="42" t="s">
        <v>2861</v>
      </c>
      <c r="U2717" s="42"/>
      <c r="V2717" s="42"/>
      <c r="W2717" s="42"/>
      <c r="X2717" s="42"/>
      <c r="Z2717" s="321"/>
      <c r="AA2717" s="321"/>
      <c r="AB2717" s="24" t="s">
        <v>241</v>
      </c>
      <c r="AF2717" s="24" t="s">
        <v>2860</v>
      </c>
      <c r="AG2717" s="24" t="s">
        <v>2864</v>
      </c>
      <c r="AH2717" s="24" t="s">
        <v>578</v>
      </c>
      <c r="AT2717" s="24" t="s">
        <v>161</v>
      </c>
      <c r="AU2717" s="24">
        <v>4</v>
      </c>
      <c r="BH2717" s="24">
        <v>309</v>
      </c>
      <c r="BI2717" s="24">
        <v>1558</v>
      </c>
      <c r="BM2717" s="395"/>
      <c r="BN2717" s="395"/>
      <c r="BR2717" s="395"/>
      <c r="BS2717" s="395"/>
      <c r="EE2717" s="24">
        <v>32</v>
      </c>
      <c r="EF2717" s="24">
        <v>2.2999999999999998</v>
      </c>
      <c r="EI2717" s="24" t="s">
        <v>2827</v>
      </c>
      <c r="IQ2717" s="249"/>
    </row>
    <row r="2718" spans="1:251" s="24" customFormat="1" x14ac:dyDescent="0.25">
      <c r="A2718" s="24">
        <v>126</v>
      </c>
      <c r="B2718" s="24" t="s">
        <v>2857</v>
      </c>
      <c r="C2718" s="24" t="s">
        <v>2858</v>
      </c>
      <c r="D2718" s="24">
        <v>1994</v>
      </c>
      <c r="E2718" s="24">
        <v>1991</v>
      </c>
      <c r="F2718" s="24" t="s">
        <v>2781</v>
      </c>
      <c r="G2718" s="24" t="s">
        <v>2859</v>
      </c>
      <c r="I2718" s="24">
        <f t="shared" si="340"/>
        <v>-14.283333333333333</v>
      </c>
      <c r="J2718" s="24">
        <f t="shared" si="341"/>
        <v>34.6</v>
      </c>
      <c r="K2718" s="24">
        <v>1260</v>
      </c>
      <c r="O2718" s="24">
        <f t="shared" si="342"/>
        <v>1125</v>
      </c>
      <c r="Q2718" s="42" t="s">
        <v>1991</v>
      </c>
      <c r="R2718" s="42" t="s">
        <v>1991</v>
      </c>
      <c r="S2718" s="42"/>
      <c r="T2718" s="42" t="s">
        <v>2861</v>
      </c>
      <c r="U2718" s="42"/>
      <c r="V2718" s="42"/>
      <c r="W2718" s="42"/>
      <c r="X2718" s="42"/>
      <c r="Z2718" s="321"/>
      <c r="AA2718" s="321"/>
      <c r="AB2718" s="24" t="s">
        <v>241</v>
      </c>
      <c r="AF2718" s="24" t="s">
        <v>2860</v>
      </c>
      <c r="AG2718" s="24" t="s">
        <v>2864</v>
      </c>
      <c r="AH2718" s="24" t="s">
        <v>578</v>
      </c>
      <c r="AT2718" s="24" t="s">
        <v>161</v>
      </c>
      <c r="AU2718" s="24">
        <v>4</v>
      </c>
      <c r="BH2718" s="24">
        <v>152</v>
      </c>
      <c r="BI2718" s="24">
        <v>1832</v>
      </c>
      <c r="BM2718" s="395"/>
      <c r="BN2718" s="395"/>
      <c r="BR2718" s="395"/>
      <c r="BS2718" s="395"/>
      <c r="EE2718" s="24">
        <v>21.6</v>
      </c>
      <c r="EF2718" s="24">
        <v>1.6</v>
      </c>
      <c r="EI2718" s="24" t="s">
        <v>2827</v>
      </c>
      <c r="IQ2718" s="249"/>
    </row>
    <row r="2719" spans="1:251" s="36" customFormat="1" x14ac:dyDescent="0.25">
      <c r="A2719" s="36">
        <v>127</v>
      </c>
      <c r="B2719" s="36" t="s">
        <v>2865</v>
      </c>
      <c r="C2719" s="36" t="s">
        <v>2768</v>
      </c>
      <c r="D2719" s="36">
        <v>1996</v>
      </c>
      <c r="F2719" s="36" t="s">
        <v>2781</v>
      </c>
      <c r="G2719" s="36" t="s">
        <v>2866</v>
      </c>
      <c r="H2719" s="36" t="s">
        <v>2851</v>
      </c>
      <c r="I2719" s="36">
        <v>-2.5499999999999998</v>
      </c>
      <c r="J2719" s="36">
        <v>29.6</v>
      </c>
      <c r="K2719" s="36">
        <v>1924</v>
      </c>
      <c r="Q2719" s="51"/>
      <c r="R2719" s="51" t="s">
        <v>1741</v>
      </c>
      <c r="S2719" s="51"/>
      <c r="T2719" s="51" t="s">
        <v>2867</v>
      </c>
      <c r="U2719" s="51" t="s">
        <v>1396</v>
      </c>
      <c r="V2719" s="51" t="s">
        <v>1726</v>
      </c>
      <c r="W2719" s="51" t="s">
        <v>1392</v>
      </c>
      <c r="X2719" s="51" t="s">
        <v>1392</v>
      </c>
      <c r="Z2719" s="331"/>
      <c r="AA2719" s="331"/>
      <c r="AG2719" s="36" t="s">
        <v>2869</v>
      </c>
      <c r="AH2719" s="36" t="s">
        <v>578</v>
      </c>
      <c r="AT2719" s="36" t="s">
        <v>161</v>
      </c>
      <c r="AV2719" s="36">
        <v>5</v>
      </c>
      <c r="BM2719" s="407"/>
      <c r="BN2719" s="407"/>
      <c r="BR2719" s="407"/>
      <c r="BS2719" s="407"/>
      <c r="EO2719" s="36">
        <f>AVERAGE(1.36,23.64,26.22)</f>
        <v>17.073333333333334</v>
      </c>
      <c r="EP2719" s="36">
        <f>AVERAGE(2.5,18.1,26.8)</f>
        <v>15.800000000000002</v>
      </c>
      <c r="EQ2719" s="36">
        <f>26.4-23.6</f>
        <v>2.7999999999999972</v>
      </c>
      <c r="ER2719" s="36">
        <f>30.1-26.8</f>
        <v>3.3000000000000007</v>
      </c>
      <c r="ES2719" s="36" t="s">
        <v>570</v>
      </c>
      <c r="GW2719" s="36">
        <f>AVERAGE(17.33,34.34,24.24,10.49)</f>
        <v>21.599999999999998</v>
      </c>
      <c r="GX2719" s="36">
        <f>AVERAGE(21.52,53.32,41.82,14.67)</f>
        <v>32.832499999999996</v>
      </c>
      <c r="GY2719" s="36">
        <f>AVERAGE(1,9.3,7,1)</f>
        <v>4.5750000000000002</v>
      </c>
      <c r="GZ2719" s="36">
        <f>AVERAGE(1,9.3,7,1)</f>
        <v>4.5750000000000002</v>
      </c>
      <c r="HA2719" s="36" t="s">
        <v>2868</v>
      </c>
      <c r="IQ2719" s="230"/>
    </row>
    <row r="2720" spans="1:251" s="36" customFormat="1" x14ac:dyDescent="0.25">
      <c r="A2720" s="36">
        <v>127</v>
      </c>
      <c r="B2720" s="36" t="s">
        <v>2865</v>
      </c>
      <c r="C2720" s="36" t="s">
        <v>2768</v>
      </c>
      <c r="D2720" s="36">
        <v>1996</v>
      </c>
      <c r="F2720" s="36" t="s">
        <v>2781</v>
      </c>
      <c r="G2720" s="36" t="s">
        <v>2866</v>
      </c>
      <c r="H2720" s="36" t="s">
        <v>2851</v>
      </c>
      <c r="I2720" s="36">
        <v>-2.5499999999999998</v>
      </c>
      <c r="J2720" s="36">
        <v>29.6</v>
      </c>
      <c r="K2720" s="36">
        <v>1924</v>
      </c>
      <c r="Q2720" s="51"/>
      <c r="R2720" s="51" t="s">
        <v>1741</v>
      </c>
      <c r="S2720" s="51"/>
      <c r="T2720" s="51" t="s">
        <v>2867</v>
      </c>
      <c r="U2720" s="51" t="s">
        <v>1396</v>
      </c>
      <c r="V2720" s="51" t="s">
        <v>1726</v>
      </c>
      <c r="W2720" s="51" t="s">
        <v>1392</v>
      </c>
      <c r="X2720" s="51" t="s">
        <v>1392</v>
      </c>
      <c r="Z2720" s="331"/>
      <c r="AA2720" s="331"/>
      <c r="AG2720" s="36" t="s">
        <v>2870</v>
      </c>
      <c r="AH2720" s="36" t="s">
        <v>1585</v>
      </c>
      <c r="AT2720" s="36" t="s">
        <v>161</v>
      </c>
      <c r="AV2720" s="36">
        <v>5</v>
      </c>
      <c r="BM2720" s="407"/>
      <c r="BN2720" s="407"/>
      <c r="BR2720" s="407"/>
      <c r="BS2720" s="407"/>
      <c r="EO2720" s="36">
        <f>AVERAGE(1.36,23.64,26.22)</f>
        <v>17.073333333333334</v>
      </c>
      <c r="EP2720" s="36">
        <f>AVERAGE(2.2,23.64,44.28)</f>
        <v>23.373333333333335</v>
      </c>
      <c r="EQ2720" s="36">
        <f>26.4-23.6</f>
        <v>2.7999999999999972</v>
      </c>
      <c r="ER2720" s="36">
        <f>27.8-23.6</f>
        <v>4.1999999999999993</v>
      </c>
      <c r="ES2720" s="36" t="s">
        <v>570</v>
      </c>
      <c r="GW2720" s="36">
        <f>AVERAGE(17.33,34.34,24.24,10.49)</f>
        <v>21.599999999999998</v>
      </c>
      <c r="GX2720" s="36">
        <f>AVERAGE(20.12,39.9,30.38,12.16)</f>
        <v>25.639999999999997</v>
      </c>
      <c r="GY2720" s="36">
        <f>AVERAGE(1,9.3,7,1)</f>
        <v>4.5750000000000002</v>
      </c>
      <c r="GZ2720" s="36">
        <f>AVERAGE(1,9.3,7,1)</f>
        <v>4.5750000000000002</v>
      </c>
      <c r="HA2720" s="36" t="s">
        <v>2868</v>
      </c>
      <c r="IQ2720" s="230"/>
    </row>
    <row r="2721" spans="1:251" s="24" customFormat="1" x14ac:dyDescent="0.25">
      <c r="A2721" s="24">
        <v>128</v>
      </c>
      <c r="B2721" s="24" t="s">
        <v>2871</v>
      </c>
      <c r="C2721" s="24" t="s">
        <v>2872</v>
      </c>
      <c r="D2721" s="24">
        <v>2005</v>
      </c>
      <c r="E2721" s="24">
        <v>2000</v>
      </c>
      <c r="F2721" s="24" t="s">
        <v>2781</v>
      </c>
      <c r="G2721" s="24" t="s">
        <v>2876</v>
      </c>
      <c r="H2721" s="24" t="s">
        <v>2873</v>
      </c>
      <c r="I2721" s="24">
        <v>-0.22</v>
      </c>
      <c r="J2721" s="24">
        <v>33.57</v>
      </c>
      <c r="K2721" s="24">
        <v>1134</v>
      </c>
      <c r="O2721" s="24">
        <v>1345</v>
      </c>
      <c r="Q2721" s="42" t="s">
        <v>1986</v>
      </c>
      <c r="R2721" s="42" t="s">
        <v>1856</v>
      </c>
      <c r="S2721" s="42"/>
      <c r="T2721" s="42" t="s">
        <v>2875</v>
      </c>
      <c r="U2721" s="42" t="s">
        <v>1383</v>
      </c>
      <c r="V2721" s="42" t="s">
        <v>1722</v>
      </c>
      <c r="W2721" s="42" t="s">
        <v>1383</v>
      </c>
      <c r="X2721" s="42" t="s">
        <v>1383</v>
      </c>
      <c r="Z2721" s="321">
        <v>62</v>
      </c>
      <c r="AA2721" s="321">
        <v>29</v>
      </c>
      <c r="AB2721" s="24" t="s">
        <v>241</v>
      </c>
      <c r="AC2721" s="24">
        <v>5.2</v>
      </c>
      <c r="AD2721" s="24">
        <v>2.9</v>
      </c>
      <c r="AF2721" s="24" t="s">
        <v>2874</v>
      </c>
      <c r="AG2721" s="24" t="s">
        <v>2757</v>
      </c>
      <c r="AH2721" s="24" t="s">
        <v>578</v>
      </c>
      <c r="AI2721" s="24" t="s">
        <v>1650</v>
      </c>
      <c r="AJ2721" s="24" t="s">
        <v>133</v>
      </c>
      <c r="AT2721" s="24" t="s">
        <v>161</v>
      </c>
      <c r="AU2721" s="24">
        <v>2</v>
      </c>
      <c r="AW2721" s="24" t="s">
        <v>142</v>
      </c>
      <c r="AY2721" s="24">
        <v>898</v>
      </c>
      <c r="BB2721" s="24" t="s">
        <v>2879</v>
      </c>
      <c r="BH2721" s="24">
        <v>3325</v>
      </c>
      <c r="BI2721" s="24">
        <v>3217</v>
      </c>
      <c r="BM2721" s="395"/>
      <c r="BN2721" s="395"/>
      <c r="BR2721" s="395"/>
      <c r="BS2721" s="395"/>
      <c r="IQ2721" s="249"/>
    </row>
    <row r="2722" spans="1:251" s="24" customFormat="1" x14ac:dyDescent="0.25">
      <c r="A2722" s="24">
        <v>128</v>
      </c>
      <c r="B2722" s="24" t="s">
        <v>2871</v>
      </c>
      <c r="C2722" s="24" t="s">
        <v>2872</v>
      </c>
      <c r="D2722" s="24">
        <v>2005</v>
      </c>
      <c r="E2722" s="24">
        <v>2000</v>
      </c>
      <c r="F2722" s="24" t="s">
        <v>2781</v>
      </c>
      <c r="G2722" s="24" t="s">
        <v>2876</v>
      </c>
      <c r="H2722" s="24" t="s">
        <v>2873</v>
      </c>
      <c r="I2722" s="24">
        <v>-0.22</v>
      </c>
      <c r="J2722" s="24">
        <v>33.57</v>
      </c>
      <c r="K2722" s="24">
        <v>1134</v>
      </c>
      <c r="O2722" s="24">
        <v>1345</v>
      </c>
      <c r="Q2722" s="42" t="s">
        <v>1986</v>
      </c>
      <c r="R2722" s="42" t="s">
        <v>1856</v>
      </c>
      <c r="S2722" s="42"/>
      <c r="T2722" s="42" t="s">
        <v>2875</v>
      </c>
      <c r="U2722" s="42" t="s">
        <v>1383</v>
      </c>
      <c r="V2722" s="42" t="s">
        <v>1722</v>
      </c>
      <c r="W2722" s="42" t="s">
        <v>1383</v>
      </c>
      <c r="X2722" s="42" t="s">
        <v>1383</v>
      </c>
      <c r="Z2722" s="321">
        <v>62</v>
      </c>
      <c r="AA2722" s="321">
        <v>29</v>
      </c>
      <c r="AB2722" s="24" t="s">
        <v>241</v>
      </c>
      <c r="AC2722" s="24">
        <v>5.2</v>
      </c>
      <c r="AD2722" s="24">
        <v>2.9</v>
      </c>
      <c r="AF2722" s="24" t="s">
        <v>2874</v>
      </c>
      <c r="AG2722" s="24" t="s">
        <v>2757</v>
      </c>
      <c r="AH2722" s="24" t="s">
        <v>578</v>
      </c>
      <c r="AI2722" s="24" t="s">
        <v>1650</v>
      </c>
      <c r="AJ2722" s="24" t="s">
        <v>133</v>
      </c>
      <c r="AT2722" s="24" t="s">
        <v>161</v>
      </c>
      <c r="AU2722" s="24">
        <v>2</v>
      </c>
      <c r="AW2722" s="24" t="s">
        <v>142</v>
      </c>
      <c r="AY2722" s="24">
        <v>4274</v>
      </c>
      <c r="BB2722" s="24" t="s">
        <v>2880</v>
      </c>
      <c r="BH2722" s="24">
        <v>5023</v>
      </c>
      <c r="BI2722" s="24">
        <v>5730</v>
      </c>
      <c r="BM2722" s="395"/>
      <c r="BN2722" s="395"/>
      <c r="BR2722" s="395"/>
      <c r="BS2722" s="395"/>
      <c r="IQ2722" s="249"/>
    </row>
    <row r="2723" spans="1:251" s="24" customFormat="1" x14ac:dyDescent="0.25">
      <c r="A2723" s="24">
        <v>128</v>
      </c>
      <c r="B2723" s="24" t="s">
        <v>2871</v>
      </c>
      <c r="C2723" s="24" t="s">
        <v>2872</v>
      </c>
      <c r="D2723" s="24">
        <v>2005</v>
      </c>
      <c r="E2723" s="24">
        <v>2001</v>
      </c>
      <c r="F2723" s="24" t="s">
        <v>2781</v>
      </c>
      <c r="G2723" s="24" t="s">
        <v>2876</v>
      </c>
      <c r="H2723" s="24" t="s">
        <v>2873</v>
      </c>
      <c r="I2723" s="24">
        <v>-0.22</v>
      </c>
      <c r="J2723" s="24">
        <v>33.57</v>
      </c>
      <c r="K2723" s="24">
        <v>1134</v>
      </c>
      <c r="O2723" s="24">
        <v>1345</v>
      </c>
      <c r="Q2723" s="42" t="s">
        <v>1856</v>
      </c>
      <c r="R2723" s="42" t="s">
        <v>1856</v>
      </c>
      <c r="S2723" s="42"/>
      <c r="T2723" s="42" t="s">
        <v>2875</v>
      </c>
      <c r="U2723" s="42" t="s">
        <v>1383</v>
      </c>
      <c r="V2723" s="42" t="s">
        <v>1722</v>
      </c>
      <c r="W2723" s="42" t="s">
        <v>1383</v>
      </c>
      <c r="X2723" s="42" t="s">
        <v>1383</v>
      </c>
      <c r="Z2723" s="321">
        <v>62</v>
      </c>
      <c r="AA2723" s="321">
        <v>29</v>
      </c>
      <c r="AB2723" s="24" t="s">
        <v>241</v>
      </c>
      <c r="AC2723" s="24">
        <v>5.2</v>
      </c>
      <c r="AD2723" s="24">
        <v>2.9</v>
      </c>
      <c r="AF2723" s="24" t="s">
        <v>2874</v>
      </c>
      <c r="AG2723" s="24" t="s">
        <v>2757</v>
      </c>
      <c r="AH2723" s="24" t="s">
        <v>578</v>
      </c>
      <c r="AI2723" s="24" t="s">
        <v>1650</v>
      </c>
      <c r="AJ2723" s="24" t="s">
        <v>133</v>
      </c>
      <c r="AT2723" s="24" t="s">
        <v>161</v>
      </c>
      <c r="AU2723" s="24">
        <v>2</v>
      </c>
      <c r="AW2723" s="24" t="s">
        <v>142</v>
      </c>
      <c r="AY2723" s="24">
        <v>1852</v>
      </c>
      <c r="BB2723" s="24" t="s">
        <v>2879</v>
      </c>
      <c r="BH2723" s="24">
        <v>4017</v>
      </c>
      <c r="BI2723" s="24">
        <v>3589</v>
      </c>
      <c r="BM2723" s="395"/>
      <c r="BN2723" s="395"/>
      <c r="BR2723" s="395"/>
      <c r="BS2723" s="395"/>
      <c r="IQ2723" s="249"/>
    </row>
    <row r="2724" spans="1:251" s="24" customFormat="1" x14ac:dyDescent="0.25">
      <c r="A2724" s="24">
        <v>128</v>
      </c>
      <c r="B2724" s="24" t="s">
        <v>2871</v>
      </c>
      <c r="C2724" s="24" t="s">
        <v>2872</v>
      </c>
      <c r="D2724" s="24">
        <v>2005</v>
      </c>
      <c r="E2724" s="24">
        <v>2001</v>
      </c>
      <c r="F2724" s="24" t="s">
        <v>2781</v>
      </c>
      <c r="G2724" s="24" t="s">
        <v>2876</v>
      </c>
      <c r="H2724" s="24" t="s">
        <v>2873</v>
      </c>
      <c r="I2724" s="24">
        <v>-0.22</v>
      </c>
      <c r="J2724" s="24">
        <v>33.57</v>
      </c>
      <c r="K2724" s="24">
        <v>1134</v>
      </c>
      <c r="O2724" s="24">
        <v>1345</v>
      </c>
      <c r="Q2724" s="42" t="s">
        <v>1856</v>
      </c>
      <c r="R2724" s="42" t="s">
        <v>1856</v>
      </c>
      <c r="S2724" s="42"/>
      <c r="T2724" s="42" t="s">
        <v>2875</v>
      </c>
      <c r="U2724" s="42" t="s">
        <v>1383</v>
      </c>
      <c r="V2724" s="42" t="s">
        <v>1722</v>
      </c>
      <c r="W2724" s="42" t="s">
        <v>1383</v>
      </c>
      <c r="X2724" s="42" t="s">
        <v>1383</v>
      </c>
      <c r="Z2724" s="321">
        <v>62</v>
      </c>
      <c r="AA2724" s="321">
        <v>29</v>
      </c>
      <c r="AB2724" s="24" t="s">
        <v>241</v>
      </c>
      <c r="AC2724" s="24">
        <v>5.2</v>
      </c>
      <c r="AD2724" s="24">
        <v>2.9</v>
      </c>
      <c r="AF2724" s="24" t="s">
        <v>2874</v>
      </c>
      <c r="AG2724" s="24" t="s">
        <v>2757</v>
      </c>
      <c r="AH2724" s="24" t="s">
        <v>578</v>
      </c>
      <c r="AI2724" s="24" t="s">
        <v>1650</v>
      </c>
      <c r="AJ2724" s="24" t="s">
        <v>133</v>
      </c>
      <c r="AT2724" s="24" t="s">
        <v>161</v>
      </c>
      <c r="AU2724" s="24">
        <v>2</v>
      </c>
      <c r="AW2724" s="24" t="s">
        <v>142</v>
      </c>
      <c r="BB2724" s="24" t="s">
        <v>2880</v>
      </c>
      <c r="BH2724" s="24">
        <v>2838</v>
      </c>
      <c r="BI2724" s="24">
        <v>3022</v>
      </c>
      <c r="BM2724" s="395"/>
      <c r="BN2724" s="395"/>
      <c r="BR2724" s="395"/>
      <c r="BS2724" s="395"/>
      <c r="IQ2724" s="249"/>
    </row>
    <row r="2725" spans="1:251" s="101" customFormat="1" x14ac:dyDescent="0.25">
      <c r="A2725" s="101">
        <v>128</v>
      </c>
      <c r="B2725" s="101" t="s">
        <v>2871</v>
      </c>
      <c r="C2725" s="101" t="s">
        <v>2872</v>
      </c>
      <c r="D2725" s="101">
        <v>2005</v>
      </c>
      <c r="E2725" s="101">
        <v>2000</v>
      </c>
      <c r="F2725" s="101" t="s">
        <v>2781</v>
      </c>
      <c r="G2725" s="101" t="s">
        <v>2876</v>
      </c>
      <c r="H2725" s="101" t="s">
        <v>2873</v>
      </c>
      <c r="I2725" s="101">
        <v>-0.22</v>
      </c>
      <c r="J2725" s="101">
        <v>33.57</v>
      </c>
      <c r="K2725" s="101">
        <v>1134</v>
      </c>
      <c r="O2725" s="101">
        <v>1345</v>
      </c>
      <c r="Q2725" s="102" t="s">
        <v>1986</v>
      </c>
      <c r="R2725" s="102" t="s">
        <v>1856</v>
      </c>
      <c r="S2725" s="102"/>
      <c r="T2725" s="102" t="s">
        <v>2875</v>
      </c>
      <c r="U2725" s="102" t="s">
        <v>1383</v>
      </c>
      <c r="V2725" s="102" t="s">
        <v>1722</v>
      </c>
      <c r="W2725" s="102" t="s">
        <v>1383</v>
      </c>
      <c r="X2725" s="102" t="s">
        <v>1383</v>
      </c>
      <c r="Z2725" s="352">
        <v>62</v>
      </c>
      <c r="AA2725" s="352">
        <v>29</v>
      </c>
      <c r="AB2725" s="101" t="s">
        <v>241</v>
      </c>
      <c r="AC2725" s="101">
        <v>5.2</v>
      </c>
      <c r="AD2725" s="101">
        <v>2.9</v>
      </c>
      <c r="AF2725" s="101" t="s">
        <v>2874</v>
      </c>
      <c r="AG2725" s="101" t="s">
        <v>2759</v>
      </c>
      <c r="AH2725" s="101" t="s">
        <v>578</v>
      </c>
      <c r="AI2725" s="101" t="s">
        <v>1650</v>
      </c>
      <c r="AJ2725" s="101" t="s">
        <v>133</v>
      </c>
      <c r="AT2725" s="101" t="s">
        <v>161</v>
      </c>
      <c r="AU2725" s="101">
        <v>2</v>
      </c>
      <c r="AW2725" s="101" t="s">
        <v>142</v>
      </c>
      <c r="AY2725" s="101">
        <v>383</v>
      </c>
      <c r="BB2725" s="101" t="s">
        <v>2879</v>
      </c>
      <c r="BH2725" s="101">
        <v>3325</v>
      </c>
      <c r="BI2725" s="101">
        <v>3326</v>
      </c>
      <c r="BM2725" s="427"/>
      <c r="BN2725" s="427"/>
      <c r="BR2725" s="427"/>
      <c r="BS2725" s="427"/>
      <c r="IQ2725" s="177"/>
    </row>
    <row r="2726" spans="1:251" s="101" customFormat="1" x14ac:dyDescent="0.25">
      <c r="A2726" s="101">
        <v>128</v>
      </c>
      <c r="B2726" s="101" t="s">
        <v>2871</v>
      </c>
      <c r="C2726" s="101" t="s">
        <v>2872</v>
      </c>
      <c r="D2726" s="101">
        <v>2005</v>
      </c>
      <c r="E2726" s="101">
        <v>2000</v>
      </c>
      <c r="F2726" s="101" t="s">
        <v>2781</v>
      </c>
      <c r="G2726" s="101" t="s">
        <v>2876</v>
      </c>
      <c r="H2726" s="101" t="s">
        <v>2873</v>
      </c>
      <c r="I2726" s="101">
        <v>-0.22</v>
      </c>
      <c r="J2726" s="101">
        <v>33.57</v>
      </c>
      <c r="K2726" s="101">
        <v>1134</v>
      </c>
      <c r="O2726" s="101">
        <v>1345</v>
      </c>
      <c r="Q2726" s="102" t="s">
        <v>1986</v>
      </c>
      <c r="R2726" s="102" t="s">
        <v>1856</v>
      </c>
      <c r="S2726" s="102"/>
      <c r="T2726" s="102" t="s">
        <v>2875</v>
      </c>
      <c r="U2726" s="102" t="s">
        <v>1383</v>
      </c>
      <c r="V2726" s="102" t="s">
        <v>1722</v>
      </c>
      <c r="W2726" s="102" t="s">
        <v>1383</v>
      </c>
      <c r="X2726" s="102" t="s">
        <v>1383</v>
      </c>
      <c r="Z2726" s="352">
        <v>62</v>
      </c>
      <c r="AA2726" s="352">
        <v>29</v>
      </c>
      <c r="AB2726" s="101" t="s">
        <v>241</v>
      </c>
      <c r="AC2726" s="101">
        <v>5.2</v>
      </c>
      <c r="AD2726" s="101">
        <v>2.9</v>
      </c>
      <c r="AF2726" s="101" t="s">
        <v>2874</v>
      </c>
      <c r="AG2726" s="101" t="s">
        <v>2759</v>
      </c>
      <c r="AH2726" s="101" t="s">
        <v>578</v>
      </c>
      <c r="AI2726" s="101" t="s">
        <v>1650</v>
      </c>
      <c r="AJ2726" s="101" t="s">
        <v>133</v>
      </c>
      <c r="AT2726" s="101" t="s">
        <v>161</v>
      </c>
      <c r="AU2726" s="101">
        <v>2</v>
      </c>
      <c r="AW2726" s="101" t="s">
        <v>142</v>
      </c>
      <c r="AY2726" s="101">
        <v>1373</v>
      </c>
      <c r="BB2726" s="101" t="s">
        <v>2880</v>
      </c>
      <c r="BH2726" s="101">
        <v>5023</v>
      </c>
      <c r="BI2726" s="101">
        <v>5036</v>
      </c>
      <c r="BM2726" s="427"/>
      <c r="BN2726" s="427"/>
      <c r="BR2726" s="427"/>
      <c r="BS2726" s="427"/>
      <c r="IQ2726" s="177"/>
    </row>
    <row r="2727" spans="1:251" s="101" customFormat="1" x14ac:dyDescent="0.25">
      <c r="A2727" s="101">
        <v>128</v>
      </c>
      <c r="B2727" s="101" t="s">
        <v>2871</v>
      </c>
      <c r="C2727" s="101" t="s">
        <v>2872</v>
      </c>
      <c r="D2727" s="101">
        <v>2005</v>
      </c>
      <c r="E2727" s="101">
        <v>2001</v>
      </c>
      <c r="F2727" s="101" t="s">
        <v>2781</v>
      </c>
      <c r="G2727" s="101" t="s">
        <v>2876</v>
      </c>
      <c r="H2727" s="101" t="s">
        <v>2873</v>
      </c>
      <c r="I2727" s="101">
        <v>-0.22</v>
      </c>
      <c r="J2727" s="101">
        <v>33.57</v>
      </c>
      <c r="K2727" s="101">
        <v>1134</v>
      </c>
      <c r="O2727" s="101">
        <v>1345</v>
      </c>
      <c r="Q2727" s="102" t="s">
        <v>1856</v>
      </c>
      <c r="R2727" s="102" t="s">
        <v>1856</v>
      </c>
      <c r="S2727" s="102"/>
      <c r="T2727" s="102" t="s">
        <v>2875</v>
      </c>
      <c r="U2727" s="102" t="s">
        <v>1383</v>
      </c>
      <c r="V2727" s="102" t="s">
        <v>1722</v>
      </c>
      <c r="W2727" s="102" t="s">
        <v>1383</v>
      </c>
      <c r="X2727" s="102" t="s">
        <v>1383</v>
      </c>
      <c r="Z2727" s="352">
        <v>62</v>
      </c>
      <c r="AA2727" s="352">
        <v>29</v>
      </c>
      <c r="AB2727" s="101" t="s">
        <v>241</v>
      </c>
      <c r="AC2727" s="101">
        <v>5.2</v>
      </c>
      <c r="AD2727" s="101">
        <v>2.9</v>
      </c>
      <c r="AF2727" s="101" t="s">
        <v>2874</v>
      </c>
      <c r="AG2727" s="101" t="s">
        <v>2759</v>
      </c>
      <c r="AH2727" s="101" t="s">
        <v>578</v>
      </c>
      <c r="AI2727" s="101" t="s">
        <v>1650</v>
      </c>
      <c r="AJ2727" s="101" t="s">
        <v>133</v>
      </c>
      <c r="AT2727" s="101" t="s">
        <v>161</v>
      </c>
      <c r="AU2727" s="101">
        <v>2</v>
      </c>
      <c r="AW2727" s="101" t="s">
        <v>142</v>
      </c>
      <c r="AY2727" s="101">
        <v>1115</v>
      </c>
      <c r="BB2727" s="101" t="s">
        <v>2879</v>
      </c>
      <c r="BH2727" s="101">
        <v>4017</v>
      </c>
      <c r="BI2727" s="101">
        <v>3920</v>
      </c>
      <c r="BM2727" s="427"/>
      <c r="BN2727" s="427"/>
      <c r="BR2727" s="427"/>
      <c r="BS2727" s="427"/>
      <c r="IQ2727" s="177"/>
    </row>
    <row r="2728" spans="1:251" s="101" customFormat="1" x14ac:dyDescent="0.25">
      <c r="A2728" s="101">
        <v>128</v>
      </c>
      <c r="B2728" s="101" t="s">
        <v>2871</v>
      </c>
      <c r="C2728" s="101" t="s">
        <v>2872</v>
      </c>
      <c r="D2728" s="101">
        <v>2005</v>
      </c>
      <c r="E2728" s="101">
        <v>2001</v>
      </c>
      <c r="F2728" s="101" t="s">
        <v>2781</v>
      </c>
      <c r="G2728" s="101" t="s">
        <v>2876</v>
      </c>
      <c r="H2728" s="101" t="s">
        <v>2873</v>
      </c>
      <c r="I2728" s="101">
        <v>-0.22</v>
      </c>
      <c r="J2728" s="101">
        <v>33.57</v>
      </c>
      <c r="K2728" s="101">
        <v>1134</v>
      </c>
      <c r="O2728" s="101">
        <v>1345</v>
      </c>
      <c r="Q2728" s="102" t="s">
        <v>1856</v>
      </c>
      <c r="R2728" s="102" t="s">
        <v>1856</v>
      </c>
      <c r="S2728" s="102"/>
      <c r="T2728" s="102" t="s">
        <v>2875</v>
      </c>
      <c r="U2728" s="102" t="s">
        <v>1383</v>
      </c>
      <c r="V2728" s="102" t="s">
        <v>1722</v>
      </c>
      <c r="W2728" s="102" t="s">
        <v>1383</v>
      </c>
      <c r="X2728" s="102" t="s">
        <v>1383</v>
      </c>
      <c r="Z2728" s="352">
        <v>62</v>
      </c>
      <c r="AA2728" s="352">
        <v>29</v>
      </c>
      <c r="AB2728" s="101" t="s">
        <v>241</v>
      </c>
      <c r="AC2728" s="101">
        <v>5.2</v>
      </c>
      <c r="AD2728" s="101">
        <v>2.9</v>
      </c>
      <c r="AF2728" s="101" t="s">
        <v>2874</v>
      </c>
      <c r="AG2728" s="101" t="s">
        <v>2759</v>
      </c>
      <c r="AH2728" s="101" t="s">
        <v>578</v>
      </c>
      <c r="AI2728" s="101" t="s">
        <v>1650</v>
      </c>
      <c r="AJ2728" s="101" t="s">
        <v>133</v>
      </c>
      <c r="AT2728" s="101" t="s">
        <v>161</v>
      </c>
      <c r="AU2728" s="101">
        <v>2</v>
      </c>
      <c r="AW2728" s="101" t="s">
        <v>142</v>
      </c>
      <c r="BB2728" s="101" t="s">
        <v>2880</v>
      </c>
      <c r="BH2728" s="101">
        <v>2838</v>
      </c>
      <c r="BI2728" s="101">
        <v>2228</v>
      </c>
      <c r="BM2728" s="427"/>
      <c r="BN2728" s="427"/>
      <c r="BR2728" s="427"/>
      <c r="BS2728" s="427"/>
      <c r="IQ2728" s="177"/>
    </row>
    <row r="2729" spans="1:251" s="24" customFormat="1" x14ac:dyDescent="0.25">
      <c r="A2729" s="24">
        <v>128</v>
      </c>
      <c r="B2729" s="24" t="s">
        <v>2871</v>
      </c>
      <c r="C2729" s="24" t="s">
        <v>2872</v>
      </c>
      <c r="D2729" s="24">
        <v>2005</v>
      </c>
      <c r="E2729" s="24">
        <v>2000</v>
      </c>
      <c r="F2729" s="24" t="s">
        <v>2781</v>
      </c>
      <c r="G2729" s="24" t="s">
        <v>2876</v>
      </c>
      <c r="H2729" s="24" t="s">
        <v>2873</v>
      </c>
      <c r="I2729" s="24">
        <v>-0.22</v>
      </c>
      <c r="J2729" s="24">
        <v>33.57</v>
      </c>
      <c r="K2729" s="24">
        <v>1134</v>
      </c>
      <c r="O2729" s="24">
        <v>1345</v>
      </c>
      <c r="Q2729" s="42" t="s">
        <v>1986</v>
      </c>
      <c r="R2729" s="42" t="s">
        <v>1856</v>
      </c>
      <c r="S2729" s="42"/>
      <c r="T2729" s="42" t="s">
        <v>2875</v>
      </c>
      <c r="U2729" s="42" t="s">
        <v>1383</v>
      </c>
      <c r="V2729" s="42" t="s">
        <v>1722</v>
      </c>
      <c r="W2729" s="42" t="s">
        <v>1383</v>
      </c>
      <c r="X2729" s="42" t="s">
        <v>1383</v>
      </c>
      <c r="Z2729" s="321">
        <v>62</v>
      </c>
      <c r="AA2729" s="321">
        <v>29</v>
      </c>
      <c r="AB2729" s="24" t="s">
        <v>241</v>
      </c>
      <c r="AC2729" s="24">
        <v>5.2</v>
      </c>
      <c r="AD2729" s="24">
        <v>2.9</v>
      </c>
      <c r="AF2729" s="24" t="s">
        <v>2874</v>
      </c>
      <c r="AG2729" s="24" t="s">
        <v>2881</v>
      </c>
      <c r="AH2729" s="24" t="s">
        <v>578</v>
      </c>
      <c r="AI2729" s="24" t="s">
        <v>1650</v>
      </c>
      <c r="AJ2729" s="24" t="s">
        <v>133</v>
      </c>
      <c r="AT2729" s="24" t="s">
        <v>161</v>
      </c>
      <c r="AU2729" s="24">
        <v>2</v>
      </c>
      <c r="AW2729" s="24" t="s">
        <v>142</v>
      </c>
      <c r="AY2729" s="24">
        <v>1031</v>
      </c>
      <c r="BB2729" s="24" t="s">
        <v>2879</v>
      </c>
      <c r="BH2729" s="24">
        <v>3325</v>
      </c>
      <c r="BI2729" s="24">
        <v>3342</v>
      </c>
      <c r="BM2729" s="395"/>
      <c r="BN2729" s="395"/>
      <c r="BR2729" s="395"/>
      <c r="BS2729" s="395"/>
      <c r="IQ2729" s="249"/>
    </row>
    <row r="2730" spans="1:251" s="24" customFormat="1" x14ac:dyDescent="0.25">
      <c r="A2730" s="24">
        <v>128</v>
      </c>
      <c r="B2730" s="24" t="s">
        <v>2871</v>
      </c>
      <c r="C2730" s="24" t="s">
        <v>2872</v>
      </c>
      <c r="D2730" s="24">
        <v>2005</v>
      </c>
      <c r="E2730" s="24">
        <v>2000</v>
      </c>
      <c r="F2730" s="24" t="s">
        <v>2781</v>
      </c>
      <c r="G2730" s="24" t="s">
        <v>2876</v>
      </c>
      <c r="H2730" s="24" t="s">
        <v>2873</v>
      </c>
      <c r="I2730" s="24">
        <v>-0.22</v>
      </c>
      <c r="J2730" s="24">
        <v>33.57</v>
      </c>
      <c r="K2730" s="24">
        <v>1134</v>
      </c>
      <c r="O2730" s="24">
        <v>1345</v>
      </c>
      <c r="Q2730" s="42" t="s">
        <v>1986</v>
      </c>
      <c r="R2730" s="42" t="s">
        <v>1856</v>
      </c>
      <c r="S2730" s="42"/>
      <c r="T2730" s="42" t="s">
        <v>2875</v>
      </c>
      <c r="U2730" s="42" t="s">
        <v>1383</v>
      </c>
      <c r="V2730" s="42" t="s">
        <v>1722</v>
      </c>
      <c r="W2730" s="42" t="s">
        <v>1383</v>
      </c>
      <c r="X2730" s="42" t="s">
        <v>1383</v>
      </c>
      <c r="Z2730" s="321">
        <v>62</v>
      </c>
      <c r="AA2730" s="321">
        <v>29</v>
      </c>
      <c r="AB2730" s="24" t="s">
        <v>241</v>
      </c>
      <c r="AC2730" s="24">
        <v>5.2</v>
      </c>
      <c r="AD2730" s="24">
        <v>2.9</v>
      </c>
      <c r="AF2730" s="24" t="s">
        <v>2874</v>
      </c>
      <c r="AG2730" s="24" t="s">
        <v>2881</v>
      </c>
      <c r="AH2730" s="24" t="s">
        <v>578</v>
      </c>
      <c r="AI2730" s="24" t="s">
        <v>1650</v>
      </c>
      <c r="AJ2730" s="24" t="s">
        <v>133</v>
      </c>
      <c r="AT2730" s="24" t="s">
        <v>161</v>
      </c>
      <c r="AU2730" s="24">
        <v>2</v>
      </c>
      <c r="AW2730" s="24" t="s">
        <v>142</v>
      </c>
      <c r="AY2730" s="24">
        <v>4858</v>
      </c>
      <c r="BB2730" s="24" t="s">
        <v>2880</v>
      </c>
      <c r="BH2730" s="24">
        <v>5023</v>
      </c>
      <c r="BI2730" s="24">
        <v>5233</v>
      </c>
      <c r="BM2730" s="395"/>
      <c r="BN2730" s="395"/>
      <c r="BR2730" s="395"/>
      <c r="BS2730" s="395"/>
      <c r="IQ2730" s="249"/>
    </row>
    <row r="2731" spans="1:251" s="24" customFormat="1" x14ac:dyDescent="0.25">
      <c r="A2731" s="24">
        <v>128</v>
      </c>
      <c r="B2731" s="24" t="s">
        <v>2871</v>
      </c>
      <c r="C2731" s="24" t="s">
        <v>2872</v>
      </c>
      <c r="D2731" s="24">
        <v>2005</v>
      </c>
      <c r="E2731" s="24">
        <v>2001</v>
      </c>
      <c r="F2731" s="24" t="s">
        <v>2781</v>
      </c>
      <c r="G2731" s="24" t="s">
        <v>2876</v>
      </c>
      <c r="H2731" s="24" t="s">
        <v>2873</v>
      </c>
      <c r="I2731" s="24">
        <v>-0.22</v>
      </c>
      <c r="J2731" s="24">
        <v>33.57</v>
      </c>
      <c r="K2731" s="24">
        <v>1134</v>
      </c>
      <c r="O2731" s="24">
        <v>1345</v>
      </c>
      <c r="Q2731" s="42" t="s">
        <v>1856</v>
      </c>
      <c r="R2731" s="42" t="s">
        <v>1856</v>
      </c>
      <c r="S2731" s="42"/>
      <c r="T2731" s="42" t="s">
        <v>2875</v>
      </c>
      <c r="U2731" s="42" t="s">
        <v>1383</v>
      </c>
      <c r="V2731" s="42" t="s">
        <v>1722</v>
      </c>
      <c r="W2731" s="42" t="s">
        <v>1383</v>
      </c>
      <c r="X2731" s="42" t="s">
        <v>1383</v>
      </c>
      <c r="Z2731" s="321">
        <v>62</v>
      </c>
      <c r="AA2731" s="321">
        <v>29</v>
      </c>
      <c r="AB2731" s="24" t="s">
        <v>241</v>
      </c>
      <c r="AC2731" s="24">
        <v>5.2</v>
      </c>
      <c r="AD2731" s="24">
        <v>2.9</v>
      </c>
      <c r="AF2731" s="24" t="s">
        <v>2874</v>
      </c>
      <c r="AG2731" s="24" t="s">
        <v>2881</v>
      </c>
      <c r="AH2731" s="24" t="s">
        <v>578</v>
      </c>
      <c r="AI2731" s="24" t="s">
        <v>1650</v>
      </c>
      <c r="AJ2731" s="24" t="s">
        <v>133</v>
      </c>
      <c r="AT2731" s="24" t="s">
        <v>161</v>
      </c>
      <c r="AU2731" s="24">
        <v>2</v>
      </c>
      <c r="AW2731" s="24" t="s">
        <v>142</v>
      </c>
      <c r="AY2731" s="24">
        <v>1376</v>
      </c>
      <c r="BB2731" s="24" t="s">
        <v>2879</v>
      </c>
      <c r="BH2731" s="24">
        <v>4017</v>
      </c>
      <c r="BI2731" s="24">
        <v>4244</v>
      </c>
      <c r="BM2731" s="395"/>
      <c r="BN2731" s="395"/>
      <c r="BR2731" s="395"/>
      <c r="BS2731" s="395"/>
      <c r="IQ2731" s="249"/>
    </row>
    <row r="2732" spans="1:251" s="24" customFormat="1" x14ac:dyDescent="0.25">
      <c r="A2732" s="24">
        <v>128</v>
      </c>
      <c r="B2732" s="24" t="s">
        <v>2871</v>
      </c>
      <c r="C2732" s="24" t="s">
        <v>2872</v>
      </c>
      <c r="D2732" s="24">
        <v>2005</v>
      </c>
      <c r="E2732" s="24">
        <v>2001</v>
      </c>
      <c r="F2732" s="24" t="s">
        <v>2781</v>
      </c>
      <c r="G2732" s="24" t="s">
        <v>2876</v>
      </c>
      <c r="H2732" s="24" t="s">
        <v>2873</v>
      </c>
      <c r="I2732" s="24">
        <v>-0.22</v>
      </c>
      <c r="J2732" s="24">
        <v>33.57</v>
      </c>
      <c r="K2732" s="24">
        <v>1134</v>
      </c>
      <c r="O2732" s="24">
        <v>1345</v>
      </c>
      <c r="Q2732" s="42" t="s">
        <v>1856</v>
      </c>
      <c r="R2732" s="42" t="s">
        <v>1856</v>
      </c>
      <c r="S2732" s="42"/>
      <c r="T2732" s="42" t="s">
        <v>2875</v>
      </c>
      <c r="U2732" s="42" t="s">
        <v>1383</v>
      </c>
      <c r="V2732" s="42" t="s">
        <v>1722</v>
      </c>
      <c r="W2732" s="42" t="s">
        <v>1383</v>
      </c>
      <c r="X2732" s="42" t="s">
        <v>1383</v>
      </c>
      <c r="Z2732" s="321">
        <v>62</v>
      </c>
      <c r="AA2732" s="321">
        <v>29</v>
      </c>
      <c r="AB2732" s="24" t="s">
        <v>241</v>
      </c>
      <c r="AC2732" s="24">
        <v>5.2</v>
      </c>
      <c r="AD2732" s="24">
        <v>2.9</v>
      </c>
      <c r="AF2732" s="24" t="s">
        <v>2874</v>
      </c>
      <c r="AG2732" s="24" t="s">
        <v>2881</v>
      </c>
      <c r="AH2732" s="24" t="s">
        <v>578</v>
      </c>
      <c r="AI2732" s="24" t="s">
        <v>1650</v>
      </c>
      <c r="AJ2732" s="24" t="s">
        <v>133</v>
      </c>
      <c r="AT2732" s="24" t="s">
        <v>161</v>
      </c>
      <c r="AU2732" s="24">
        <v>2</v>
      </c>
      <c r="AW2732" s="24" t="s">
        <v>142</v>
      </c>
      <c r="BB2732" s="24" t="s">
        <v>2880</v>
      </c>
      <c r="BH2732" s="24">
        <v>2838</v>
      </c>
      <c r="BI2732" s="24">
        <v>2905</v>
      </c>
      <c r="BM2732" s="395"/>
      <c r="BN2732" s="395"/>
      <c r="BR2732" s="395"/>
      <c r="BS2732" s="395"/>
      <c r="IQ2732" s="249"/>
    </row>
    <row r="2733" spans="1:251" s="101" customFormat="1" x14ac:dyDescent="0.25">
      <c r="A2733" s="101">
        <v>128</v>
      </c>
      <c r="B2733" s="101" t="s">
        <v>2871</v>
      </c>
      <c r="C2733" s="101" t="s">
        <v>2872</v>
      </c>
      <c r="D2733" s="101">
        <v>2005</v>
      </c>
      <c r="E2733" s="101">
        <v>2000</v>
      </c>
      <c r="F2733" s="101" t="s">
        <v>2781</v>
      </c>
      <c r="G2733" s="101" t="s">
        <v>2876</v>
      </c>
      <c r="H2733" s="101" t="s">
        <v>2873</v>
      </c>
      <c r="I2733" s="101">
        <v>-0.22</v>
      </c>
      <c r="J2733" s="101">
        <v>33.57</v>
      </c>
      <c r="K2733" s="101">
        <v>1134</v>
      </c>
      <c r="O2733" s="101">
        <v>1345</v>
      </c>
      <c r="Q2733" s="102" t="s">
        <v>1986</v>
      </c>
      <c r="R2733" s="102" t="s">
        <v>1856</v>
      </c>
      <c r="S2733" s="102"/>
      <c r="T2733" s="102" t="s">
        <v>2875</v>
      </c>
      <c r="U2733" s="102" t="s">
        <v>1383</v>
      </c>
      <c r="V2733" s="102" t="s">
        <v>1722</v>
      </c>
      <c r="W2733" s="102" t="s">
        <v>1383</v>
      </c>
      <c r="X2733" s="102" t="s">
        <v>1383</v>
      </c>
      <c r="Z2733" s="352">
        <v>62</v>
      </c>
      <c r="AA2733" s="352">
        <v>29</v>
      </c>
      <c r="AB2733" s="101" t="s">
        <v>241</v>
      </c>
      <c r="AC2733" s="101">
        <v>5.2</v>
      </c>
      <c r="AD2733" s="101">
        <v>2.9</v>
      </c>
      <c r="AF2733" s="101" t="s">
        <v>2874</v>
      </c>
      <c r="AG2733" s="101" t="s">
        <v>2758</v>
      </c>
      <c r="AH2733" s="101" t="s">
        <v>578</v>
      </c>
      <c r="AI2733" s="101" t="s">
        <v>1650</v>
      </c>
      <c r="AJ2733" s="101" t="s">
        <v>133</v>
      </c>
      <c r="AT2733" s="101" t="s">
        <v>161</v>
      </c>
      <c r="AU2733" s="101">
        <v>2</v>
      </c>
      <c r="AW2733" s="101" t="s">
        <v>142</v>
      </c>
      <c r="AY2733" s="101">
        <v>1092</v>
      </c>
      <c r="BB2733" s="101" t="s">
        <v>2879</v>
      </c>
      <c r="BH2733" s="101">
        <v>3325</v>
      </c>
      <c r="BI2733" s="101">
        <v>3755</v>
      </c>
      <c r="BM2733" s="427"/>
      <c r="BN2733" s="427"/>
      <c r="BR2733" s="427"/>
      <c r="BS2733" s="427"/>
      <c r="IQ2733" s="177"/>
    </row>
    <row r="2734" spans="1:251" s="101" customFormat="1" x14ac:dyDescent="0.25">
      <c r="A2734" s="101">
        <v>128</v>
      </c>
      <c r="B2734" s="101" t="s">
        <v>2871</v>
      </c>
      <c r="C2734" s="101" t="s">
        <v>2872</v>
      </c>
      <c r="D2734" s="101">
        <v>2005</v>
      </c>
      <c r="E2734" s="101">
        <v>2000</v>
      </c>
      <c r="F2734" s="101" t="s">
        <v>2781</v>
      </c>
      <c r="G2734" s="101" t="s">
        <v>2876</v>
      </c>
      <c r="H2734" s="101" t="s">
        <v>2873</v>
      </c>
      <c r="I2734" s="101">
        <v>-0.22</v>
      </c>
      <c r="J2734" s="101">
        <v>33.57</v>
      </c>
      <c r="K2734" s="101">
        <v>1134</v>
      </c>
      <c r="O2734" s="101">
        <v>1345</v>
      </c>
      <c r="Q2734" s="102" t="s">
        <v>1986</v>
      </c>
      <c r="R2734" s="102" t="s">
        <v>1856</v>
      </c>
      <c r="S2734" s="102"/>
      <c r="T2734" s="102" t="s">
        <v>2875</v>
      </c>
      <c r="U2734" s="102" t="s">
        <v>1383</v>
      </c>
      <c r="V2734" s="102" t="s">
        <v>1722</v>
      </c>
      <c r="W2734" s="102" t="s">
        <v>1383</v>
      </c>
      <c r="X2734" s="102" t="s">
        <v>1383</v>
      </c>
      <c r="Z2734" s="352">
        <v>62</v>
      </c>
      <c r="AA2734" s="352">
        <v>29</v>
      </c>
      <c r="AB2734" s="101" t="s">
        <v>241</v>
      </c>
      <c r="AC2734" s="101">
        <v>5.2</v>
      </c>
      <c r="AD2734" s="101">
        <v>2.9</v>
      </c>
      <c r="AF2734" s="101" t="s">
        <v>2874</v>
      </c>
      <c r="AG2734" s="101" t="s">
        <v>2758</v>
      </c>
      <c r="AH2734" s="101" t="s">
        <v>578</v>
      </c>
      <c r="AI2734" s="101" t="s">
        <v>1650</v>
      </c>
      <c r="AJ2734" s="101" t="s">
        <v>133</v>
      </c>
      <c r="AT2734" s="101" t="s">
        <v>161</v>
      </c>
      <c r="AU2734" s="101">
        <v>2</v>
      </c>
      <c r="AW2734" s="101" t="s">
        <v>142</v>
      </c>
      <c r="AY2734" s="101">
        <v>464</v>
      </c>
      <c r="BB2734" s="101" t="s">
        <v>2880</v>
      </c>
      <c r="BH2734" s="101">
        <v>5023</v>
      </c>
      <c r="BI2734" s="101">
        <v>5465</v>
      </c>
      <c r="BM2734" s="427"/>
      <c r="BN2734" s="427"/>
      <c r="BR2734" s="427"/>
      <c r="BS2734" s="427"/>
      <c r="IQ2734" s="177"/>
    </row>
    <row r="2735" spans="1:251" s="101" customFormat="1" x14ac:dyDescent="0.25">
      <c r="A2735" s="101">
        <v>128</v>
      </c>
      <c r="B2735" s="101" t="s">
        <v>2871</v>
      </c>
      <c r="C2735" s="101" t="s">
        <v>2872</v>
      </c>
      <c r="D2735" s="101">
        <v>2005</v>
      </c>
      <c r="E2735" s="101">
        <v>2001</v>
      </c>
      <c r="F2735" s="101" t="s">
        <v>2781</v>
      </c>
      <c r="G2735" s="101" t="s">
        <v>2876</v>
      </c>
      <c r="H2735" s="101" t="s">
        <v>2873</v>
      </c>
      <c r="I2735" s="101">
        <v>-0.22</v>
      </c>
      <c r="J2735" s="101">
        <v>33.57</v>
      </c>
      <c r="K2735" s="101">
        <v>1134</v>
      </c>
      <c r="O2735" s="101">
        <v>1345</v>
      </c>
      <c r="Q2735" s="102" t="s">
        <v>1856</v>
      </c>
      <c r="R2735" s="102" t="s">
        <v>1856</v>
      </c>
      <c r="S2735" s="102"/>
      <c r="T2735" s="102" t="s">
        <v>2875</v>
      </c>
      <c r="U2735" s="102" t="s">
        <v>1383</v>
      </c>
      <c r="V2735" s="102" t="s">
        <v>1722</v>
      </c>
      <c r="W2735" s="102" t="s">
        <v>1383</v>
      </c>
      <c r="X2735" s="102" t="s">
        <v>1383</v>
      </c>
      <c r="Z2735" s="352">
        <v>62</v>
      </c>
      <c r="AA2735" s="352">
        <v>29</v>
      </c>
      <c r="AB2735" s="101" t="s">
        <v>241</v>
      </c>
      <c r="AC2735" s="101">
        <v>5.2</v>
      </c>
      <c r="AD2735" s="101">
        <v>2.9</v>
      </c>
      <c r="AF2735" s="101" t="s">
        <v>2874</v>
      </c>
      <c r="AG2735" s="101" t="s">
        <v>2758</v>
      </c>
      <c r="AH2735" s="101" t="s">
        <v>578</v>
      </c>
      <c r="AI2735" s="101" t="s">
        <v>1650</v>
      </c>
      <c r="AJ2735" s="101" t="s">
        <v>133</v>
      </c>
      <c r="AT2735" s="101" t="s">
        <v>161</v>
      </c>
      <c r="AU2735" s="101">
        <v>2</v>
      </c>
      <c r="AW2735" s="101" t="s">
        <v>142</v>
      </c>
      <c r="AY2735" s="101">
        <v>141</v>
      </c>
      <c r="BB2735" s="101" t="s">
        <v>2879</v>
      </c>
      <c r="BH2735" s="101">
        <v>4017</v>
      </c>
      <c r="BI2735" s="101">
        <v>4007</v>
      </c>
      <c r="BM2735" s="427"/>
      <c r="BN2735" s="427"/>
      <c r="BR2735" s="427"/>
      <c r="BS2735" s="427"/>
      <c r="IQ2735" s="177"/>
    </row>
    <row r="2736" spans="1:251" s="101" customFormat="1" x14ac:dyDescent="0.25">
      <c r="A2736" s="101">
        <v>128</v>
      </c>
      <c r="B2736" s="101" t="s">
        <v>2871</v>
      </c>
      <c r="C2736" s="101" t="s">
        <v>2872</v>
      </c>
      <c r="D2736" s="101">
        <v>2005</v>
      </c>
      <c r="E2736" s="101">
        <v>2001</v>
      </c>
      <c r="F2736" s="101" t="s">
        <v>2781</v>
      </c>
      <c r="G2736" s="101" t="s">
        <v>2876</v>
      </c>
      <c r="H2736" s="101" t="s">
        <v>2873</v>
      </c>
      <c r="I2736" s="101">
        <v>-0.22</v>
      </c>
      <c r="J2736" s="101">
        <v>33.57</v>
      </c>
      <c r="K2736" s="101">
        <v>1134</v>
      </c>
      <c r="O2736" s="101">
        <v>1345</v>
      </c>
      <c r="Q2736" s="102" t="s">
        <v>1856</v>
      </c>
      <c r="R2736" s="102" t="s">
        <v>1856</v>
      </c>
      <c r="S2736" s="102"/>
      <c r="T2736" s="102" t="s">
        <v>2875</v>
      </c>
      <c r="U2736" s="102" t="s">
        <v>1383</v>
      </c>
      <c r="V2736" s="102" t="s">
        <v>1722</v>
      </c>
      <c r="W2736" s="102" t="s">
        <v>1383</v>
      </c>
      <c r="X2736" s="102" t="s">
        <v>1383</v>
      </c>
      <c r="Z2736" s="352">
        <v>62</v>
      </c>
      <c r="AA2736" s="352">
        <v>29</v>
      </c>
      <c r="AB2736" s="101" t="s">
        <v>241</v>
      </c>
      <c r="AC2736" s="101">
        <v>5.2</v>
      </c>
      <c r="AD2736" s="101">
        <v>2.9</v>
      </c>
      <c r="AF2736" s="101" t="s">
        <v>2874</v>
      </c>
      <c r="AG2736" s="101" t="s">
        <v>2758</v>
      </c>
      <c r="AH2736" s="101" t="s">
        <v>578</v>
      </c>
      <c r="AI2736" s="101" t="s">
        <v>1650</v>
      </c>
      <c r="AJ2736" s="101" t="s">
        <v>133</v>
      </c>
      <c r="AT2736" s="101" t="s">
        <v>161</v>
      </c>
      <c r="AU2736" s="101">
        <v>2</v>
      </c>
      <c r="AW2736" s="101" t="s">
        <v>142</v>
      </c>
      <c r="BB2736" s="101" t="s">
        <v>2880</v>
      </c>
      <c r="BH2736" s="101">
        <v>2838</v>
      </c>
      <c r="BI2736" s="101">
        <v>2956</v>
      </c>
      <c r="BM2736" s="427"/>
      <c r="BN2736" s="427"/>
      <c r="BR2736" s="427"/>
      <c r="BS2736" s="427"/>
      <c r="IQ2736" s="177"/>
    </row>
    <row r="2737" spans="1:251" s="32" customFormat="1" x14ac:dyDescent="0.25">
      <c r="A2737" s="32">
        <v>128</v>
      </c>
      <c r="B2737" s="32" t="s">
        <v>2871</v>
      </c>
      <c r="C2737" s="32" t="s">
        <v>2872</v>
      </c>
      <c r="D2737" s="32">
        <v>2005</v>
      </c>
      <c r="E2737" s="32">
        <v>2000</v>
      </c>
      <c r="F2737" s="32" t="s">
        <v>2781</v>
      </c>
      <c r="G2737" s="32" t="s">
        <v>2877</v>
      </c>
      <c r="H2737" s="32" t="s">
        <v>2873</v>
      </c>
      <c r="I2737" s="32">
        <v>-1.58</v>
      </c>
      <c r="J2737" s="32">
        <v>30.07</v>
      </c>
      <c r="K2737" s="32">
        <v>1978</v>
      </c>
      <c r="O2737" s="32">
        <v>1345</v>
      </c>
      <c r="Q2737" s="44" t="s">
        <v>1986</v>
      </c>
      <c r="R2737" s="44" t="s">
        <v>1856</v>
      </c>
      <c r="S2737" s="44"/>
      <c r="T2737" s="44" t="s">
        <v>2875</v>
      </c>
      <c r="U2737" s="44" t="s">
        <v>1383</v>
      </c>
      <c r="V2737" s="44" t="s">
        <v>1722</v>
      </c>
      <c r="W2737" s="44" t="s">
        <v>1383</v>
      </c>
      <c r="X2737" s="44" t="s">
        <v>1383</v>
      </c>
      <c r="Z2737" s="323">
        <v>70</v>
      </c>
      <c r="AA2737" s="323">
        <v>21</v>
      </c>
      <c r="AB2737" s="32" t="s">
        <v>241</v>
      </c>
      <c r="AC2737" s="32">
        <v>5</v>
      </c>
      <c r="AD2737" s="32">
        <v>2.2999999999999998</v>
      </c>
      <c r="AF2737" s="32" t="s">
        <v>2874</v>
      </c>
      <c r="AG2737" s="32" t="s">
        <v>2757</v>
      </c>
      <c r="AH2737" s="32" t="s">
        <v>578</v>
      </c>
      <c r="AI2737" s="32" t="s">
        <v>1650</v>
      </c>
      <c r="AJ2737" s="32" t="s">
        <v>133</v>
      </c>
      <c r="AT2737" s="32" t="s">
        <v>161</v>
      </c>
      <c r="AU2737" s="32">
        <v>2</v>
      </c>
      <c r="AW2737" s="32" t="s">
        <v>142</v>
      </c>
      <c r="AY2737" s="32">
        <v>368</v>
      </c>
      <c r="BB2737" s="32" t="s">
        <v>2879</v>
      </c>
      <c r="BH2737" s="32">
        <v>2141</v>
      </c>
      <c r="BI2737" s="32">
        <v>1922</v>
      </c>
      <c r="BM2737" s="397"/>
      <c r="BN2737" s="397"/>
      <c r="BR2737" s="397"/>
      <c r="BS2737" s="397"/>
      <c r="IQ2737" s="243"/>
    </row>
    <row r="2738" spans="1:251" s="32" customFormat="1" x14ac:dyDescent="0.25">
      <c r="A2738" s="32">
        <v>128</v>
      </c>
      <c r="B2738" s="32" t="s">
        <v>2871</v>
      </c>
      <c r="C2738" s="32" t="s">
        <v>2872</v>
      </c>
      <c r="D2738" s="32">
        <v>2005</v>
      </c>
      <c r="E2738" s="32">
        <v>2000</v>
      </c>
      <c r="F2738" s="32" t="s">
        <v>2781</v>
      </c>
      <c r="G2738" s="32" t="s">
        <v>2877</v>
      </c>
      <c r="H2738" s="32" t="s">
        <v>2873</v>
      </c>
      <c r="I2738" s="32">
        <v>-1.58</v>
      </c>
      <c r="J2738" s="32">
        <v>30.07</v>
      </c>
      <c r="K2738" s="32">
        <v>1978</v>
      </c>
      <c r="O2738" s="32">
        <v>1345</v>
      </c>
      <c r="Q2738" s="44" t="s">
        <v>1986</v>
      </c>
      <c r="R2738" s="44" t="s">
        <v>1856</v>
      </c>
      <c r="S2738" s="44"/>
      <c r="T2738" s="44" t="s">
        <v>2875</v>
      </c>
      <c r="U2738" s="44" t="s">
        <v>1383</v>
      </c>
      <c r="V2738" s="44" t="s">
        <v>1722</v>
      </c>
      <c r="W2738" s="44" t="s">
        <v>1383</v>
      </c>
      <c r="X2738" s="44" t="s">
        <v>1383</v>
      </c>
      <c r="Z2738" s="323">
        <v>70</v>
      </c>
      <c r="AA2738" s="323">
        <v>21</v>
      </c>
      <c r="AB2738" s="32" t="s">
        <v>241</v>
      </c>
      <c r="AC2738" s="32">
        <v>5</v>
      </c>
      <c r="AD2738" s="32">
        <v>2.2999999999999998</v>
      </c>
      <c r="AF2738" s="32" t="s">
        <v>2874</v>
      </c>
      <c r="AG2738" s="32" t="s">
        <v>2757</v>
      </c>
      <c r="AH2738" s="32" t="s">
        <v>578</v>
      </c>
      <c r="AI2738" s="32" t="s">
        <v>1650</v>
      </c>
      <c r="AJ2738" s="32" t="s">
        <v>133</v>
      </c>
      <c r="AT2738" s="32" t="s">
        <v>161</v>
      </c>
      <c r="AU2738" s="32">
        <v>2</v>
      </c>
      <c r="AW2738" s="32" t="s">
        <v>142</v>
      </c>
      <c r="AY2738" s="32">
        <v>302</v>
      </c>
      <c r="BB2738" s="32" t="s">
        <v>2880</v>
      </c>
      <c r="BH2738" s="32">
        <v>2585</v>
      </c>
      <c r="BI2738" s="32">
        <v>1863</v>
      </c>
      <c r="BM2738" s="397"/>
      <c r="BN2738" s="397"/>
      <c r="BR2738" s="397"/>
      <c r="BS2738" s="397"/>
      <c r="IQ2738" s="243"/>
    </row>
    <row r="2739" spans="1:251" s="32" customFormat="1" x14ac:dyDescent="0.25">
      <c r="A2739" s="32">
        <v>128</v>
      </c>
      <c r="B2739" s="32" t="s">
        <v>2871</v>
      </c>
      <c r="C2739" s="32" t="s">
        <v>2872</v>
      </c>
      <c r="D2739" s="32">
        <v>2005</v>
      </c>
      <c r="E2739" s="32">
        <v>2001</v>
      </c>
      <c r="F2739" s="32" t="s">
        <v>2781</v>
      </c>
      <c r="G2739" s="32" t="s">
        <v>2877</v>
      </c>
      <c r="H2739" s="32" t="s">
        <v>2873</v>
      </c>
      <c r="I2739" s="32">
        <v>-1.58</v>
      </c>
      <c r="J2739" s="32">
        <v>30.07</v>
      </c>
      <c r="K2739" s="32">
        <v>1978</v>
      </c>
      <c r="O2739" s="32">
        <v>1345</v>
      </c>
      <c r="Q2739" s="44" t="s">
        <v>1856</v>
      </c>
      <c r="R2739" s="44" t="s">
        <v>1856</v>
      </c>
      <c r="S2739" s="44"/>
      <c r="T2739" s="44" t="s">
        <v>2875</v>
      </c>
      <c r="U2739" s="44" t="s">
        <v>1383</v>
      </c>
      <c r="V2739" s="44" t="s">
        <v>1722</v>
      </c>
      <c r="W2739" s="44" t="s">
        <v>1383</v>
      </c>
      <c r="X2739" s="44" t="s">
        <v>1383</v>
      </c>
      <c r="Z2739" s="323">
        <v>70</v>
      </c>
      <c r="AA2739" s="323">
        <v>21</v>
      </c>
      <c r="AB2739" s="32" t="s">
        <v>241</v>
      </c>
      <c r="AC2739" s="32">
        <v>5</v>
      </c>
      <c r="AD2739" s="32">
        <v>2.2999999999999998</v>
      </c>
      <c r="AF2739" s="32" t="s">
        <v>2874</v>
      </c>
      <c r="AG2739" s="32" t="s">
        <v>2757</v>
      </c>
      <c r="AH2739" s="32" t="s">
        <v>578</v>
      </c>
      <c r="AI2739" s="32" t="s">
        <v>1650</v>
      </c>
      <c r="AJ2739" s="32" t="s">
        <v>133</v>
      </c>
      <c r="AT2739" s="32" t="s">
        <v>161</v>
      </c>
      <c r="AU2739" s="32">
        <v>2</v>
      </c>
      <c r="AW2739" s="32" t="s">
        <v>142</v>
      </c>
      <c r="AY2739" s="32">
        <v>1198</v>
      </c>
      <c r="BB2739" s="32" t="s">
        <v>2879</v>
      </c>
      <c r="BH2739" s="32">
        <v>1719</v>
      </c>
      <c r="BI2739" s="32">
        <v>2249</v>
      </c>
      <c r="BM2739" s="397"/>
      <c r="BN2739" s="397"/>
      <c r="BR2739" s="397"/>
      <c r="BS2739" s="397"/>
      <c r="IQ2739" s="243"/>
    </row>
    <row r="2740" spans="1:251" s="32" customFormat="1" x14ac:dyDescent="0.25">
      <c r="A2740" s="32">
        <v>128</v>
      </c>
      <c r="B2740" s="32" t="s">
        <v>2871</v>
      </c>
      <c r="C2740" s="32" t="s">
        <v>2872</v>
      </c>
      <c r="D2740" s="32">
        <v>2005</v>
      </c>
      <c r="E2740" s="32">
        <v>2001</v>
      </c>
      <c r="F2740" s="32" t="s">
        <v>2781</v>
      </c>
      <c r="G2740" s="32" t="s">
        <v>2877</v>
      </c>
      <c r="H2740" s="32" t="s">
        <v>2873</v>
      </c>
      <c r="I2740" s="32">
        <v>-1.58</v>
      </c>
      <c r="J2740" s="32">
        <v>30.07</v>
      </c>
      <c r="K2740" s="32">
        <v>1978</v>
      </c>
      <c r="O2740" s="32">
        <v>1345</v>
      </c>
      <c r="Q2740" s="44" t="s">
        <v>1856</v>
      </c>
      <c r="R2740" s="44" t="s">
        <v>1856</v>
      </c>
      <c r="S2740" s="44"/>
      <c r="T2740" s="44" t="s">
        <v>2875</v>
      </c>
      <c r="U2740" s="44" t="s">
        <v>1383</v>
      </c>
      <c r="V2740" s="44" t="s">
        <v>1722</v>
      </c>
      <c r="W2740" s="44" t="s">
        <v>1383</v>
      </c>
      <c r="X2740" s="44" t="s">
        <v>1383</v>
      </c>
      <c r="Z2740" s="323">
        <v>70</v>
      </c>
      <c r="AA2740" s="323">
        <v>21</v>
      </c>
      <c r="AB2740" s="32" t="s">
        <v>241</v>
      </c>
      <c r="AC2740" s="32">
        <v>5</v>
      </c>
      <c r="AD2740" s="32">
        <v>2.2999999999999998</v>
      </c>
      <c r="AF2740" s="32" t="s">
        <v>2874</v>
      </c>
      <c r="AG2740" s="32" t="s">
        <v>2757</v>
      </c>
      <c r="AH2740" s="32" t="s">
        <v>578</v>
      </c>
      <c r="AI2740" s="32" t="s">
        <v>1650</v>
      </c>
      <c r="AJ2740" s="32" t="s">
        <v>133</v>
      </c>
      <c r="AT2740" s="32" t="s">
        <v>161</v>
      </c>
      <c r="AU2740" s="32">
        <v>2</v>
      </c>
      <c r="AW2740" s="32" t="s">
        <v>142</v>
      </c>
      <c r="BB2740" s="32" t="s">
        <v>2880</v>
      </c>
      <c r="BH2740" s="32">
        <v>1469</v>
      </c>
      <c r="BI2740" s="32">
        <v>1805</v>
      </c>
      <c r="BM2740" s="397"/>
      <c r="BN2740" s="397"/>
      <c r="BR2740" s="397"/>
      <c r="BS2740" s="397"/>
      <c r="IQ2740" s="243"/>
    </row>
    <row r="2741" spans="1:251" s="105" customFormat="1" x14ac:dyDescent="0.25">
      <c r="A2741" s="105">
        <v>128</v>
      </c>
      <c r="B2741" s="105" t="s">
        <v>2871</v>
      </c>
      <c r="C2741" s="105" t="s">
        <v>2872</v>
      </c>
      <c r="D2741" s="105">
        <v>2005</v>
      </c>
      <c r="E2741" s="105">
        <v>2000</v>
      </c>
      <c r="F2741" s="105" t="s">
        <v>2781</v>
      </c>
      <c r="G2741" s="105" t="s">
        <v>2877</v>
      </c>
      <c r="H2741" s="105" t="s">
        <v>2873</v>
      </c>
      <c r="I2741" s="105">
        <v>-1.58</v>
      </c>
      <c r="J2741" s="105">
        <v>30.07</v>
      </c>
      <c r="K2741" s="105">
        <v>1978</v>
      </c>
      <c r="O2741" s="105">
        <v>1345</v>
      </c>
      <c r="Q2741" s="106" t="s">
        <v>1986</v>
      </c>
      <c r="R2741" s="106" t="s">
        <v>1856</v>
      </c>
      <c r="S2741" s="106"/>
      <c r="T2741" s="106" t="s">
        <v>2875</v>
      </c>
      <c r="U2741" s="106" t="s">
        <v>1383</v>
      </c>
      <c r="V2741" s="106" t="s">
        <v>1722</v>
      </c>
      <c r="W2741" s="106" t="s">
        <v>1383</v>
      </c>
      <c r="X2741" s="106" t="s">
        <v>1383</v>
      </c>
      <c r="Z2741" s="354">
        <v>70</v>
      </c>
      <c r="AA2741" s="354">
        <v>21</v>
      </c>
      <c r="AB2741" s="105" t="s">
        <v>241</v>
      </c>
      <c r="AC2741" s="105">
        <v>5</v>
      </c>
      <c r="AD2741" s="105">
        <v>2.2999999999999998</v>
      </c>
      <c r="AF2741" s="105" t="s">
        <v>2874</v>
      </c>
      <c r="AG2741" s="105" t="s">
        <v>2759</v>
      </c>
      <c r="AH2741" s="105" t="s">
        <v>578</v>
      </c>
      <c r="AI2741" s="105" t="s">
        <v>1650</v>
      </c>
      <c r="AJ2741" s="105" t="s">
        <v>133</v>
      </c>
      <c r="AT2741" s="105" t="s">
        <v>161</v>
      </c>
      <c r="AU2741" s="105">
        <v>2</v>
      </c>
      <c r="AW2741" s="105" t="s">
        <v>142</v>
      </c>
      <c r="AY2741" s="105">
        <v>400</v>
      </c>
      <c r="BB2741" s="105" t="s">
        <v>2879</v>
      </c>
      <c r="BH2741" s="105">
        <v>2141</v>
      </c>
      <c r="BI2741" s="105">
        <v>1631</v>
      </c>
      <c r="BM2741" s="429"/>
      <c r="BN2741" s="429"/>
      <c r="BR2741" s="429"/>
      <c r="BS2741" s="429"/>
      <c r="IQ2741" s="502"/>
    </row>
    <row r="2742" spans="1:251" s="105" customFormat="1" x14ac:dyDescent="0.25">
      <c r="A2742" s="105">
        <v>128</v>
      </c>
      <c r="B2742" s="105" t="s">
        <v>2871</v>
      </c>
      <c r="C2742" s="105" t="s">
        <v>2872</v>
      </c>
      <c r="D2742" s="105">
        <v>2005</v>
      </c>
      <c r="E2742" s="105">
        <v>2000</v>
      </c>
      <c r="F2742" s="105" t="s">
        <v>2781</v>
      </c>
      <c r="G2742" s="105" t="s">
        <v>2877</v>
      </c>
      <c r="H2742" s="105" t="s">
        <v>2873</v>
      </c>
      <c r="I2742" s="105">
        <v>-1.58</v>
      </c>
      <c r="J2742" s="105">
        <v>30.07</v>
      </c>
      <c r="K2742" s="105">
        <v>1978</v>
      </c>
      <c r="O2742" s="105">
        <v>1345</v>
      </c>
      <c r="Q2742" s="106" t="s">
        <v>1986</v>
      </c>
      <c r="R2742" s="106" t="s">
        <v>1856</v>
      </c>
      <c r="S2742" s="106"/>
      <c r="T2742" s="106" t="s">
        <v>2875</v>
      </c>
      <c r="U2742" s="106" t="s">
        <v>1383</v>
      </c>
      <c r="V2742" s="106" t="s">
        <v>1722</v>
      </c>
      <c r="W2742" s="106" t="s">
        <v>1383</v>
      </c>
      <c r="X2742" s="106" t="s">
        <v>1383</v>
      </c>
      <c r="Z2742" s="354">
        <v>70</v>
      </c>
      <c r="AA2742" s="354">
        <v>21</v>
      </c>
      <c r="AB2742" s="105" t="s">
        <v>241</v>
      </c>
      <c r="AC2742" s="105">
        <v>5</v>
      </c>
      <c r="AD2742" s="105">
        <v>2.2999999999999998</v>
      </c>
      <c r="AF2742" s="105" t="s">
        <v>2874</v>
      </c>
      <c r="AG2742" s="105" t="s">
        <v>2759</v>
      </c>
      <c r="AH2742" s="105" t="s">
        <v>578</v>
      </c>
      <c r="AI2742" s="105" t="s">
        <v>1650</v>
      </c>
      <c r="AJ2742" s="105" t="s">
        <v>133</v>
      </c>
      <c r="AT2742" s="105" t="s">
        <v>161</v>
      </c>
      <c r="AU2742" s="105">
        <v>2</v>
      </c>
      <c r="AW2742" s="105" t="s">
        <v>142</v>
      </c>
      <c r="AY2742" s="105">
        <v>116</v>
      </c>
      <c r="BB2742" s="105" t="s">
        <v>2880</v>
      </c>
      <c r="BH2742" s="105">
        <v>2585</v>
      </c>
      <c r="BI2742" s="105">
        <v>2884</v>
      </c>
      <c r="BM2742" s="429"/>
      <c r="BN2742" s="429"/>
      <c r="BR2742" s="429"/>
      <c r="BS2742" s="429"/>
      <c r="IQ2742" s="502"/>
    </row>
    <row r="2743" spans="1:251" s="105" customFormat="1" x14ac:dyDescent="0.25">
      <c r="A2743" s="105">
        <v>128</v>
      </c>
      <c r="B2743" s="105" t="s">
        <v>2871</v>
      </c>
      <c r="C2743" s="105" t="s">
        <v>2872</v>
      </c>
      <c r="D2743" s="105">
        <v>2005</v>
      </c>
      <c r="E2743" s="105">
        <v>2001</v>
      </c>
      <c r="F2743" s="105" t="s">
        <v>2781</v>
      </c>
      <c r="G2743" s="105" t="s">
        <v>2877</v>
      </c>
      <c r="H2743" s="105" t="s">
        <v>2873</v>
      </c>
      <c r="I2743" s="105">
        <v>-1.58</v>
      </c>
      <c r="J2743" s="105">
        <v>30.07</v>
      </c>
      <c r="K2743" s="105">
        <v>1978</v>
      </c>
      <c r="O2743" s="105">
        <v>1345</v>
      </c>
      <c r="Q2743" s="106" t="s">
        <v>1856</v>
      </c>
      <c r="R2743" s="106" t="s">
        <v>1856</v>
      </c>
      <c r="S2743" s="106"/>
      <c r="T2743" s="106" t="s">
        <v>2875</v>
      </c>
      <c r="U2743" s="106" t="s">
        <v>1383</v>
      </c>
      <c r="V2743" s="106" t="s">
        <v>1722</v>
      </c>
      <c r="W2743" s="106" t="s">
        <v>1383</v>
      </c>
      <c r="X2743" s="106" t="s">
        <v>1383</v>
      </c>
      <c r="Z2743" s="354">
        <v>70</v>
      </c>
      <c r="AA2743" s="354">
        <v>21</v>
      </c>
      <c r="AB2743" s="105" t="s">
        <v>241</v>
      </c>
      <c r="AC2743" s="105">
        <v>5</v>
      </c>
      <c r="AD2743" s="105">
        <v>2.2999999999999998</v>
      </c>
      <c r="AF2743" s="105" t="s">
        <v>2874</v>
      </c>
      <c r="AG2743" s="105" t="s">
        <v>2759</v>
      </c>
      <c r="AH2743" s="105" t="s">
        <v>578</v>
      </c>
      <c r="AI2743" s="105" t="s">
        <v>1650</v>
      </c>
      <c r="AJ2743" s="105" t="s">
        <v>133</v>
      </c>
      <c r="AT2743" s="105" t="s">
        <v>161</v>
      </c>
      <c r="AU2743" s="105">
        <v>2</v>
      </c>
      <c r="AW2743" s="105" t="s">
        <v>142</v>
      </c>
      <c r="AY2743" s="105">
        <v>590</v>
      </c>
      <c r="BB2743" s="105" t="s">
        <v>2879</v>
      </c>
      <c r="BH2743" s="105">
        <v>1719</v>
      </c>
      <c r="BI2743" s="105">
        <v>1755</v>
      </c>
      <c r="BM2743" s="429"/>
      <c r="BN2743" s="429"/>
      <c r="BR2743" s="429"/>
      <c r="BS2743" s="429"/>
      <c r="IQ2743" s="502"/>
    </row>
    <row r="2744" spans="1:251" s="105" customFormat="1" x14ac:dyDescent="0.25">
      <c r="A2744" s="105">
        <v>128</v>
      </c>
      <c r="B2744" s="105" t="s">
        <v>2871</v>
      </c>
      <c r="C2744" s="105" t="s">
        <v>2872</v>
      </c>
      <c r="D2744" s="105">
        <v>2005</v>
      </c>
      <c r="E2744" s="105">
        <v>2001</v>
      </c>
      <c r="F2744" s="105" t="s">
        <v>2781</v>
      </c>
      <c r="G2744" s="105" t="s">
        <v>2877</v>
      </c>
      <c r="H2744" s="105" t="s">
        <v>2873</v>
      </c>
      <c r="I2744" s="105">
        <v>-1.58</v>
      </c>
      <c r="J2744" s="105">
        <v>30.07</v>
      </c>
      <c r="K2744" s="105">
        <v>1978</v>
      </c>
      <c r="O2744" s="105">
        <v>1345</v>
      </c>
      <c r="Q2744" s="106" t="s">
        <v>1856</v>
      </c>
      <c r="R2744" s="106" t="s">
        <v>1856</v>
      </c>
      <c r="S2744" s="106"/>
      <c r="T2744" s="106" t="s">
        <v>2875</v>
      </c>
      <c r="U2744" s="106" t="s">
        <v>1383</v>
      </c>
      <c r="V2744" s="106" t="s">
        <v>1722</v>
      </c>
      <c r="W2744" s="106" t="s">
        <v>1383</v>
      </c>
      <c r="X2744" s="106" t="s">
        <v>1383</v>
      </c>
      <c r="Z2744" s="354">
        <v>70</v>
      </c>
      <c r="AA2744" s="354">
        <v>21</v>
      </c>
      <c r="AB2744" s="105" t="s">
        <v>241</v>
      </c>
      <c r="AC2744" s="105">
        <v>5</v>
      </c>
      <c r="AD2744" s="105">
        <v>2.2999999999999998</v>
      </c>
      <c r="AF2744" s="105" t="s">
        <v>2874</v>
      </c>
      <c r="AG2744" s="105" t="s">
        <v>2759</v>
      </c>
      <c r="AH2744" s="105" t="s">
        <v>578</v>
      </c>
      <c r="AI2744" s="105" t="s">
        <v>1650</v>
      </c>
      <c r="AJ2744" s="105" t="s">
        <v>133</v>
      </c>
      <c r="AT2744" s="105" t="s">
        <v>161</v>
      </c>
      <c r="AU2744" s="105">
        <v>2</v>
      </c>
      <c r="AW2744" s="105" t="s">
        <v>142</v>
      </c>
      <c r="BB2744" s="105" t="s">
        <v>2880</v>
      </c>
      <c r="BH2744" s="105">
        <v>1469</v>
      </c>
      <c r="BI2744" s="105">
        <v>1881</v>
      </c>
      <c r="BM2744" s="429"/>
      <c r="BN2744" s="429"/>
      <c r="BR2744" s="429"/>
      <c r="BS2744" s="429"/>
      <c r="IQ2744" s="502"/>
    </row>
    <row r="2745" spans="1:251" s="32" customFormat="1" x14ac:dyDescent="0.25">
      <c r="A2745" s="32">
        <v>128</v>
      </c>
      <c r="B2745" s="32" t="s">
        <v>2871</v>
      </c>
      <c r="C2745" s="32" t="s">
        <v>2872</v>
      </c>
      <c r="D2745" s="32">
        <v>2005</v>
      </c>
      <c r="E2745" s="32">
        <v>2000</v>
      </c>
      <c r="F2745" s="32" t="s">
        <v>2781</v>
      </c>
      <c r="G2745" s="32" t="s">
        <v>2877</v>
      </c>
      <c r="H2745" s="32" t="s">
        <v>2873</v>
      </c>
      <c r="I2745" s="32">
        <v>-1.58</v>
      </c>
      <c r="J2745" s="32">
        <v>30.07</v>
      </c>
      <c r="K2745" s="32">
        <v>1978</v>
      </c>
      <c r="O2745" s="32">
        <v>1345</v>
      </c>
      <c r="Q2745" s="44" t="s">
        <v>1986</v>
      </c>
      <c r="R2745" s="44" t="s">
        <v>1856</v>
      </c>
      <c r="S2745" s="44"/>
      <c r="T2745" s="44" t="s">
        <v>2875</v>
      </c>
      <c r="U2745" s="44" t="s">
        <v>1383</v>
      </c>
      <c r="V2745" s="44" t="s">
        <v>1722</v>
      </c>
      <c r="W2745" s="44" t="s">
        <v>1383</v>
      </c>
      <c r="X2745" s="44" t="s">
        <v>1383</v>
      </c>
      <c r="Z2745" s="323">
        <v>70</v>
      </c>
      <c r="AA2745" s="323">
        <v>21</v>
      </c>
      <c r="AB2745" s="32" t="s">
        <v>241</v>
      </c>
      <c r="AC2745" s="32">
        <v>5</v>
      </c>
      <c r="AD2745" s="32">
        <v>2.2999999999999998</v>
      </c>
      <c r="AF2745" s="32" t="s">
        <v>2874</v>
      </c>
      <c r="AG2745" s="32" t="s">
        <v>2881</v>
      </c>
      <c r="AH2745" s="32" t="s">
        <v>578</v>
      </c>
      <c r="AI2745" s="32" t="s">
        <v>1650</v>
      </c>
      <c r="AJ2745" s="32" t="s">
        <v>133</v>
      </c>
      <c r="AT2745" s="32" t="s">
        <v>161</v>
      </c>
      <c r="AU2745" s="32">
        <v>2</v>
      </c>
      <c r="AW2745" s="32" t="s">
        <v>142</v>
      </c>
      <c r="AY2745" s="32">
        <v>653</v>
      </c>
      <c r="BB2745" s="32" t="s">
        <v>2879</v>
      </c>
      <c r="BH2745" s="32">
        <v>2141</v>
      </c>
      <c r="BI2745" s="32">
        <v>2241</v>
      </c>
      <c r="BM2745" s="397"/>
      <c r="BN2745" s="397"/>
      <c r="BR2745" s="397"/>
      <c r="BS2745" s="397"/>
      <c r="IQ2745" s="243"/>
    </row>
    <row r="2746" spans="1:251" s="32" customFormat="1" x14ac:dyDescent="0.25">
      <c r="A2746" s="32">
        <v>128</v>
      </c>
      <c r="B2746" s="32" t="s">
        <v>2871</v>
      </c>
      <c r="C2746" s="32" t="s">
        <v>2872</v>
      </c>
      <c r="D2746" s="32">
        <v>2005</v>
      </c>
      <c r="E2746" s="32">
        <v>2000</v>
      </c>
      <c r="F2746" s="32" t="s">
        <v>2781</v>
      </c>
      <c r="G2746" s="32" t="s">
        <v>2877</v>
      </c>
      <c r="H2746" s="32" t="s">
        <v>2873</v>
      </c>
      <c r="I2746" s="32">
        <v>-1.58</v>
      </c>
      <c r="J2746" s="32">
        <v>30.07</v>
      </c>
      <c r="K2746" s="32">
        <v>1978</v>
      </c>
      <c r="O2746" s="32">
        <v>1345</v>
      </c>
      <c r="Q2746" s="44" t="s">
        <v>1986</v>
      </c>
      <c r="R2746" s="44" t="s">
        <v>1856</v>
      </c>
      <c r="S2746" s="44"/>
      <c r="T2746" s="44" t="s">
        <v>2875</v>
      </c>
      <c r="U2746" s="44" t="s">
        <v>1383</v>
      </c>
      <c r="V2746" s="44" t="s">
        <v>1722</v>
      </c>
      <c r="W2746" s="44" t="s">
        <v>1383</v>
      </c>
      <c r="X2746" s="44" t="s">
        <v>1383</v>
      </c>
      <c r="Z2746" s="323">
        <v>70</v>
      </c>
      <c r="AA2746" s="323">
        <v>21</v>
      </c>
      <c r="AB2746" s="32" t="s">
        <v>241</v>
      </c>
      <c r="AC2746" s="32">
        <v>5</v>
      </c>
      <c r="AD2746" s="32">
        <v>2.2999999999999998</v>
      </c>
      <c r="AF2746" s="32" t="s">
        <v>2874</v>
      </c>
      <c r="AG2746" s="32" t="s">
        <v>2881</v>
      </c>
      <c r="AH2746" s="32" t="s">
        <v>578</v>
      </c>
      <c r="AI2746" s="32" t="s">
        <v>1650</v>
      </c>
      <c r="AJ2746" s="32" t="s">
        <v>133</v>
      </c>
      <c r="AT2746" s="32" t="s">
        <v>161</v>
      </c>
      <c r="AU2746" s="32">
        <v>2</v>
      </c>
      <c r="AW2746" s="32" t="s">
        <v>142</v>
      </c>
      <c r="AY2746" s="32">
        <v>494</v>
      </c>
      <c r="BB2746" s="32" t="s">
        <v>2880</v>
      </c>
      <c r="BH2746" s="32">
        <v>2585</v>
      </c>
      <c r="BI2746" s="32">
        <v>3324</v>
      </c>
      <c r="BM2746" s="397"/>
      <c r="BN2746" s="397"/>
      <c r="BR2746" s="397"/>
      <c r="BS2746" s="397"/>
      <c r="IQ2746" s="243"/>
    </row>
    <row r="2747" spans="1:251" s="32" customFormat="1" x14ac:dyDescent="0.25">
      <c r="A2747" s="32">
        <v>128</v>
      </c>
      <c r="B2747" s="32" t="s">
        <v>2871</v>
      </c>
      <c r="C2747" s="32" t="s">
        <v>2872</v>
      </c>
      <c r="D2747" s="32">
        <v>2005</v>
      </c>
      <c r="E2747" s="32">
        <v>2001</v>
      </c>
      <c r="F2747" s="32" t="s">
        <v>2781</v>
      </c>
      <c r="G2747" s="32" t="s">
        <v>2877</v>
      </c>
      <c r="H2747" s="32" t="s">
        <v>2873</v>
      </c>
      <c r="I2747" s="32">
        <v>-1.58</v>
      </c>
      <c r="J2747" s="32">
        <v>30.07</v>
      </c>
      <c r="K2747" s="32">
        <v>1978</v>
      </c>
      <c r="O2747" s="32">
        <v>1345</v>
      </c>
      <c r="Q2747" s="44" t="s">
        <v>1856</v>
      </c>
      <c r="R2747" s="44" t="s">
        <v>1856</v>
      </c>
      <c r="S2747" s="44"/>
      <c r="T2747" s="44" t="s">
        <v>2875</v>
      </c>
      <c r="U2747" s="44" t="s">
        <v>1383</v>
      </c>
      <c r="V2747" s="44" t="s">
        <v>1722</v>
      </c>
      <c r="W2747" s="44" t="s">
        <v>1383</v>
      </c>
      <c r="X2747" s="44" t="s">
        <v>1383</v>
      </c>
      <c r="Z2747" s="323">
        <v>70</v>
      </c>
      <c r="AA2747" s="323">
        <v>21</v>
      </c>
      <c r="AB2747" s="32" t="s">
        <v>241</v>
      </c>
      <c r="AC2747" s="32">
        <v>5</v>
      </c>
      <c r="AD2747" s="32">
        <v>2.2999999999999998</v>
      </c>
      <c r="AF2747" s="32" t="s">
        <v>2874</v>
      </c>
      <c r="AG2747" s="32" t="s">
        <v>2881</v>
      </c>
      <c r="AH2747" s="32" t="s">
        <v>578</v>
      </c>
      <c r="AI2747" s="32" t="s">
        <v>1650</v>
      </c>
      <c r="AJ2747" s="32" t="s">
        <v>133</v>
      </c>
      <c r="AT2747" s="32" t="s">
        <v>161</v>
      </c>
      <c r="AU2747" s="32">
        <v>2</v>
      </c>
      <c r="AW2747" s="32" t="s">
        <v>142</v>
      </c>
      <c r="AY2747" s="32">
        <v>254</v>
      </c>
      <c r="BB2747" s="32" t="s">
        <v>2879</v>
      </c>
      <c r="BH2747" s="32">
        <v>1719</v>
      </c>
      <c r="BI2747" s="32">
        <v>2316</v>
      </c>
      <c r="BM2747" s="397"/>
      <c r="BN2747" s="397"/>
      <c r="BR2747" s="397"/>
      <c r="BS2747" s="397"/>
      <c r="IQ2747" s="243"/>
    </row>
    <row r="2748" spans="1:251" s="32" customFormat="1" x14ac:dyDescent="0.25">
      <c r="A2748" s="32">
        <v>128</v>
      </c>
      <c r="B2748" s="32" t="s">
        <v>2871</v>
      </c>
      <c r="C2748" s="32" t="s">
        <v>2872</v>
      </c>
      <c r="D2748" s="32">
        <v>2005</v>
      </c>
      <c r="E2748" s="32">
        <v>2001</v>
      </c>
      <c r="F2748" s="32" t="s">
        <v>2781</v>
      </c>
      <c r="G2748" s="32" t="s">
        <v>2877</v>
      </c>
      <c r="H2748" s="32" t="s">
        <v>2873</v>
      </c>
      <c r="I2748" s="32">
        <v>-1.58</v>
      </c>
      <c r="J2748" s="32">
        <v>30.07</v>
      </c>
      <c r="K2748" s="32">
        <v>1978</v>
      </c>
      <c r="O2748" s="32">
        <v>1345</v>
      </c>
      <c r="Q2748" s="44" t="s">
        <v>1856</v>
      </c>
      <c r="R2748" s="44" t="s">
        <v>1856</v>
      </c>
      <c r="S2748" s="44"/>
      <c r="T2748" s="44" t="s">
        <v>2875</v>
      </c>
      <c r="U2748" s="44" t="s">
        <v>1383</v>
      </c>
      <c r="V2748" s="44" t="s">
        <v>1722</v>
      </c>
      <c r="W2748" s="44" t="s">
        <v>1383</v>
      </c>
      <c r="X2748" s="44" t="s">
        <v>1383</v>
      </c>
      <c r="Z2748" s="323">
        <v>70</v>
      </c>
      <c r="AA2748" s="323">
        <v>21</v>
      </c>
      <c r="AB2748" s="32" t="s">
        <v>241</v>
      </c>
      <c r="AC2748" s="32">
        <v>5</v>
      </c>
      <c r="AD2748" s="32">
        <v>2.2999999999999998</v>
      </c>
      <c r="AF2748" s="32" t="s">
        <v>2874</v>
      </c>
      <c r="AG2748" s="32" t="s">
        <v>2881</v>
      </c>
      <c r="AH2748" s="32" t="s">
        <v>578</v>
      </c>
      <c r="AI2748" s="32" t="s">
        <v>1650</v>
      </c>
      <c r="AJ2748" s="32" t="s">
        <v>133</v>
      </c>
      <c r="AT2748" s="32" t="s">
        <v>161</v>
      </c>
      <c r="AU2748" s="32">
        <v>2</v>
      </c>
      <c r="AW2748" s="32" t="s">
        <v>142</v>
      </c>
      <c r="BB2748" s="32" t="s">
        <v>2880</v>
      </c>
      <c r="BH2748" s="32">
        <v>1469</v>
      </c>
      <c r="BI2748" s="32">
        <v>2285</v>
      </c>
      <c r="BM2748" s="397"/>
      <c r="BN2748" s="397"/>
      <c r="BR2748" s="397"/>
      <c r="BS2748" s="397"/>
      <c r="IQ2748" s="243"/>
    </row>
    <row r="2749" spans="1:251" s="105" customFormat="1" x14ac:dyDescent="0.25">
      <c r="A2749" s="105">
        <v>128</v>
      </c>
      <c r="B2749" s="105" t="s">
        <v>2871</v>
      </c>
      <c r="C2749" s="105" t="s">
        <v>2872</v>
      </c>
      <c r="D2749" s="105">
        <v>2005</v>
      </c>
      <c r="E2749" s="105">
        <v>2000</v>
      </c>
      <c r="F2749" s="105" t="s">
        <v>2781</v>
      </c>
      <c r="G2749" s="105" t="s">
        <v>2877</v>
      </c>
      <c r="H2749" s="105" t="s">
        <v>2873</v>
      </c>
      <c r="I2749" s="105">
        <v>-1.58</v>
      </c>
      <c r="J2749" s="105">
        <v>30.07</v>
      </c>
      <c r="K2749" s="105">
        <v>1978</v>
      </c>
      <c r="O2749" s="105">
        <v>1345</v>
      </c>
      <c r="Q2749" s="106" t="s">
        <v>1986</v>
      </c>
      <c r="R2749" s="106" t="s">
        <v>1856</v>
      </c>
      <c r="S2749" s="106"/>
      <c r="T2749" s="106" t="s">
        <v>2875</v>
      </c>
      <c r="U2749" s="106" t="s">
        <v>1383</v>
      </c>
      <c r="V2749" s="106" t="s">
        <v>1722</v>
      </c>
      <c r="W2749" s="106" t="s">
        <v>1383</v>
      </c>
      <c r="X2749" s="106" t="s">
        <v>1383</v>
      </c>
      <c r="Z2749" s="354">
        <v>70</v>
      </c>
      <c r="AA2749" s="354">
        <v>21</v>
      </c>
      <c r="AB2749" s="105" t="s">
        <v>241</v>
      </c>
      <c r="AC2749" s="105">
        <v>5</v>
      </c>
      <c r="AD2749" s="105">
        <v>2.2999999999999998</v>
      </c>
      <c r="AF2749" s="105" t="s">
        <v>2874</v>
      </c>
      <c r="AG2749" s="105" t="s">
        <v>2758</v>
      </c>
      <c r="AH2749" s="105" t="s">
        <v>578</v>
      </c>
      <c r="AI2749" s="105" t="s">
        <v>1650</v>
      </c>
      <c r="AJ2749" s="105" t="s">
        <v>133</v>
      </c>
      <c r="AT2749" s="105" t="s">
        <v>161</v>
      </c>
      <c r="AU2749" s="105">
        <v>2</v>
      </c>
      <c r="AW2749" s="105" t="s">
        <v>142</v>
      </c>
      <c r="AY2749" s="105">
        <v>206</v>
      </c>
      <c r="BB2749" s="105" t="s">
        <v>2879</v>
      </c>
      <c r="BH2749" s="105">
        <v>2141</v>
      </c>
      <c r="BI2749" s="105">
        <v>1937</v>
      </c>
      <c r="BM2749" s="429"/>
      <c r="BN2749" s="429"/>
      <c r="BR2749" s="429"/>
      <c r="BS2749" s="429"/>
      <c r="IQ2749" s="502"/>
    </row>
    <row r="2750" spans="1:251" s="105" customFormat="1" x14ac:dyDescent="0.25">
      <c r="A2750" s="105">
        <v>128</v>
      </c>
      <c r="B2750" s="105" t="s">
        <v>2871</v>
      </c>
      <c r="C2750" s="105" t="s">
        <v>2872</v>
      </c>
      <c r="D2750" s="105">
        <v>2005</v>
      </c>
      <c r="E2750" s="105">
        <v>2000</v>
      </c>
      <c r="F2750" s="105" t="s">
        <v>2781</v>
      </c>
      <c r="G2750" s="105" t="s">
        <v>2877</v>
      </c>
      <c r="H2750" s="105" t="s">
        <v>2873</v>
      </c>
      <c r="I2750" s="105">
        <v>-1.58</v>
      </c>
      <c r="J2750" s="105">
        <v>30.07</v>
      </c>
      <c r="K2750" s="105">
        <v>1978</v>
      </c>
      <c r="O2750" s="105">
        <v>1345</v>
      </c>
      <c r="Q2750" s="106" t="s">
        <v>1986</v>
      </c>
      <c r="R2750" s="106" t="s">
        <v>1856</v>
      </c>
      <c r="S2750" s="106"/>
      <c r="T2750" s="106" t="s">
        <v>2875</v>
      </c>
      <c r="U2750" s="106" t="s">
        <v>1383</v>
      </c>
      <c r="V2750" s="106" t="s">
        <v>1722</v>
      </c>
      <c r="W2750" s="106" t="s">
        <v>1383</v>
      </c>
      <c r="X2750" s="106" t="s">
        <v>1383</v>
      </c>
      <c r="Z2750" s="354">
        <v>70</v>
      </c>
      <c r="AA2750" s="354">
        <v>21</v>
      </c>
      <c r="AB2750" s="105" t="s">
        <v>241</v>
      </c>
      <c r="AC2750" s="105">
        <v>5</v>
      </c>
      <c r="AD2750" s="105">
        <v>2.2999999999999998</v>
      </c>
      <c r="AF2750" s="105" t="s">
        <v>2874</v>
      </c>
      <c r="AG2750" s="105" t="s">
        <v>2758</v>
      </c>
      <c r="AH2750" s="105" t="s">
        <v>578</v>
      </c>
      <c r="AI2750" s="105" t="s">
        <v>1650</v>
      </c>
      <c r="AJ2750" s="105" t="s">
        <v>133</v>
      </c>
      <c r="AT2750" s="105" t="s">
        <v>161</v>
      </c>
      <c r="AU2750" s="105">
        <v>2</v>
      </c>
      <c r="AW2750" s="105" t="s">
        <v>142</v>
      </c>
      <c r="AY2750" s="105">
        <v>259</v>
      </c>
      <c r="BB2750" s="105" t="s">
        <v>2880</v>
      </c>
      <c r="BH2750" s="105">
        <v>2585</v>
      </c>
      <c r="BI2750" s="105">
        <v>2473</v>
      </c>
      <c r="BM2750" s="429"/>
      <c r="BN2750" s="429"/>
      <c r="BR2750" s="429"/>
      <c r="BS2750" s="429"/>
      <c r="IQ2750" s="502"/>
    </row>
    <row r="2751" spans="1:251" s="105" customFormat="1" x14ac:dyDescent="0.25">
      <c r="A2751" s="105">
        <v>128</v>
      </c>
      <c r="B2751" s="105" t="s">
        <v>2871</v>
      </c>
      <c r="C2751" s="105" t="s">
        <v>2872</v>
      </c>
      <c r="D2751" s="105">
        <v>2005</v>
      </c>
      <c r="E2751" s="105">
        <v>2001</v>
      </c>
      <c r="F2751" s="105" t="s">
        <v>2781</v>
      </c>
      <c r="G2751" s="105" t="s">
        <v>2877</v>
      </c>
      <c r="H2751" s="105" t="s">
        <v>2873</v>
      </c>
      <c r="I2751" s="105">
        <v>-1.58</v>
      </c>
      <c r="J2751" s="105">
        <v>30.07</v>
      </c>
      <c r="K2751" s="105">
        <v>1978</v>
      </c>
      <c r="O2751" s="105">
        <v>1345</v>
      </c>
      <c r="Q2751" s="106" t="s">
        <v>1856</v>
      </c>
      <c r="R2751" s="106" t="s">
        <v>1856</v>
      </c>
      <c r="S2751" s="106"/>
      <c r="T2751" s="106" t="s">
        <v>2875</v>
      </c>
      <c r="U2751" s="106" t="s">
        <v>1383</v>
      </c>
      <c r="V2751" s="106" t="s">
        <v>1722</v>
      </c>
      <c r="W2751" s="106" t="s">
        <v>1383</v>
      </c>
      <c r="X2751" s="106" t="s">
        <v>1383</v>
      </c>
      <c r="Z2751" s="354">
        <v>70</v>
      </c>
      <c r="AA2751" s="354">
        <v>21</v>
      </c>
      <c r="AB2751" s="105" t="s">
        <v>241</v>
      </c>
      <c r="AC2751" s="105">
        <v>5</v>
      </c>
      <c r="AD2751" s="105">
        <v>2.2999999999999998</v>
      </c>
      <c r="AF2751" s="105" t="s">
        <v>2874</v>
      </c>
      <c r="AG2751" s="105" t="s">
        <v>2758</v>
      </c>
      <c r="AH2751" s="105" t="s">
        <v>578</v>
      </c>
      <c r="AI2751" s="105" t="s">
        <v>1650</v>
      </c>
      <c r="AJ2751" s="105" t="s">
        <v>133</v>
      </c>
      <c r="AT2751" s="105" t="s">
        <v>161</v>
      </c>
      <c r="AU2751" s="105">
        <v>2</v>
      </c>
      <c r="AW2751" s="105" t="s">
        <v>142</v>
      </c>
      <c r="AY2751" s="105">
        <v>416</v>
      </c>
      <c r="BB2751" s="105" t="s">
        <v>2879</v>
      </c>
      <c r="BH2751" s="105">
        <v>1719</v>
      </c>
      <c r="BI2751" s="105">
        <v>1601</v>
      </c>
      <c r="BM2751" s="429"/>
      <c r="BN2751" s="429"/>
      <c r="BR2751" s="429"/>
      <c r="BS2751" s="429"/>
      <c r="IQ2751" s="502"/>
    </row>
    <row r="2752" spans="1:251" s="105" customFormat="1" x14ac:dyDescent="0.25">
      <c r="A2752" s="105">
        <v>128</v>
      </c>
      <c r="B2752" s="105" t="s">
        <v>2871</v>
      </c>
      <c r="C2752" s="105" t="s">
        <v>2872</v>
      </c>
      <c r="D2752" s="105">
        <v>2005</v>
      </c>
      <c r="E2752" s="105">
        <v>2001</v>
      </c>
      <c r="F2752" s="105" t="s">
        <v>2781</v>
      </c>
      <c r="G2752" s="105" t="s">
        <v>2877</v>
      </c>
      <c r="H2752" s="105" t="s">
        <v>2873</v>
      </c>
      <c r="I2752" s="105">
        <v>-1.58</v>
      </c>
      <c r="J2752" s="105">
        <v>30.07</v>
      </c>
      <c r="K2752" s="105">
        <v>1978</v>
      </c>
      <c r="O2752" s="105">
        <v>1345</v>
      </c>
      <c r="Q2752" s="106" t="s">
        <v>1856</v>
      </c>
      <c r="R2752" s="106" t="s">
        <v>1856</v>
      </c>
      <c r="S2752" s="106"/>
      <c r="T2752" s="106" t="s">
        <v>2875</v>
      </c>
      <c r="U2752" s="106" t="s">
        <v>1383</v>
      </c>
      <c r="V2752" s="106" t="s">
        <v>1722</v>
      </c>
      <c r="W2752" s="106" t="s">
        <v>1383</v>
      </c>
      <c r="X2752" s="106" t="s">
        <v>1383</v>
      </c>
      <c r="Z2752" s="354">
        <v>70</v>
      </c>
      <c r="AA2752" s="354">
        <v>21</v>
      </c>
      <c r="AB2752" s="105" t="s">
        <v>241</v>
      </c>
      <c r="AC2752" s="105">
        <v>5</v>
      </c>
      <c r="AD2752" s="105">
        <v>2.2999999999999998</v>
      </c>
      <c r="AF2752" s="105" t="s">
        <v>2874</v>
      </c>
      <c r="AG2752" s="105" t="s">
        <v>2758</v>
      </c>
      <c r="AH2752" s="105" t="s">
        <v>578</v>
      </c>
      <c r="AI2752" s="105" t="s">
        <v>1650</v>
      </c>
      <c r="AJ2752" s="105" t="s">
        <v>133</v>
      </c>
      <c r="AT2752" s="105" t="s">
        <v>161</v>
      </c>
      <c r="AU2752" s="105">
        <v>2</v>
      </c>
      <c r="AW2752" s="105" t="s">
        <v>142</v>
      </c>
      <c r="BB2752" s="105" t="s">
        <v>2880</v>
      </c>
      <c r="BH2752" s="105">
        <v>1469</v>
      </c>
      <c r="BI2752" s="105">
        <v>1259</v>
      </c>
      <c r="BM2752" s="429"/>
      <c r="BN2752" s="429"/>
      <c r="BR2752" s="429"/>
      <c r="BS2752" s="429"/>
      <c r="IQ2752" s="502"/>
    </row>
    <row r="2753" spans="1:251" s="24" customFormat="1" x14ac:dyDescent="0.25">
      <c r="A2753" s="24">
        <v>128</v>
      </c>
      <c r="B2753" s="24" t="s">
        <v>2871</v>
      </c>
      <c r="C2753" s="24" t="s">
        <v>2872</v>
      </c>
      <c r="D2753" s="24">
        <v>2005</v>
      </c>
      <c r="E2753" s="24">
        <v>2000</v>
      </c>
      <c r="F2753" s="24" t="s">
        <v>2781</v>
      </c>
      <c r="G2753" s="24" t="s">
        <v>2878</v>
      </c>
      <c r="H2753" s="24" t="s">
        <v>2873</v>
      </c>
      <c r="I2753" s="24">
        <v>-1.95</v>
      </c>
      <c r="J2753" s="24">
        <v>30.09</v>
      </c>
      <c r="K2753" s="24">
        <v>1165.3</v>
      </c>
      <c r="O2753" s="24">
        <v>1357</v>
      </c>
      <c r="Q2753" s="42" t="s">
        <v>1986</v>
      </c>
      <c r="R2753" s="42" t="s">
        <v>1856</v>
      </c>
      <c r="S2753" s="42"/>
      <c r="T2753" s="42" t="s">
        <v>2875</v>
      </c>
      <c r="U2753" s="42" t="s">
        <v>1383</v>
      </c>
      <c r="V2753" s="42" t="s">
        <v>1722</v>
      </c>
      <c r="W2753" s="42" t="s">
        <v>1383</v>
      </c>
      <c r="X2753" s="42" t="s">
        <v>1383</v>
      </c>
      <c r="Z2753" s="321">
        <v>67</v>
      </c>
      <c r="AA2753" s="321">
        <v>24</v>
      </c>
      <c r="AB2753" s="24" t="s">
        <v>241</v>
      </c>
      <c r="AC2753" s="24">
        <v>5.5</v>
      </c>
      <c r="AD2753" s="24">
        <v>2.6</v>
      </c>
      <c r="AF2753" s="24" t="s">
        <v>2874</v>
      </c>
      <c r="AG2753" s="24" t="s">
        <v>2757</v>
      </c>
      <c r="AH2753" s="24" t="s">
        <v>578</v>
      </c>
      <c r="AI2753" s="24" t="s">
        <v>1650</v>
      </c>
      <c r="AJ2753" s="24" t="s">
        <v>133</v>
      </c>
      <c r="AT2753" s="24" t="s">
        <v>161</v>
      </c>
      <c r="AU2753" s="24">
        <v>2</v>
      </c>
      <c r="AW2753" s="24" t="s">
        <v>142</v>
      </c>
      <c r="AY2753" s="24">
        <v>2183</v>
      </c>
      <c r="BB2753" s="24" t="s">
        <v>2879</v>
      </c>
      <c r="BH2753" s="24">
        <v>1996</v>
      </c>
      <c r="BI2753" s="24">
        <v>1542</v>
      </c>
      <c r="BM2753" s="395"/>
      <c r="BN2753" s="395"/>
      <c r="BR2753" s="395"/>
      <c r="BS2753" s="395"/>
      <c r="IQ2753" s="249"/>
    </row>
    <row r="2754" spans="1:251" s="24" customFormat="1" x14ac:dyDescent="0.25">
      <c r="A2754" s="24">
        <v>128</v>
      </c>
      <c r="B2754" s="24" t="s">
        <v>2871</v>
      </c>
      <c r="C2754" s="24" t="s">
        <v>2872</v>
      </c>
      <c r="D2754" s="24">
        <v>2005</v>
      </c>
      <c r="E2754" s="24">
        <v>2000</v>
      </c>
      <c r="F2754" s="24" t="s">
        <v>2781</v>
      </c>
      <c r="G2754" s="24" t="s">
        <v>2878</v>
      </c>
      <c r="H2754" s="24" t="s">
        <v>2873</v>
      </c>
      <c r="I2754" s="24">
        <v>-1.95</v>
      </c>
      <c r="J2754" s="24">
        <v>30.09</v>
      </c>
      <c r="K2754" s="24">
        <v>1165.3</v>
      </c>
      <c r="O2754" s="24">
        <v>1357</v>
      </c>
      <c r="Q2754" s="42" t="s">
        <v>1986</v>
      </c>
      <c r="R2754" s="42" t="s">
        <v>1856</v>
      </c>
      <c r="S2754" s="42"/>
      <c r="T2754" s="42" t="s">
        <v>2875</v>
      </c>
      <c r="U2754" s="42" t="s">
        <v>1383</v>
      </c>
      <c r="V2754" s="42" t="s">
        <v>1722</v>
      </c>
      <c r="W2754" s="42" t="s">
        <v>1383</v>
      </c>
      <c r="X2754" s="42" t="s">
        <v>1383</v>
      </c>
      <c r="Z2754" s="321">
        <v>67</v>
      </c>
      <c r="AA2754" s="321">
        <v>24</v>
      </c>
      <c r="AB2754" s="24" t="s">
        <v>241</v>
      </c>
      <c r="AC2754" s="24">
        <v>5.5</v>
      </c>
      <c r="AD2754" s="24">
        <v>2.6</v>
      </c>
      <c r="AF2754" s="24" t="s">
        <v>2874</v>
      </c>
      <c r="AG2754" s="24" t="s">
        <v>2757</v>
      </c>
      <c r="AH2754" s="24" t="s">
        <v>578</v>
      </c>
      <c r="AI2754" s="24" t="s">
        <v>1650</v>
      </c>
      <c r="AJ2754" s="24" t="s">
        <v>133</v>
      </c>
      <c r="AT2754" s="24" t="s">
        <v>161</v>
      </c>
      <c r="AU2754" s="24">
        <v>2</v>
      </c>
      <c r="AW2754" s="24" t="s">
        <v>142</v>
      </c>
      <c r="AY2754" s="24">
        <v>6029</v>
      </c>
      <c r="BB2754" s="24" t="s">
        <v>2880</v>
      </c>
      <c r="BH2754" s="24">
        <v>2201</v>
      </c>
      <c r="BI2754" s="24">
        <v>2498</v>
      </c>
      <c r="BM2754" s="395"/>
      <c r="BN2754" s="395"/>
      <c r="BR2754" s="395"/>
      <c r="BS2754" s="395"/>
      <c r="IQ2754" s="249"/>
    </row>
    <row r="2755" spans="1:251" s="24" customFormat="1" x14ac:dyDescent="0.25">
      <c r="A2755" s="24">
        <v>128</v>
      </c>
      <c r="B2755" s="24" t="s">
        <v>2871</v>
      </c>
      <c r="C2755" s="24" t="s">
        <v>2872</v>
      </c>
      <c r="D2755" s="24">
        <v>2005</v>
      </c>
      <c r="E2755" s="24">
        <v>2001</v>
      </c>
      <c r="F2755" s="24" t="s">
        <v>2781</v>
      </c>
      <c r="G2755" s="24" t="s">
        <v>2878</v>
      </c>
      <c r="H2755" s="24" t="s">
        <v>2873</v>
      </c>
      <c r="I2755" s="24">
        <v>-1.95</v>
      </c>
      <c r="J2755" s="24">
        <v>30.09</v>
      </c>
      <c r="K2755" s="24">
        <v>1165.3</v>
      </c>
      <c r="O2755" s="24">
        <v>1357</v>
      </c>
      <c r="Q2755" s="42" t="s">
        <v>1856</v>
      </c>
      <c r="R2755" s="42" t="s">
        <v>1856</v>
      </c>
      <c r="S2755" s="42"/>
      <c r="T2755" s="42" t="s">
        <v>2875</v>
      </c>
      <c r="U2755" s="42" t="s">
        <v>1383</v>
      </c>
      <c r="V2755" s="42" t="s">
        <v>1722</v>
      </c>
      <c r="W2755" s="42" t="s">
        <v>1383</v>
      </c>
      <c r="X2755" s="42" t="s">
        <v>1383</v>
      </c>
      <c r="Z2755" s="321">
        <v>67</v>
      </c>
      <c r="AA2755" s="321">
        <v>24</v>
      </c>
      <c r="AB2755" s="24" t="s">
        <v>241</v>
      </c>
      <c r="AC2755" s="24">
        <v>5.5</v>
      </c>
      <c r="AD2755" s="24">
        <v>2.6</v>
      </c>
      <c r="AF2755" s="24" t="s">
        <v>2874</v>
      </c>
      <c r="AG2755" s="24" t="s">
        <v>2757</v>
      </c>
      <c r="AH2755" s="24" t="s">
        <v>578</v>
      </c>
      <c r="AI2755" s="24" t="s">
        <v>1650</v>
      </c>
      <c r="AJ2755" s="24" t="s">
        <v>133</v>
      </c>
      <c r="AT2755" s="24" t="s">
        <v>161</v>
      </c>
      <c r="AU2755" s="24">
        <v>2</v>
      </c>
      <c r="AW2755" s="24" t="s">
        <v>142</v>
      </c>
      <c r="AY2755" s="24">
        <v>1288</v>
      </c>
      <c r="BB2755" s="24" t="s">
        <v>2879</v>
      </c>
      <c r="BH2755" s="24">
        <v>2050</v>
      </c>
      <c r="BI2755" s="24">
        <v>2216</v>
      </c>
      <c r="BM2755" s="395"/>
      <c r="BN2755" s="395"/>
      <c r="BR2755" s="395"/>
      <c r="BS2755" s="395"/>
      <c r="IQ2755" s="249"/>
    </row>
    <row r="2756" spans="1:251" s="24" customFormat="1" x14ac:dyDescent="0.25">
      <c r="A2756" s="24">
        <v>128</v>
      </c>
      <c r="B2756" s="24" t="s">
        <v>2871</v>
      </c>
      <c r="C2756" s="24" t="s">
        <v>2872</v>
      </c>
      <c r="D2756" s="24">
        <v>2005</v>
      </c>
      <c r="E2756" s="24">
        <v>2001</v>
      </c>
      <c r="F2756" s="24" t="s">
        <v>2781</v>
      </c>
      <c r="G2756" s="24" t="s">
        <v>2878</v>
      </c>
      <c r="H2756" s="24" t="s">
        <v>2873</v>
      </c>
      <c r="I2756" s="24">
        <v>-1.95</v>
      </c>
      <c r="J2756" s="24">
        <v>30.09</v>
      </c>
      <c r="K2756" s="24">
        <v>1165.3</v>
      </c>
      <c r="O2756" s="24">
        <v>1357</v>
      </c>
      <c r="Q2756" s="42" t="s">
        <v>1856</v>
      </c>
      <c r="R2756" s="42" t="s">
        <v>1856</v>
      </c>
      <c r="S2756" s="42"/>
      <c r="T2756" s="42" t="s">
        <v>2875</v>
      </c>
      <c r="U2756" s="42" t="s">
        <v>1383</v>
      </c>
      <c r="V2756" s="42" t="s">
        <v>1722</v>
      </c>
      <c r="W2756" s="42" t="s">
        <v>1383</v>
      </c>
      <c r="X2756" s="42" t="s">
        <v>1383</v>
      </c>
      <c r="Z2756" s="321">
        <v>67</v>
      </c>
      <c r="AA2756" s="321">
        <v>24</v>
      </c>
      <c r="AB2756" s="24" t="s">
        <v>241</v>
      </c>
      <c r="AC2756" s="24">
        <v>5.5</v>
      </c>
      <c r="AD2756" s="24">
        <v>2.6</v>
      </c>
      <c r="AF2756" s="24" t="s">
        <v>2874</v>
      </c>
      <c r="AG2756" s="24" t="s">
        <v>2757</v>
      </c>
      <c r="AH2756" s="24" t="s">
        <v>578</v>
      </c>
      <c r="AI2756" s="24" t="s">
        <v>1650</v>
      </c>
      <c r="AJ2756" s="24" t="s">
        <v>133</v>
      </c>
      <c r="AT2756" s="24" t="s">
        <v>161</v>
      </c>
      <c r="AU2756" s="24">
        <v>2</v>
      </c>
      <c r="AW2756" s="24" t="s">
        <v>142</v>
      </c>
      <c r="BB2756" s="24" t="s">
        <v>2880</v>
      </c>
      <c r="BH2756" s="24">
        <v>2257</v>
      </c>
      <c r="BI2756" s="24">
        <v>2549</v>
      </c>
      <c r="BM2756" s="395"/>
      <c r="BN2756" s="395"/>
      <c r="BR2756" s="395"/>
      <c r="BS2756" s="395"/>
      <c r="IQ2756" s="249"/>
    </row>
    <row r="2757" spans="1:251" s="101" customFormat="1" x14ac:dyDescent="0.25">
      <c r="A2757" s="101">
        <v>128</v>
      </c>
      <c r="B2757" s="101" t="s">
        <v>2871</v>
      </c>
      <c r="C2757" s="101" t="s">
        <v>2872</v>
      </c>
      <c r="D2757" s="101">
        <v>2005</v>
      </c>
      <c r="E2757" s="101">
        <v>2000</v>
      </c>
      <c r="F2757" s="101" t="s">
        <v>2781</v>
      </c>
      <c r="G2757" s="101" t="s">
        <v>2878</v>
      </c>
      <c r="H2757" s="101" t="s">
        <v>2873</v>
      </c>
      <c r="I2757" s="101">
        <v>-1.95</v>
      </c>
      <c r="J2757" s="101">
        <v>30.09</v>
      </c>
      <c r="K2757" s="101">
        <v>1165.3</v>
      </c>
      <c r="O2757" s="101">
        <v>1357</v>
      </c>
      <c r="Q2757" s="102" t="s">
        <v>1986</v>
      </c>
      <c r="R2757" s="102" t="s">
        <v>1856</v>
      </c>
      <c r="S2757" s="102"/>
      <c r="T2757" s="102" t="s">
        <v>2875</v>
      </c>
      <c r="U2757" s="102" t="s">
        <v>1383</v>
      </c>
      <c r="V2757" s="102" t="s">
        <v>1722</v>
      </c>
      <c r="W2757" s="102" t="s">
        <v>1383</v>
      </c>
      <c r="X2757" s="102" t="s">
        <v>1383</v>
      </c>
      <c r="Z2757" s="352">
        <v>67</v>
      </c>
      <c r="AA2757" s="352">
        <v>24</v>
      </c>
      <c r="AB2757" s="101" t="s">
        <v>241</v>
      </c>
      <c r="AC2757" s="101">
        <v>5.5</v>
      </c>
      <c r="AD2757" s="101">
        <v>2.6</v>
      </c>
      <c r="AF2757" s="101" t="s">
        <v>2874</v>
      </c>
      <c r="AG2757" s="101" t="s">
        <v>2759</v>
      </c>
      <c r="AH2757" s="101" t="s">
        <v>578</v>
      </c>
      <c r="AI2757" s="101" t="s">
        <v>1650</v>
      </c>
      <c r="AJ2757" s="101" t="s">
        <v>133</v>
      </c>
      <c r="AT2757" s="101" t="s">
        <v>161</v>
      </c>
      <c r="AU2757" s="101">
        <v>2</v>
      </c>
      <c r="AW2757" s="101" t="s">
        <v>142</v>
      </c>
      <c r="AY2757" s="101">
        <v>1202</v>
      </c>
      <c r="BB2757" s="101" t="s">
        <v>2879</v>
      </c>
      <c r="BH2757" s="101">
        <v>1996</v>
      </c>
      <c r="BI2757" s="101">
        <v>1806</v>
      </c>
      <c r="BM2757" s="427"/>
      <c r="BN2757" s="427"/>
      <c r="BR2757" s="427"/>
      <c r="BS2757" s="427"/>
      <c r="IQ2757" s="177"/>
    </row>
    <row r="2758" spans="1:251" s="101" customFormat="1" x14ac:dyDescent="0.25">
      <c r="A2758" s="101">
        <v>128</v>
      </c>
      <c r="B2758" s="101" t="s">
        <v>2871</v>
      </c>
      <c r="C2758" s="101" t="s">
        <v>2872</v>
      </c>
      <c r="D2758" s="101">
        <v>2005</v>
      </c>
      <c r="E2758" s="101">
        <v>2000</v>
      </c>
      <c r="F2758" s="101" t="s">
        <v>2781</v>
      </c>
      <c r="G2758" s="101" t="s">
        <v>2878</v>
      </c>
      <c r="H2758" s="101" t="s">
        <v>2873</v>
      </c>
      <c r="I2758" s="101">
        <v>-1.95</v>
      </c>
      <c r="J2758" s="101">
        <v>30.09</v>
      </c>
      <c r="K2758" s="101">
        <v>1165.3</v>
      </c>
      <c r="O2758" s="101">
        <v>1357</v>
      </c>
      <c r="Q2758" s="102" t="s">
        <v>1986</v>
      </c>
      <c r="R2758" s="102" t="s">
        <v>1856</v>
      </c>
      <c r="S2758" s="102"/>
      <c r="T2758" s="102" t="s">
        <v>2875</v>
      </c>
      <c r="U2758" s="102" t="s">
        <v>1383</v>
      </c>
      <c r="V2758" s="102" t="s">
        <v>1722</v>
      </c>
      <c r="W2758" s="102" t="s">
        <v>1383</v>
      </c>
      <c r="X2758" s="102" t="s">
        <v>1383</v>
      </c>
      <c r="Z2758" s="352">
        <v>67</v>
      </c>
      <c r="AA2758" s="352">
        <v>24</v>
      </c>
      <c r="AB2758" s="101" t="s">
        <v>241</v>
      </c>
      <c r="AC2758" s="101">
        <v>5.5</v>
      </c>
      <c r="AD2758" s="101">
        <v>2.6</v>
      </c>
      <c r="AF2758" s="101" t="s">
        <v>2874</v>
      </c>
      <c r="AG2758" s="101" t="s">
        <v>2759</v>
      </c>
      <c r="AH2758" s="101" t="s">
        <v>578</v>
      </c>
      <c r="AI2758" s="101" t="s">
        <v>1650</v>
      </c>
      <c r="AJ2758" s="101" t="s">
        <v>133</v>
      </c>
      <c r="AT2758" s="101" t="s">
        <v>161</v>
      </c>
      <c r="AU2758" s="101">
        <v>2</v>
      </c>
      <c r="AW2758" s="101" t="s">
        <v>142</v>
      </c>
      <c r="AY2758" s="101">
        <v>3027</v>
      </c>
      <c r="BB2758" s="101" t="s">
        <v>2880</v>
      </c>
      <c r="BH2758" s="101">
        <v>2201</v>
      </c>
      <c r="BI2758" s="101">
        <v>2531</v>
      </c>
      <c r="BM2758" s="427"/>
      <c r="BN2758" s="427"/>
      <c r="BR2758" s="427"/>
      <c r="BS2758" s="427"/>
      <c r="IQ2758" s="177"/>
    </row>
    <row r="2759" spans="1:251" s="101" customFormat="1" x14ac:dyDescent="0.25">
      <c r="A2759" s="101">
        <v>128</v>
      </c>
      <c r="B2759" s="101" t="s">
        <v>2871</v>
      </c>
      <c r="C2759" s="101" t="s">
        <v>2872</v>
      </c>
      <c r="D2759" s="101">
        <v>2005</v>
      </c>
      <c r="E2759" s="101">
        <v>2001</v>
      </c>
      <c r="F2759" s="101" t="s">
        <v>2781</v>
      </c>
      <c r="G2759" s="101" t="s">
        <v>2878</v>
      </c>
      <c r="H2759" s="101" t="s">
        <v>2873</v>
      </c>
      <c r="I2759" s="101">
        <v>-1.95</v>
      </c>
      <c r="J2759" s="101">
        <v>30.09</v>
      </c>
      <c r="K2759" s="101">
        <v>1165.3</v>
      </c>
      <c r="O2759" s="101">
        <v>1357</v>
      </c>
      <c r="Q2759" s="102" t="s">
        <v>1856</v>
      </c>
      <c r="R2759" s="102" t="s">
        <v>1856</v>
      </c>
      <c r="S2759" s="102"/>
      <c r="T2759" s="102" t="s">
        <v>2875</v>
      </c>
      <c r="U2759" s="102" t="s">
        <v>1383</v>
      </c>
      <c r="V2759" s="102" t="s">
        <v>1722</v>
      </c>
      <c r="W2759" s="102" t="s">
        <v>1383</v>
      </c>
      <c r="X2759" s="102" t="s">
        <v>1383</v>
      </c>
      <c r="Z2759" s="352">
        <v>67</v>
      </c>
      <c r="AA2759" s="352">
        <v>24</v>
      </c>
      <c r="AB2759" s="101" t="s">
        <v>241</v>
      </c>
      <c r="AC2759" s="101">
        <v>5.5</v>
      </c>
      <c r="AD2759" s="101">
        <v>2.6</v>
      </c>
      <c r="AF2759" s="101" t="s">
        <v>2874</v>
      </c>
      <c r="AG2759" s="101" t="s">
        <v>2759</v>
      </c>
      <c r="AH2759" s="101" t="s">
        <v>578</v>
      </c>
      <c r="AI2759" s="101" t="s">
        <v>1650</v>
      </c>
      <c r="AJ2759" s="101" t="s">
        <v>133</v>
      </c>
      <c r="AT2759" s="101" t="s">
        <v>161</v>
      </c>
      <c r="AU2759" s="101">
        <v>2</v>
      </c>
      <c r="AW2759" s="101" t="s">
        <v>142</v>
      </c>
      <c r="AY2759" s="101">
        <v>1423</v>
      </c>
      <c r="BB2759" s="101" t="s">
        <v>2879</v>
      </c>
      <c r="BH2759" s="101">
        <v>2050</v>
      </c>
      <c r="BI2759" s="101">
        <v>2145</v>
      </c>
      <c r="BM2759" s="427"/>
      <c r="BN2759" s="427"/>
      <c r="BR2759" s="427"/>
      <c r="BS2759" s="427"/>
      <c r="IQ2759" s="177"/>
    </row>
    <row r="2760" spans="1:251" s="101" customFormat="1" x14ac:dyDescent="0.25">
      <c r="A2760" s="101">
        <v>128</v>
      </c>
      <c r="B2760" s="101" t="s">
        <v>2871</v>
      </c>
      <c r="C2760" s="101" t="s">
        <v>2872</v>
      </c>
      <c r="D2760" s="101">
        <v>2005</v>
      </c>
      <c r="E2760" s="101">
        <v>2001</v>
      </c>
      <c r="F2760" s="101" t="s">
        <v>2781</v>
      </c>
      <c r="G2760" s="101" t="s">
        <v>2878</v>
      </c>
      <c r="H2760" s="101" t="s">
        <v>2873</v>
      </c>
      <c r="I2760" s="101">
        <v>-1.95</v>
      </c>
      <c r="J2760" s="101">
        <v>30.09</v>
      </c>
      <c r="K2760" s="101">
        <v>1165.3</v>
      </c>
      <c r="O2760" s="101">
        <v>1357</v>
      </c>
      <c r="Q2760" s="102" t="s">
        <v>1856</v>
      </c>
      <c r="R2760" s="102" t="s">
        <v>1856</v>
      </c>
      <c r="S2760" s="102"/>
      <c r="T2760" s="102" t="s">
        <v>2875</v>
      </c>
      <c r="U2760" s="102" t="s">
        <v>1383</v>
      </c>
      <c r="V2760" s="102" t="s">
        <v>1722</v>
      </c>
      <c r="W2760" s="102" t="s">
        <v>1383</v>
      </c>
      <c r="X2760" s="102" t="s">
        <v>1383</v>
      </c>
      <c r="Z2760" s="352">
        <v>67</v>
      </c>
      <c r="AA2760" s="352">
        <v>24</v>
      </c>
      <c r="AB2760" s="101" t="s">
        <v>241</v>
      </c>
      <c r="AC2760" s="101">
        <v>5.5</v>
      </c>
      <c r="AD2760" s="101">
        <v>2.6</v>
      </c>
      <c r="AF2760" s="101" t="s">
        <v>2874</v>
      </c>
      <c r="AG2760" s="101" t="s">
        <v>2759</v>
      </c>
      <c r="AH2760" s="101" t="s">
        <v>578</v>
      </c>
      <c r="AI2760" s="101" t="s">
        <v>1650</v>
      </c>
      <c r="AJ2760" s="101" t="s">
        <v>133</v>
      </c>
      <c r="AT2760" s="101" t="s">
        <v>161</v>
      </c>
      <c r="AU2760" s="101">
        <v>2</v>
      </c>
      <c r="AW2760" s="101" t="s">
        <v>142</v>
      </c>
      <c r="BB2760" s="101" t="s">
        <v>2880</v>
      </c>
      <c r="BH2760" s="101">
        <v>2257</v>
      </c>
      <c r="BI2760" s="101">
        <v>2338</v>
      </c>
      <c r="BM2760" s="427"/>
      <c r="BN2760" s="427"/>
      <c r="BR2760" s="427"/>
      <c r="BS2760" s="427"/>
      <c r="IQ2760" s="177"/>
    </row>
    <row r="2761" spans="1:251" s="24" customFormat="1" x14ac:dyDescent="0.25">
      <c r="A2761" s="24">
        <v>128</v>
      </c>
      <c r="B2761" s="24" t="s">
        <v>2871</v>
      </c>
      <c r="C2761" s="24" t="s">
        <v>2872</v>
      </c>
      <c r="D2761" s="24">
        <v>2005</v>
      </c>
      <c r="E2761" s="24">
        <v>2000</v>
      </c>
      <c r="F2761" s="24" t="s">
        <v>2781</v>
      </c>
      <c r="G2761" s="24" t="s">
        <v>2878</v>
      </c>
      <c r="H2761" s="24" t="s">
        <v>2873</v>
      </c>
      <c r="I2761" s="24">
        <v>-1.95</v>
      </c>
      <c r="J2761" s="24">
        <v>30.09</v>
      </c>
      <c r="K2761" s="24">
        <v>1165.3</v>
      </c>
      <c r="O2761" s="24">
        <v>1357</v>
      </c>
      <c r="Q2761" s="42" t="s">
        <v>1986</v>
      </c>
      <c r="R2761" s="42" t="s">
        <v>1856</v>
      </c>
      <c r="S2761" s="42"/>
      <c r="T2761" s="42" t="s">
        <v>2875</v>
      </c>
      <c r="U2761" s="42" t="s">
        <v>1383</v>
      </c>
      <c r="V2761" s="42" t="s">
        <v>1722</v>
      </c>
      <c r="W2761" s="42" t="s">
        <v>1383</v>
      </c>
      <c r="X2761" s="42" t="s">
        <v>1383</v>
      </c>
      <c r="Z2761" s="321">
        <v>67</v>
      </c>
      <c r="AA2761" s="321">
        <v>24</v>
      </c>
      <c r="AB2761" s="24" t="s">
        <v>241</v>
      </c>
      <c r="AC2761" s="24">
        <v>5.5</v>
      </c>
      <c r="AD2761" s="24">
        <v>2.6</v>
      </c>
      <c r="AF2761" s="24" t="s">
        <v>2874</v>
      </c>
      <c r="AG2761" s="24" t="s">
        <v>2881</v>
      </c>
      <c r="AH2761" s="24" t="s">
        <v>578</v>
      </c>
      <c r="AI2761" s="24" t="s">
        <v>1650</v>
      </c>
      <c r="AJ2761" s="24" t="s">
        <v>133</v>
      </c>
      <c r="AT2761" s="24" t="s">
        <v>161</v>
      </c>
      <c r="AU2761" s="24">
        <v>2</v>
      </c>
      <c r="AW2761" s="24" t="s">
        <v>142</v>
      </c>
      <c r="AY2761" s="24">
        <v>3505</v>
      </c>
      <c r="BB2761" s="24" t="s">
        <v>2879</v>
      </c>
      <c r="BH2761" s="24">
        <v>1996</v>
      </c>
      <c r="BI2761" s="24">
        <v>1735</v>
      </c>
      <c r="BM2761" s="395"/>
      <c r="BN2761" s="395"/>
      <c r="BR2761" s="395"/>
      <c r="BS2761" s="395"/>
      <c r="IQ2761" s="249"/>
    </row>
    <row r="2762" spans="1:251" s="24" customFormat="1" x14ac:dyDescent="0.25">
      <c r="A2762" s="24">
        <v>128</v>
      </c>
      <c r="B2762" s="24" t="s">
        <v>2871</v>
      </c>
      <c r="C2762" s="24" t="s">
        <v>2872</v>
      </c>
      <c r="D2762" s="24">
        <v>2005</v>
      </c>
      <c r="E2762" s="24">
        <v>2000</v>
      </c>
      <c r="F2762" s="24" t="s">
        <v>2781</v>
      </c>
      <c r="G2762" s="24" t="s">
        <v>2878</v>
      </c>
      <c r="H2762" s="24" t="s">
        <v>2873</v>
      </c>
      <c r="I2762" s="24">
        <v>-1.95</v>
      </c>
      <c r="J2762" s="24">
        <v>30.09</v>
      </c>
      <c r="K2762" s="24">
        <v>1165.3</v>
      </c>
      <c r="O2762" s="24">
        <v>1357</v>
      </c>
      <c r="Q2762" s="42" t="s">
        <v>1986</v>
      </c>
      <c r="R2762" s="42" t="s">
        <v>1856</v>
      </c>
      <c r="S2762" s="42"/>
      <c r="T2762" s="42" t="s">
        <v>2875</v>
      </c>
      <c r="U2762" s="42" t="s">
        <v>1383</v>
      </c>
      <c r="V2762" s="42" t="s">
        <v>1722</v>
      </c>
      <c r="W2762" s="42" t="s">
        <v>1383</v>
      </c>
      <c r="X2762" s="42" t="s">
        <v>1383</v>
      </c>
      <c r="Z2762" s="321">
        <v>67</v>
      </c>
      <c r="AA2762" s="321">
        <v>24</v>
      </c>
      <c r="AB2762" s="24" t="s">
        <v>241</v>
      </c>
      <c r="AC2762" s="24">
        <v>5.5</v>
      </c>
      <c r="AD2762" s="24">
        <v>2.6</v>
      </c>
      <c r="AF2762" s="24" t="s">
        <v>2874</v>
      </c>
      <c r="AG2762" s="24" t="s">
        <v>2881</v>
      </c>
      <c r="AH2762" s="24" t="s">
        <v>578</v>
      </c>
      <c r="AI2762" s="24" t="s">
        <v>1650</v>
      </c>
      <c r="AJ2762" s="24" t="s">
        <v>133</v>
      </c>
      <c r="AT2762" s="24" t="s">
        <v>161</v>
      </c>
      <c r="AU2762" s="24">
        <v>2</v>
      </c>
      <c r="AW2762" s="24" t="s">
        <v>142</v>
      </c>
      <c r="AY2762" s="24">
        <v>4306</v>
      </c>
      <c r="BB2762" s="24" t="s">
        <v>2880</v>
      </c>
      <c r="BH2762" s="24">
        <v>2201</v>
      </c>
      <c r="BI2762" s="24">
        <v>2411</v>
      </c>
      <c r="BM2762" s="395"/>
      <c r="BN2762" s="395"/>
      <c r="BR2762" s="395"/>
      <c r="BS2762" s="395"/>
      <c r="IQ2762" s="249"/>
    </row>
    <row r="2763" spans="1:251" s="24" customFormat="1" x14ac:dyDescent="0.25">
      <c r="A2763" s="24">
        <v>128</v>
      </c>
      <c r="B2763" s="24" t="s">
        <v>2871</v>
      </c>
      <c r="C2763" s="24" t="s">
        <v>2872</v>
      </c>
      <c r="D2763" s="24">
        <v>2005</v>
      </c>
      <c r="E2763" s="24">
        <v>2001</v>
      </c>
      <c r="F2763" s="24" t="s">
        <v>2781</v>
      </c>
      <c r="G2763" s="24" t="s">
        <v>2878</v>
      </c>
      <c r="H2763" s="24" t="s">
        <v>2873</v>
      </c>
      <c r="I2763" s="24">
        <v>-1.95</v>
      </c>
      <c r="J2763" s="24">
        <v>30.09</v>
      </c>
      <c r="K2763" s="24">
        <v>1165.3</v>
      </c>
      <c r="O2763" s="24">
        <v>1357</v>
      </c>
      <c r="Q2763" s="42" t="s">
        <v>1856</v>
      </c>
      <c r="R2763" s="42" t="s">
        <v>1856</v>
      </c>
      <c r="S2763" s="42"/>
      <c r="T2763" s="42" t="s">
        <v>2875</v>
      </c>
      <c r="U2763" s="42" t="s">
        <v>1383</v>
      </c>
      <c r="V2763" s="42" t="s">
        <v>1722</v>
      </c>
      <c r="W2763" s="42" t="s">
        <v>1383</v>
      </c>
      <c r="X2763" s="42" t="s">
        <v>1383</v>
      </c>
      <c r="Z2763" s="321">
        <v>67</v>
      </c>
      <c r="AA2763" s="321">
        <v>24</v>
      </c>
      <c r="AB2763" s="24" t="s">
        <v>241</v>
      </c>
      <c r="AC2763" s="24">
        <v>5.5</v>
      </c>
      <c r="AD2763" s="24">
        <v>2.6</v>
      </c>
      <c r="AF2763" s="24" t="s">
        <v>2874</v>
      </c>
      <c r="AG2763" s="24" t="s">
        <v>2881</v>
      </c>
      <c r="AH2763" s="24" t="s">
        <v>578</v>
      </c>
      <c r="AI2763" s="24" t="s">
        <v>1650</v>
      </c>
      <c r="AJ2763" s="24" t="s">
        <v>133</v>
      </c>
      <c r="AT2763" s="24" t="s">
        <v>161</v>
      </c>
      <c r="AU2763" s="24">
        <v>2</v>
      </c>
      <c r="AW2763" s="24" t="s">
        <v>142</v>
      </c>
      <c r="AY2763" s="24">
        <v>751</v>
      </c>
      <c r="BB2763" s="24" t="s">
        <v>2879</v>
      </c>
      <c r="BH2763" s="24">
        <v>2050</v>
      </c>
      <c r="BI2763" s="24">
        <v>2814</v>
      </c>
      <c r="BM2763" s="395"/>
      <c r="BN2763" s="395"/>
      <c r="BR2763" s="395"/>
      <c r="BS2763" s="395"/>
      <c r="IQ2763" s="249"/>
    </row>
    <row r="2764" spans="1:251" s="24" customFormat="1" x14ac:dyDescent="0.25">
      <c r="A2764" s="24">
        <v>128</v>
      </c>
      <c r="B2764" s="24" t="s">
        <v>2871</v>
      </c>
      <c r="C2764" s="24" t="s">
        <v>2872</v>
      </c>
      <c r="D2764" s="24">
        <v>2005</v>
      </c>
      <c r="E2764" s="24">
        <v>2001</v>
      </c>
      <c r="F2764" s="24" t="s">
        <v>2781</v>
      </c>
      <c r="G2764" s="24" t="s">
        <v>2878</v>
      </c>
      <c r="H2764" s="24" t="s">
        <v>2873</v>
      </c>
      <c r="I2764" s="24">
        <v>-1.95</v>
      </c>
      <c r="J2764" s="24">
        <v>30.09</v>
      </c>
      <c r="K2764" s="24">
        <v>1165.3</v>
      </c>
      <c r="O2764" s="24">
        <v>1357</v>
      </c>
      <c r="Q2764" s="42" t="s">
        <v>1856</v>
      </c>
      <c r="R2764" s="42" t="s">
        <v>1856</v>
      </c>
      <c r="S2764" s="42"/>
      <c r="T2764" s="42" t="s">
        <v>2875</v>
      </c>
      <c r="U2764" s="42" t="s">
        <v>1383</v>
      </c>
      <c r="V2764" s="42" t="s">
        <v>1722</v>
      </c>
      <c r="W2764" s="42" t="s">
        <v>1383</v>
      </c>
      <c r="X2764" s="42" t="s">
        <v>1383</v>
      </c>
      <c r="Z2764" s="321">
        <v>67</v>
      </c>
      <c r="AA2764" s="321">
        <v>24</v>
      </c>
      <c r="AB2764" s="24" t="s">
        <v>241</v>
      </c>
      <c r="AC2764" s="24">
        <v>5.5</v>
      </c>
      <c r="AD2764" s="24">
        <v>2.6</v>
      </c>
      <c r="AF2764" s="24" t="s">
        <v>2874</v>
      </c>
      <c r="AG2764" s="24" t="s">
        <v>2881</v>
      </c>
      <c r="AH2764" s="24" t="s">
        <v>578</v>
      </c>
      <c r="AI2764" s="24" t="s">
        <v>1650</v>
      </c>
      <c r="AJ2764" s="24" t="s">
        <v>133</v>
      </c>
      <c r="AT2764" s="24" t="s">
        <v>161</v>
      </c>
      <c r="AU2764" s="24">
        <v>2</v>
      </c>
      <c r="AW2764" s="24" t="s">
        <v>142</v>
      </c>
      <c r="BB2764" s="24" t="s">
        <v>2880</v>
      </c>
      <c r="BH2764" s="24">
        <v>2257</v>
      </c>
      <c r="BI2764" s="24">
        <v>2265</v>
      </c>
      <c r="BM2764" s="395"/>
      <c r="BN2764" s="395"/>
      <c r="BR2764" s="395"/>
      <c r="BS2764" s="395"/>
      <c r="IQ2764" s="249"/>
    </row>
    <row r="2765" spans="1:251" s="101" customFormat="1" x14ac:dyDescent="0.25">
      <c r="A2765" s="101">
        <v>128</v>
      </c>
      <c r="B2765" s="101" t="s">
        <v>2871</v>
      </c>
      <c r="C2765" s="101" t="s">
        <v>2872</v>
      </c>
      <c r="D2765" s="101">
        <v>2005</v>
      </c>
      <c r="E2765" s="101">
        <v>2000</v>
      </c>
      <c r="F2765" s="101" t="s">
        <v>2781</v>
      </c>
      <c r="G2765" s="101" t="s">
        <v>2878</v>
      </c>
      <c r="H2765" s="101" t="s">
        <v>2873</v>
      </c>
      <c r="I2765" s="101">
        <v>-1.95</v>
      </c>
      <c r="J2765" s="101">
        <v>30.09</v>
      </c>
      <c r="K2765" s="101">
        <v>1165.3</v>
      </c>
      <c r="O2765" s="101">
        <v>1357</v>
      </c>
      <c r="Q2765" s="102" t="s">
        <v>1986</v>
      </c>
      <c r="R2765" s="102" t="s">
        <v>1856</v>
      </c>
      <c r="S2765" s="102"/>
      <c r="T2765" s="102" t="s">
        <v>2875</v>
      </c>
      <c r="U2765" s="102" t="s">
        <v>1383</v>
      </c>
      <c r="V2765" s="102" t="s">
        <v>1722</v>
      </c>
      <c r="W2765" s="102" t="s">
        <v>1383</v>
      </c>
      <c r="X2765" s="102" t="s">
        <v>1383</v>
      </c>
      <c r="Z2765" s="352">
        <v>67</v>
      </c>
      <c r="AA2765" s="352">
        <v>24</v>
      </c>
      <c r="AB2765" s="101" t="s">
        <v>241</v>
      </c>
      <c r="AC2765" s="101">
        <v>5.5</v>
      </c>
      <c r="AD2765" s="101">
        <v>2.6</v>
      </c>
      <c r="AF2765" s="101" t="s">
        <v>2874</v>
      </c>
      <c r="AG2765" s="101" t="s">
        <v>2758</v>
      </c>
      <c r="AH2765" s="101" t="s">
        <v>578</v>
      </c>
      <c r="AI2765" s="101" t="s">
        <v>1650</v>
      </c>
      <c r="AJ2765" s="101" t="s">
        <v>133</v>
      </c>
      <c r="AT2765" s="101" t="s">
        <v>161</v>
      </c>
      <c r="AU2765" s="101">
        <v>2</v>
      </c>
      <c r="AW2765" s="101" t="s">
        <v>142</v>
      </c>
      <c r="AY2765" s="101">
        <v>2169</v>
      </c>
      <c r="BB2765" s="101" t="s">
        <v>2879</v>
      </c>
      <c r="BH2765" s="101">
        <v>1996</v>
      </c>
      <c r="BI2765" s="101">
        <v>1075</v>
      </c>
      <c r="BM2765" s="427"/>
      <c r="BN2765" s="427"/>
      <c r="BR2765" s="427"/>
      <c r="BS2765" s="427"/>
      <c r="IQ2765" s="177"/>
    </row>
    <row r="2766" spans="1:251" s="101" customFormat="1" x14ac:dyDescent="0.25">
      <c r="A2766" s="101">
        <v>128</v>
      </c>
      <c r="B2766" s="101" t="s">
        <v>2871</v>
      </c>
      <c r="C2766" s="101" t="s">
        <v>2872</v>
      </c>
      <c r="D2766" s="101">
        <v>2005</v>
      </c>
      <c r="E2766" s="101">
        <v>2000</v>
      </c>
      <c r="F2766" s="101" t="s">
        <v>2781</v>
      </c>
      <c r="G2766" s="101" t="s">
        <v>2878</v>
      </c>
      <c r="H2766" s="101" t="s">
        <v>2873</v>
      </c>
      <c r="I2766" s="101">
        <v>-1.95</v>
      </c>
      <c r="J2766" s="101">
        <v>30.09</v>
      </c>
      <c r="K2766" s="101">
        <v>1165.3</v>
      </c>
      <c r="O2766" s="101">
        <v>1357</v>
      </c>
      <c r="Q2766" s="102" t="s">
        <v>1986</v>
      </c>
      <c r="R2766" s="102" t="s">
        <v>1856</v>
      </c>
      <c r="S2766" s="102"/>
      <c r="T2766" s="102" t="s">
        <v>2875</v>
      </c>
      <c r="U2766" s="102" t="s">
        <v>1383</v>
      </c>
      <c r="V2766" s="102" t="s">
        <v>1722</v>
      </c>
      <c r="W2766" s="102" t="s">
        <v>1383</v>
      </c>
      <c r="X2766" s="102" t="s">
        <v>1383</v>
      </c>
      <c r="Z2766" s="352">
        <v>67</v>
      </c>
      <c r="AA2766" s="352">
        <v>24</v>
      </c>
      <c r="AB2766" s="101" t="s">
        <v>241</v>
      </c>
      <c r="AC2766" s="101">
        <v>5.5</v>
      </c>
      <c r="AD2766" s="101">
        <v>2.6</v>
      </c>
      <c r="AF2766" s="101" t="s">
        <v>2874</v>
      </c>
      <c r="AG2766" s="101" t="s">
        <v>2758</v>
      </c>
      <c r="AH2766" s="101" t="s">
        <v>578</v>
      </c>
      <c r="AI2766" s="101" t="s">
        <v>1650</v>
      </c>
      <c r="AJ2766" s="101" t="s">
        <v>133</v>
      </c>
      <c r="AT2766" s="101" t="s">
        <v>161</v>
      </c>
      <c r="AU2766" s="101">
        <v>2</v>
      </c>
      <c r="AW2766" s="101" t="s">
        <v>142</v>
      </c>
      <c r="AY2766" s="101">
        <v>1205</v>
      </c>
      <c r="BB2766" s="101" t="s">
        <v>2880</v>
      </c>
      <c r="BH2766" s="101">
        <v>2201</v>
      </c>
      <c r="BI2766" s="101">
        <v>2357</v>
      </c>
      <c r="BM2766" s="427"/>
      <c r="BN2766" s="427"/>
      <c r="BR2766" s="427"/>
      <c r="BS2766" s="427"/>
      <c r="IQ2766" s="177"/>
    </row>
    <row r="2767" spans="1:251" s="101" customFormat="1" x14ac:dyDescent="0.25">
      <c r="A2767" s="101">
        <v>128</v>
      </c>
      <c r="B2767" s="101" t="s">
        <v>2871</v>
      </c>
      <c r="C2767" s="101" t="s">
        <v>2872</v>
      </c>
      <c r="D2767" s="101">
        <v>2005</v>
      </c>
      <c r="E2767" s="101">
        <v>2001</v>
      </c>
      <c r="F2767" s="101" t="s">
        <v>2781</v>
      </c>
      <c r="G2767" s="101" t="s">
        <v>2878</v>
      </c>
      <c r="H2767" s="101" t="s">
        <v>2873</v>
      </c>
      <c r="I2767" s="101">
        <v>-1.95</v>
      </c>
      <c r="J2767" s="101">
        <v>30.09</v>
      </c>
      <c r="K2767" s="101">
        <v>1165.3</v>
      </c>
      <c r="O2767" s="101">
        <v>1357</v>
      </c>
      <c r="Q2767" s="102" t="s">
        <v>1856</v>
      </c>
      <c r="R2767" s="102" t="s">
        <v>1856</v>
      </c>
      <c r="S2767" s="102"/>
      <c r="T2767" s="102" t="s">
        <v>2875</v>
      </c>
      <c r="U2767" s="102" t="s">
        <v>1383</v>
      </c>
      <c r="V2767" s="102" t="s">
        <v>1722</v>
      </c>
      <c r="W2767" s="102" t="s">
        <v>1383</v>
      </c>
      <c r="X2767" s="102" t="s">
        <v>1383</v>
      </c>
      <c r="Z2767" s="352">
        <v>67</v>
      </c>
      <c r="AA2767" s="352">
        <v>24</v>
      </c>
      <c r="AB2767" s="101" t="s">
        <v>241</v>
      </c>
      <c r="AC2767" s="101">
        <v>5.5</v>
      </c>
      <c r="AD2767" s="101">
        <v>2.6</v>
      </c>
      <c r="AF2767" s="101" t="s">
        <v>2874</v>
      </c>
      <c r="AG2767" s="101" t="s">
        <v>2758</v>
      </c>
      <c r="AH2767" s="101" t="s">
        <v>578</v>
      </c>
      <c r="AI2767" s="101" t="s">
        <v>1650</v>
      </c>
      <c r="AJ2767" s="101" t="s">
        <v>133</v>
      </c>
      <c r="AT2767" s="101" t="s">
        <v>161</v>
      </c>
      <c r="AU2767" s="101">
        <v>2</v>
      </c>
      <c r="AW2767" s="101" t="s">
        <v>142</v>
      </c>
      <c r="AY2767" s="101">
        <v>216</v>
      </c>
      <c r="BB2767" s="101" t="s">
        <v>2879</v>
      </c>
      <c r="BH2767" s="101">
        <v>2050</v>
      </c>
      <c r="BI2767" s="101">
        <v>2358</v>
      </c>
      <c r="BM2767" s="427"/>
      <c r="BN2767" s="427"/>
      <c r="BR2767" s="427"/>
      <c r="BS2767" s="427"/>
      <c r="IQ2767" s="177"/>
    </row>
    <row r="2768" spans="1:251" s="101" customFormat="1" x14ac:dyDescent="0.25">
      <c r="A2768" s="101">
        <v>128</v>
      </c>
      <c r="B2768" s="101" t="s">
        <v>2871</v>
      </c>
      <c r="C2768" s="101" t="s">
        <v>2872</v>
      </c>
      <c r="D2768" s="101">
        <v>2005</v>
      </c>
      <c r="E2768" s="101">
        <v>2001</v>
      </c>
      <c r="F2768" s="101" t="s">
        <v>2781</v>
      </c>
      <c r="G2768" s="101" t="s">
        <v>2878</v>
      </c>
      <c r="H2768" s="101" t="s">
        <v>2873</v>
      </c>
      <c r="I2768" s="101">
        <v>-1.95</v>
      </c>
      <c r="J2768" s="101">
        <v>30.09</v>
      </c>
      <c r="K2768" s="101">
        <v>1165.3</v>
      </c>
      <c r="O2768" s="101">
        <v>1357</v>
      </c>
      <c r="Q2768" s="102" t="s">
        <v>1856</v>
      </c>
      <c r="R2768" s="102" t="s">
        <v>1856</v>
      </c>
      <c r="S2768" s="102"/>
      <c r="T2768" s="102" t="s">
        <v>2875</v>
      </c>
      <c r="U2768" s="102" t="s">
        <v>1383</v>
      </c>
      <c r="V2768" s="102" t="s">
        <v>1722</v>
      </c>
      <c r="W2768" s="102" t="s">
        <v>1383</v>
      </c>
      <c r="X2768" s="102" t="s">
        <v>1383</v>
      </c>
      <c r="Z2768" s="352">
        <v>67</v>
      </c>
      <c r="AA2768" s="352">
        <v>24</v>
      </c>
      <c r="AB2768" s="101" t="s">
        <v>241</v>
      </c>
      <c r="AC2768" s="101">
        <v>5.5</v>
      </c>
      <c r="AD2768" s="101">
        <v>2.6</v>
      </c>
      <c r="AF2768" s="101" t="s">
        <v>2874</v>
      </c>
      <c r="AG2768" s="101" t="s">
        <v>2758</v>
      </c>
      <c r="AH2768" s="101" t="s">
        <v>578</v>
      </c>
      <c r="AI2768" s="101" t="s">
        <v>1650</v>
      </c>
      <c r="AJ2768" s="101" t="s">
        <v>133</v>
      </c>
      <c r="AT2768" s="101" t="s">
        <v>161</v>
      </c>
      <c r="AU2768" s="101">
        <v>2</v>
      </c>
      <c r="AW2768" s="101" t="s">
        <v>142</v>
      </c>
      <c r="BB2768" s="101" t="s">
        <v>2880</v>
      </c>
      <c r="BH2768" s="101">
        <v>2257</v>
      </c>
      <c r="BI2768" s="101">
        <v>1778</v>
      </c>
      <c r="BM2768" s="427"/>
      <c r="BN2768" s="427"/>
      <c r="BR2768" s="427"/>
      <c r="BS2768" s="427"/>
      <c r="IQ2768" s="177"/>
    </row>
    <row r="2769" spans="1:251" s="36" customFormat="1" x14ac:dyDescent="0.25">
      <c r="A2769" s="36">
        <v>129</v>
      </c>
      <c r="B2769" s="36" t="s">
        <v>2882</v>
      </c>
      <c r="C2769" s="36" t="s">
        <v>526</v>
      </c>
      <c r="D2769" s="36">
        <v>1999</v>
      </c>
      <c r="E2769" s="36">
        <v>1997</v>
      </c>
      <c r="F2769" s="36" t="s">
        <v>2781</v>
      </c>
      <c r="G2769" s="36" t="s">
        <v>2883</v>
      </c>
      <c r="H2769" s="36" t="s">
        <v>2873</v>
      </c>
      <c r="I2769" s="36">
        <f t="shared" ref="I2769:I2782" si="343">26/60</f>
        <v>0.43333333333333335</v>
      </c>
      <c r="J2769" s="36">
        <f t="shared" ref="J2769:J2782" si="344">33+28/60</f>
        <v>33.466666666666669</v>
      </c>
      <c r="K2769" s="36">
        <v>1189</v>
      </c>
      <c r="O2769" s="36">
        <v>1350</v>
      </c>
      <c r="Q2769" s="51" t="s">
        <v>1986</v>
      </c>
      <c r="R2769" s="51" t="s">
        <v>1856</v>
      </c>
      <c r="S2769" s="51"/>
      <c r="T2769" s="51" t="s">
        <v>2885</v>
      </c>
      <c r="U2769" s="51"/>
      <c r="V2769" s="51"/>
      <c r="W2769" s="51"/>
      <c r="X2769" s="51"/>
      <c r="Z2769" s="331"/>
      <c r="AA2769" s="331"/>
      <c r="AB2769" s="36" t="s">
        <v>241</v>
      </c>
      <c r="AG2769" s="36" t="s">
        <v>2759</v>
      </c>
      <c r="AH2769" s="36" t="s">
        <v>578</v>
      </c>
      <c r="AI2769" s="36" t="s">
        <v>133</v>
      </c>
      <c r="AJ2769" s="36" t="s">
        <v>133</v>
      </c>
      <c r="AT2769" s="36" t="s">
        <v>120</v>
      </c>
      <c r="AU2769" s="36">
        <v>6</v>
      </c>
      <c r="AW2769" s="36" t="s">
        <v>142</v>
      </c>
      <c r="BH2769" s="36">
        <f>4*1000</f>
        <v>4000</v>
      </c>
      <c r="BI2769" s="36">
        <f>2.8*1000</f>
        <v>2800</v>
      </c>
      <c r="BJ2769" s="36">
        <v>580</v>
      </c>
      <c r="BK2769" s="36">
        <v>580</v>
      </c>
      <c r="BL2769" s="36" t="s">
        <v>2886</v>
      </c>
      <c r="BM2769" s="407"/>
      <c r="BN2769" s="407"/>
      <c r="BR2769" s="407"/>
      <c r="BS2769" s="407"/>
      <c r="IQ2769" s="230"/>
    </row>
    <row r="2770" spans="1:251" s="36" customFormat="1" x14ac:dyDescent="0.25">
      <c r="A2770" s="36">
        <v>129</v>
      </c>
      <c r="B2770" s="36" t="s">
        <v>2882</v>
      </c>
      <c r="C2770" s="36" t="s">
        <v>526</v>
      </c>
      <c r="D2770" s="36">
        <v>1999</v>
      </c>
      <c r="E2770" s="36">
        <v>1997</v>
      </c>
      <c r="F2770" s="36" t="s">
        <v>2781</v>
      </c>
      <c r="G2770" s="36" t="s">
        <v>2883</v>
      </c>
      <c r="H2770" s="36" t="s">
        <v>2873</v>
      </c>
      <c r="I2770" s="36">
        <f t="shared" si="343"/>
        <v>0.43333333333333335</v>
      </c>
      <c r="J2770" s="36">
        <f t="shared" si="344"/>
        <v>33.466666666666669</v>
      </c>
      <c r="K2770" s="36">
        <v>1189</v>
      </c>
      <c r="O2770" s="36">
        <v>1350</v>
      </c>
      <c r="Q2770" s="51" t="s">
        <v>1986</v>
      </c>
      <c r="R2770" s="51" t="s">
        <v>1856</v>
      </c>
      <c r="S2770" s="51"/>
      <c r="T2770" s="51" t="s">
        <v>2885</v>
      </c>
      <c r="U2770" s="51"/>
      <c r="V2770" s="51"/>
      <c r="W2770" s="51"/>
      <c r="X2770" s="51"/>
      <c r="Z2770" s="331"/>
      <c r="AA2770" s="331"/>
      <c r="AB2770" s="36" t="s">
        <v>241</v>
      </c>
      <c r="AG2770" s="36" t="s">
        <v>2759</v>
      </c>
      <c r="AH2770" s="36" t="s">
        <v>578</v>
      </c>
      <c r="AI2770" s="36" t="s">
        <v>2884</v>
      </c>
      <c r="AJ2770" s="36" t="s">
        <v>1621</v>
      </c>
      <c r="AT2770" s="36" t="s">
        <v>120</v>
      </c>
      <c r="AU2770" s="36">
        <v>6</v>
      </c>
      <c r="AW2770" s="36" t="s">
        <v>142</v>
      </c>
      <c r="BH2770" s="36">
        <v>560</v>
      </c>
      <c r="BI2770" s="36">
        <v>400</v>
      </c>
      <c r="BJ2770" s="36">
        <v>110</v>
      </c>
      <c r="BK2770" s="36">
        <v>110</v>
      </c>
      <c r="BL2770" s="36" t="s">
        <v>2886</v>
      </c>
      <c r="BM2770" s="407"/>
      <c r="BN2770" s="407"/>
      <c r="BR2770" s="407"/>
      <c r="BS2770" s="407"/>
      <c r="IQ2770" s="230"/>
    </row>
    <row r="2771" spans="1:251" s="36" customFormat="1" x14ac:dyDescent="0.25">
      <c r="A2771" s="36">
        <v>129</v>
      </c>
      <c r="B2771" s="36" t="s">
        <v>2882</v>
      </c>
      <c r="C2771" s="36" t="s">
        <v>526</v>
      </c>
      <c r="D2771" s="36">
        <v>1999</v>
      </c>
      <c r="E2771" s="36">
        <v>1998</v>
      </c>
      <c r="F2771" s="36" t="s">
        <v>2781</v>
      </c>
      <c r="G2771" s="36" t="s">
        <v>2883</v>
      </c>
      <c r="H2771" s="36" t="s">
        <v>2873</v>
      </c>
      <c r="I2771" s="36">
        <f t="shared" si="343"/>
        <v>0.43333333333333335</v>
      </c>
      <c r="J2771" s="36">
        <f t="shared" si="344"/>
        <v>33.466666666666669</v>
      </c>
      <c r="K2771" s="36">
        <v>1189</v>
      </c>
      <c r="O2771" s="36">
        <v>1350</v>
      </c>
      <c r="Q2771" s="51" t="s">
        <v>1856</v>
      </c>
      <c r="R2771" s="51" t="s">
        <v>1856</v>
      </c>
      <c r="S2771" s="51"/>
      <c r="T2771" s="51" t="s">
        <v>2885</v>
      </c>
      <c r="U2771" s="51"/>
      <c r="V2771" s="51"/>
      <c r="W2771" s="51"/>
      <c r="X2771" s="51"/>
      <c r="Z2771" s="331"/>
      <c r="AA2771" s="331"/>
      <c r="AB2771" s="36" t="s">
        <v>241</v>
      </c>
      <c r="AG2771" s="36" t="s">
        <v>2759</v>
      </c>
      <c r="AH2771" s="36" t="s">
        <v>578</v>
      </c>
      <c r="AI2771" s="36" t="s">
        <v>133</v>
      </c>
      <c r="AJ2771" s="36" t="s">
        <v>133</v>
      </c>
      <c r="AT2771" s="36" t="s">
        <v>120</v>
      </c>
      <c r="AU2771" s="36">
        <v>6</v>
      </c>
      <c r="AW2771" s="36" t="s">
        <v>142</v>
      </c>
      <c r="BH2771" s="36">
        <v>2600</v>
      </c>
      <c r="BI2771" s="36">
        <v>2100</v>
      </c>
      <c r="BL2771" s="36" t="s">
        <v>2886</v>
      </c>
      <c r="BM2771" s="407"/>
      <c r="BN2771" s="407"/>
      <c r="BR2771" s="407"/>
      <c r="BS2771" s="407"/>
      <c r="IQ2771" s="230"/>
    </row>
    <row r="2772" spans="1:251" s="36" customFormat="1" x14ac:dyDescent="0.25">
      <c r="A2772" s="36">
        <v>129</v>
      </c>
      <c r="B2772" s="36" t="s">
        <v>2882</v>
      </c>
      <c r="C2772" s="36" t="s">
        <v>526</v>
      </c>
      <c r="D2772" s="36">
        <v>1999</v>
      </c>
      <c r="E2772" s="36">
        <v>1998</v>
      </c>
      <c r="F2772" s="36" t="s">
        <v>2781</v>
      </c>
      <c r="G2772" s="36" t="s">
        <v>2883</v>
      </c>
      <c r="H2772" s="36" t="s">
        <v>2873</v>
      </c>
      <c r="I2772" s="36">
        <f t="shared" si="343"/>
        <v>0.43333333333333335</v>
      </c>
      <c r="J2772" s="36">
        <f t="shared" si="344"/>
        <v>33.466666666666669</v>
      </c>
      <c r="K2772" s="36">
        <v>1189</v>
      </c>
      <c r="O2772" s="36">
        <v>1350</v>
      </c>
      <c r="Q2772" s="51" t="s">
        <v>1856</v>
      </c>
      <c r="R2772" s="51" t="s">
        <v>1856</v>
      </c>
      <c r="S2772" s="51"/>
      <c r="T2772" s="51" t="s">
        <v>2885</v>
      </c>
      <c r="U2772" s="51"/>
      <c r="V2772" s="51"/>
      <c r="W2772" s="51"/>
      <c r="X2772" s="51"/>
      <c r="Z2772" s="331"/>
      <c r="AA2772" s="331"/>
      <c r="AB2772" s="36" t="s">
        <v>241</v>
      </c>
      <c r="AG2772" s="36" t="s">
        <v>2759</v>
      </c>
      <c r="AH2772" s="36" t="s">
        <v>578</v>
      </c>
      <c r="AI2772" s="36" t="s">
        <v>2884</v>
      </c>
      <c r="AJ2772" s="36" t="s">
        <v>1621</v>
      </c>
      <c r="AT2772" s="36" t="s">
        <v>120</v>
      </c>
      <c r="AU2772" s="36">
        <v>6</v>
      </c>
      <c r="AW2772" s="36" t="s">
        <v>142</v>
      </c>
      <c r="BH2772" s="36">
        <v>740</v>
      </c>
      <c r="BI2772" s="36">
        <v>660</v>
      </c>
      <c r="BL2772" s="36" t="s">
        <v>2886</v>
      </c>
      <c r="BM2772" s="407"/>
      <c r="BN2772" s="407"/>
      <c r="BR2772" s="407"/>
      <c r="BS2772" s="407"/>
      <c r="IQ2772" s="230"/>
    </row>
    <row r="2773" spans="1:251" s="22" customFormat="1" x14ac:dyDescent="0.25">
      <c r="A2773" s="22">
        <v>129</v>
      </c>
      <c r="B2773" s="22" t="s">
        <v>2882</v>
      </c>
      <c r="C2773" s="22" t="s">
        <v>526</v>
      </c>
      <c r="D2773" s="22">
        <v>1999</v>
      </c>
      <c r="E2773" s="22">
        <v>1997</v>
      </c>
      <c r="F2773" s="22" t="s">
        <v>2781</v>
      </c>
      <c r="G2773" s="22" t="s">
        <v>2883</v>
      </c>
      <c r="H2773" s="22" t="s">
        <v>2873</v>
      </c>
      <c r="I2773" s="22">
        <f t="shared" si="343"/>
        <v>0.43333333333333335</v>
      </c>
      <c r="J2773" s="22">
        <f t="shared" si="344"/>
        <v>33.466666666666669</v>
      </c>
      <c r="K2773" s="22">
        <v>1189</v>
      </c>
      <c r="O2773" s="22">
        <v>1350</v>
      </c>
      <c r="Q2773" s="45" t="s">
        <v>1986</v>
      </c>
      <c r="R2773" s="45" t="s">
        <v>1856</v>
      </c>
      <c r="S2773" s="45"/>
      <c r="T2773" s="45" t="s">
        <v>2885</v>
      </c>
      <c r="U2773" s="45"/>
      <c r="V2773" s="45"/>
      <c r="W2773" s="45"/>
      <c r="X2773" s="45"/>
      <c r="Z2773" s="325"/>
      <c r="AA2773" s="325"/>
      <c r="AB2773" s="22" t="s">
        <v>241</v>
      </c>
      <c r="AG2773" s="22" t="s">
        <v>2757</v>
      </c>
      <c r="AH2773" s="22" t="s">
        <v>578</v>
      </c>
      <c r="AI2773" s="22" t="s">
        <v>133</v>
      </c>
      <c r="AJ2773" s="22" t="s">
        <v>133</v>
      </c>
      <c r="AT2773" s="22" t="s">
        <v>120</v>
      </c>
      <c r="AU2773" s="22">
        <v>6</v>
      </c>
      <c r="AW2773" s="22" t="s">
        <v>142</v>
      </c>
      <c r="BH2773" s="22">
        <v>3200</v>
      </c>
      <c r="BI2773" s="22">
        <v>2400</v>
      </c>
      <c r="BL2773" s="22" t="s">
        <v>2887</v>
      </c>
      <c r="BM2773" s="399"/>
      <c r="BN2773" s="399"/>
      <c r="BR2773" s="399"/>
      <c r="BS2773" s="399"/>
      <c r="FI2773" s="22">
        <v>3.43</v>
      </c>
      <c r="FJ2773" s="22">
        <v>1.01</v>
      </c>
      <c r="FK2773" s="22">
        <f>0.91-0.15</f>
        <v>0.76</v>
      </c>
      <c r="FM2773" s="22" t="s">
        <v>2888</v>
      </c>
      <c r="IQ2773" s="276"/>
    </row>
    <row r="2774" spans="1:251" s="22" customFormat="1" x14ac:dyDescent="0.25">
      <c r="A2774" s="22">
        <v>129</v>
      </c>
      <c r="B2774" s="22" t="s">
        <v>2882</v>
      </c>
      <c r="C2774" s="22" t="s">
        <v>526</v>
      </c>
      <c r="D2774" s="22">
        <v>1999</v>
      </c>
      <c r="E2774" s="22">
        <v>1997</v>
      </c>
      <c r="F2774" s="22" t="s">
        <v>2781</v>
      </c>
      <c r="G2774" s="22" t="s">
        <v>2883</v>
      </c>
      <c r="H2774" s="22" t="s">
        <v>2873</v>
      </c>
      <c r="I2774" s="22">
        <f t="shared" si="343"/>
        <v>0.43333333333333335</v>
      </c>
      <c r="J2774" s="22">
        <f t="shared" si="344"/>
        <v>33.466666666666669</v>
      </c>
      <c r="K2774" s="22">
        <v>1189</v>
      </c>
      <c r="O2774" s="22">
        <v>1350</v>
      </c>
      <c r="Q2774" s="45" t="s">
        <v>1986</v>
      </c>
      <c r="R2774" s="45" t="s">
        <v>1856</v>
      </c>
      <c r="S2774" s="45"/>
      <c r="T2774" s="45" t="s">
        <v>2885</v>
      </c>
      <c r="U2774" s="45"/>
      <c r="V2774" s="45"/>
      <c r="W2774" s="45"/>
      <c r="X2774" s="45"/>
      <c r="Z2774" s="325"/>
      <c r="AA2774" s="325"/>
      <c r="AB2774" s="22" t="s">
        <v>241</v>
      </c>
      <c r="AG2774" s="22" t="s">
        <v>2757</v>
      </c>
      <c r="AH2774" s="22" t="s">
        <v>578</v>
      </c>
      <c r="AI2774" s="22" t="s">
        <v>133</v>
      </c>
      <c r="AJ2774" s="22" t="s">
        <v>133</v>
      </c>
      <c r="AT2774" s="22" t="s">
        <v>120</v>
      </c>
      <c r="AU2774" s="22">
        <v>6</v>
      </c>
      <c r="AW2774" s="22" t="s">
        <v>142</v>
      </c>
      <c r="BL2774" s="22" t="s">
        <v>2887</v>
      </c>
      <c r="BM2774" s="399"/>
      <c r="BN2774" s="399"/>
      <c r="BR2774" s="399"/>
      <c r="BS2774" s="399"/>
      <c r="FI2774" s="22">
        <v>3.52</v>
      </c>
      <c r="FJ2774" s="22">
        <v>2.2599999999999998</v>
      </c>
      <c r="FK2774" s="22">
        <f>1.5-0.88</f>
        <v>0.62</v>
      </c>
      <c r="FM2774" s="22" t="s">
        <v>2888</v>
      </c>
      <c r="IQ2774" s="276"/>
    </row>
    <row r="2775" spans="1:251" s="22" customFormat="1" x14ac:dyDescent="0.25">
      <c r="A2775" s="22">
        <v>129</v>
      </c>
      <c r="B2775" s="22" t="s">
        <v>2882</v>
      </c>
      <c r="C2775" s="22" t="s">
        <v>526</v>
      </c>
      <c r="D2775" s="22">
        <v>1999</v>
      </c>
      <c r="E2775" s="22">
        <v>1997</v>
      </c>
      <c r="F2775" s="22" t="s">
        <v>2781</v>
      </c>
      <c r="G2775" s="22" t="s">
        <v>2883</v>
      </c>
      <c r="H2775" s="22" t="s">
        <v>2873</v>
      </c>
      <c r="I2775" s="22">
        <f t="shared" si="343"/>
        <v>0.43333333333333335</v>
      </c>
      <c r="J2775" s="22">
        <f t="shared" si="344"/>
        <v>33.466666666666669</v>
      </c>
      <c r="K2775" s="22">
        <v>1189</v>
      </c>
      <c r="O2775" s="22">
        <v>1350</v>
      </c>
      <c r="Q2775" s="45" t="s">
        <v>1986</v>
      </c>
      <c r="R2775" s="45" t="s">
        <v>1856</v>
      </c>
      <c r="S2775" s="45"/>
      <c r="T2775" s="45" t="s">
        <v>2885</v>
      </c>
      <c r="U2775" s="45"/>
      <c r="V2775" s="45"/>
      <c r="W2775" s="45"/>
      <c r="X2775" s="45"/>
      <c r="Z2775" s="325"/>
      <c r="AA2775" s="325"/>
      <c r="AB2775" s="22" t="s">
        <v>241</v>
      </c>
      <c r="AG2775" s="22" t="s">
        <v>2757</v>
      </c>
      <c r="AH2775" s="22" t="s">
        <v>578</v>
      </c>
      <c r="AI2775" s="22" t="s">
        <v>133</v>
      </c>
      <c r="AJ2775" s="22" t="s">
        <v>133</v>
      </c>
      <c r="AT2775" s="22" t="s">
        <v>120</v>
      </c>
      <c r="AU2775" s="22">
        <v>6</v>
      </c>
      <c r="AW2775" s="22" t="s">
        <v>142</v>
      </c>
      <c r="BH2775" s="22">
        <v>2300</v>
      </c>
      <c r="BI2775" s="22">
        <v>3700</v>
      </c>
      <c r="BL2775" s="22" t="s">
        <v>2887</v>
      </c>
      <c r="BM2775" s="399"/>
      <c r="BN2775" s="399"/>
      <c r="BR2775" s="399"/>
      <c r="BS2775" s="399"/>
      <c r="FI2775" s="22">
        <v>3.81</v>
      </c>
      <c r="FJ2775" s="22">
        <v>2.39</v>
      </c>
      <c r="FK2775" s="22">
        <f>1.03-0.35</f>
        <v>0.68</v>
      </c>
      <c r="FM2775" s="22" t="s">
        <v>2888</v>
      </c>
      <c r="IQ2775" s="276"/>
    </row>
    <row r="2776" spans="1:251" s="22" customFormat="1" x14ac:dyDescent="0.25">
      <c r="A2776" s="22">
        <v>129</v>
      </c>
      <c r="B2776" s="22" t="s">
        <v>2882</v>
      </c>
      <c r="C2776" s="22" t="s">
        <v>526</v>
      </c>
      <c r="D2776" s="22">
        <v>1999</v>
      </c>
      <c r="E2776" s="22">
        <v>1997</v>
      </c>
      <c r="F2776" s="22" t="s">
        <v>2781</v>
      </c>
      <c r="G2776" s="22" t="s">
        <v>2883</v>
      </c>
      <c r="H2776" s="22" t="s">
        <v>2873</v>
      </c>
      <c r="I2776" s="22">
        <f t="shared" si="343"/>
        <v>0.43333333333333335</v>
      </c>
      <c r="J2776" s="22">
        <f t="shared" si="344"/>
        <v>33.466666666666669</v>
      </c>
      <c r="K2776" s="22">
        <v>1189</v>
      </c>
      <c r="O2776" s="22">
        <v>1350</v>
      </c>
      <c r="Q2776" s="45" t="s">
        <v>1986</v>
      </c>
      <c r="R2776" s="45" t="s">
        <v>1856</v>
      </c>
      <c r="S2776" s="45"/>
      <c r="T2776" s="45" t="s">
        <v>2885</v>
      </c>
      <c r="U2776" s="45"/>
      <c r="V2776" s="45"/>
      <c r="W2776" s="45"/>
      <c r="X2776" s="45"/>
      <c r="Z2776" s="325"/>
      <c r="AA2776" s="325"/>
      <c r="AB2776" s="22" t="s">
        <v>241</v>
      </c>
      <c r="AG2776" s="22" t="s">
        <v>2757</v>
      </c>
      <c r="AH2776" s="22" t="s">
        <v>578</v>
      </c>
      <c r="AI2776" s="22" t="s">
        <v>133</v>
      </c>
      <c r="AJ2776" s="22" t="s">
        <v>133</v>
      </c>
      <c r="AT2776" s="22" t="s">
        <v>120</v>
      </c>
      <c r="AU2776" s="22">
        <v>6</v>
      </c>
      <c r="AW2776" s="22" t="s">
        <v>142</v>
      </c>
      <c r="BH2776" s="22">
        <v>8100</v>
      </c>
      <c r="BI2776" s="22">
        <v>6100</v>
      </c>
      <c r="BL2776" s="22" t="s">
        <v>2887</v>
      </c>
      <c r="BM2776" s="399"/>
      <c r="BN2776" s="399"/>
      <c r="BR2776" s="399"/>
      <c r="BS2776" s="399"/>
      <c r="IQ2776" s="276"/>
    </row>
    <row r="2777" spans="1:251" s="22" customFormat="1" x14ac:dyDescent="0.25">
      <c r="A2777" s="22">
        <v>129</v>
      </c>
      <c r="B2777" s="22" t="s">
        <v>2882</v>
      </c>
      <c r="C2777" s="22" t="s">
        <v>526</v>
      </c>
      <c r="D2777" s="22">
        <v>1999</v>
      </c>
      <c r="E2777" s="22">
        <v>1997</v>
      </c>
      <c r="F2777" s="22" t="s">
        <v>2781</v>
      </c>
      <c r="G2777" s="22" t="s">
        <v>2883</v>
      </c>
      <c r="H2777" s="22" t="s">
        <v>2873</v>
      </c>
      <c r="I2777" s="22">
        <f t="shared" si="343"/>
        <v>0.43333333333333335</v>
      </c>
      <c r="J2777" s="22">
        <f t="shared" si="344"/>
        <v>33.466666666666669</v>
      </c>
      <c r="K2777" s="22">
        <v>1189</v>
      </c>
      <c r="O2777" s="22">
        <v>1350</v>
      </c>
      <c r="Q2777" s="45" t="s">
        <v>1986</v>
      </c>
      <c r="R2777" s="45" t="s">
        <v>1856</v>
      </c>
      <c r="S2777" s="45"/>
      <c r="T2777" s="45" t="s">
        <v>2885</v>
      </c>
      <c r="U2777" s="45"/>
      <c r="V2777" s="45"/>
      <c r="W2777" s="45"/>
      <c r="X2777" s="45"/>
      <c r="Z2777" s="325"/>
      <c r="AA2777" s="325"/>
      <c r="AB2777" s="22" t="s">
        <v>241</v>
      </c>
      <c r="AG2777" s="22" t="s">
        <v>2757</v>
      </c>
      <c r="AH2777" s="22" t="s">
        <v>578</v>
      </c>
      <c r="AI2777" s="22" t="s">
        <v>2884</v>
      </c>
      <c r="AJ2777" s="22" t="s">
        <v>1621</v>
      </c>
      <c r="AT2777" s="22" t="s">
        <v>120</v>
      </c>
      <c r="AU2777" s="22">
        <v>6</v>
      </c>
      <c r="AW2777" s="22" t="s">
        <v>142</v>
      </c>
      <c r="BH2777" s="22">
        <v>500</v>
      </c>
      <c r="BI2777" s="22">
        <v>800</v>
      </c>
      <c r="BL2777" s="22" t="s">
        <v>2887</v>
      </c>
      <c r="BM2777" s="399"/>
      <c r="BN2777" s="399"/>
      <c r="BR2777" s="399"/>
      <c r="BS2777" s="399"/>
      <c r="IQ2777" s="276"/>
    </row>
    <row r="2778" spans="1:251" s="512" customFormat="1" x14ac:dyDescent="0.25">
      <c r="A2778" s="512">
        <v>129</v>
      </c>
      <c r="B2778" s="512" t="s">
        <v>2882</v>
      </c>
      <c r="C2778" s="512" t="s">
        <v>526</v>
      </c>
      <c r="D2778" s="512">
        <v>1999</v>
      </c>
      <c r="E2778" s="512">
        <v>1997</v>
      </c>
      <c r="F2778" s="512" t="s">
        <v>2781</v>
      </c>
      <c r="G2778" s="512" t="s">
        <v>2883</v>
      </c>
      <c r="H2778" s="512" t="s">
        <v>2873</v>
      </c>
      <c r="I2778" s="512">
        <f t="shared" si="343"/>
        <v>0.43333333333333335</v>
      </c>
      <c r="J2778" s="512">
        <f t="shared" si="344"/>
        <v>33.466666666666669</v>
      </c>
      <c r="K2778" s="512">
        <v>1189</v>
      </c>
      <c r="O2778" s="512">
        <v>1350</v>
      </c>
      <c r="Q2778" s="513" t="s">
        <v>1986</v>
      </c>
      <c r="R2778" s="513" t="s">
        <v>1856</v>
      </c>
      <c r="S2778" s="513"/>
      <c r="T2778" s="513" t="s">
        <v>2885</v>
      </c>
      <c r="U2778" s="513"/>
      <c r="V2778" s="513"/>
      <c r="W2778" s="513"/>
      <c r="X2778" s="513"/>
      <c r="Z2778" s="514"/>
      <c r="AA2778" s="514"/>
      <c r="AB2778" s="512" t="s">
        <v>241</v>
      </c>
      <c r="AG2778" s="512" t="s">
        <v>2758</v>
      </c>
      <c r="AH2778" s="512" t="s">
        <v>578</v>
      </c>
      <c r="AI2778" s="512" t="s">
        <v>133</v>
      </c>
      <c r="AJ2778" s="512" t="s">
        <v>133</v>
      </c>
      <c r="AT2778" s="512" t="s">
        <v>120</v>
      </c>
      <c r="AU2778" s="512">
        <v>6</v>
      </c>
      <c r="AW2778" s="512" t="s">
        <v>142</v>
      </c>
      <c r="BH2778" s="512">
        <v>3200</v>
      </c>
      <c r="BI2778" s="512">
        <v>1600</v>
      </c>
      <c r="BL2778" s="512" t="s">
        <v>2887</v>
      </c>
      <c r="BM2778" s="515"/>
      <c r="BN2778" s="515"/>
      <c r="BR2778" s="515"/>
      <c r="BS2778" s="515"/>
      <c r="FI2778" s="512">
        <v>4.3360000000000003</v>
      </c>
      <c r="FJ2778" s="512">
        <v>0.97</v>
      </c>
      <c r="FK2778" s="512">
        <f>0.74-0.3</f>
        <v>0.44</v>
      </c>
      <c r="FM2778" s="512" t="s">
        <v>2888</v>
      </c>
      <c r="IQ2778" s="516"/>
    </row>
    <row r="2779" spans="1:251" s="512" customFormat="1" x14ac:dyDescent="0.25">
      <c r="A2779" s="512">
        <v>129</v>
      </c>
      <c r="B2779" s="512" t="s">
        <v>2882</v>
      </c>
      <c r="C2779" s="512" t="s">
        <v>526</v>
      </c>
      <c r="D2779" s="512">
        <v>1999</v>
      </c>
      <c r="E2779" s="512">
        <v>1997</v>
      </c>
      <c r="F2779" s="512" t="s">
        <v>2781</v>
      </c>
      <c r="G2779" s="512" t="s">
        <v>2883</v>
      </c>
      <c r="H2779" s="512" t="s">
        <v>2873</v>
      </c>
      <c r="I2779" s="512">
        <f t="shared" si="343"/>
        <v>0.43333333333333335</v>
      </c>
      <c r="J2779" s="512">
        <f t="shared" si="344"/>
        <v>33.466666666666669</v>
      </c>
      <c r="K2779" s="512">
        <v>1189</v>
      </c>
      <c r="O2779" s="512">
        <v>1350</v>
      </c>
      <c r="Q2779" s="513" t="s">
        <v>1986</v>
      </c>
      <c r="R2779" s="513" t="s">
        <v>1856</v>
      </c>
      <c r="S2779" s="513"/>
      <c r="T2779" s="513" t="s">
        <v>2885</v>
      </c>
      <c r="U2779" s="513"/>
      <c r="V2779" s="513"/>
      <c r="W2779" s="513"/>
      <c r="X2779" s="513"/>
      <c r="Z2779" s="514"/>
      <c r="AA2779" s="514"/>
      <c r="AB2779" s="512" t="s">
        <v>241</v>
      </c>
      <c r="AG2779" s="512" t="s">
        <v>2758</v>
      </c>
      <c r="AH2779" s="512" t="s">
        <v>578</v>
      </c>
      <c r="AI2779" s="512" t="s">
        <v>133</v>
      </c>
      <c r="AJ2779" s="512" t="s">
        <v>133</v>
      </c>
      <c r="AT2779" s="512" t="s">
        <v>120</v>
      </c>
      <c r="AU2779" s="512">
        <v>6</v>
      </c>
      <c r="AW2779" s="512" t="s">
        <v>142</v>
      </c>
      <c r="BL2779" s="512" t="s">
        <v>2887</v>
      </c>
      <c r="BM2779" s="515"/>
      <c r="BN2779" s="515"/>
      <c r="BR2779" s="515"/>
      <c r="BS2779" s="515"/>
      <c r="FI2779" s="512">
        <v>3.21</v>
      </c>
      <c r="FJ2779" s="512">
        <v>2.17</v>
      </c>
      <c r="FK2779" s="512">
        <f>1.45-0.94</f>
        <v>0.51</v>
      </c>
      <c r="FM2779" s="512" t="s">
        <v>2888</v>
      </c>
      <c r="IQ2779" s="516"/>
    </row>
    <row r="2780" spans="1:251" s="512" customFormat="1" x14ac:dyDescent="0.25">
      <c r="A2780" s="512">
        <v>129</v>
      </c>
      <c r="B2780" s="512" t="s">
        <v>2882</v>
      </c>
      <c r="C2780" s="512" t="s">
        <v>526</v>
      </c>
      <c r="D2780" s="512">
        <v>1999</v>
      </c>
      <c r="E2780" s="512">
        <v>1997</v>
      </c>
      <c r="F2780" s="512" t="s">
        <v>2781</v>
      </c>
      <c r="G2780" s="512" t="s">
        <v>2883</v>
      </c>
      <c r="H2780" s="512" t="s">
        <v>2873</v>
      </c>
      <c r="I2780" s="512">
        <f t="shared" si="343"/>
        <v>0.43333333333333335</v>
      </c>
      <c r="J2780" s="512">
        <f t="shared" si="344"/>
        <v>33.466666666666669</v>
      </c>
      <c r="K2780" s="512">
        <v>1189</v>
      </c>
      <c r="O2780" s="512">
        <v>1350</v>
      </c>
      <c r="Q2780" s="513" t="s">
        <v>1986</v>
      </c>
      <c r="R2780" s="513" t="s">
        <v>1856</v>
      </c>
      <c r="S2780" s="513"/>
      <c r="T2780" s="513" t="s">
        <v>2885</v>
      </c>
      <c r="U2780" s="513"/>
      <c r="V2780" s="513"/>
      <c r="W2780" s="513"/>
      <c r="X2780" s="513"/>
      <c r="Z2780" s="514"/>
      <c r="AA2780" s="514"/>
      <c r="AB2780" s="512" t="s">
        <v>241</v>
      </c>
      <c r="AG2780" s="512" t="s">
        <v>2758</v>
      </c>
      <c r="AH2780" s="512" t="s">
        <v>578</v>
      </c>
      <c r="AI2780" s="512" t="s">
        <v>133</v>
      </c>
      <c r="AJ2780" s="512" t="s">
        <v>133</v>
      </c>
      <c r="AT2780" s="512" t="s">
        <v>120</v>
      </c>
      <c r="AU2780" s="512">
        <v>6</v>
      </c>
      <c r="AW2780" s="512" t="s">
        <v>142</v>
      </c>
      <c r="BH2780" s="512">
        <v>2300</v>
      </c>
      <c r="BI2780" s="512">
        <v>2700</v>
      </c>
      <c r="BL2780" s="512" t="s">
        <v>2887</v>
      </c>
      <c r="BM2780" s="515"/>
      <c r="BN2780" s="515"/>
      <c r="BR2780" s="515"/>
      <c r="BS2780" s="515"/>
      <c r="FI2780" s="512">
        <v>3.41</v>
      </c>
      <c r="FJ2780" s="512">
        <v>2.61</v>
      </c>
      <c r="FK2780" s="512">
        <f>0.99-0.45</f>
        <v>0.54</v>
      </c>
      <c r="FM2780" s="512" t="s">
        <v>2888</v>
      </c>
      <c r="IQ2780" s="516"/>
    </row>
    <row r="2781" spans="1:251" s="512" customFormat="1" x14ac:dyDescent="0.25">
      <c r="A2781" s="512">
        <v>129</v>
      </c>
      <c r="B2781" s="512" t="s">
        <v>2882</v>
      </c>
      <c r="C2781" s="512" t="s">
        <v>526</v>
      </c>
      <c r="D2781" s="512">
        <v>1999</v>
      </c>
      <c r="E2781" s="512">
        <v>1997</v>
      </c>
      <c r="F2781" s="512" t="s">
        <v>2781</v>
      </c>
      <c r="G2781" s="512" t="s">
        <v>2883</v>
      </c>
      <c r="H2781" s="512" t="s">
        <v>2873</v>
      </c>
      <c r="I2781" s="512">
        <f t="shared" si="343"/>
        <v>0.43333333333333335</v>
      </c>
      <c r="J2781" s="512">
        <f t="shared" si="344"/>
        <v>33.466666666666669</v>
      </c>
      <c r="K2781" s="512">
        <v>1189</v>
      </c>
      <c r="O2781" s="512">
        <v>1350</v>
      </c>
      <c r="Q2781" s="513" t="s">
        <v>1986</v>
      </c>
      <c r="R2781" s="513" t="s">
        <v>1856</v>
      </c>
      <c r="S2781" s="513"/>
      <c r="T2781" s="513" t="s">
        <v>2885</v>
      </c>
      <c r="U2781" s="513"/>
      <c r="V2781" s="513"/>
      <c r="W2781" s="513"/>
      <c r="X2781" s="513"/>
      <c r="Z2781" s="514"/>
      <c r="AA2781" s="514"/>
      <c r="AB2781" s="512" t="s">
        <v>241</v>
      </c>
      <c r="AG2781" s="512" t="s">
        <v>2758</v>
      </c>
      <c r="AH2781" s="512" t="s">
        <v>578</v>
      </c>
      <c r="AI2781" s="512" t="s">
        <v>133</v>
      </c>
      <c r="AJ2781" s="512" t="s">
        <v>133</v>
      </c>
      <c r="AT2781" s="512" t="s">
        <v>120</v>
      </c>
      <c r="AU2781" s="512">
        <v>6</v>
      </c>
      <c r="AW2781" s="512" t="s">
        <v>142</v>
      </c>
      <c r="BH2781" s="512">
        <v>8100</v>
      </c>
      <c r="BI2781" s="512">
        <v>4300</v>
      </c>
      <c r="BL2781" s="512" t="s">
        <v>2887</v>
      </c>
      <c r="BM2781" s="515"/>
      <c r="BN2781" s="515"/>
      <c r="BR2781" s="515"/>
      <c r="BS2781" s="515"/>
      <c r="IQ2781" s="516"/>
    </row>
    <row r="2782" spans="1:251" s="512" customFormat="1" x14ac:dyDescent="0.25">
      <c r="A2782" s="512">
        <v>129</v>
      </c>
      <c r="B2782" s="512" t="s">
        <v>2882</v>
      </c>
      <c r="C2782" s="512" t="s">
        <v>526</v>
      </c>
      <c r="D2782" s="512">
        <v>1999</v>
      </c>
      <c r="E2782" s="512">
        <v>1997</v>
      </c>
      <c r="F2782" s="512" t="s">
        <v>2781</v>
      </c>
      <c r="G2782" s="512" t="s">
        <v>2883</v>
      </c>
      <c r="H2782" s="512" t="s">
        <v>2873</v>
      </c>
      <c r="I2782" s="512">
        <f t="shared" si="343"/>
        <v>0.43333333333333335</v>
      </c>
      <c r="J2782" s="512">
        <f t="shared" si="344"/>
        <v>33.466666666666669</v>
      </c>
      <c r="K2782" s="512">
        <v>1189</v>
      </c>
      <c r="O2782" s="512">
        <v>1350</v>
      </c>
      <c r="Q2782" s="513" t="s">
        <v>1986</v>
      </c>
      <c r="R2782" s="513" t="s">
        <v>1856</v>
      </c>
      <c r="S2782" s="513"/>
      <c r="T2782" s="513" t="s">
        <v>2885</v>
      </c>
      <c r="U2782" s="513"/>
      <c r="V2782" s="513"/>
      <c r="W2782" s="513"/>
      <c r="X2782" s="513"/>
      <c r="Z2782" s="514"/>
      <c r="AA2782" s="514"/>
      <c r="AB2782" s="512" t="s">
        <v>241</v>
      </c>
      <c r="AG2782" s="512" t="s">
        <v>2758</v>
      </c>
      <c r="AH2782" s="512" t="s">
        <v>578</v>
      </c>
      <c r="AI2782" s="512" t="s">
        <v>2884</v>
      </c>
      <c r="AJ2782" s="512" t="s">
        <v>1621</v>
      </c>
      <c r="AT2782" s="512" t="s">
        <v>120</v>
      </c>
      <c r="AU2782" s="512">
        <v>6</v>
      </c>
      <c r="AW2782" s="512" t="s">
        <v>142</v>
      </c>
      <c r="BH2782" s="512">
        <v>500</v>
      </c>
      <c r="BI2782" s="512">
        <v>880</v>
      </c>
      <c r="BL2782" s="512" t="s">
        <v>2887</v>
      </c>
      <c r="BM2782" s="515"/>
      <c r="BN2782" s="515"/>
      <c r="BR2782" s="515"/>
      <c r="BS2782" s="515"/>
      <c r="IQ2782" s="516"/>
    </row>
    <row r="2783" spans="1:251" s="24" customFormat="1" x14ac:dyDescent="0.25">
      <c r="A2783" s="24">
        <v>130</v>
      </c>
      <c r="B2783" s="24" t="s">
        <v>2882</v>
      </c>
      <c r="C2783" s="24" t="s">
        <v>526</v>
      </c>
      <c r="D2783" s="24">
        <v>1997</v>
      </c>
      <c r="E2783" s="24">
        <v>1993</v>
      </c>
      <c r="F2783" s="24" t="s">
        <v>2439</v>
      </c>
      <c r="G2783" s="24" t="s">
        <v>2889</v>
      </c>
      <c r="H2783" s="24" t="s">
        <v>2873</v>
      </c>
      <c r="I2783" s="24">
        <f t="shared" ref="I2783:I2826" si="345">24/60</f>
        <v>0.4</v>
      </c>
      <c r="J2783" s="24">
        <f t="shared" ref="J2783:J2826" si="346">32.5</f>
        <v>32.5</v>
      </c>
      <c r="K2783" s="24">
        <v>1200</v>
      </c>
      <c r="Q2783" s="42" t="s">
        <v>1986</v>
      </c>
      <c r="R2783" s="42" t="s">
        <v>1867</v>
      </c>
      <c r="S2783" s="42"/>
      <c r="T2783" s="42" t="s">
        <v>2897</v>
      </c>
      <c r="U2783" s="42"/>
      <c r="V2783" s="42"/>
      <c r="W2783" s="42"/>
      <c r="X2783" s="42" t="s">
        <v>1383</v>
      </c>
      <c r="Z2783" s="321">
        <v>50</v>
      </c>
      <c r="AA2783" s="321">
        <v>13</v>
      </c>
      <c r="AB2783" s="24" t="s">
        <v>2710</v>
      </c>
      <c r="AC2783" s="24">
        <v>5.2</v>
      </c>
      <c r="AD2783" s="24">
        <v>3</v>
      </c>
      <c r="AF2783" s="24" t="s">
        <v>2890</v>
      </c>
      <c r="AG2783" s="24" t="s">
        <v>2759</v>
      </c>
      <c r="AH2783" s="24" t="s">
        <v>578</v>
      </c>
      <c r="AI2783" s="24" t="s">
        <v>1650</v>
      </c>
      <c r="AJ2783" s="24" t="s">
        <v>133</v>
      </c>
      <c r="AT2783" s="24" t="s">
        <v>161</v>
      </c>
      <c r="AY2783" s="24">
        <v>1800</v>
      </c>
      <c r="AZ2783" s="24">
        <v>27.5</v>
      </c>
      <c r="BB2783" s="24" t="s">
        <v>2891</v>
      </c>
      <c r="BH2783" s="24">
        <v>420</v>
      </c>
      <c r="BI2783" s="24">
        <v>210</v>
      </c>
      <c r="BL2783" s="24" t="s">
        <v>2893</v>
      </c>
      <c r="BM2783" s="395"/>
      <c r="BN2783" s="395"/>
      <c r="BR2783" s="395"/>
      <c r="BS2783" s="395"/>
      <c r="GW2783" s="24">
        <v>9.34</v>
      </c>
      <c r="GX2783" s="24">
        <v>12.13</v>
      </c>
      <c r="HA2783" s="24" t="s">
        <v>2895</v>
      </c>
      <c r="IQ2783" s="249"/>
    </row>
    <row r="2784" spans="1:251" s="24" customFormat="1" x14ac:dyDescent="0.25">
      <c r="A2784" s="24">
        <v>130</v>
      </c>
      <c r="B2784" s="24" t="s">
        <v>2882</v>
      </c>
      <c r="C2784" s="24" t="s">
        <v>526</v>
      </c>
      <c r="D2784" s="24">
        <v>1997</v>
      </c>
      <c r="E2784" s="24">
        <v>1994</v>
      </c>
      <c r="F2784" s="24" t="s">
        <v>2439</v>
      </c>
      <c r="G2784" s="24" t="s">
        <v>2889</v>
      </c>
      <c r="H2784" s="24" t="s">
        <v>2873</v>
      </c>
      <c r="I2784" s="24">
        <f t="shared" si="345"/>
        <v>0.4</v>
      </c>
      <c r="J2784" s="24">
        <f t="shared" si="346"/>
        <v>32.5</v>
      </c>
      <c r="K2784" s="24">
        <v>1200</v>
      </c>
      <c r="Q2784" s="42" t="s">
        <v>1856</v>
      </c>
      <c r="R2784" s="42" t="s">
        <v>1867</v>
      </c>
      <c r="S2784" s="42"/>
      <c r="T2784" s="42" t="s">
        <v>2897</v>
      </c>
      <c r="U2784" s="42"/>
      <c r="V2784" s="42"/>
      <c r="W2784" s="42"/>
      <c r="X2784" s="42" t="s">
        <v>1383</v>
      </c>
      <c r="Z2784" s="321">
        <v>50</v>
      </c>
      <c r="AA2784" s="321">
        <v>13</v>
      </c>
      <c r="AB2784" s="24" t="s">
        <v>2710</v>
      </c>
      <c r="AC2784" s="24">
        <v>5.2</v>
      </c>
      <c r="AD2784" s="24">
        <v>3</v>
      </c>
      <c r="AF2784" s="24" t="s">
        <v>2890</v>
      </c>
      <c r="AG2784" s="24" t="s">
        <v>2759</v>
      </c>
      <c r="AH2784" s="24" t="s">
        <v>578</v>
      </c>
      <c r="AI2784" s="24" t="s">
        <v>1650</v>
      </c>
      <c r="AJ2784" s="24" t="s">
        <v>133</v>
      </c>
      <c r="AT2784" s="24" t="s">
        <v>161</v>
      </c>
      <c r="AY2784" s="24">
        <v>2930</v>
      </c>
      <c r="AZ2784" s="24">
        <v>27.5</v>
      </c>
      <c r="BB2784" s="24" t="s">
        <v>2891</v>
      </c>
      <c r="BH2784" s="24">
        <v>2200</v>
      </c>
      <c r="BI2784" s="24">
        <v>1050</v>
      </c>
      <c r="BL2784" s="24" t="s">
        <v>2893</v>
      </c>
      <c r="BM2784" s="395"/>
      <c r="BN2784" s="395"/>
      <c r="BR2784" s="395"/>
      <c r="BS2784" s="395"/>
      <c r="GW2784" s="24">
        <v>19.22</v>
      </c>
      <c r="GX2784" s="24">
        <v>36.61</v>
      </c>
      <c r="HA2784" s="24" t="s">
        <v>2895</v>
      </c>
      <c r="IQ2784" s="249"/>
    </row>
    <row r="2785" spans="1:251" s="24" customFormat="1" x14ac:dyDescent="0.25">
      <c r="A2785" s="24">
        <v>130</v>
      </c>
      <c r="B2785" s="24" t="s">
        <v>2882</v>
      </c>
      <c r="C2785" s="24" t="s">
        <v>526</v>
      </c>
      <c r="D2785" s="24">
        <v>1997</v>
      </c>
      <c r="E2785" s="24">
        <v>1995</v>
      </c>
      <c r="F2785" s="24" t="s">
        <v>2439</v>
      </c>
      <c r="G2785" s="24" t="s">
        <v>2889</v>
      </c>
      <c r="H2785" s="24" t="s">
        <v>2873</v>
      </c>
      <c r="I2785" s="24">
        <f t="shared" si="345"/>
        <v>0.4</v>
      </c>
      <c r="J2785" s="24">
        <f t="shared" si="346"/>
        <v>32.5</v>
      </c>
      <c r="K2785" s="24">
        <v>1200</v>
      </c>
      <c r="Q2785" s="42" t="s">
        <v>1735</v>
      </c>
      <c r="R2785" s="42" t="s">
        <v>1867</v>
      </c>
      <c r="S2785" s="42"/>
      <c r="T2785" s="42" t="s">
        <v>2897</v>
      </c>
      <c r="U2785" s="42"/>
      <c r="V2785" s="42"/>
      <c r="W2785" s="42"/>
      <c r="X2785" s="42" t="s">
        <v>1383</v>
      </c>
      <c r="Z2785" s="321">
        <v>50</v>
      </c>
      <c r="AA2785" s="321">
        <v>13</v>
      </c>
      <c r="AB2785" s="24" t="s">
        <v>2710</v>
      </c>
      <c r="AC2785" s="24">
        <v>5.2</v>
      </c>
      <c r="AD2785" s="24">
        <v>3</v>
      </c>
      <c r="AF2785" s="24" t="s">
        <v>2890</v>
      </c>
      <c r="AG2785" s="24" t="s">
        <v>2759</v>
      </c>
      <c r="AH2785" s="24" t="s">
        <v>578</v>
      </c>
      <c r="AI2785" s="24" t="s">
        <v>1650</v>
      </c>
      <c r="AJ2785" s="24" t="s">
        <v>133</v>
      </c>
      <c r="AT2785" s="24" t="s">
        <v>161</v>
      </c>
      <c r="AY2785" s="24">
        <v>4620</v>
      </c>
      <c r="AZ2785" s="24">
        <v>27.5</v>
      </c>
      <c r="BB2785" s="24" t="s">
        <v>2891</v>
      </c>
      <c r="BH2785" s="24">
        <v>4600</v>
      </c>
      <c r="BI2785" s="24">
        <v>3040</v>
      </c>
      <c r="BL2785" s="24" t="s">
        <v>2893</v>
      </c>
      <c r="BM2785" s="395"/>
      <c r="BN2785" s="395"/>
      <c r="BR2785" s="395"/>
      <c r="BS2785" s="395"/>
      <c r="GW2785" s="24">
        <v>11.91</v>
      </c>
      <c r="GX2785" s="24">
        <v>12.56</v>
      </c>
      <c r="HA2785" s="24" t="s">
        <v>2895</v>
      </c>
      <c r="IQ2785" s="249"/>
    </row>
    <row r="2786" spans="1:251" s="101" customFormat="1" x14ac:dyDescent="0.25">
      <c r="A2786" s="101">
        <v>130</v>
      </c>
      <c r="B2786" s="101" t="s">
        <v>2882</v>
      </c>
      <c r="C2786" s="101" t="s">
        <v>526</v>
      </c>
      <c r="D2786" s="101">
        <v>1997</v>
      </c>
      <c r="E2786" s="101">
        <v>1993</v>
      </c>
      <c r="F2786" s="101" t="s">
        <v>2439</v>
      </c>
      <c r="G2786" s="101" t="s">
        <v>2889</v>
      </c>
      <c r="H2786" s="101" t="s">
        <v>2873</v>
      </c>
      <c r="I2786" s="101">
        <f t="shared" si="345"/>
        <v>0.4</v>
      </c>
      <c r="J2786" s="101">
        <f t="shared" si="346"/>
        <v>32.5</v>
      </c>
      <c r="K2786" s="101">
        <v>1200</v>
      </c>
      <c r="Q2786" s="102" t="s">
        <v>1986</v>
      </c>
      <c r="R2786" s="102" t="s">
        <v>1867</v>
      </c>
      <c r="S2786" s="102"/>
      <c r="T2786" s="102" t="s">
        <v>2897</v>
      </c>
      <c r="U2786" s="102"/>
      <c r="V2786" s="102"/>
      <c r="W2786" s="102"/>
      <c r="X2786" s="102" t="s">
        <v>1383</v>
      </c>
      <c r="Z2786" s="352">
        <v>50</v>
      </c>
      <c r="AA2786" s="352">
        <v>13</v>
      </c>
      <c r="AB2786" s="101" t="s">
        <v>2710</v>
      </c>
      <c r="AC2786" s="101">
        <v>5.2</v>
      </c>
      <c r="AD2786" s="101">
        <v>3</v>
      </c>
      <c r="AF2786" s="101" t="s">
        <v>2890</v>
      </c>
      <c r="AG2786" s="101" t="s">
        <v>2759</v>
      </c>
      <c r="AH2786" s="101" t="s">
        <v>578</v>
      </c>
      <c r="AI2786" s="101" t="s">
        <v>1650</v>
      </c>
      <c r="AJ2786" s="24" t="s">
        <v>133</v>
      </c>
      <c r="AT2786" s="24" t="s">
        <v>161</v>
      </c>
      <c r="AY2786" s="101">
        <v>1990</v>
      </c>
      <c r="AZ2786" s="101">
        <v>20.100000000000001</v>
      </c>
      <c r="BB2786" s="101" t="s">
        <v>2892</v>
      </c>
      <c r="BH2786" s="101">
        <v>420</v>
      </c>
      <c r="BI2786" s="101">
        <v>340</v>
      </c>
      <c r="BL2786" s="101" t="s">
        <v>2893</v>
      </c>
      <c r="BM2786" s="427"/>
      <c r="BN2786" s="427"/>
      <c r="BR2786" s="427"/>
      <c r="BS2786" s="427"/>
      <c r="GW2786" s="101">
        <v>9.34</v>
      </c>
      <c r="GX2786" s="101">
        <v>12.13</v>
      </c>
      <c r="HA2786" s="101" t="s">
        <v>2895</v>
      </c>
      <c r="IQ2786" s="177"/>
    </row>
    <row r="2787" spans="1:251" s="101" customFormat="1" x14ac:dyDescent="0.25">
      <c r="A2787" s="101">
        <v>130</v>
      </c>
      <c r="B2787" s="101" t="s">
        <v>2882</v>
      </c>
      <c r="C2787" s="101" t="s">
        <v>526</v>
      </c>
      <c r="D2787" s="101">
        <v>1997</v>
      </c>
      <c r="E2787" s="101">
        <v>1994</v>
      </c>
      <c r="F2787" s="101" t="s">
        <v>2439</v>
      </c>
      <c r="G2787" s="101" t="s">
        <v>2889</v>
      </c>
      <c r="H2787" s="101" t="s">
        <v>2873</v>
      </c>
      <c r="I2787" s="101">
        <f t="shared" si="345"/>
        <v>0.4</v>
      </c>
      <c r="J2787" s="101">
        <f t="shared" si="346"/>
        <v>32.5</v>
      </c>
      <c r="K2787" s="101">
        <v>1200</v>
      </c>
      <c r="Q2787" s="102" t="s">
        <v>1856</v>
      </c>
      <c r="R2787" s="102" t="s">
        <v>1867</v>
      </c>
      <c r="S2787" s="102"/>
      <c r="T2787" s="102" t="s">
        <v>2897</v>
      </c>
      <c r="U2787" s="102"/>
      <c r="V2787" s="102"/>
      <c r="W2787" s="102"/>
      <c r="X2787" s="102" t="s">
        <v>1383</v>
      </c>
      <c r="Z2787" s="352">
        <v>50</v>
      </c>
      <c r="AA2787" s="352">
        <v>13</v>
      </c>
      <c r="AB2787" s="101" t="s">
        <v>2710</v>
      </c>
      <c r="AC2787" s="101">
        <v>5.2</v>
      </c>
      <c r="AD2787" s="101">
        <v>3</v>
      </c>
      <c r="AF2787" s="101" t="s">
        <v>2890</v>
      </c>
      <c r="AG2787" s="101" t="s">
        <v>2759</v>
      </c>
      <c r="AH2787" s="101" t="s">
        <v>578</v>
      </c>
      <c r="AI2787" s="101" t="s">
        <v>1650</v>
      </c>
      <c r="AJ2787" s="24" t="s">
        <v>133</v>
      </c>
      <c r="AT2787" s="24" t="s">
        <v>161</v>
      </c>
      <c r="AY2787" s="101">
        <v>1230</v>
      </c>
      <c r="AZ2787" s="101">
        <v>20.100000000000001</v>
      </c>
      <c r="BB2787" s="101" t="s">
        <v>2892</v>
      </c>
      <c r="BH2787" s="101">
        <v>2200</v>
      </c>
      <c r="BI2787" s="101">
        <v>1840</v>
      </c>
      <c r="BL2787" s="101" t="s">
        <v>2893</v>
      </c>
      <c r="BM2787" s="427"/>
      <c r="BN2787" s="427"/>
      <c r="BR2787" s="427"/>
      <c r="BS2787" s="427"/>
      <c r="GW2787" s="101">
        <v>19.22</v>
      </c>
      <c r="GX2787" s="101">
        <v>38.97</v>
      </c>
      <c r="HA2787" s="101" t="s">
        <v>2895</v>
      </c>
      <c r="IQ2787" s="177"/>
    </row>
    <row r="2788" spans="1:251" s="101" customFormat="1" x14ac:dyDescent="0.25">
      <c r="A2788" s="101">
        <v>130</v>
      </c>
      <c r="B2788" s="101" t="s">
        <v>2882</v>
      </c>
      <c r="C2788" s="101" t="s">
        <v>526</v>
      </c>
      <c r="D2788" s="101">
        <v>1997</v>
      </c>
      <c r="E2788" s="101">
        <v>1995</v>
      </c>
      <c r="F2788" s="101" t="s">
        <v>2439</v>
      </c>
      <c r="G2788" s="101" t="s">
        <v>2889</v>
      </c>
      <c r="H2788" s="101" t="s">
        <v>2873</v>
      </c>
      <c r="I2788" s="101">
        <f t="shared" si="345"/>
        <v>0.4</v>
      </c>
      <c r="J2788" s="101">
        <f t="shared" si="346"/>
        <v>32.5</v>
      </c>
      <c r="K2788" s="101">
        <v>1200</v>
      </c>
      <c r="Q2788" s="102" t="s">
        <v>1735</v>
      </c>
      <c r="R2788" s="102" t="s">
        <v>1867</v>
      </c>
      <c r="S2788" s="102"/>
      <c r="T2788" s="102" t="s">
        <v>2897</v>
      </c>
      <c r="U2788" s="102"/>
      <c r="V2788" s="102"/>
      <c r="W2788" s="102"/>
      <c r="X2788" s="102" t="s">
        <v>1383</v>
      </c>
      <c r="Z2788" s="352">
        <v>50</v>
      </c>
      <c r="AA2788" s="352">
        <v>13</v>
      </c>
      <c r="AB2788" s="101" t="s">
        <v>2710</v>
      </c>
      <c r="AC2788" s="101">
        <v>5.2</v>
      </c>
      <c r="AD2788" s="101">
        <v>3</v>
      </c>
      <c r="AF2788" s="101" t="s">
        <v>2890</v>
      </c>
      <c r="AG2788" s="101" t="s">
        <v>2759</v>
      </c>
      <c r="AH2788" s="101" t="s">
        <v>578</v>
      </c>
      <c r="AI2788" s="101" t="s">
        <v>1650</v>
      </c>
      <c r="AJ2788" s="24" t="s">
        <v>133</v>
      </c>
      <c r="AT2788" s="24" t="s">
        <v>161</v>
      </c>
      <c r="AY2788" s="101">
        <v>2300</v>
      </c>
      <c r="AZ2788" s="101">
        <v>20.100000000000001</v>
      </c>
      <c r="BB2788" s="101" t="s">
        <v>2892</v>
      </c>
      <c r="BH2788" s="101">
        <v>4600</v>
      </c>
      <c r="BI2788" s="101">
        <v>3420</v>
      </c>
      <c r="BL2788" s="101" t="s">
        <v>2893</v>
      </c>
      <c r="BM2788" s="427"/>
      <c r="BN2788" s="427"/>
      <c r="BR2788" s="427"/>
      <c r="BS2788" s="427"/>
      <c r="GW2788" s="101">
        <v>11.91</v>
      </c>
      <c r="GX2788" s="101">
        <v>12.56</v>
      </c>
      <c r="HA2788" s="101" t="s">
        <v>2895</v>
      </c>
      <c r="IQ2788" s="177"/>
    </row>
    <row r="2789" spans="1:251" s="32" customFormat="1" x14ac:dyDescent="0.25">
      <c r="A2789" s="32">
        <v>130</v>
      </c>
      <c r="B2789" s="32" t="s">
        <v>2882</v>
      </c>
      <c r="C2789" s="32" t="s">
        <v>526</v>
      </c>
      <c r="D2789" s="32">
        <v>1997</v>
      </c>
      <c r="E2789" s="32">
        <v>1993</v>
      </c>
      <c r="F2789" s="32" t="s">
        <v>2439</v>
      </c>
      <c r="G2789" s="32" t="s">
        <v>2889</v>
      </c>
      <c r="H2789" s="32" t="s">
        <v>2873</v>
      </c>
      <c r="I2789" s="32">
        <f t="shared" si="345"/>
        <v>0.4</v>
      </c>
      <c r="J2789" s="32">
        <f t="shared" si="346"/>
        <v>32.5</v>
      </c>
      <c r="K2789" s="32">
        <v>1200</v>
      </c>
      <c r="Q2789" s="44" t="s">
        <v>1986</v>
      </c>
      <c r="R2789" s="44" t="s">
        <v>1867</v>
      </c>
      <c r="S2789" s="44"/>
      <c r="T2789" s="44" t="s">
        <v>2897</v>
      </c>
      <c r="U2789" s="44"/>
      <c r="V2789" s="44"/>
      <c r="W2789" s="44"/>
      <c r="X2789" s="44" t="s">
        <v>1383</v>
      </c>
      <c r="Z2789" s="323">
        <v>50</v>
      </c>
      <c r="AA2789" s="323">
        <v>13</v>
      </c>
      <c r="AB2789" s="32" t="s">
        <v>2710</v>
      </c>
      <c r="AC2789" s="32">
        <v>5.2</v>
      </c>
      <c r="AD2789" s="32">
        <v>3</v>
      </c>
      <c r="AF2789" s="32" t="s">
        <v>2890</v>
      </c>
      <c r="AG2789" s="32" t="s">
        <v>2759</v>
      </c>
      <c r="AH2789" s="32" t="s">
        <v>578</v>
      </c>
      <c r="AI2789" s="32" t="s">
        <v>2884</v>
      </c>
      <c r="AJ2789" s="32" t="s">
        <v>1621</v>
      </c>
      <c r="AT2789" s="32" t="s">
        <v>161</v>
      </c>
      <c r="AY2789" s="32">
        <v>3100</v>
      </c>
      <c r="AZ2789" s="32">
        <v>26.9</v>
      </c>
      <c r="BB2789" s="32" t="s">
        <v>2891</v>
      </c>
      <c r="BH2789" s="32">
        <v>210</v>
      </c>
      <c r="BI2789" s="32">
        <v>150</v>
      </c>
      <c r="BL2789" s="32" t="s">
        <v>2893</v>
      </c>
      <c r="BM2789" s="397"/>
      <c r="BN2789" s="397"/>
      <c r="BR2789" s="397"/>
      <c r="BS2789" s="397"/>
      <c r="IQ2789" s="243"/>
    </row>
    <row r="2790" spans="1:251" s="32" customFormat="1" x14ac:dyDescent="0.25">
      <c r="A2790" s="32">
        <v>130</v>
      </c>
      <c r="B2790" s="32" t="s">
        <v>2882</v>
      </c>
      <c r="C2790" s="32" t="s">
        <v>526</v>
      </c>
      <c r="D2790" s="32">
        <v>1997</v>
      </c>
      <c r="E2790" s="32">
        <v>1994</v>
      </c>
      <c r="F2790" s="32" t="s">
        <v>2439</v>
      </c>
      <c r="G2790" s="32" t="s">
        <v>2889</v>
      </c>
      <c r="H2790" s="32" t="s">
        <v>2873</v>
      </c>
      <c r="I2790" s="32">
        <f t="shared" si="345"/>
        <v>0.4</v>
      </c>
      <c r="J2790" s="32">
        <f t="shared" si="346"/>
        <v>32.5</v>
      </c>
      <c r="K2790" s="32">
        <v>1200</v>
      </c>
      <c r="Q2790" s="44" t="s">
        <v>1856</v>
      </c>
      <c r="R2790" s="44" t="s">
        <v>1867</v>
      </c>
      <c r="S2790" s="44"/>
      <c r="T2790" s="44" t="s">
        <v>2897</v>
      </c>
      <c r="U2790" s="44"/>
      <c r="V2790" s="44"/>
      <c r="W2790" s="44"/>
      <c r="X2790" s="44" t="s">
        <v>1383</v>
      </c>
      <c r="Z2790" s="323">
        <v>50</v>
      </c>
      <c r="AA2790" s="323">
        <v>13</v>
      </c>
      <c r="AB2790" s="32" t="s">
        <v>2710</v>
      </c>
      <c r="AC2790" s="32">
        <v>5.2</v>
      </c>
      <c r="AD2790" s="32">
        <v>3</v>
      </c>
      <c r="AF2790" s="32" t="s">
        <v>2890</v>
      </c>
      <c r="AG2790" s="32" t="s">
        <v>2759</v>
      </c>
      <c r="AH2790" s="32" t="s">
        <v>578</v>
      </c>
      <c r="AI2790" s="32" t="s">
        <v>2884</v>
      </c>
      <c r="AJ2790" s="32" t="s">
        <v>1621</v>
      </c>
      <c r="AT2790" s="32" t="s">
        <v>161</v>
      </c>
      <c r="AY2790" s="32">
        <v>6420</v>
      </c>
      <c r="AZ2790" s="32">
        <v>26.9</v>
      </c>
      <c r="BB2790" s="32" t="s">
        <v>2891</v>
      </c>
      <c r="BH2790" s="32">
        <v>490</v>
      </c>
      <c r="BI2790" s="32">
        <v>240</v>
      </c>
      <c r="BL2790" s="32" t="s">
        <v>2893</v>
      </c>
      <c r="BM2790" s="397"/>
      <c r="BN2790" s="397"/>
      <c r="BR2790" s="397"/>
      <c r="BS2790" s="397"/>
      <c r="IQ2790" s="243"/>
    </row>
    <row r="2791" spans="1:251" s="32" customFormat="1" x14ac:dyDescent="0.25">
      <c r="A2791" s="32">
        <v>130</v>
      </c>
      <c r="B2791" s="32" t="s">
        <v>2882</v>
      </c>
      <c r="C2791" s="32" t="s">
        <v>526</v>
      </c>
      <c r="D2791" s="32">
        <v>1997</v>
      </c>
      <c r="E2791" s="32">
        <v>1995</v>
      </c>
      <c r="F2791" s="32" t="s">
        <v>2439</v>
      </c>
      <c r="G2791" s="32" t="s">
        <v>2889</v>
      </c>
      <c r="H2791" s="32" t="s">
        <v>2873</v>
      </c>
      <c r="I2791" s="32">
        <f t="shared" si="345"/>
        <v>0.4</v>
      </c>
      <c r="J2791" s="32">
        <f t="shared" si="346"/>
        <v>32.5</v>
      </c>
      <c r="K2791" s="32">
        <v>1200</v>
      </c>
      <c r="Q2791" s="44" t="s">
        <v>1735</v>
      </c>
      <c r="R2791" s="44" t="s">
        <v>1867</v>
      </c>
      <c r="S2791" s="44"/>
      <c r="T2791" s="44" t="s">
        <v>2897</v>
      </c>
      <c r="U2791" s="44"/>
      <c r="V2791" s="44"/>
      <c r="W2791" s="44"/>
      <c r="X2791" s="44" t="s">
        <v>1383</v>
      </c>
      <c r="Z2791" s="323">
        <v>50</v>
      </c>
      <c r="AA2791" s="323">
        <v>13</v>
      </c>
      <c r="AB2791" s="32" t="s">
        <v>2710</v>
      </c>
      <c r="AC2791" s="32">
        <v>5.2</v>
      </c>
      <c r="AD2791" s="32">
        <v>3</v>
      </c>
      <c r="AF2791" s="32" t="s">
        <v>2890</v>
      </c>
      <c r="AG2791" s="32" t="s">
        <v>2759</v>
      </c>
      <c r="AH2791" s="32" t="s">
        <v>578</v>
      </c>
      <c r="AI2791" s="32" t="s">
        <v>2884</v>
      </c>
      <c r="AJ2791" s="32" t="s">
        <v>1621</v>
      </c>
      <c r="AT2791" s="32" t="s">
        <v>161</v>
      </c>
      <c r="AY2791" s="32">
        <v>9450</v>
      </c>
      <c r="AZ2791" s="32">
        <v>26.9</v>
      </c>
      <c r="BB2791" s="32" t="s">
        <v>2891</v>
      </c>
      <c r="BH2791" s="32">
        <v>1080</v>
      </c>
      <c r="BI2791" s="32">
        <v>590</v>
      </c>
      <c r="BL2791" s="32" t="s">
        <v>2893</v>
      </c>
      <c r="BM2791" s="397"/>
      <c r="BN2791" s="397"/>
      <c r="BR2791" s="397"/>
      <c r="BS2791" s="397"/>
      <c r="IQ2791" s="243"/>
    </row>
    <row r="2792" spans="1:251" s="105" customFormat="1" x14ac:dyDescent="0.25">
      <c r="A2792" s="105">
        <v>130</v>
      </c>
      <c r="B2792" s="105" t="s">
        <v>2882</v>
      </c>
      <c r="C2792" s="105" t="s">
        <v>526</v>
      </c>
      <c r="D2792" s="105">
        <v>1997</v>
      </c>
      <c r="E2792" s="105">
        <v>1993</v>
      </c>
      <c r="F2792" s="105" t="s">
        <v>2439</v>
      </c>
      <c r="G2792" s="105" t="s">
        <v>2889</v>
      </c>
      <c r="H2792" s="105" t="s">
        <v>2873</v>
      </c>
      <c r="I2792" s="105">
        <f t="shared" si="345"/>
        <v>0.4</v>
      </c>
      <c r="J2792" s="105">
        <f t="shared" si="346"/>
        <v>32.5</v>
      </c>
      <c r="K2792" s="105">
        <v>1200</v>
      </c>
      <c r="Q2792" s="106" t="s">
        <v>1986</v>
      </c>
      <c r="R2792" s="106" t="s">
        <v>1867</v>
      </c>
      <c r="S2792" s="106"/>
      <c r="T2792" s="106" t="s">
        <v>2897</v>
      </c>
      <c r="U2792" s="106"/>
      <c r="V2792" s="106"/>
      <c r="W2792" s="106"/>
      <c r="X2792" s="106" t="s">
        <v>1383</v>
      </c>
      <c r="Z2792" s="354">
        <v>50</v>
      </c>
      <c r="AA2792" s="354">
        <v>13</v>
      </c>
      <c r="AB2792" s="105" t="s">
        <v>2710</v>
      </c>
      <c r="AC2792" s="105">
        <v>5.2</v>
      </c>
      <c r="AD2792" s="105">
        <v>3</v>
      </c>
      <c r="AF2792" s="105" t="s">
        <v>2890</v>
      </c>
      <c r="AG2792" s="105" t="s">
        <v>2759</v>
      </c>
      <c r="AH2792" s="105" t="s">
        <v>578</v>
      </c>
      <c r="AI2792" s="32" t="s">
        <v>2884</v>
      </c>
      <c r="AJ2792" s="32" t="s">
        <v>1621</v>
      </c>
      <c r="AT2792" s="32" t="s">
        <v>161</v>
      </c>
      <c r="AY2792" s="105">
        <v>1930</v>
      </c>
      <c r="AZ2792" s="105">
        <v>23</v>
      </c>
      <c r="BB2792" s="105" t="s">
        <v>2892</v>
      </c>
      <c r="BH2792" s="105">
        <v>210</v>
      </c>
      <c r="BI2792" s="105">
        <v>130</v>
      </c>
      <c r="BL2792" s="105" t="s">
        <v>2893</v>
      </c>
      <c r="BM2792" s="429"/>
      <c r="BN2792" s="429"/>
      <c r="BR2792" s="429"/>
      <c r="BS2792" s="429"/>
      <c r="IQ2792" s="502"/>
    </row>
    <row r="2793" spans="1:251" s="105" customFormat="1" x14ac:dyDescent="0.25">
      <c r="A2793" s="105">
        <v>130</v>
      </c>
      <c r="B2793" s="105" t="s">
        <v>2882</v>
      </c>
      <c r="C2793" s="105" t="s">
        <v>526</v>
      </c>
      <c r="D2793" s="105">
        <v>1997</v>
      </c>
      <c r="E2793" s="105">
        <v>1994</v>
      </c>
      <c r="F2793" s="105" t="s">
        <v>2439</v>
      </c>
      <c r="G2793" s="105" t="s">
        <v>2889</v>
      </c>
      <c r="H2793" s="105" t="s">
        <v>2873</v>
      </c>
      <c r="I2793" s="105">
        <f t="shared" si="345"/>
        <v>0.4</v>
      </c>
      <c r="J2793" s="105">
        <f t="shared" si="346"/>
        <v>32.5</v>
      </c>
      <c r="K2793" s="105">
        <v>1200</v>
      </c>
      <c r="Q2793" s="106" t="s">
        <v>1856</v>
      </c>
      <c r="R2793" s="106" t="s">
        <v>1867</v>
      </c>
      <c r="S2793" s="106"/>
      <c r="T2793" s="106" t="s">
        <v>2897</v>
      </c>
      <c r="U2793" s="106"/>
      <c r="V2793" s="106"/>
      <c r="W2793" s="106"/>
      <c r="X2793" s="106" t="s">
        <v>1383</v>
      </c>
      <c r="Z2793" s="354">
        <v>50</v>
      </c>
      <c r="AA2793" s="354">
        <v>13</v>
      </c>
      <c r="AB2793" s="105" t="s">
        <v>2710</v>
      </c>
      <c r="AC2793" s="105">
        <v>5.2</v>
      </c>
      <c r="AD2793" s="105">
        <v>3</v>
      </c>
      <c r="AF2793" s="105" t="s">
        <v>2890</v>
      </c>
      <c r="AG2793" s="105" t="s">
        <v>2759</v>
      </c>
      <c r="AH2793" s="105" t="s">
        <v>578</v>
      </c>
      <c r="AI2793" s="32" t="s">
        <v>2884</v>
      </c>
      <c r="AJ2793" s="32" t="s">
        <v>1621</v>
      </c>
      <c r="AT2793" s="32" t="s">
        <v>161</v>
      </c>
      <c r="AY2793" s="105">
        <v>2160</v>
      </c>
      <c r="AZ2793" s="105">
        <v>23</v>
      </c>
      <c r="BB2793" s="105" t="s">
        <v>2892</v>
      </c>
      <c r="BH2793" s="105">
        <v>490</v>
      </c>
      <c r="BI2793" s="105">
        <v>510</v>
      </c>
      <c r="BL2793" s="105" t="s">
        <v>2893</v>
      </c>
      <c r="BM2793" s="429"/>
      <c r="BN2793" s="429"/>
      <c r="BR2793" s="429"/>
      <c r="BS2793" s="429"/>
      <c r="IQ2793" s="502"/>
    </row>
    <row r="2794" spans="1:251" s="105" customFormat="1" x14ac:dyDescent="0.25">
      <c r="A2794" s="105">
        <v>130</v>
      </c>
      <c r="B2794" s="105" t="s">
        <v>2882</v>
      </c>
      <c r="C2794" s="105" t="s">
        <v>526</v>
      </c>
      <c r="D2794" s="105">
        <v>1997</v>
      </c>
      <c r="E2794" s="105">
        <v>1995</v>
      </c>
      <c r="F2794" s="105" t="s">
        <v>2439</v>
      </c>
      <c r="G2794" s="105" t="s">
        <v>2889</v>
      </c>
      <c r="H2794" s="105" t="s">
        <v>2873</v>
      </c>
      <c r="I2794" s="105">
        <f t="shared" si="345"/>
        <v>0.4</v>
      </c>
      <c r="J2794" s="105">
        <f t="shared" si="346"/>
        <v>32.5</v>
      </c>
      <c r="K2794" s="105">
        <v>1200</v>
      </c>
      <c r="Q2794" s="106" t="s">
        <v>1735</v>
      </c>
      <c r="R2794" s="106" t="s">
        <v>1867</v>
      </c>
      <c r="S2794" s="106"/>
      <c r="T2794" s="106" t="s">
        <v>2897</v>
      </c>
      <c r="U2794" s="106"/>
      <c r="V2794" s="106"/>
      <c r="W2794" s="106"/>
      <c r="X2794" s="106" t="s">
        <v>1383</v>
      </c>
      <c r="Z2794" s="354">
        <v>50</v>
      </c>
      <c r="AA2794" s="354">
        <v>13</v>
      </c>
      <c r="AB2794" s="105" t="s">
        <v>2710</v>
      </c>
      <c r="AC2794" s="105">
        <v>5.2</v>
      </c>
      <c r="AD2794" s="105">
        <v>3</v>
      </c>
      <c r="AF2794" s="105" t="s">
        <v>2890</v>
      </c>
      <c r="AG2794" s="105" t="s">
        <v>2759</v>
      </c>
      <c r="AH2794" s="105" t="s">
        <v>578</v>
      </c>
      <c r="AI2794" s="32" t="s">
        <v>2884</v>
      </c>
      <c r="AJ2794" s="32" t="s">
        <v>1621</v>
      </c>
      <c r="AT2794" s="32" t="s">
        <v>161</v>
      </c>
      <c r="AY2794" s="105">
        <v>770</v>
      </c>
      <c r="AZ2794" s="105">
        <v>23</v>
      </c>
      <c r="BB2794" s="105" t="s">
        <v>2892</v>
      </c>
      <c r="BH2794" s="105">
        <v>1080</v>
      </c>
      <c r="BI2794" s="105">
        <v>880</v>
      </c>
      <c r="BL2794" s="105" t="s">
        <v>2893</v>
      </c>
      <c r="BM2794" s="429"/>
      <c r="BN2794" s="429"/>
      <c r="BR2794" s="429"/>
      <c r="BS2794" s="429"/>
      <c r="IQ2794" s="502"/>
    </row>
    <row r="2795" spans="1:251" s="24" customFormat="1" x14ac:dyDescent="0.25">
      <c r="A2795" s="24">
        <v>130</v>
      </c>
      <c r="B2795" s="24" t="s">
        <v>2882</v>
      </c>
      <c r="C2795" s="24" t="s">
        <v>526</v>
      </c>
      <c r="D2795" s="24">
        <v>1997</v>
      </c>
      <c r="E2795" s="24">
        <v>1994</v>
      </c>
      <c r="F2795" s="24" t="s">
        <v>2439</v>
      </c>
      <c r="G2795" s="24" t="s">
        <v>2889</v>
      </c>
      <c r="H2795" s="24" t="s">
        <v>2873</v>
      </c>
      <c r="I2795" s="24">
        <f t="shared" si="345"/>
        <v>0.4</v>
      </c>
      <c r="J2795" s="24">
        <f t="shared" si="346"/>
        <v>32.5</v>
      </c>
      <c r="K2795" s="24">
        <v>1200</v>
      </c>
      <c r="Q2795" s="42" t="s">
        <v>1986</v>
      </c>
      <c r="R2795" s="42" t="s">
        <v>1867</v>
      </c>
      <c r="S2795" s="42"/>
      <c r="T2795" s="42" t="s">
        <v>2897</v>
      </c>
      <c r="U2795" s="42"/>
      <c r="V2795" s="42"/>
      <c r="W2795" s="42"/>
      <c r="X2795" s="42" t="s">
        <v>1383</v>
      </c>
      <c r="Z2795" s="321">
        <v>50</v>
      </c>
      <c r="AA2795" s="321">
        <v>13</v>
      </c>
      <c r="AB2795" s="24" t="s">
        <v>2710</v>
      </c>
      <c r="AC2795" s="24">
        <v>5.2</v>
      </c>
      <c r="AD2795" s="24">
        <v>3</v>
      </c>
      <c r="AF2795" s="24" t="s">
        <v>2890</v>
      </c>
      <c r="AG2795" s="24" t="s">
        <v>2759</v>
      </c>
      <c r="AH2795" s="24" t="s">
        <v>578</v>
      </c>
      <c r="AI2795" s="24" t="s">
        <v>1650</v>
      </c>
      <c r="AJ2795" s="24" t="s">
        <v>133</v>
      </c>
      <c r="AT2795" s="24" t="s">
        <v>161</v>
      </c>
      <c r="BB2795" s="24" t="s">
        <v>2891</v>
      </c>
      <c r="BH2795" s="24">
        <v>1880</v>
      </c>
      <c r="BI2795" s="24">
        <v>2580</v>
      </c>
      <c r="BL2795" s="24" t="s">
        <v>2894</v>
      </c>
      <c r="BM2795" s="395"/>
      <c r="BN2795" s="395"/>
      <c r="BR2795" s="395"/>
      <c r="BS2795" s="395"/>
      <c r="GW2795" s="24">
        <v>24.59</v>
      </c>
      <c r="GX2795" s="24">
        <v>17.93</v>
      </c>
      <c r="HA2795" s="24" t="s">
        <v>2895</v>
      </c>
      <c r="IQ2795" s="249"/>
    </row>
    <row r="2796" spans="1:251" s="24" customFormat="1" x14ac:dyDescent="0.25">
      <c r="A2796" s="24">
        <v>130</v>
      </c>
      <c r="B2796" s="24" t="s">
        <v>2882</v>
      </c>
      <c r="C2796" s="24" t="s">
        <v>526</v>
      </c>
      <c r="D2796" s="24">
        <v>1997</v>
      </c>
      <c r="E2796" s="24">
        <v>1995</v>
      </c>
      <c r="F2796" s="24" t="s">
        <v>2439</v>
      </c>
      <c r="G2796" s="24" t="s">
        <v>2889</v>
      </c>
      <c r="H2796" s="24" t="s">
        <v>2873</v>
      </c>
      <c r="I2796" s="24">
        <f t="shared" si="345"/>
        <v>0.4</v>
      </c>
      <c r="J2796" s="24">
        <f t="shared" si="346"/>
        <v>32.5</v>
      </c>
      <c r="K2796" s="24">
        <v>1200</v>
      </c>
      <c r="Q2796" s="42" t="s">
        <v>1856</v>
      </c>
      <c r="R2796" s="42" t="s">
        <v>1867</v>
      </c>
      <c r="S2796" s="42"/>
      <c r="T2796" s="42" t="s">
        <v>2897</v>
      </c>
      <c r="U2796" s="42"/>
      <c r="V2796" s="42"/>
      <c r="W2796" s="42"/>
      <c r="X2796" s="42" t="s">
        <v>1383</v>
      </c>
      <c r="Z2796" s="321">
        <v>50</v>
      </c>
      <c r="AA2796" s="321">
        <v>13</v>
      </c>
      <c r="AB2796" s="24" t="s">
        <v>2710</v>
      </c>
      <c r="AC2796" s="24">
        <v>5.2</v>
      </c>
      <c r="AD2796" s="24">
        <v>3</v>
      </c>
      <c r="AF2796" s="24" t="s">
        <v>2890</v>
      </c>
      <c r="AG2796" s="24" t="s">
        <v>2759</v>
      </c>
      <c r="AH2796" s="24" t="s">
        <v>578</v>
      </c>
      <c r="AI2796" s="24" t="s">
        <v>1650</v>
      </c>
      <c r="AJ2796" s="24" t="s">
        <v>133</v>
      </c>
      <c r="AT2796" s="24" t="s">
        <v>161</v>
      </c>
      <c r="BB2796" s="24" t="s">
        <v>2891</v>
      </c>
      <c r="BH2796" s="24">
        <v>3930</v>
      </c>
      <c r="BI2796" s="24">
        <v>4540</v>
      </c>
      <c r="BL2796" s="24" t="s">
        <v>2894</v>
      </c>
      <c r="BM2796" s="395"/>
      <c r="BN2796" s="395"/>
      <c r="BR2796" s="395"/>
      <c r="BS2796" s="395"/>
      <c r="GW2796" s="24">
        <v>36.4</v>
      </c>
      <c r="GX2796" s="24">
        <v>28.67</v>
      </c>
      <c r="HA2796" s="24" t="s">
        <v>2895</v>
      </c>
      <c r="IQ2796" s="249"/>
    </row>
    <row r="2797" spans="1:251" s="24" customFormat="1" x14ac:dyDescent="0.25">
      <c r="A2797" s="24">
        <v>130</v>
      </c>
      <c r="B2797" s="24" t="s">
        <v>2882</v>
      </c>
      <c r="C2797" s="24" t="s">
        <v>526</v>
      </c>
      <c r="D2797" s="24">
        <v>1997</v>
      </c>
      <c r="E2797" s="24">
        <v>1995</v>
      </c>
      <c r="F2797" s="24" t="s">
        <v>2439</v>
      </c>
      <c r="G2797" s="24" t="s">
        <v>2889</v>
      </c>
      <c r="H2797" s="24" t="s">
        <v>2873</v>
      </c>
      <c r="I2797" s="24">
        <f t="shared" si="345"/>
        <v>0.4</v>
      </c>
      <c r="J2797" s="24">
        <f t="shared" si="346"/>
        <v>32.5</v>
      </c>
      <c r="K2797" s="24">
        <v>1200</v>
      </c>
      <c r="Q2797" s="42" t="s">
        <v>1735</v>
      </c>
      <c r="R2797" s="42" t="s">
        <v>1867</v>
      </c>
      <c r="S2797" s="42"/>
      <c r="T2797" s="42" t="s">
        <v>2897</v>
      </c>
      <c r="U2797" s="42"/>
      <c r="V2797" s="42"/>
      <c r="W2797" s="42"/>
      <c r="X2797" s="42" t="s">
        <v>1383</v>
      </c>
      <c r="Z2797" s="321">
        <v>50</v>
      </c>
      <c r="AA2797" s="321">
        <v>13</v>
      </c>
      <c r="AB2797" s="24" t="s">
        <v>2710</v>
      </c>
      <c r="AC2797" s="24">
        <v>5.2</v>
      </c>
      <c r="AD2797" s="24">
        <v>3</v>
      </c>
      <c r="AF2797" s="24" t="s">
        <v>2890</v>
      </c>
      <c r="AG2797" s="24" t="s">
        <v>2759</v>
      </c>
      <c r="AH2797" s="24" t="s">
        <v>578</v>
      </c>
      <c r="AI2797" s="24" t="s">
        <v>1650</v>
      </c>
      <c r="AJ2797" s="24" t="s">
        <v>133</v>
      </c>
      <c r="AT2797" s="24" t="s">
        <v>161</v>
      </c>
      <c r="BB2797" s="24" t="s">
        <v>2891</v>
      </c>
      <c r="BH2797" s="24">
        <v>2700</v>
      </c>
      <c r="BI2797" s="24">
        <v>2990</v>
      </c>
      <c r="BL2797" s="24" t="s">
        <v>2894</v>
      </c>
      <c r="BM2797" s="395"/>
      <c r="BN2797" s="395"/>
      <c r="BR2797" s="395"/>
      <c r="BS2797" s="395"/>
      <c r="GW2797" s="24">
        <v>15.57</v>
      </c>
      <c r="GX2797" s="24">
        <v>17.29</v>
      </c>
      <c r="HA2797" s="24" t="s">
        <v>2895</v>
      </c>
      <c r="IQ2797" s="249"/>
    </row>
    <row r="2798" spans="1:251" s="101" customFormat="1" x14ac:dyDescent="0.25">
      <c r="A2798" s="101">
        <v>130</v>
      </c>
      <c r="B2798" s="101" t="s">
        <v>2882</v>
      </c>
      <c r="C2798" s="101" t="s">
        <v>526</v>
      </c>
      <c r="D2798" s="101">
        <v>1997</v>
      </c>
      <c r="E2798" s="101">
        <v>1994</v>
      </c>
      <c r="F2798" s="101" t="s">
        <v>2439</v>
      </c>
      <c r="G2798" s="101" t="s">
        <v>2889</v>
      </c>
      <c r="H2798" s="101" t="s">
        <v>2873</v>
      </c>
      <c r="I2798" s="101">
        <f t="shared" si="345"/>
        <v>0.4</v>
      </c>
      <c r="J2798" s="101">
        <f t="shared" si="346"/>
        <v>32.5</v>
      </c>
      <c r="K2798" s="101">
        <v>1200</v>
      </c>
      <c r="Q2798" s="102" t="s">
        <v>1986</v>
      </c>
      <c r="R2798" s="102" t="s">
        <v>1867</v>
      </c>
      <c r="S2798" s="102"/>
      <c r="T2798" s="102" t="s">
        <v>2897</v>
      </c>
      <c r="U2798" s="102"/>
      <c r="V2798" s="102"/>
      <c r="W2798" s="102"/>
      <c r="X2798" s="102" t="s">
        <v>1383</v>
      </c>
      <c r="Z2798" s="352">
        <v>50</v>
      </c>
      <c r="AA2798" s="352">
        <v>13</v>
      </c>
      <c r="AB2798" s="101" t="s">
        <v>2710</v>
      </c>
      <c r="AC2798" s="101">
        <v>5.2</v>
      </c>
      <c r="AD2798" s="101">
        <v>3</v>
      </c>
      <c r="AF2798" s="101" t="s">
        <v>2890</v>
      </c>
      <c r="AG2798" s="101" t="s">
        <v>2759</v>
      </c>
      <c r="AH2798" s="101" t="s">
        <v>578</v>
      </c>
      <c r="AI2798" s="24" t="s">
        <v>1650</v>
      </c>
      <c r="AJ2798" s="24" t="s">
        <v>133</v>
      </c>
      <c r="AT2798" s="24" t="s">
        <v>161</v>
      </c>
      <c r="BB2798" s="101" t="s">
        <v>2892</v>
      </c>
      <c r="BH2798" s="101">
        <v>1880</v>
      </c>
      <c r="BI2798" s="101">
        <v>2423</v>
      </c>
      <c r="BL2798" s="101" t="s">
        <v>2894</v>
      </c>
      <c r="BM2798" s="427"/>
      <c r="BN2798" s="427"/>
      <c r="BR2798" s="427"/>
      <c r="BS2798" s="427"/>
      <c r="GW2798" s="101">
        <v>24.59</v>
      </c>
      <c r="GX2798" s="101">
        <v>14.49</v>
      </c>
      <c r="HA2798" s="101" t="s">
        <v>2895</v>
      </c>
      <c r="IQ2798" s="177"/>
    </row>
    <row r="2799" spans="1:251" s="101" customFormat="1" x14ac:dyDescent="0.25">
      <c r="A2799" s="101">
        <v>130</v>
      </c>
      <c r="B2799" s="101" t="s">
        <v>2882</v>
      </c>
      <c r="C2799" s="101" t="s">
        <v>526</v>
      </c>
      <c r="D2799" s="101">
        <v>1997</v>
      </c>
      <c r="E2799" s="101">
        <v>1995</v>
      </c>
      <c r="F2799" s="101" t="s">
        <v>2439</v>
      </c>
      <c r="G2799" s="101" t="s">
        <v>2889</v>
      </c>
      <c r="H2799" s="101" t="s">
        <v>2873</v>
      </c>
      <c r="I2799" s="101">
        <f t="shared" si="345"/>
        <v>0.4</v>
      </c>
      <c r="J2799" s="101">
        <f t="shared" si="346"/>
        <v>32.5</v>
      </c>
      <c r="K2799" s="101">
        <v>1200</v>
      </c>
      <c r="Q2799" s="102" t="s">
        <v>1856</v>
      </c>
      <c r="R2799" s="102" t="s">
        <v>1867</v>
      </c>
      <c r="S2799" s="102"/>
      <c r="T2799" s="102" t="s">
        <v>2897</v>
      </c>
      <c r="U2799" s="102"/>
      <c r="V2799" s="102"/>
      <c r="W2799" s="102"/>
      <c r="X2799" s="102" t="s">
        <v>1383</v>
      </c>
      <c r="Z2799" s="352">
        <v>50</v>
      </c>
      <c r="AA2799" s="352">
        <v>13</v>
      </c>
      <c r="AB2799" s="101" t="s">
        <v>2710</v>
      </c>
      <c r="AC2799" s="101">
        <v>5.2</v>
      </c>
      <c r="AD2799" s="101">
        <v>3</v>
      </c>
      <c r="AF2799" s="101" t="s">
        <v>2890</v>
      </c>
      <c r="AG2799" s="101" t="s">
        <v>2759</v>
      </c>
      <c r="AH2799" s="101" t="s">
        <v>578</v>
      </c>
      <c r="AI2799" s="24" t="s">
        <v>1650</v>
      </c>
      <c r="AJ2799" s="24" t="s">
        <v>133</v>
      </c>
      <c r="AT2799" s="24" t="s">
        <v>161</v>
      </c>
      <c r="BB2799" s="101" t="s">
        <v>2892</v>
      </c>
      <c r="BH2799" s="101">
        <v>3930</v>
      </c>
      <c r="BI2799" s="101">
        <v>4430</v>
      </c>
      <c r="BL2799" s="101" t="s">
        <v>2894</v>
      </c>
      <c r="BM2799" s="427"/>
      <c r="BN2799" s="427"/>
      <c r="BR2799" s="427"/>
      <c r="BS2799" s="427"/>
      <c r="GW2799" s="101">
        <v>36.4</v>
      </c>
      <c r="GX2799" s="101">
        <v>30.38</v>
      </c>
      <c r="HA2799" s="101" t="s">
        <v>2895</v>
      </c>
      <c r="IQ2799" s="177"/>
    </row>
    <row r="2800" spans="1:251" s="101" customFormat="1" x14ac:dyDescent="0.25">
      <c r="A2800" s="101">
        <v>130</v>
      </c>
      <c r="B2800" s="101" t="s">
        <v>2882</v>
      </c>
      <c r="C2800" s="101" t="s">
        <v>526</v>
      </c>
      <c r="D2800" s="101">
        <v>1997</v>
      </c>
      <c r="E2800" s="101">
        <v>1995</v>
      </c>
      <c r="F2800" s="101" t="s">
        <v>2439</v>
      </c>
      <c r="G2800" s="101" t="s">
        <v>2889</v>
      </c>
      <c r="H2800" s="101" t="s">
        <v>2873</v>
      </c>
      <c r="I2800" s="101">
        <f t="shared" si="345"/>
        <v>0.4</v>
      </c>
      <c r="J2800" s="101">
        <f t="shared" si="346"/>
        <v>32.5</v>
      </c>
      <c r="K2800" s="101">
        <v>1200</v>
      </c>
      <c r="Q2800" s="102" t="s">
        <v>1735</v>
      </c>
      <c r="R2800" s="102" t="s">
        <v>1867</v>
      </c>
      <c r="S2800" s="102"/>
      <c r="T2800" s="102" t="s">
        <v>2897</v>
      </c>
      <c r="U2800" s="102"/>
      <c r="V2800" s="102"/>
      <c r="W2800" s="102"/>
      <c r="X2800" s="102" t="s">
        <v>1383</v>
      </c>
      <c r="Z2800" s="352">
        <v>50</v>
      </c>
      <c r="AA2800" s="352">
        <v>13</v>
      </c>
      <c r="AB2800" s="101" t="s">
        <v>2710</v>
      </c>
      <c r="AC2800" s="101">
        <v>5.2</v>
      </c>
      <c r="AD2800" s="101">
        <v>3</v>
      </c>
      <c r="AF2800" s="101" t="s">
        <v>2890</v>
      </c>
      <c r="AG2800" s="101" t="s">
        <v>2759</v>
      </c>
      <c r="AH2800" s="101" t="s">
        <v>578</v>
      </c>
      <c r="AI2800" s="24" t="s">
        <v>1650</v>
      </c>
      <c r="AJ2800" s="24" t="s">
        <v>133</v>
      </c>
      <c r="AT2800" s="24" t="s">
        <v>161</v>
      </c>
      <c r="BB2800" s="101" t="s">
        <v>2892</v>
      </c>
      <c r="BH2800" s="101">
        <v>2700</v>
      </c>
      <c r="BI2800" s="101">
        <v>2560</v>
      </c>
      <c r="BL2800" s="101" t="s">
        <v>2894</v>
      </c>
      <c r="BM2800" s="427"/>
      <c r="BN2800" s="427"/>
      <c r="BR2800" s="427"/>
      <c r="BS2800" s="427"/>
      <c r="GW2800" s="101">
        <v>15.57</v>
      </c>
      <c r="GX2800" s="101">
        <v>16</v>
      </c>
      <c r="HA2800" s="101" t="s">
        <v>2895</v>
      </c>
      <c r="IQ2800" s="177"/>
    </row>
    <row r="2801" spans="1:251" s="32" customFormat="1" x14ac:dyDescent="0.25">
      <c r="A2801" s="32">
        <v>130</v>
      </c>
      <c r="B2801" s="32" t="s">
        <v>2882</v>
      </c>
      <c r="C2801" s="32" t="s">
        <v>526</v>
      </c>
      <c r="D2801" s="32">
        <v>1997</v>
      </c>
      <c r="E2801" s="32">
        <v>1994</v>
      </c>
      <c r="F2801" s="32" t="s">
        <v>2439</v>
      </c>
      <c r="G2801" s="32" t="s">
        <v>2889</v>
      </c>
      <c r="H2801" s="32" t="s">
        <v>2873</v>
      </c>
      <c r="I2801" s="32">
        <f t="shared" si="345"/>
        <v>0.4</v>
      </c>
      <c r="J2801" s="32">
        <f t="shared" si="346"/>
        <v>32.5</v>
      </c>
      <c r="K2801" s="32">
        <v>1200</v>
      </c>
      <c r="Q2801" s="44" t="s">
        <v>1986</v>
      </c>
      <c r="R2801" s="44" t="s">
        <v>1867</v>
      </c>
      <c r="S2801" s="44"/>
      <c r="T2801" s="44" t="s">
        <v>2897</v>
      </c>
      <c r="U2801" s="44"/>
      <c r="V2801" s="44"/>
      <c r="W2801" s="44"/>
      <c r="X2801" s="44" t="s">
        <v>1383</v>
      </c>
      <c r="Z2801" s="323">
        <v>50</v>
      </c>
      <c r="AA2801" s="323">
        <v>13</v>
      </c>
      <c r="AB2801" s="32" t="s">
        <v>2710</v>
      </c>
      <c r="AC2801" s="32">
        <v>5.2</v>
      </c>
      <c r="AD2801" s="32">
        <v>3</v>
      </c>
      <c r="AF2801" s="32" t="s">
        <v>2890</v>
      </c>
      <c r="AG2801" s="32" t="s">
        <v>2759</v>
      </c>
      <c r="AH2801" s="32" t="s">
        <v>578</v>
      </c>
      <c r="AI2801" s="32" t="s">
        <v>2884</v>
      </c>
      <c r="AJ2801" s="32" t="s">
        <v>1621</v>
      </c>
      <c r="AT2801" s="32" t="s">
        <v>161</v>
      </c>
      <c r="BB2801" s="32" t="s">
        <v>2891</v>
      </c>
      <c r="BH2801" s="32">
        <v>1680</v>
      </c>
      <c r="BI2801" s="32">
        <v>2880</v>
      </c>
      <c r="BL2801" s="32" t="s">
        <v>2894</v>
      </c>
      <c r="BM2801" s="397"/>
      <c r="BN2801" s="397"/>
      <c r="BR2801" s="397"/>
      <c r="BS2801" s="397"/>
      <c r="IQ2801" s="243"/>
    </row>
    <row r="2802" spans="1:251" s="32" customFormat="1" x14ac:dyDescent="0.25">
      <c r="A2802" s="32">
        <v>130</v>
      </c>
      <c r="B2802" s="32" t="s">
        <v>2882</v>
      </c>
      <c r="C2802" s="32" t="s">
        <v>526</v>
      </c>
      <c r="D2802" s="32">
        <v>1997</v>
      </c>
      <c r="E2802" s="32">
        <v>1995</v>
      </c>
      <c r="F2802" s="32" t="s">
        <v>2439</v>
      </c>
      <c r="G2802" s="32" t="s">
        <v>2889</v>
      </c>
      <c r="H2802" s="32" t="s">
        <v>2873</v>
      </c>
      <c r="I2802" s="32">
        <f t="shared" si="345"/>
        <v>0.4</v>
      </c>
      <c r="J2802" s="32">
        <f t="shared" si="346"/>
        <v>32.5</v>
      </c>
      <c r="K2802" s="32">
        <v>1200</v>
      </c>
      <c r="Q2802" s="44" t="s">
        <v>1856</v>
      </c>
      <c r="R2802" s="44" t="s">
        <v>1867</v>
      </c>
      <c r="S2802" s="44"/>
      <c r="T2802" s="44" t="s">
        <v>2897</v>
      </c>
      <c r="U2802" s="44"/>
      <c r="V2802" s="44"/>
      <c r="W2802" s="44"/>
      <c r="X2802" s="44" t="s">
        <v>1383</v>
      </c>
      <c r="Z2802" s="323">
        <v>50</v>
      </c>
      <c r="AA2802" s="323">
        <v>13</v>
      </c>
      <c r="AB2802" s="32" t="s">
        <v>2710</v>
      </c>
      <c r="AC2802" s="32">
        <v>5.2</v>
      </c>
      <c r="AD2802" s="32">
        <v>3</v>
      </c>
      <c r="AF2802" s="32" t="s">
        <v>2890</v>
      </c>
      <c r="AG2802" s="32" t="s">
        <v>2759</v>
      </c>
      <c r="AH2802" s="32" t="s">
        <v>578</v>
      </c>
      <c r="AI2802" s="32" t="s">
        <v>2884</v>
      </c>
      <c r="AJ2802" s="32" t="s">
        <v>1621</v>
      </c>
      <c r="AT2802" s="32" t="s">
        <v>161</v>
      </c>
      <c r="BB2802" s="32" t="s">
        <v>2891</v>
      </c>
      <c r="BH2802" s="32">
        <v>3700</v>
      </c>
      <c r="BI2802" s="32">
        <v>5160</v>
      </c>
      <c r="BL2802" s="32" t="s">
        <v>2894</v>
      </c>
      <c r="BM2802" s="397"/>
      <c r="BN2802" s="397"/>
      <c r="BR2802" s="397"/>
      <c r="BS2802" s="397"/>
      <c r="IQ2802" s="243"/>
    </row>
    <row r="2803" spans="1:251" s="32" customFormat="1" x14ac:dyDescent="0.25">
      <c r="A2803" s="32">
        <v>130</v>
      </c>
      <c r="B2803" s="32" t="s">
        <v>2882</v>
      </c>
      <c r="C2803" s="32" t="s">
        <v>526</v>
      </c>
      <c r="D2803" s="32">
        <v>1997</v>
      </c>
      <c r="E2803" s="32">
        <v>1995</v>
      </c>
      <c r="F2803" s="32" t="s">
        <v>2439</v>
      </c>
      <c r="G2803" s="32" t="s">
        <v>2889</v>
      </c>
      <c r="H2803" s="32" t="s">
        <v>2873</v>
      </c>
      <c r="I2803" s="32">
        <f t="shared" si="345"/>
        <v>0.4</v>
      </c>
      <c r="J2803" s="32">
        <f t="shared" si="346"/>
        <v>32.5</v>
      </c>
      <c r="K2803" s="32">
        <v>1200</v>
      </c>
      <c r="Q2803" s="44" t="s">
        <v>1735</v>
      </c>
      <c r="R2803" s="44" t="s">
        <v>1867</v>
      </c>
      <c r="S2803" s="44"/>
      <c r="T2803" s="44" t="s">
        <v>2897</v>
      </c>
      <c r="U2803" s="44"/>
      <c r="V2803" s="44"/>
      <c r="W2803" s="44"/>
      <c r="X2803" s="44" t="s">
        <v>1383</v>
      </c>
      <c r="Z2803" s="323">
        <v>50</v>
      </c>
      <c r="AA2803" s="323">
        <v>13</v>
      </c>
      <c r="AB2803" s="32" t="s">
        <v>2710</v>
      </c>
      <c r="AC2803" s="32">
        <v>5.2</v>
      </c>
      <c r="AD2803" s="32">
        <v>3</v>
      </c>
      <c r="AF2803" s="32" t="s">
        <v>2890</v>
      </c>
      <c r="AG2803" s="32" t="s">
        <v>2759</v>
      </c>
      <c r="AH2803" s="32" t="s">
        <v>578</v>
      </c>
      <c r="AI2803" s="32" t="s">
        <v>2884</v>
      </c>
      <c r="AJ2803" s="32" t="s">
        <v>1621</v>
      </c>
      <c r="AT2803" s="32" t="s">
        <v>161</v>
      </c>
      <c r="BB2803" s="32" t="s">
        <v>2891</v>
      </c>
      <c r="BH2803" s="32">
        <v>2450</v>
      </c>
      <c r="BI2803" s="32">
        <v>3890</v>
      </c>
      <c r="BL2803" s="32" t="s">
        <v>2894</v>
      </c>
      <c r="BM2803" s="397"/>
      <c r="BN2803" s="397"/>
      <c r="BR2803" s="397"/>
      <c r="BS2803" s="397"/>
      <c r="IQ2803" s="243"/>
    </row>
    <row r="2804" spans="1:251" s="105" customFormat="1" x14ac:dyDescent="0.25">
      <c r="A2804" s="105">
        <v>130</v>
      </c>
      <c r="B2804" s="105" t="s">
        <v>2882</v>
      </c>
      <c r="C2804" s="105" t="s">
        <v>526</v>
      </c>
      <c r="D2804" s="105">
        <v>1997</v>
      </c>
      <c r="E2804" s="105">
        <v>1994</v>
      </c>
      <c r="F2804" s="105" t="s">
        <v>2439</v>
      </c>
      <c r="G2804" s="105" t="s">
        <v>2889</v>
      </c>
      <c r="H2804" s="105" t="s">
        <v>2873</v>
      </c>
      <c r="I2804" s="105">
        <f t="shared" si="345"/>
        <v>0.4</v>
      </c>
      <c r="J2804" s="105">
        <f t="shared" si="346"/>
        <v>32.5</v>
      </c>
      <c r="K2804" s="105">
        <v>1200</v>
      </c>
      <c r="Q2804" s="106" t="s">
        <v>1986</v>
      </c>
      <c r="R2804" s="106" t="s">
        <v>1867</v>
      </c>
      <c r="S2804" s="106"/>
      <c r="T2804" s="106" t="s">
        <v>2897</v>
      </c>
      <c r="U2804" s="106"/>
      <c r="V2804" s="106"/>
      <c r="W2804" s="106"/>
      <c r="X2804" s="106" t="s">
        <v>1383</v>
      </c>
      <c r="Z2804" s="354">
        <v>50</v>
      </c>
      <c r="AA2804" s="354">
        <v>13</v>
      </c>
      <c r="AB2804" s="105" t="s">
        <v>2710</v>
      </c>
      <c r="AC2804" s="105">
        <v>5.2</v>
      </c>
      <c r="AD2804" s="105">
        <v>3</v>
      </c>
      <c r="AF2804" s="105" t="s">
        <v>2890</v>
      </c>
      <c r="AG2804" s="105" t="s">
        <v>2759</v>
      </c>
      <c r="AH2804" s="105" t="s">
        <v>578</v>
      </c>
      <c r="AI2804" s="32" t="s">
        <v>2884</v>
      </c>
      <c r="AJ2804" s="32" t="s">
        <v>1621</v>
      </c>
      <c r="AT2804" s="32" t="s">
        <v>161</v>
      </c>
      <c r="BB2804" s="105" t="s">
        <v>2892</v>
      </c>
      <c r="BH2804" s="105">
        <v>1680</v>
      </c>
      <c r="BI2804" s="105">
        <v>2420</v>
      </c>
      <c r="BL2804" s="105" t="s">
        <v>2894</v>
      </c>
      <c r="BM2804" s="429"/>
      <c r="BN2804" s="429"/>
      <c r="BR2804" s="429"/>
      <c r="BS2804" s="429"/>
      <c r="IQ2804" s="502"/>
    </row>
    <row r="2805" spans="1:251" s="105" customFormat="1" x14ac:dyDescent="0.25">
      <c r="A2805" s="105">
        <v>130</v>
      </c>
      <c r="B2805" s="105" t="s">
        <v>2882</v>
      </c>
      <c r="C2805" s="105" t="s">
        <v>526</v>
      </c>
      <c r="D2805" s="105">
        <v>1997</v>
      </c>
      <c r="E2805" s="105">
        <v>1995</v>
      </c>
      <c r="F2805" s="105" t="s">
        <v>2439</v>
      </c>
      <c r="G2805" s="105" t="s">
        <v>2889</v>
      </c>
      <c r="H2805" s="105" t="s">
        <v>2873</v>
      </c>
      <c r="I2805" s="105">
        <f t="shared" si="345"/>
        <v>0.4</v>
      </c>
      <c r="J2805" s="105">
        <f t="shared" si="346"/>
        <v>32.5</v>
      </c>
      <c r="K2805" s="105">
        <v>1200</v>
      </c>
      <c r="Q2805" s="106" t="s">
        <v>1856</v>
      </c>
      <c r="R2805" s="106" t="s">
        <v>1867</v>
      </c>
      <c r="S2805" s="106"/>
      <c r="T2805" s="106" t="s">
        <v>2897</v>
      </c>
      <c r="U2805" s="106"/>
      <c r="V2805" s="106"/>
      <c r="W2805" s="106"/>
      <c r="X2805" s="106" t="s">
        <v>1383</v>
      </c>
      <c r="Z2805" s="354">
        <v>50</v>
      </c>
      <c r="AA2805" s="354">
        <v>13</v>
      </c>
      <c r="AB2805" s="105" t="s">
        <v>2710</v>
      </c>
      <c r="AC2805" s="105">
        <v>5.2</v>
      </c>
      <c r="AD2805" s="105">
        <v>3</v>
      </c>
      <c r="AF2805" s="105" t="s">
        <v>2890</v>
      </c>
      <c r="AG2805" s="105" t="s">
        <v>2759</v>
      </c>
      <c r="AH2805" s="105" t="s">
        <v>578</v>
      </c>
      <c r="AI2805" s="32" t="s">
        <v>2884</v>
      </c>
      <c r="AJ2805" s="32" t="s">
        <v>1621</v>
      </c>
      <c r="AT2805" s="32" t="s">
        <v>161</v>
      </c>
      <c r="BB2805" s="105" t="s">
        <v>2892</v>
      </c>
      <c r="BH2805" s="105">
        <v>3700</v>
      </c>
      <c r="BI2805" s="105">
        <v>4930</v>
      </c>
      <c r="BL2805" s="105" t="s">
        <v>2894</v>
      </c>
      <c r="BM2805" s="429"/>
      <c r="BN2805" s="429"/>
      <c r="BR2805" s="429"/>
      <c r="BS2805" s="429"/>
      <c r="IQ2805" s="502"/>
    </row>
    <row r="2806" spans="1:251" s="105" customFormat="1" x14ac:dyDescent="0.25">
      <c r="A2806" s="105">
        <v>130</v>
      </c>
      <c r="B2806" s="105" t="s">
        <v>2882</v>
      </c>
      <c r="C2806" s="105" t="s">
        <v>526</v>
      </c>
      <c r="D2806" s="105">
        <v>1997</v>
      </c>
      <c r="E2806" s="105">
        <v>1995</v>
      </c>
      <c r="F2806" s="105" t="s">
        <v>2439</v>
      </c>
      <c r="G2806" s="105" t="s">
        <v>2889</v>
      </c>
      <c r="H2806" s="105" t="s">
        <v>2873</v>
      </c>
      <c r="I2806" s="105">
        <f t="shared" si="345"/>
        <v>0.4</v>
      </c>
      <c r="J2806" s="105">
        <f t="shared" si="346"/>
        <v>32.5</v>
      </c>
      <c r="K2806" s="105">
        <v>1200</v>
      </c>
      <c r="Q2806" s="106" t="s">
        <v>1735</v>
      </c>
      <c r="R2806" s="106" t="s">
        <v>1867</v>
      </c>
      <c r="S2806" s="106"/>
      <c r="T2806" s="106" t="s">
        <v>2897</v>
      </c>
      <c r="U2806" s="106"/>
      <c r="V2806" s="106"/>
      <c r="W2806" s="106"/>
      <c r="X2806" s="106" t="s">
        <v>1383</v>
      </c>
      <c r="Z2806" s="354">
        <v>50</v>
      </c>
      <c r="AA2806" s="354">
        <v>13</v>
      </c>
      <c r="AB2806" s="105" t="s">
        <v>2710</v>
      </c>
      <c r="AC2806" s="105">
        <v>5.2</v>
      </c>
      <c r="AD2806" s="105">
        <v>3</v>
      </c>
      <c r="AF2806" s="105" t="s">
        <v>2890</v>
      </c>
      <c r="AG2806" s="105" t="s">
        <v>2759</v>
      </c>
      <c r="AH2806" s="105" t="s">
        <v>578</v>
      </c>
      <c r="AI2806" s="32" t="s">
        <v>2884</v>
      </c>
      <c r="AJ2806" s="32" t="s">
        <v>1621</v>
      </c>
      <c r="AT2806" s="32" t="s">
        <v>161</v>
      </c>
      <c r="BB2806" s="105" t="s">
        <v>2892</v>
      </c>
      <c r="BH2806" s="105">
        <v>2450</v>
      </c>
      <c r="BI2806" s="105">
        <v>3480</v>
      </c>
      <c r="BL2806" s="105" t="s">
        <v>2894</v>
      </c>
      <c r="BM2806" s="429"/>
      <c r="BN2806" s="429"/>
      <c r="BR2806" s="429"/>
      <c r="BS2806" s="429"/>
      <c r="IQ2806" s="502"/>
    </row>
    <row r="2807" spans="1:251" s="24" customFormat="1" x14ac:dyDescent="0.25">
      <c r="A2807" s="24">
        <v>130</v>
      </c>
      <c r="B2807" s="24" t="s">
        <v>2882</v>
      </c>
      <c r="C2807" s="24" t="s">
        <v>526</v>
      </c>
      <c r="D2807" s="24">
        <v>1997</v>
      </c>
      <c r="E2807" s="24">
        <v>1994</v>
      </c>
      <c r="F2807" s="24" t="s">
        <v>2439</v>
      </c>
      <c r="G2807" s="24" t="s">
        <v>2889</v>
      </c>
      <c r="H2807" s="24" t="s">
        <v>2873</v>
      </c>
      <c r="I2807" s="24">
        <f t="shared" si="345"/>
        <v>0.4</v>
      </c>
      <c r="J2807" s="24">
        <f t="shared" si="346"/>
        <v>32.5</v>
      </c>
      <c r="K2807" s="24">
        <v>1200</v>
      </c>
      <c r="Q2807" s="42" t="s">
        <v>1986</v>
      </c>
      <c r="R2807" s="42" t="s">
        <v>1867</v>
      </c>
      <c r="S2807" s="42"/>
      <c r="T2807" s="42" t="s">
        <v>2897</v>
      </c>
      <c r="U2807" s="42"/>
      <c r="V2807" s="42"/>
      <c r="W2807" s="42"/>
      <c r="X2807" s="42" t="s">
        <v>1383</v>
      </c>
      <c r="Z2807" s="321">
        <v>50</v>
      </c>
      <c r="AA2807" s="321">
        <v>13</v>
      </c>
      <c r="AB2807" s="24" t="s">
        <v>2710</v>
      </c>
      <c r="AC2807" s="24">
        <v>5.2</v>
      </c>
      <c r="AD2807" s="24">
        <v>3</v>
      </c>
      <c r="AF2807" s="24" t="s">
        <v>2890</v>
      </c>
      <c r="AG2807" s="24" t="s">
        <v>2759</v>
      </c>
      <c r="AH2807" s="24" t="s">
        <v>578</v>
      </c>
      <c r="AI2807" s="24" t="s">
        <v>1650</v>
      </c>
      <c r="AJ2807" s="24" t="s">
        <v>133</v>
      </c>
      <c r="AT2807" s="24" t="s">
        <v>161</v>
      </c>
      <c r="BB2807" s="24" t="s">
        <v>2891</v>
      </c>
      <c r="BH2807" s="24">
        <v>290</v>
      </c>
      <c r="BI2807" s="24">
        <v>410</v>
      </c>
      <c r="BL2807" s="24" t="s">
        <v>2896</v>
      </c>
      <c r="BM2807" s="395"/>
      <c r="BN2807" s="395"/>
      <c r="BR2807" s="395"/>
      <c r="BS2807" s="395"/>
      <c r="IQ2807" s="249"/>
    </row>
    <row r="2808" spans="1:251" s="24" customFormat="1" x14ac:dyDescent="0.25">
      <c r="A2808" s="24">
        <v>130</v>
      </c>
      <c r="B2808" s="24" t="s">
        <v>2882</v>
      </c>
      <c r="C2808" s="24" t="s">
        <v>526</v>
      </c>
      <c r="D2808" s="24">
        <v>1997</v>
      </c>
      <c r="E2808" s="24">
        <v>1995</v>
      </c>
      <c r="F2808" s="24" t="s">
        <v>2439</v>
      </c>
      <c r="G2808" s="24" t="s">
        <v>2889</v>
      </c>
      <c r="H2808" s="24" t="s">
        <v>2873</v>
      </c>
      <c r="I2808" s="24">
        <f t="shared" si="345"/>
        <v>0.4</v>
      </c>
      <c r="J2808" s="24">
        <f t="shared" si="346"/>
        <v>32.5</v>
      </c>
      <c r="K2808" s="24">
        <v>1200</v>
      </c>
      <c r="Q2808" s="42" t="s">
        <v>1856</v>
      </c>
      <c r="R2808" s="42" t="s">
        <v>1867</v>
      </c>
      <c r="S2808" s="42"/>
      <c r="T2808" s="42" t="s">
        <v>2897</v>
      </c>
      <c r="U2808" s="42"/>
      <c r="V2808" s="42"/>
      <c r="W2808" s="42"/>
      <c r="X2808" s="42" t="s">
        <v>1383</v>
      </c>
      <c r="Z2808" s="321">
        <v>50</v>
      </c>
      <c r="AA2808" s="321">
        <v>13</v>
      </c>
      <c r="AB2808" s="24" t="s">
        <v>2710</v>
      </c>
      <c r="AC2808" s="24">
        <v>5.2</v>
      </c>
      <c r="AD2808" s="24">
        <v>3</v>
      </c>
      <c r="AF2808" s="24" t="s">
        <v>2890</v>
      </c>
      <c r="AG2808" s="24" t="s">
        <v>2759</v>
      </c>
      <c r="AH2808" s="24" t="s">
        <v>578</v>
      </c>
      <c r="AI2808" s="24" t="s">
        <v>1650</v>
      </c>
      <c r="AJ2808" s="24" t="s">
        <v>133</v>
      </c>
      <c r="AT2808" s="24" t="s">
        <v>161</v>
      </c>
      <c r="BB2808" s="24" t="s">
        <v>2891</v>
      </c>
      <c r="BH2808" s="24">
        <v>480</v>
      </c>
      <c r="BI2808" s="24">
        <v>690</v>
      </c>
      <c r="BL2808" s="24" t="s">
        <v>2896</v>
      </c>
      <c r="BM2808" s="395"/>
      <c r="BN2808" s="395"/>
      <c r="BR2808" s="395"/>
      <c r="BS2808" s="395"/>
      <c r="IQ2808" s="249"/>
    </row>
    <row r="2809" spans="1:251" s="24" customFormat="1" x14ac:dyDescent="0.25">
      <c r="A2809" s="24">
        <v>130</v>
      </c>
      <c r="B2809" s="24" t="s">
        <v>2882</v>
      </c>
      <c r="C2809" s="24" t="s">
        <v>526</v>
      </c>
      <c r="D2809" s="24">
        <v>1997</v>
      </c>
      <c r="E2809" s="24">
        <v>1996</v>
      </c>
      <c r="F2809" s="24" t="s">
        <v>2439</v>
      </c>
      <c r="G2809" s="24" t="s">
        <v>2889</v>
      </c>
      <c r="H2809" s="24" t="s">
        <v>2873</v>
      </c>
      <c r="I2809" s="24">
        <f t="shared" si="345"/>
        <v>0.4</v>
      </c>
      <c r="J2809" s="24">
        <f t="shared" si="346"/>
        <v>32.5</v>
      </c>
      <c r="K2809" s="24">
        <v>1200</v>
      </c>
      <c r="Q2809" s="42" t="s">
        <v>1735</v>
      </c>
      <c r="R2809" s="42" t="s">
        <v>1867</v>
      </c>
      <c r="S2809" s="42"/>
      <c r="T2809" s="42" t="s">
        <v>2897</v>
      </c>
      <c r="U2809" s="42"/>
      <c r="V2809" s="42"/>
      <c r="W2809" s="42"/>
      <c r="X2809" s="42" t="s">
        <v>1383</v>
      </c>
      <c r="Z2809" s="321">
        <v>50</v>
      </c>
      <c r="AA2809" s="321">
        <v>13</v>
      </c>
      <c r="AB2809" s="24" t="s">
        <v>2710</v>
      </c>
      <c r="AC2809" s="24">
        <v>5.2</v>
      </c>
      <c r="AD2809" s="24">
        <v>3</v>
      </c>
      <c r="AF2809" s="24" t="s">
        <v>2890</v>
      </c>
      <c r="AG2809" s="24" t="s">
        <v>2759</v>
      </c>
      <c r="AH2809" s="24" t="s">
        <v>578</v>
      </c>
      <c r="AI2809" s="24" t="s">
        <v>1650</v>
      </c>
      <c r="AJ2809" s="24" t="s">
        <v>133</v>
      </c>
      <c r="AT2809" s="24" t="s">
        <v>161</v>
      </c>
      <c r="BB2809" s="24" t="s">
        <v>2891</v>
      </c>
      <c r="BH2809" s="24">
        <v>2590</v>
      </c>
      <c r="BI2809" s="24">
        <v>2410</v>
      </c>
      <c r="BL2809" s="24" t="s">
        <v>2896</v>
      </c>
      <c r="BM2809" s="395"/>
      <c r="BN2809" s="395"/>
      <c r="BR2809" s="395"/>
      <c r="BS2809" s="395"/>
      <c r="IQ2809" s="249"/>
    </row>
    <row r="2810" spans="1:251" s="101" customFormat="1" x14ac:dyDescent="0.25">
      <c r="A2810" s="101">
        <v>130</v>
      </c>
      <c r="B2810" s="101" t="s">
        <v>2882</v>
      </c>
      <c r="C2810" s="101" t="s">
        <v>526</v>
      </c>
      <c r="D2810" s="101">
        <v>1997</v>
      </c>
      <c r="E2810" s="101">
        <v>1994</v>
      </c>
      <c r="F2810" s="101" t="s">
        <v>2439</v>
      </c>
      <c r="G2810" s="101" t="s">
        <v>2889</v>
      </c>
      <c r="H2810" s="101" t="s">
        <v>2873</v>
      </c>
      <c r="I2810" s="101">
        <f t="shared" si="345"/>
        <v>0.4</v>
      </c>
      <c r="J2810" s="101">
        <f t="shared" si="346"/>
        <v>32.5</v>
      </c>
      <c r="K2810" s="101">
        <v>1200</v>
      </c>
      <c r="Q2810" s="102" t="s">
        <v>1986</v>
      </c>
      <c r="R2810" s="102" t="s">
        <v>1867</v>
      </c>
      <c r="S2810" s="102"/>
      <c r="T2810" s="102" t="s">
        <v>2897</v>
      </c>
      <c r="U2810" s="102"/>
      <c r="V2810" s="102"/>
      <c r="W2810" s="102"/>
      <c r="X2810" s="102" t="s">
        <v>1383</v>
      </c>
      <c r="Z2810" s="352">
        <v>50</v>
      </c>
      <c r="AA2810" s="352">
        <v>13</v>
      </c>
      <c r="AB2810" s="101" t="s">
        <v>2710</v>
      </c>
      <c r="AC2810" s="101">
        <v>5.2</v>
      </c>
      <c r="AD2810" s="101">
        <v>3</v>
      </c>
      <c r="AF2810" s="101" t="s">
        <v>2890</v>
      </c>
      <c r="AG2810" s="101" t="s">
        <v>2759</v>
      </c>
      <c r="AH2810" s="101" t="s">
        <v>578</v>
      </c>
      <c r="AI2810" s="24" t="s">
        <v>1650</v>
      </c>
      <c r="AJ2810" s="24" t="s">
        <v>133</v>
      </c>
      <c r="AT2810" s="24" t="s">
        <v>161</v>
      </c>
      <c r="BB2810" s="101" t="s">
        <v>2892</v>
      </c>
      <c r="BH2810" s="101">
        <v>290</v>
      </c>
      <c r="BI2810" s="101">
        <v>370</v>
      </c>
      <c r="BL2810" s="101" t="s">
        <v>2896</v>
      </c>
      <c r="BM2810" s="427"/>
      <c r="BN2810" s="427"/>
      <c r="BR2810" s="427"/>
      <c r="BS2810" s="427"/>
      <c r="IQ2810" s="177"/>
    </row>
    <row r="2811" spans="1:251" s="101" customFormat="1" x14ac:dyDescent="0.25">
      <c r="A2811" s="101">
        <v>130</v>
      </c>
      <c r="B2811" s="101" t="s">
        <v>2882</v>
      </c>
      <c r="C2811" s="101" t="s">
        <v>526</v>
      </c>
      <c r="D2811" s="101">
        <v>1997</v>
      </c>
      <c r="E2811" s="101">
        <v>1995</v>
      </c>
      <c r="F2811" s="101" t="s">
        <v>2439</v>
      </c>
      <c r="G2811" s="101" t="s">
        <v>2889</v>
      </c>
      <c r="H2811" s="101" t="s">
        <v>2873</v>
      </c>
      <c r="I2811" s="101">
        <f t="shared" si="345"/>
        <v>0.4</v>
      </c>
      <c r="J2811" s="101">
        <f t="shared" si="346"/>
        <v>32.5</v>
      </c>
      <c r="K2811" s="101">
        <v>1200</v>
      </c>
      <c r="Q2811" s="102" t="s">
        <v>1856</v>
      </c>
      <c r="R2811" s="102" t="s">
        <v>1867</v>
      </c>
      <c r="S2811" s="102"/>
      <c r="T2811" s="102" t="s">
        <v>2897</v>
      </c>
      <c r="U2811" s="102"/>
      <c r="V2811" s="102"/>
      <c r="W2811" s="102"/>
      <c r="X2811" s="102" t="s">
        <v>1383</v>
      </c>
      <c r="Z2811" s="352">
        <v>50</v>
      </c>
      <c r="AA2811" s="352">
        <v>13</v>
      </c>
      <c r="AB2811" s="101" t="s">
        <v>2710</v>
      </c>
      <c r="AC2811" s="101">
        <v>5.2</v>
      </c>
      <c r="AD2811" s="101">
        <v>3</v>
      </c>
      <c r="AF2811" s="101" t="s">
        <v>2890</v>
      </c>
      <c r="AG2811" s="101" t="s">
        <v>2759</v>
      </c>
      <c r="AH2811" s="101" t="s">
        <v>578</v>
      </c>
      <c r="AI2811" s="24" t="s">
        <v>1650</v>
      </c>
      <c r="AJ2811" s="24" t="s">
        <v>133</v>
      </c>
      <c r="AT2811" s="24" t="s">
        <v>161</v>
      </c>
      <c r="BB2811" s="101" t="s">
        <v>2892</v>
      </c>
      <c r="BH2811" s="101">
        <v>480</v>
      </c>
      <c r="BI2811" s="101">
        <v>580</v>
      </c>
      <c r="BL2811" s="101" t="s">
        <v>2896</v>
      </c>
      <c r="BM2811" s="427"/>
      <c r="BN2811" s="427"/>
      <c r="BR2811" s="427"/>
      <c r="BS2811" s="427"/>
      <c r="IQ2811" s="177"/>
    </row>
    <row r="2812" spans="1:251" s="101" customFormat="1" x14ac:dyDescent="0.25">
      <c r="A2812" s="101">
        <v>130</v>
      </c>
      <c r="B2812" s="101" t="s">
        <v>2882</v>
      </c>
      <c r="C2812" s="101" t="s">
        <v>526</v>
      </c>
      <c r="D2812" s="101">
        <v>1997</v>
      </c>
      <c r="E2812" s="101">
        <v>1996</v>
      </c>
      <c r="F2812" s="101" t="s">
        <v>2439</v>
      </c>
      <c r="G2812" s="101" t="s">
        <v>2889</v>
      </c>
      <c r="H2812" s="101" t="s">
        <v>2873</v>
      </c>
      <c r="I2812" s="101">
        <f t="shared" si="345"/>
        <v>0.4</v>
      </c>
      <c r="J2812" s="101">
        <f t="shared" si="346"/>
        <v>32.5</v>
      </c>
      <c r="K2812" s="101">
        <v>1200</v>
      </c>
      <c r="Q2812" s="102" t="s">
        <v>1735</v>
      </c>
      <c r="R2812" s="102" t="s">
        <v>1867</v>
      </c>
      <c r="S2812" s="102"/>
      <c r="T2812" s="102" t="s">
        <v>2897</v>
      </c>
      <c r="U2812" s="102"/>
      <c r="V2812" s="102"/>
      <c r="W2812" s="102"/>
      <c r="X2812" s="102" t="s">
        <v>1383</v>
      </c>
      <c r="Z2812" s="352">
        <v>50</v>
      </c>
      <c r="AA2812" s="352">
        <v>13</v>
      </c>
      <c r="AB2812" s="101" t="s">
        <v>2710</v>
      </c>
      <c r="AC2812" s="101">
        <v>5.2</v>
      </c>
      <c r="AD2812" s="101">
        <v>3</v>
      </c>
      <c r="AF2812" s="101" t="s">
        <v>2890</v>
      </c>
      <c r="AG2812" s="101" t="s">
        <v>2759</v>
      </c>
      <c r="AH2812" s="101" t="s">
        <v>578</v>
      </c>
      <c r="AI2812" s="24" t="s">
        <v>1650</v>
      </c>
      <c r="AJ2812" s="24" t="s">
        <v>133</v>
      </c>
      <c r="AT2812" s="24" t="s">
        <v>161</v>
      </c>
      <c r="BB2812" s="101" t="s">
        <v>2892</v>
      </c>
      <c r="BH2812" s="101">
        <v>2590</v>
      </c>
      <c r="BI2812" s="101">
        <v>2550</v>
      </c>
      <c r="BL2812" s="101" t="s">
        <v>2896</v>
      </c>
      <c r="BM2812" s="427"/>
      <c r="BN2812" s="427"/>
      <c r="BR2812" s="427"/>
      <c r="BS2812" s="427"/>
      <c r="IQ2812" s="177"/>
    </row>
    <row r="2813" spans="1:251" s="32" customFormat="1" x14ac:dyDescent="0.25">
      <c r="A2813" s="32">
        <v>130</v>
      </c>
      <c r="B2813" s="32" t="s">
        <v>2882</v>
      </c>
      <c r="C2813" s="32" t="s">
        <v>526</v>
      </c>
      <c r="D2813" s="32">
        <v>1997</v>
      </c>
      <c r="E2813" s="32">
        <v>1994</v>
      </c>
      <c r="F2813" s="32" t="s">
        <v>2439</v>
      </c>
      <c r="G2813" s="32" t="s">
        <v>2889</v>
      </c>
      <c r="H2813" s="32" t="s">
        <v>2873</v>
      </c>
      <c r="I2813" s="32">
        <f t="shared" si="345"/>
        <v>0.4</v>
      </c>
      <c r="J2813" s="32">
        <f t="shared" si="346"/>
        <v>32.5</v>
      </c>
      <c r="K2813" s="32">
        <v>1200</v>
      </c>
      <c r="Q2813" s="44" t="s">
        <v>1856</v>
      </c>
      <c r="R2813" s="44" t="s">
        <v>1867</v>
      </c>
      <c r="S2813" s="44"/>
      <c r="T2813" s="44" t="s">
        <v>2897</v>
      </c>
      <c r="U2813" s="44"/>
      <c r="V2813" s="44"/>
      <c r="W2813" s="44"/>
      <c r="X2813" s="44" t="s">
        <v>1383</v>
      </c>
      <c r="Z2813" s="323">
        <v>50</v>
      </c>
      <c r="AA2813" s="323">
        <v>13</v>
      </c>
      <c r="AB2813" s="32" t="s">
        <v>2710</v>
      </c>
      <c r="AC2813" s="32">
        <v>5.2</v>
      </c>
      <c r="AD2813" s="32">
        <v>3</v>
      </c>
      <c r="AF2813" s="32" t="s">
        <v>2890</v>
      </c>
      <c r="AG2813" s="32" t="s">
        <v>2759</v>
      </c>
      <c r="AH2813" s="32" t="s">
        <v>578</v>
      </c>
      <c r="AI2813" s="32" t="s">
        <v>2884</v>
      </c>
      <c r="AJ2813" s="32" t="s">
        <v>1621</v>
      </c>
      <c r="AT2813" s="32" t="s">
        <v>161</v>
      </c>
      <c r="BB2813" s="32" t="s">
        <v>2891</v>
      </c>
      <c r="BH2813" s="32">
        <v>410</v>
      </c>
      <c r="BI2813" s="32">
        <v>460</v>
      </c>
      <c r="BL2813" s="32" t="s">
        <v>2896</v>
      </c>
      <c r="BM2813" s="397"/>
      <c r="BN2813" s="397"/>
      <c r="BR2813" s="397"/>
      <c r="BS2813" s="397"/>
      <c r="IQ2813" s="243"/>
    </row>
    <row r="2814" spans="1:251" s="32" customFormat="1" x14ac:dyDescent="0.25">
      <c r="A2814" s="32">
        <v>130</v>
      </c>
      <c r="B2814" s="32" t="s">
        <v>2882</v>
      </c>
      <c r="C2814" s="32" t="s">
        <v>526</v>
      </c>
      <c r="D2814" s="32">
        <v>1997</v>
      </c>
      <c r="E2814" s="32">
        <v>1995</v>
      </c>
      <c r="F2814" s="32" t="s">
        <v>2439</v>
      </c>
      <c r="G2814" s="32" t="s">
        <v>2889</v>
      </c>
      <c r="H2814" s="32" t="s">
        <v>2873</v>
      </c>
      <c r="I2814" s="32">
        <f t="shared" si="345"/>
        <v>0.4</v>
      </c>
      <c r="J2814" s="32">
        <f t="shared" si="346"/>
        <v>32.5</v>
      </c>
      <c r="K2814" s="32">
        <v>1200</v>
      </c>
      <c r="Q2814" s="44" t="s">
        <v>1735</v>
      </c>
      <c r="R2814" s="44" t="s">
        <v>1867</v>
      </c>
      <c r="S2814" s="44"/>
      <c r="T2814" s="44" t="s">
        <v>2897</v>
      </c>
      <c r="U2814" s="44"/>
      <c r="V2814" s="44"/>
      <c r="W2814" s="44"/>
      <c r="X2814" s="44" t="s">
        <v>1383</v>
      </c>
      <c r="Z2814" s="323">
        <v>50</v>
      </c>
      <c r="AA2814" s="323">
        <v>13</v>
      </c>
      <c r="AB2814" s="32" t="s">
        <v>2710</v>
      </c>
      <c r="AC2814" s="32">
        <v>5.2</v>
      </c>
      <c r="AD2814" s="32">
        <v>3</v>
      </c>
      <c r="AF2814" s="32" t="s">
        <v>2890</v>
      </c>
      <c r="AG2814" s="32" t="s">
        <v>2759</v>
      </c>
      <c r="AH2814" s="32" t="s">
        <v>578</v>
      </c>
      <c r="AI2814" s="32" t="s">
        <v>2884</v>
      </c>
      <c r="AJ2814" s="32" t="s">
        <v>1621</v>
      </c>
      <c r="AT2814" s="32" t="s">
        <v>161</v>
      </c>
      <c r="BB2814" s="32" t="s">
        <v>2891</v>
      </c>
      <c r="BH2814" s="32">
        <v>660</v>
      </c>
      <c r="BI2814" s="32">
        <v>820</v>
      </c>
      <c r="BL2814" s="32" t="s">
        <v>2896</v>
      </c>
      <c r="BM2814" s="397"/>
      <c r="BN2814" s="397"/>
      <c r="BR2814" s="397"/>
      <c r="BS2814" s="397"/>
      <c r="IQ2814" s="243"/>
    </row>
    <row r="2815" spans="1:251" s="32" customFormat="1" x14ac:dyDescent="0.25">
      <c r="A2815" s="32">
        <v>130</v>
      </c>
      <c r="B2815" s="32" t="s">
        <v>2882</v>
      </c>
      <c r="C2815" s="32" t="s">
        <v>526</v>
      </c>
      <c r="D2815" s="32">
        <v>1997</v>
      </c>
      <c r="E2815" s="32">
        <v>1996</v>
      </c>
      <c r="F2815" s="32" t="s">
        <v>2439</v>
      </c>
      <c r="G2815" s="32" t="s">
        <v>2889</v>
      </c>
      <c r="H2815" s="32" t="s">
        <v>2873</v>
      </c>
      <c r="I2815" s="32">
        <f t="shared" si="345"/>
        <v>0.4</v>
      </c>
      <c r="J2815" s="32">
        <f t="shared" si="346"/>
        <v>32.5</v>
      </c>
      <c r="K2815" s="32">
        <v>1200</v>
      </c>
      <c r="Q2815" s="44" t="s">
        <v>1867</v>
      </c>
      <c r="R2815" s="44" t="s">
        <v>1867</v>
      </c>
      <c r="S2815" s="44"/>
      <c r="T2815" s="44" t="s">
        <v>2897</v>
      </c>
      <c r="U2815" s="44"/>
      <c r="V2815" s="44"/>
      <c r="W2815" s="44"/>
      <c r="X2815" s="44" t="s">
        <v>1383</v>
      </c>
      <c r="Z2815" s="323">
        <v>50</v>
      </c>
      <c r="AA2815" s="323">
        <v>13</v>
      </c>
      <c r="AB2815" s="32" t="s">
        <v>2710</v>
      </c>
      <c r="AC2815" s="32">
        <v>5.2</v>
      </c>
      <c r="AD2815" s="32">
        <v>3</v>
      </c>
      <c r="AF2815" s="32" t="s">
        <v>2890</v>
      </c>
      <c r="AG2815" s="32" t="s">
        <v>2759</v>
      </c>
      <c r="AH2815" s="32" t="s">
        <v>578</v>
      </c>
      <c r="AI2815" s="32" t="s">
        <v>2884</v>
      </c>
      <c r="AJ2815" s="32" t="s">
        <v>1621</v>
      </c>
      <c r="AT2815" s="32" t="s">
        <v>161</v>
      </c>
      <c r="BB2815" s="32" t="s">
        <v>2891</v>
      </c>
      <c r="BH2815" s="32">
        <v>2020</v>
      </c>
      <c r="BI2815" s="32">
        <v>2660</v>
      </c>
      <c r="BL2815" s="32" t="s">
        <v>2896</v>
      </c>
      <c r="BM2815" s="397"/>
      <c r="BN2815" s="397"/>
      <c r="BR2815" s="397"/>
      <c r="BS2815" s="397"/>
      <c r="IQ2815" s="243"/>
    </row>
    <row r="2816" spans="1:251" s="105" customFormat="1" x14ac:dyDescent="0.25">
      <c r="A2816" s="105">
        <v>130</v>
      </c>
      <c r="B2816" s="105" t="s">
        <v>2882</v>
      </c>
      <c r="C2816" s="105" t="s">
        <v>526</v>
      </c>
      <c r="D2816" s="105">
        <v>1997</v>
      </c>
      <c r="E2816" s="105">
        <v>1994</v>
      </c>
      <c r="F2816" s="105" t="s">
        <v>2439</v>
      </c>
      <c r="G2816" s="105" t="s">
        <v>2889</v>
      </c>
      <c r="H2816" s="105" t="s">
        <v>2873</v>
      </c>
      <c r="I2816" s="105">
        <f t="shared" si="345"/>
        <v>0.4</v>
      </c>
      <c r="J2816" s="105">
        <f t="shared" si="346"/>
        <v>32.5</v>
      </c>
      <c r="K2816" s="105">
        <v>1200</v>
      </c>
      <c r="Q2816" s="106" t="s">
        <v>1856</v>
      </c>
      <c r="R2816" s="106" t="s">
        <v>1867</v>
      </c>
      <c r="S2816" s="106"/>
      <c r="T2816" s="106" t="s">
        <v>2897</v>
      </c>
      <c r="U2816" s="106"/>
      <c r="V2816" s="106"/>
      <c r="W2816" s="106"/>
      <c r="X2816" s="106" t="s">
        <v>1383</v>
      </c>
      <c r="Z2816" s="354">
        <v>50</v>
      </c>
      <c r="AA2816" s="354">
        <v>13</v>
      </c>
      <c r="AB2816" s="105" t="s">
        <v>2710</v>
      </c>
      <c r="AC2816" s="105">
        <v>5.2</v>
      </c>
      <c r="AD2816" s="105">
        <v>3</v>
      </c>
      <c r="AF2816" s="105" t="s">
        <v>2890</v>
      </c>
      <c r="AG2816" s="105" t="s">
        <v>2759</v>
      </c>
      <c r="AH2816" s="105" t="s">
        <v>578</v>
      </c>
      <c r="AI2816" s="32" t="s">
        <v>2884</v>
      </c>
      <c r="AJ2816" s="32" t="s">
        <v>1621</v>
      </c>
      <c r="AT2816" s="32" t="s">
        <v>161</v>
      </c>
      <c r="BB2816" s="105" t="s">
        <v>2892</v>
      </c>
      <c r="BH2816" s="105">
        <v>410</v>
      </c>
      <c r="BI2816" s="105">
        <v>370</v>
      </c>
      <c r="BL2816" s="105" t="s">
        <v>2896</v>
      </c>
      <c r="BM2816" s="429"/>
      <c r="BN2816" s="429"/>
      <c r="BR2816" s="429"/>
      <c r="BS2816" s="429"/>
      <c r="IQ2816" s="502"/>
    </row>
    <row r="2817" spans="1:251" s="105" customFormat="1" x14ac:dyDescent="0.25">
      <c r="A2817" s="105">
        <v>130</v>
      </c>
      <c r="B2817" s="105" t="s">
        <v>2882</v>
      </c>
      <c r="C2817" s="105" t="s">
        <v>526</v>
      </c>
      <c r="D2817" s="105">
        <v>1997</v>
      </c>
      <c r="E2817" s="105">
        <v>1995</v>
      </c>
      <c r="F2817" s="105" t="s">
        <v>2439</v>
      </c>
      <c r="G2817" s="105" t="s">
        <v>2889</v>
      </c>
      <c r="H2817" s="105" t="s">
        <v>2873</v>
      </c>
      <c r="I2817" s="105">
        <f t="shared" si="345"/>
        <v>0.4</v>
      </c>
      <c r="J2817" s="105">
        <f t="shared" si="346"/>
        <v>32.5</v>
      </c>
      <c r="K2817" s="105">
        <v>1200</v>
      </c>
      <c r="Q2817" s="106" t="s">
        <v>1735</v>
      </c>
      <c r="R2817" s="106" t="s">
        <v>1867</v>
      </c>
      <c r="S2817" s="106"/>
      <c r="T2817" s="106" t="s">
        <v>2897</v>
      </c>
      <c r="U2817" s="106"/>
      <c r="V2817" s="106"/>
      <c r="W2817" s="106"/>
      <c r="X2817" s="106" t="s">
        <v>1383</v>
      </c>
      <c r="Z2817" s="354">
        <v>50</v>
      </c>
      <c r="AA2817" s="354">
        <v>13</v>
      </c>
      <c r="AB2817" s="105" t="s">
        <v>2710</v>
      </c>
      <c r="AC2817" s="105">
        <v>5.2</v>
      </c>
      <c r="AD2817" s="105">
        <v>3</v>
      </c>
      <c r="AF2817" s="105" t="s">
        <v>2890</v>
      </c>
      <c r="AG2817" s="105" t="s">
        <v>2759</v>
      </c>
      <c r="AH2817" s="105" t="s">
        <v>578</v>
      </c>
      <c r="AI2817" s="32" t="s">
        <v>2884</v>
      </c>
      <c r="AJ2817" s="32" t="s">
        <v>1621</v>
      </c>
      <c r="AT2817" s="32" t="s">
        <v>161</v>
      </c>
      <c r="BB2817" s="105" t="s">
        <v>2892</v>
      </c>
      <c r="BH2817" s="105">
        <v>660</v>
      </c>
      <c r="BI2817" s="105">
        <v>740</v>
      </c>
      <c r="BL2817" s="105" t="s">
        <v>2896</v>
      </c>
      <c r="BM2817" s="429"/>
      <c r="BN2817" s="429"/>
      <c r="BR2817" s="429"/>
      <c r="BS2817" s="429"/>
      <c r="IQ2817" s="502"/>
    </row>
    <row r="2818" spans="1:251" s="105" customFormat="1" x14ac:dyDescent="0.25">
      <c r="A2818" s="105">
        <v>130</v>
      </c>
      <c r="B2818" s="105" t="s">
        <v>2882</v>
      </c>
      <c r="C2818" s="105" t="s">
        <v>526</v>
      </c>
      <c r="D2818" s="105">
        <v>1997</v>
      </c>
      <c r="E2818" s="105">
        <v>1996</v>
      </c>
      <c r="F2818" s="105" t="s">
        <v>2439</v>
      </c>
      <c r="G2818" s="105" t="s">
        <v>2889</v>
      </c>
      <c r="H2818" s="105" t="s">
        <v>2873</v>
      </c>
      <c r="I2818" s="105">
        <f t="shared" si="345"/>
        <v>0.4</v>
      </c>
      <c r="J2818" s="105">
        <f t="shared" si="346"/>
        <v>32.5</v>
      </c>
      <c r="K2818" s="105">
        <v>1200</v>
      </c>
      <c r="Q2818" s="106" t="s">
        <v>1867</v>
      </c>
      <c r="R2818" s="106" t="s">
        <v>1867</v>
      </c>
      <c r="S2818" s="106"/>
      <c r="T2818" s="106" t="s">
        <v>2897</v>
      </c>
      <c r="U2818" s="106"/>
      <c r="V2818" s="106"/>
      <c r="W2818" s="106"/>
      <c r="X2818" s="106" t="s">
        <v>1383</v>
      </c>
      <c r="Z2818" s="354">
        <v>50</v>
      </c>
      <c r="AA2818" s="354">
        <v>13</v>
      </c>
      <c r="AB2818" s="105" t="s">
        <v>2710</v>
      </c>
      <c r="AC2818" s="105">
        <v>5.2</v>
      </c>
      <c r="AD2818" s="105">
        <v>3</v>
      </c>
      <c r="AF2818" s="105" t="s">
        <v>2890</v>
      </c>
      <c r="AG2818" s="105" t="s">
        <v>2759</v>
      </c>
      <c r="AH2818" s="105" t="s">
        <v>578</v>
      </c>
      <c r="AI2818" s="32" t="s">
        <v>2884</v>
      </c>
      <c r="AJ2818" s="32" t="s">
        <v>1621</v>
      </c>
      <c r="AT2818" s="32" t="s">
        <v>161</v>
      </c>
      <c r="BB2818" s="105" t="s">
        <v>2892</v>
      </c>
      <c r="BH2818" s="105">
        <v>2020</v>
      </c>
      <c r="BI2818" s="105">
        <v>2840</v>
      </c>
      <c r="BL2818" s="105" t="s">
        <v>2896</v>
      </c>
      <c r="BM2818" s="429"/>
      <c r="BN2818" s="429"/>
      <c r="BR2818" s="429"/>
      <c r="BS2818" s="429"/>
      <c r="IQ2818" s="502"/>
    </row>
    <row r="2819" spans="1:251" s="101" customFormat="1" x14ac:dyDescent="0.25">
      <c r="A2819" s="101">
        <v>130</v>
      </c>
      <c r="B2819" s="101" t="s">
        <v>2882</v>
      </c>
      <c r="C2819" s="101" t="s">
        <v>526</v>
      </c>
      <c r="D2819" s="101">
        <v>1997</v>
      </c>
      <c r="E2819" s="101">
        <v>1995</v>
      </c>
      <c r="F2819" s="101" t="s">
        <v>2439</v>
      </c>
      <c r="G2819" s="101" t="s">
        <v>2889</v>
      </c>
      <c r="H2819" s="101" t="s">
        <v>2873</v>
      </c>
      <c r="I2819" s="101">
        <f t="shared" si="345"/>
        <v>0.4</v>
      </c>
      <c r="J2819" s="101">
        <f t="shared" si="346"/>
        <v>32.5</v>
      </c>
      <c r="K2819" s="101">
        <v>1200</v>
      </c>
      <c r="Q2819" s="102" t="s">
        <v>1735</v>
      </c>
      <c r="R2819" s="102" t="s">
        <v>1867</v>
      </c>
      <c r="S2819" s="102" t="s">
        <v>2900</v>
      </c>
      <c r="T2819" s="102" t="s">
        <v>2897</v>
      </c>
      <c r="U2819" s="102" t="s">
        <v>2902</v>
      </c>
      <c r="V2819" s="102"/>
      <c r="W2819" s="102"/>
      <c r="X2819" s="102" t="s">
        <v>1383</v>
      </c>
      <c r="Z2819" s="352">
        <v>50</v>
      </c>
      <c r="AA2819" s="352">
        <v>13</v>
      </c>
      <c r="AB2819" s="101" t="s">
        <v>2710</v>
      </c>
      <c r="AC2819" s="101">
        <v>5.2</v>
      </c>
      <c r="AD2819" s="101">
        <v>3</v>
      </c>
      <c r="AF2819" s="101" t="s">
        <v>2890</v>
      </c>
      <c r="AG2819" s="101" t="s">
        <v>2759</v>
      </c>
      <c r="AH2819" s="101" t="s">
        <v>578</v>
      </c>
      <c r="AI2819" s="24" t="s">
        <v>1650</v>
      </c>
      <c r="AJ2819" s="24" t="s">
        <v>133</v>
      </c>
      <c r="AT2819" s="24" t="s">
        <v>161</v>
      </c>
      <c r="BB2819" s="101" t="s">
        <v>2898</v>
      </c>
      <c r="BM2819" s="427">
        <v>1.38</v>
      </c>
      <c r="BN2819" s="427">
        <v>1.29</v>
      </c>
      <c r="BQ2819" s="101" t="s">
        <v>2903</v>
      </c>
      <c r="BR2819" s="427"/>
      <c r="BS2819" s="427"/>
      <c r="DU2819" s="101">
        <v>2.8</v>
      </c>
      <c r="DV2819" s="101">
        <v>4.2</v>
      </c>
      <c r="DY2819" s="101" t="s">
        <v>2904</v>
      </c>
      <c r="IQ2819" s="177"/>
    </row>
    <row r="2820" spans="1:251" s="101" customFormat="1" x14ac:dyDescent="0.25">
      <c r="A2820" s="101">
        <v>130</v>
      </c>
      <c r="B2820" s="101" t="s">
        <v>2882</v>
      </c>
      <c r="C2820" s="101" t="s">
        <v>526</v>
      </c>
      <c r="D2820" s="101">
        <v>1997</v>
      </c>
      <c r="E2820" s="101">
        <v>1995</v>
      </c>
      <c r="F2820" s="101" t="s">
        <v>2439</v>
      </c>
      <c r="G2820" s="101" t="s">
        <v>2889</v>
      </c>
      <c r="H2820" s="101" t="s">
        <v>2873</v>
      </c>
      <c r="I2820" s="101">
        <f t="shared" si="345"/>
        <v>0.4</v>
      </c>
      <c r="J2820" s="101">
        <f t="shared" si="346"/>
        <v>32.5</v>
      </c>
      <c r="K2820" s="101">
        <v>1200</v>
      </c>
      <c r="Q2820" s="102" t="s">
        <v>1735</v>
      </c>
      <c r="R2820" s="102" t="s">
        <v>1867</v>
      </c>
      <c r="S2820" s="102" t="s">
        <v>2900</v>
      </c>
      <c r="T2820" s="102" t="s">
        <v>2897</v>
      </c>
      <c r="U2820" s="102" t="s">
        <v>2086</v>
      </c>
      <c r="V2820" s="102"/>
      <c r="W2820" s="102"/>
      <c r="X2820" s="102" t="s">
        <v>1383</v>
      </c>
      <c r="Z2820" s="352">
        <v>50</v>
      </c>
      <c r="AA2820" s="352">
        <v>13</v>
      </c>
      <c r="AB2820" s="101" t="s">
        <v>2710</v>
      </c>
      <c r="AC2820" s="101">
        <v>5.2</v>
      </c>
      <c r="AD2820" s="101">
        <v>3</v>
      </c>
      <c r="AF2820" s="101" t="s">
        <v>2890</v>
      </c>
      <c r="AG2820" s="101" t="s">
        <v>2759</v>
      </c>
      <c r="AH2820" s="101" t="s">
        <v>578</v>
      </c>
      <c r="AI2820" s="24" t="s">
        <v>1650</v>
      </c>
      <c r="AJ2820" s="24" t="s">
        <v>133</v>
      </c>
      <c r="AT2820" s="24" t="s">
        <v>161</v>
      </c>
      <c r="BB2820" s="101" t="s">
        <v>2898</v>
      </c>
      <c r="BM2820" s="427">
        <v>1.48</v>
      </c>
      <c r="BN2820" s="427">
        <v>1.46</v>
      </c>
      <c r="BQ2820" s="101" t="s">
        <v>2903</v>
      </c>
      <c r="BR2820" s="427"/>
      <c r="BS2820" s="427"/>
      <c r="IQ2820" s="177"/>
    </row>
    <row r="2821" spans="1:251" s="101" customFormat="1" x14ac:dyDescent="0.25">
      <c r="A2821" s="101">
        <v>130</v>
      </c>
      <c r="B2821" s="101" t="s">
        <v>2882</v>
      </c>
      <c r="C2821" s="101" t="s">
        <v>526</v>
      </c>
      <c r="D2821" s="101">
        <v>1997</v>
      </c>
      <c r="E2821" s="101">
        <v>1995</v>
      </c>
      <c r="F2821" s="101" t="s">
        <v>2439</v>
      </c>
      <c r="G2821" s="101" t="s">
        <v>2889</v>
      </c>
      <c r="H2821" s="101" t="s">
        <v>2873</v>
      </c>
      <c r="I2821" s="101">
        <f t="shared" si="345"/>
        <v>0.4</v>
      </c>
      <c r="J2821" s="101">
        <f t="shared" si="346"/>
        <v>32.5</v>
      </c>
      <c r="K2821" s="101">
        <v>1200</v>
      </c>
      <c r="Q2821" s="102" t="s">
        <v>1735</v>
      </c>
      <c r="R2821" s="102" t="s">
        <v>1867</v>
      </c>
      <c r="S2821" s="102" t="s">
        <v>2901</v>
      </c>
      <c r="T2821" s="102" t="s">
        <v>2897</v>
      </c>
      <c r="U2821" s="102" t="s">
        <v>2902</v>
      </c>
      <c r="V2821" s="102"/>
      <c r="W2821" s="102"/>
      <c r="X2821" s="102" t="s">
        <v>1383</v>
      </c>
      <c r="Z2821" s="352">
        <v>50</v>
      </c>
      <c r="AA2821" s="352">
        <v>13</v>
      </c>
      <c r="AB2821" s="101" t="s">
        <v>2710</v>
      </c>
      <c r="AC2821" s="101">
        <v>5.2</v>
      </c>
      <c r="AD2821" s="101">
        <v>3</v>
      </c>
      <c r="AF2821" s="101" t="s">
        <v>2890</v>
      </c>
      <c r="AG2821" s="101" t="s">
        <v>2759</v>
      </c>
      <c r="AH2821" s="101" t="s">
        <v>578</v>
      </c>
      <c r="AI2821" s="24" t="s">
        <v>1650</v>
      </c>
      <c r="AJ2821" s="24" t="s">
        <v>133</v>
      </c>
      <c r="AT2821" s="24" t="s">
        <v>161</v>
      </c>
      <c r="BB2821" s="101" t="s">
        <v>2898</v>
      </c>
      <c r="BM2821" s="427">
        <v>1.23</v>
      </c>
      <c r="BN2821" s="427">
        <v>1.1200000000000001</v>
      </c>
      <c r="BQ2821" s="101" t="s">
        <v>2903</v>
      </c>
      <c r="BR2821" s="427"/>
      <c r="BS2821" s="427"/>
      <c r="IQ2821" s="177"/>
    </row>
    <row r="2822" spans="1:251" s="101" customFormat="1" x14ac:dyDescent="0.25">
      <c r="A2822" s="101">
        <v>130</v>
      </c>
      <c r="B2822" s="101" t="s">
        <v>2882</v>
      </c>
      <c r="C2822" s="101" t="s">
        <v>526</v>
      </c>
      <c r="D2822" s="101">
        <v>1997</v>
      </c>
      <c r="E2822" s="101">
        <v>1995</v>
      </c>
      <c r="F2822" s="101" t="s">
        <v>2439</v>
      </c>
      <c r="G2822" s="101" t="s">
        <v>2889</v>
      </c>
      <c r="H2822" s="101" t="s">
        <v>2873</v>
      </c>
      <c r="I2822" s="101">
        <f t="shared" si="345"/>
        <v>0.4</v>
      </c>
      <c r="J2822" s="101">
        <f t="shared" si="346"/>
        <v>32.5</v>
      </c>
      <c r="K2822" s="101">
        <v>1200</v>
      </c>
      <c r="Q2822" s="102" t="s">
        <v>1735</v>
      </c>
      <c r="R2822" s="102" t="s">
        <v>1867</v>
      </c>
      <c r="S2822" s="102" t="s">
        <v>2901</v>
      </c>
      <c r="T2822" s="102" t="s">
        <v>2897</v>
      </c>
      <c r="U2822" s="102" t="s">
        <v>2086</v>
      </c>
      <c r="V2822" s="102"/>
      <c r="W2822" s="102"/>
      <c r="X2822" s="102" t="s">
        <v>1383</v>
      </c>
      <c r="Z2822" s="352">
        <v>50</v>
      </c>
      <c r="AA2822" s="352">
        <v>13</v>
      </c>
      <c r="AB2822" s="101" t="s">
        <v>2710</v>
      </c>
      <c r="AC2822" s="101">
        <v>5.2</v>
      </c>
      <c r="AD2822" s="101">
        <v>3</v>
      </c>
      <c r="AF2822" s="101" t="s">
        <v>2890</v>
      </c>
      <c r="AG2822" s="101" t="s">
        <v>2759</v>
      </c>
      <c r="AH2822" s="101" t="s">
        <v>578</v>
      </c>
      <c r="AI2822" s="24" t="s">
        <v>1650</v>
      </c>
      <c r="AJ2822" s="24" t="s">
        <v>133</v>
      </c>
      <c r="AT2822" s="24" t="s">
        <v>161</v>
      </c>
      <c r="BB2822" s="101" t="s">
        <v>2898</v>
      </c>
      <c r="BM2822" s="427">
        <v>1.41</v>
      </c>
      <c r="BN2822" s="427">
        <v>1.34</v>
      </c>
      <c r="BQ2822" s="101" t="s">
        <v>2903</v>
      </c>
      <c r="BR2822" s="427"/>
      <c r="BS2822" s="427"/>
      <c r="IQ2822" s="177"/>
    </row>
    <row r="2823" spans="1:251" s="24" customFormat="1" x14ac:dyDescent="0.25">
      <c r="A2823" s="24">
        <v>130</v>
      </c>
      <c r="B2823" s="24" t="s">
        <v>2882</v>
      </c>
      <c r="C2823" s="24" t="s">
        <v>526</v>
      </c>
      <c r="D2823" s="24">
        <v>1997</v>
      </c>
      <c r="E2823" s="24">
        <v>1995</v>
      </c>
      <c r="F2823" s="24" t="s">
        <v>2439</v>
      </c>
      <c r="G2823" s="24" t="s">
        <v>2889</v>
      </c>
      <c r="H2823" s="24" t="s">
        <v>2873</v>
      </c>
      <c r="I2823" s="24">
        <f t="shared" si="345"/>
        <v>0.4</v>
      </c>
      <c r="J2823" s="24">
        <f t="shared" si="346"/>
        <v>32.5</v>
      </c>
      <c r="K2823" s="24">
        <v>1200</v>
      </c>
      <c r="Q2823" s="42" t="s">
        <v>1735</v>
      </c>
      <c r="R2823" s="42" t="s">
        <v>1867</v>
      </c>
      <c r="S2823" s="42" t="s">
        <v>2900</v>
      </c>
      <c r="T2823" s="42" t="s">
        <v>2897</v>
      </c>
      <c r="U2823" s="42" t="s">
        <v>2902</v>
      </c>
      <c r="V2823" s="42"/>
      <c r="W2823" s="42"/>
      <c r="X2823" s="42" t="s">
        <v>1383</v>
      </c>
      <c r="Z2823" s="321">
        <v>50</v>
      </c>
      <c r="AA2823" s="321">
        <v>13</v>
      </c>
      <c r="AB2823" s="24" t="s">
        <v>2710</v>
      </c>
      <c r="AC2823" s="24">
        <v>5.2</v>
      </c>
      <c r="AD2823" s="24">
        <v>3</v>
      </c>
      <c r="AF2823" s="24" t="s">
        <v>2890</v>
      </c>
      <c r="AG2823" s="24" t="s">
        <v>2759</v>
      </c>
      <c r="AH2823" s="24" t="s">
        <v>578</v>
      </c>
      <c r="AI2823" s="24" t="s">
        <v>1650</v>
      </c>
      <c r="AJ2823" s="24" t="s">
        <v>133</v>
      </c>
      <c r="AT2823" s="24" t="s">
        <v>161</v>
      </c>
      <c r="BB2823" s="24" t="s">
        <v>2899</v>
      </c>
      <c r="BM2823" s="395">
        <v>1.38</v>
      </c>
      <c r="BN2823" s="395">
        <v>1.26</v>
      </c>
      <c r="BQ2823" s="24" t="s">
        <v>2903</v>
      </c>
      <c r="BR2823" s="395"/>
      <c r="BS2823" s="395"/>
      <c r="DU2823" s="24">
        <v>2.8</v>
      </c>
      <c r="DV2823" s="24">
        <v>4.2</v>
      </c>
      <c r="DY2823" s="24" t="s">
        <v>2904</v>
      </c>
      <c r="IQ2823" s="249"/>
    </row>
    <row r="2824" spans="1:251" s="24" customFormat="1" x14ac:dyDescent="0.25">
      <c r="A2824" s="24">
        <v>130</v>
      </c>
      <c r="B2824" s="24" t="s">
        <v>2882</v>
      </c>
      <c r="C2824" s="24" t="s">
        <v>526</v>
      </c>
      <c r="D2824" s="24">
        <v>1997</v>
      </c>
      <c r="E2824" s="24">
        <v>1995</v>
      </c>
      <c r="F2824" s="24" t="s">
        <v>2439</v>
      </c>
      <c r="G2824" s="24" t="s">
        <v>2889</v>
      </c>
      <c r="H2824" s="24" t="s">
        <v>2873</v>
      </c>
      <c r="I2824" s="24">
        <f t="shared" si="345"/>
        <v>0.4</v>
      </c>
      <c r="J2824" s="24">
        <f t="shared" si="346"/>
        <v>32.5</v>
      </c>
      <c r="K2824" s="24">
        <v>1200</v>
      </c>
      <c r="Q2824" s="42" t="s">
        <v>1735</v>
      </c>
      <c r="R2824" s="42" t="s">
        <v>1867</v>
      </c>
      <c r="S2824" s="42" t="s">
        <v>2900</v>
      </c>
      <c r="T2824" s="42" t="s">
        <v>2897</v>
      </c>
      <c r="U2824" s="42" t="s">
        <v>2086</v>
      </c>
      <c r="V2824" s="42"/>
      <c r="W2824" s="42"/>
      <c r="X2824" s="42" t="s">
        <v>1383</v>
      </c>
      <c r="Z2824" s="321">
        <v>50</v>
      </c>
      <c r="AA2824" s="321">
        <v>13</v>
      </c>
      <c r="AB2824" s="24" t="s">
        <v>2710</v>
      </c>
      <c r="AC2824" s="24">
        <v>5.2</v>
      </c>
      <c r="AD2824" s="24">
        <v>3</v>
      </c>
      <c r="AF2824" s="24" t="s">
        <v>2890</v>
      </c>
      <c r="AG2824" s="24" t="s">
        <v>2759</v>
      </c>
      <c r="AH2824" s="24" t="s">
        <v>578</v>
      </c>
      <c r="AI2824" s="24" t="s">
        <v>1650</v>
      </c>
      <c r="AJ2824" s="24" t="s">
        <v>133</v>
      </c>
      <c r="AT2824" s="24" t="s">
        <v>161</v>
      </c>
      <c r="BB2824" s="24" t="s">
        <v>2899</v>
      </c>
      <c r="BM2824" s="395">
        <v>1.48</v>
      </c>
      <c r="BN2824" s="395">
        <v>1.37</v>
      </c>
      <c r="BQ2824" s="24" t="s">
        <v>2903</v>
      </c>
      <c r="BR2824" s="395"/>
      <c r="BS2824" s="395"/>
      <c r="IQ2824" s="249"/>
    </row>
    <row r="2825" spans="1:251" s="24" customFormat="1" x14ac:dyDescent="0.25">
      <c r="A2825" s="24">
        <v>130</v>
      </c>
      <c r="B2825" s="24" t="s">
        <v>2882</v>
      </c>
      <c r="C2825" s="24" t="s">
        <v>526</v>
      </c>
      <c r="D2825" s="24">
        <v>1997</v>
      </c>
      <c r="E2825" s="24">
        <v>1995</v>
      </c>
      <c r="F2825" s="24" t="s">
        <v>2439</v>
      </c>
      <c r="G2825" s="24" t="s">
        <v>2889</v>
      </c>
      <c r="H2825" s="24" t="s">
        <v>2873</v>
      </c>
      <c r="I2825" s="24">
        <f t="shared" si="345"/>
        <v>0.4</v>
      </c>
      <c r="J2825" s="24">
        <f t="shared" si="346"/>
        <v>32.5</v>
      </c>
      <c r="K2825" s="24">
        <v>1200</v>
      </c>
      <c r="Q2825" s="42" t="s">
        <v>1735</v>
      </c>
      <c r="R2825" s="42" t="s">
        <v>1867</v>
      </c>
      <c r="S2825" s="42" t="s">
        <v>2901</v>
      </c>
      <c r="T2825" s="42" t="s">
        <v>2897</v>
      </c>
      <c r="U2825" s="42" t="s">
        <v>2902</v>
      </c>
      <c r="V2825" s="42"/>
      <c r="W2825" s="42"/>
      <c r="X2825" s="42" t="s">
        <v>1383</v>
      </c>
      <c r="Z2825" s="321">
        <v>50</v>
      </c>
      <c r="AA2825" s="321">
        <v>13</v>
      </c>
      <c r="AB2825" s="24" t="s">
        <v>2710</v>
      </c>
      <c r="AC2825" s="24">
        <v>5.2</v>
      </c>
      <c r="AD2825" s="24">
        <v>3</v>
      </c>
      <c r="AF2825" s="24" t="s">
        <v>2890</v>
      </c>
      <c r="AG2825" s="24" t="s">
        <v>2759</v>
      </c>
      <c r="AH2825" s="24" t="s">
        <v>578</v>
      </c>
      <c r="AI2825" s="24" t="s">
        <v>1650</v>
      </c>
      <c r="AJ2825" s="24" t="s">
        <v>133</v>
      </c>
      <c r="AT2825" s="24" t="s">
        <v>161</v>
      </c>
      <c r="BB2825" s="24" t="s">
        <v>2899</v>
      </c>
      <c r="BM2825" s="395">
        <v>1.23</v>
      </c>
      <c r="BN2825" s="395">
        <v>1.1499999999999999</v>
      </c>
      <c r="BQ2825" s="24" t="s">
        <v>2903</v>
      </c>
      <c r="BR2825" s="395"/>
      <c r="BS2825" s="395"/>
      <c r="IQ2825" s="249"/>
    </row>
    <row r="2826" spans="1:251" s="24" customFormat="1" x14ac:dyDescent="0.25">
      <c r="A2826" s="24">
        <v>130</v>
      </c>
      <c r="B2826" s="24" t="s">
        <v>2882</v>
      </c>
      <c r="C2826" s="24" t="s">
        <v>526</v>
      </c>
      <c r="D2826" s="24">
        <v>1997</v>
      </c>
      <c r="E2826" s="24">
        <v>1995</v>
      </c>
      <c r="F2826" s="24" t="s">
        <v>2439</v>
      </c>
      <c r="G2826" s="24" t="s">
        <v>2889</v>
      </c>
      <c r="H2826" s="24" t="s">
        <v>2873</v>
      </c>
      <c r="I2826" s="24">
        <f t="shared" si="345"/>
        <v>0.4</v>
      </c>
      <c r="J2826" s="24">
        <f t="shared" si="346"/>
        <v>32.5</v>
      </c>
      <c r="K2826" s="24">
        <v>1200</v>
      </c>
      <c r="Q2826" s="42" t="s">
        <v>1735</v>
      </c>
      <c r="R2826" s="42" t="s">
        <v>1867</v>
      </c>
      <c r="S2826" s="42" t="s">
        <v>2901</v>
      </c>
      <c r="T2826" s="42" t="s">
        <v>2897</v>
      </c>
      <c r="U2826" s="42" t="s">
        <v>2086</v>
      </c>
      <c r="V2826" s="42"/>
      <c r="W2826" s="42"/>
      <c r="X2826" s="42" t="s">
        <v>1383</v>
      </c>
      <c r="Z2826" s="321">
        <v>50</v>
      </c>
      <c r="AA2826" s="321">
        <v>13</v>
      </c>
      <c r="AB2826" s="24" t="s">
        <v>2710</v>
      </c>
      <c r="AC2826" s="24">
        <v>5.2</v>
      </c>
      <c r="AD2826" s="24">
        <v>3</v>
      </c>
      <c r="AF2826" s="24" t="s">
        <v>2890</v>
      </c>
      <c r="AG2826" s="24" t="s">
        <v>2759</v>
      </c>
      <c r="AH2826" s="24" t="s">
        <v>578</v>
      </c>
      <c r="AI2826" s="24" t="s">
        <v>1650</v>
      </c>
      <c r="AJ2826" s="24" t="s">
        <v>133</v>
      </c>
      <c r="AT2826" s="24" t="s">
        <v>161</v>
      </c>
      <c r="BB2826" s="24" t="s">
        <v>2899</v>
      </c>
      <c r="BM2826" s="395">
        <v>1.41</v>
      </c>
      <c r="BN2826" s="395">
        <v>1.35</v>
      </c>
      <c r="BQ2826" s="24" t="s">
        <v>2903</v>
      </c>
      <c r="BR2826" s="395"/>
      <c r="BS2826" s="395"/>
      <c r="IQ2826" s="249"/>
    </row>
    <row r="2827" spans="1:251" s="36" customFormat="1" x14ac:dyDescent="0.25">
      <c r="A2827" s="36">
        <v>131</v>
      </c>
      <c r="B2827" s="36" t="s">
        <v>2905</v>
      </c>
      <c r="C2827" s="36" t="s">
        <v>2906</v>
      </c>
      <c r="D2827" s="36">
        <v>2004</v>
      </c>
      <c r="E2827" s="36">
        <v>1999</v>
      </c>
      <c r="F2827" s="36" t="s">
        <v>2753</v>
      </c>
      <c r="G2827" s="36" t="s">
        <v>2907</v>
      </c>
      <c r="H2827" s="36" t="s">
        <v>2908</v>
      </c>
      <c r="I2827" s="36">
        <f t="shared" ref="I2827:I2844" si="347">6+28/60</f>
        <v>6.4666666666666668</v>
      </c>
      <c r="J2827" s="36">
        <f t="shared" ref="J2827:J2844" si="348">1+38/60</f>
        <v>1.6333333333333333</v>
      </c>
      <c r="K2827" s="36">
        <v>72</v>
      </c>
      <c r="N2827" s="36">
        <v>968</v>
      </c>
      <c r="Q2827" s="51" t="s">
        <v>1986</v>
      </c>
      <c r="R2827" s="51" t="s">
        <v>1856</v>
      </c>
      <c r="S2827" s="51"/>
      <c r="T2827" s="51" t="s">
        <v>2919</v>
      </c>
      <c r="U2827" s="51" t="s">
        <v>1393</v>
      </c>
      <c r="V2827" s="51" t="s">
        <v>1727</v>
      </c>
      <c r="W2827" s="51" t="s">
        <v>1393</v>
      </c>
      <c r="X2827" s="51" t="s">
        <v>1393</v>
      </c>
      <c r="Z2827" s="331">
        <v>90</v>
      </c>
      <c r="AA2827" s="331">
        <v>1</v>
      </c>
      <c r="AB2827" s="36" t="s">
        <v>203</v>
      </c>
      <c r="AC2827" s="36">
        <v>5.7</v>
      </c>
      <c r="AF2827" s="36" t="s">
        <v>2909</v>
      </c>
      <c r="AG2827" s="36" t="s">
        <v>2757</v>
      </c>
      <c r="AH2827" s="36" t="s">
        <v>578</v>
      </c>
      <c r="AI2827" s="36" t="s">
        <v>1650</v>
      </c>
      <c r="AJ2827" s="36" t="s">
        <v>133</v>
      </c>
      <c r="AQ2827" s="36" t="s">
        <v>2910</v>
      </c>
      <c r="AR2827" s="36" t="s">
        <v>2910</v>
      </c>
      <c r="AT2827" s="36" t="s">
        <v>161</v>
      </c>
      <c r="AU2827" s="36">
        <v>4</v>
      </c>
      <c r="AV2827" s="36">
        <v>6</v>
      </c>
      <c r="AW2827" s="36" t="s">
        <v>142</v>
      </c>
      <c r="BH2827" s="36">
        <v>367</v>
      </c>
      <c r="BI2827" s="36">
        <v>580</v>
      </c>
      <c r="BM2827" s="407"/>
      <c r="BN2827" s="407"/>
      <c r="BR2827" s="407"/>
      <c r="BS2827" s="407"/>
      <c r="IO2827" s="36" t="s">
        <v>2920</v>
      </c>
      <c r="IQ2827" s="230"/>
    </row>
    <row r="2828" spans="1:251" s="36" customFormat="1" x14ac:dyDescent="0.25">
      <c r="A2828" s="36">
        <v>131</v>
      </c>
      <c r="B2828" s="36" t="s">
        <v>2905</v>
      </c>
      <c r="C2828" s="36" t="s">
        <v>2906</v>
      </c>
      <c r="D2828" s="36">
        <v>2004</v>
      </c>
      <c r="E2828" s="36">
        <v>1999</v>
      </c>
      <c r="F2828" s="36" t="s">
        <v>2753</v>
      </c>
      <c r="G2828" s="36" t="s">
        <v>2907</v>
      </c>
      <c r="H2828" s="36" t="s">
        <v>2908</v>
      </c>
      <c r="I2828" s="36">
        <f t="shared" si="347"/>
        <v>6.4666666666666668</v>
      </c>
      <c r="J2828" s="36">
        <f t="shared" si="348"/>
        <v>1.6333333333333333</v>
      </c>
      <c r="K2828" s="36">
        <v>72</v>
      </c>
      <c r="N2828" s="36">
        <v>968</v>
      </c>
      <c r="Q2828" s="51" t="s">
        <v>1986</v>
      </c>
      <c r="R2828" s="51" t="s">
        <v>1856</v>
      </c>
      <c r="S2828" s="51"/>
      <c r="T2828" s="51" t="s">
        <v>2919</v>
      </c>
      <c r="U2828" s="51" t="s">
        <v>1393</v>
      </c>
      <c r="V2828" s="51" t="s">
        <v>1727</v>
      </c>
      <c r="W2828" s="51" t="s">
        <v>1393</v>
      </c>
      <c r="X2828" s="51" t="s">
        <v>1393</v>
      </c>
      <c r="Z2828" s="331">
        <v>90</v>
      </c>
      <c r="AA2828" s="331">
        <v>1</v>
      </c>
      <c r="AB2828" s="36" t="s">
        <v>203</v>
      </c>
      <c r="AC2828" s="36">
        <v>5.7</v>
      </c>
      <c r="AF2828" s="36" t="s">
        <v>2909</v>
      </c>
      <c r="AG2828" s="36" t="s">
        <v>2757</v>
      </c>
      <c r="AH2828" s="36" t="s">
        <v>578</v>
      </c>
      <c r="AI2828" s="36" t="s">
        <v>1650</v>
      </c>
      <c r="AJ2828" s="36" t="s">
        <v>133</v>
      </c>
      <c r="AQ2828" s="36" t="s">
        <v>2912</v>
      </c>
      <c r="AR2828" s="36" t="s">
        <v>2912</v>
      </c>
      <c r="AT2828" s="36" t="s">
        <v>161</v>
      </c>
      <c r="AU2828" s="36">
        <v>4</v>
      </c>
      <c r="AV2828" s="36">
        <v>6</v>
      </c>
      <c r="AW2828" s="36" t="s">
        <v>142</v>
      </c>
      <c r="BH2828" s="36">
        <v>1156</v>
      </c>
      <c r="BI2828" s="36">
        <v>1472</v>
      </c>
      <c r="BM2828" s="407"/>
      <c r="BN2828" s="407"/>
      <c r="BR2828" s="407"/>
      <c r="BS2828" s="407"/>
      <c r="IO2828" s="36" t="s">
        <v>2920</v>
      </c>
      <c r="IQ2828" s="230"/>
    </row>
    <row r="2829" spans="1:251" s="36" customFormat="1" x14ac:dyDescent="0.25">
      <c r="A2829" s="36">
        <v>131</v>
      </c>
      <c r="B2829" s="36" t="s">
        <v>2905</v>
      </c>
      <c r="C2829" s="36" t="s">
        <v>2906</v>
      </c>
      <c r="D2829" s="36">
        <v>2004</v>
      </c>
      <c r="E2829" s="36">
        <v>1999</v>
      </c>
      <c r="F2829" s="36" t="s">
        <v>2753</v>
      </c>
      <c r="G2829" s="36" t="s">
        <v>2907</v>
      </c>
      <c r="H2829" s="36" t="s">
        <v>2908</v>
      </c>
      <c r="I2829" s="36">
        <f t="shared" si="347"/>
        <v>6.4666666666666668</v>
      </c>
      <c r="J2829" s="36">
        <f t="shared" si="348"/>
        <v>1.6333333333333333</v>
      </c>
      <c r="K2829" s="36">
        <v>72</v>
      </c>
      <c r="N2829" s="36">
        <v>968</v>
      </c>
      <c r="Q2829" s="51" t="s">
        <v>1986</v>
      </c>
      <c r="R2829" s="51" t="s">
        <v>1856</v>
      </c>
      <c r="S2829" s="51"/>
      <c r="T2829" s="51" t="s">
        <v>2919</v>
      </c>
      <c r="U2829" s="51" t="s">
        <v>1393</v>
      </c>
      <c r="V2829" s="51" t="s">
        <v>1727</v>
      </c>
      <c r="W2829" s="51" t="s">
        <v>1393</v>
      </c>
      <c r="X2829" s="51" t="s">
        <v>1393</v>
      </c>
      <c r="Z2829" s="331">
        <v>90</v>
      </c>
      <c r="AA2829" s="331">
        <v>1</v>
      </c>
      <c r="AB2829" s="36" t="s">
        <v>203</v>
      </c>
      <c r="AC2829" s="36">
        <v>5.7</v>
      </c>
      <c r="AF2829" s="36" t="s">
        <v>2909</v>
      </c>
      <c r="AG2829" s="36" t="s">
        <v>2757</v>
      </c>
      <c r="AH2829" s="36" t="s">
        <v>578</v>
      </c>
      <c r="AI2829" s="36" t="s">
        <v>1650</v>
      </c>
      <c r="AJ2829" s="36" t="s">
        <v>133</v>
      </c>
      <c r="AQ2829" s="36" t="s">
        <v>2913</v>
      </c>
      <c r="AR2829" s="36" t="s">
        <v>2913</v>
      </c>
      <c r="AT2829" s="36" t="s">
        <v>161</v>
      </c>
      <c r="AU2829" s="36">
        <v>4</v>
      </c>
      <c r="AV2829" s="36">
        <v>6</v>
      </c>
      <c r="AW2829" s="36" t="s">
        <v>142</v>
      </c>
      <c r="BH2829" s="36">
        <v>1528</v>
      </c>
      <c r="BI2829" s="36">
        <v>1583</v>
      </c>
      <c r="BM2829" s="407"/>
      <c r="BN2829" s="407"/>
      <c r="BR2829" s="407"/>
      <c r="BS2829" s="407"/>
      <c r="IO2829" s="36" t="s">
        <v>2920</v>
      </c>
      <c r="IQ2829" s="230"/>
    </row>
    <row r="2830" spans="1:251" s="97" customFormat="1" x14ac:dyDescent="0.25">
      <c r="A2830" s="97">
        <v>131</v>
      </c>
      <c r="B2830" s="97" t="s">
        <v>2905</v>
      </c>
      <c r="C2830" s="97" t="s">
        <v>2906</v>
      </c>
      <c r="D2830" s="97">
        <v>2004</v>
      </c>
      <c r="E2830" s="97">
        <v>1999</v>
      </c>
      <c r="F2830" s="97" t="s">
        <v>2753</v>
      </c>
      <c r="G2830" s="97" t="s">
        <v>2907</v>
      </c>
      <c r="H2830" s="97" t="s">
        <v>2908</v>
      </c>
      <c r="I2830" s="97">
        <f t="shared" si="347"/>
        <v>6.4666666666666668</v>
      </c>
      <c r="J2830" s="97">
        <f t="shared" si="348"/>
        <v>1.6333333333333333</v>
      </c>
      <c r="K2830" s="97">
        <v>72</v>
      </c>
      <c r="N2830" s="97">
        <v>968</v>
      </c>
      <c r="Q2830" s="98" t="s">
        <v>1986</v>
      </c>
      <c r="R2830" s="98" t="s">
        <v>1856</v>
      </c>
      <c r="S2830" s="98"/>
      <c r="T2830" s="98" t="s">
        <v>2919</v>
      </c>
      <c r="U2830" s="98" t="s">
        <v>1393</v>
      </c>
      <c r="V2830" s="98" t="s">
        <v>1727</v>
      </c>
      <c r="W2830" s="98" t="s">
        <v>1393</v>
      </c>
      <c r="X2830" s="98" t="s">
        <v>1393</v>
      </c>
      <c r="Z2830" s="350">
        <v>90</v>
      </c>
      <c r="AA2830" s="350">
        <v>1</v>
      </c>
      <c r="AB2830" s="97" t="s">
        <v>203</v>
      </c>
      <c r="AC2830" s="97">
        <v>5.7</v>
      </c>
      <c r="AF2830" s="97" t="s">
        <v>2909</v>
      </c>
      <c r="AG2830" s="97" t="s">
        <v>2757</v>
      </c>
      <c r="AH2830" s="97" t="s">
        <v>578</v>
      </c>
      <c r="AI2830" s="97" t="s">
        <v>1650</v>
      </c>
      <c r="AJ2830" s="97" t="s">
        <v>133</v>
      </c>
      <c r="AQ2830" s="97" t="s">
        <v>2911</v>
      </c>
      <c r="AR2830" s="97" t="s">
        <v>2911</v>
      </c>
      <c r="AT2830" s="97" t="s">
        <v>161</v>
      </c>
      <c r="AU2830" s="97">
        <v>4</v>
      </c>
      <c r="AV2830" s="97">
        <v>6</v>
      </c>
      <c r="AW2830" s="97" t="s">
        <v>142</v>
      </c>
      <c r="BH2830" s="97">
        <v>711</v>
      </c>
      <c r="BI2830" s="97">
        <v>497</v>
      </c>
      <c r="BM2830" s="425"/>
      <c r="BN2830" s="425"/>
      <c r="BR2830" s="425"/>
      <c r="BS2830" s="425"/>
      <c r="IO2830" s="36" t="s">
        <v>2920</v>
      </c>
      <c r="IQ2830" s="517"/>
    </row>
    <row r="2831" spans="1:251" s="97" customFormat="1" x14ac:dyDescent="0.25">
      <c r="A2831" s="97">
        <v>131</v>
      </c>
      <c r="B2831" s="97" t="s">
        <v>2905</v>
      </c>
      <c r="C2831" s="97" t="s">
        <v>2906</v>
      </c>
      <c r="D2831" s="97">
        <v>2004</v>
      </c>
      <c r="E2831" s="97">
        <v>1999</v>
      </c>
      <c r="F2831" s="97" t="s">
        <v>2753</v>
      </c>
      <c r="G2831" s="97" t="s">
        <v>2907</v>
      </c>
      <c r="H2831" s="97" t="s">
        <v>2908</v>
      </c>
      <c r="I2831" s="97">
        <f t="shared" si="347"/>
        <v>6.4666666666666668</v>
      </c>
      <c r="J2831" s="97">
        <f t="shared" si="348"/>
        <v>1.6333333333333333</v>
      </c>
      <c r="K2831" s="97">
        <v>72</v>
      </c>
      <c r="N2831" s="97">
        <v>968</v>
      </c>
      <c r="Q2831" s="98" t="s">
        <v>1986</v>
      </c>
      <c r="R2831" s="98" t="s">
        <v>1856</v>
      </c>
      <c r="S2831" s="98"/>
      <c r="T2831" s="98" t="s">
        <v>2919</v>
      </c>
      <c r="U2831" s="98" t="s">
        <v>1393</v>
      </c>
      <c r="V2831" s="98" t="s">
        <v>1727</v>
      </c>
      <c r="W2831" s="98" t="s">
        <v>1393</v>
      </c>
      <c r="X2831" s="98" t="s">
        <v>1393</v>
      </c>
      <c r="Z2831" s="350">
        <v>90</v>
      </c>
      <c r="AA2831" s="350">
        <v>1</v>
      </c>
      <c r="AB2831" s="97" t="s">
        <v>203</v>
      </c>
      <c r="AC2831" s="97">
        <v>5.7</v>
      </c>
      <c r="AF2831" s="97" t="s">
        <v>2909</v>
      </c>
      <c r="AG2831" s="97" t="s">
        <v>2757</v>
      </c>
      <c r="AH2831" s="97" t="s">
        <v>578</v>
      </c>
      <c r="AI2831" s="97" t="s">
        <v>1650</v>
      </c>
      <c r="AJ2831" s="97" t="s">
        <v>133</v>
      </c>
      <c r="AQ2831" s="97" t="s">
        <v>2914</v>
      </c>
      <c r="AR2831" s="97" t="s">
        <v>2914</v>
      </c>
      <c r="AT2831" s="97" t="s">
        <v>161</v>
      </c>
      <c r="AU2831" s="97">
        <v>4</v>
      </c>
      <c r="AV2831" s="97">
        <v>6</v>
      </c>
      <c r="AW2831" s="97" t="s">
        <v>142</v>
      </c>
      <c r="BH2831" s="97">
        <v>1537</v>
      </c>
      <c r="BI2831" s="97">
        <v>1871</v>
      </c>
      <c r="BM2831" s="425"/>
      <c r="BN2831" s="425"/>
      <c r="BR2831" s="425"/>
      <c r="BS2831" s="425"/>
      <c r="IO2831" s="36" t="s">
        <v>2920</v>
      </c>
      <c r="IQ2831" s="517"/>
    </row>
    <row r="2832" spans="1:251" s="97" customFormat="1" x14ac:dyDescent="0.25">
      <c r="A2832" s="97">
        <v>131</v>
      </c>
      <c r="B2832" s="97" t="s">
        <v>2905</v>
      </c>
      <c r="C2832" s="97" t="s">
        <v>2906</v>
      </c>
      <c r="D2832" s="97">
        <v>2004</v>
      </c>
      <c r="E2832" s="97">
        <v>1999</v>
      </c>
      <c r="F2832" s="97" t="s">
        <v>2753</v>
      </c>
      <c r="G2832" s="97" t="s">
        <v>2907</v>
      </c>
      <c r="H2832" s="97" t="s">
        <v>2908</v>
      </c>
      <c r="I2832" s="97">
        <f t="shared" si="347"/>
        <v>6.4666666666666668</v>
      </c>
      <c r="J2832" s="97">
        <f t="shared" si="348"/>
        <v>1.6333333333333333</v>
      </c>
      <c r="K2832" s="97">
        <v>72</v>
      </c>
      <c r="N2832" s="97">
        <v>968</v>
      </c>
      <c r="Q2832" s="98" t="s">
        <v>1986</v>
      </c>
      <c r="R2832" s="98" t="s">
        <v>1856</v>
      </c>
      <c r="S2832" s="98"/>
      <c r="T2832" s="98" t="s">
        <v>2919</v>
      </c>
      <c r="U2832" s="98" t="s">
        <v>1393</v>
      </c>
      <c r="V2832" s="98" t="s">
        <v>1727</v>
      </c>
      <c r="W2832" s="98" t="s">
        <v>1393</v>
      </c>
      <c r="X2832" s="98" t="s">
        <v>1393</v>
      </c>
      <c r="Z2832" s="350">
        <v>90</v>
      </c>
      <c r="AA2832" s="350">
        <v>1</v>
      </c>
      <c r="AB2832" s="97" t="s">
        <v>203</v>
      </c>
      <c r="AC2832" s="97">
        <v>5.7</v>
      </c>
      <c r="AF2832" s="97" t="s">
        <v>2909</v>
      </c>
      <c r="AG2832" s="97" t="s">
        <v>2757</v>
      </c>
      <c r="AH2832" s="97" t="s">
        <v>578</v>
      </c>
      <c r="AI2832" s="97" t="s">
        <v>1650</v>
      </c>
      <c r="AJ2832" s="97" t="s">
        <v>133</v>
      </c>
      <c r="AQ2832" s="97" t="s">
        <v>2915</v>
      </c>
      <c r="AR2832" s="97" t="s">
        <v>2915</v>
      </c>
      <c r="AT2832" s="97" t="s">
        <v>161</v>
      </c>
      <c r="AU2832" s="97">
        <v>4</v>
      </c>
      <c r="AV2832" s="97">
        <v>6</v>
      </c>
      <c r="AW2832" s="97" t="s">
        <v>142</v>
      </c>
      <c r="BH2832" s="97">
        <v>2076</v>
      </c>
      <c r="BI2832" s="97">
        <v>2215</v>
      </c>
      <c r="BM2832" s="425"/>
      <c r="BN2832" s="425"/>
      <c r="BR2832" s="425"/>
      <c r="BS2832" s="425"/>
      <c r="IO2832" s="36" t="s">
        <v>2920</v>
      </c>
      <c r="IQ2832" s="517"/>
    </row>
    <row r="2833" spans="1:251" s="36" customFormat="1" x14ac:dyDescent="0.25">
      <c r="A2833" s="36">
        <v>131</v>
      </c>
      <c r="B2833" s="36" t="s">
        <v>2905</v>
      </c>
      <c r="C2833" s="36" t="s">
        <v>2906</v>
      </c>
      <c r="D2833" s="36">
        <v>2004</v>
      </c>
      <c r="E2833" s="36">
        <v>1999</v>
      </c>
      <c r="F2833" s="36" t="s">
        <v>2753</v>
      </c>
      <c r="G2833" s="36" t="s">
        <v>2907</v>
      </c>
      <c r="H2833" s="36" t="s">
        <v>2908</v>
      </c>
      <c r="I2833" s="36">
        <f t="shared" si="347"/>
        <v>6.4666666666666668</v>
      </c>
      <c r="J2833" s="36">
        <f t="shared" si="348"/>
        <v>1.6333333333333333</v>
      </c>
      <c r="K2833" s="36">
        <v>72</v>
      </c>
      <c r="N2833" s="36">
        <v>968</v>
      </c>
      <c r="Q2833" s="51" t="s">
        <v>1986</v>
      </c>
      <c r="R2833" s="51" t="s">
        <v>1856</v>
      </c>
      <c r="S2833" s="51"/>
      <c r="T2833" s="51" t="s">
        <v>2919</v>
      </c>
      <c r="U2833" s="51" t="s">
        <v>1393</v>
      </c>
      <c r="V2833" s="51" t="s">
        <v>1727</v>
      </c>
      <c r="W2833" s="51" t="s">
        <v>1393</v>
      </c>
      <c r="X2833" s="51" t="s">
        <v>1393</v>
      </c>
      <c r="Z2833" s="331">
        <v>90</v>
      </c>
      <c r="AA2833" s="331">
        <v>1</v>
      </c>
      <c r="AB2833" s="36" t="s">
        <v>203</v>
      </c>
      <c r="AC2833" s="36">
        <v>5.7</v>
      </c>
      <c r="AF2833" s="36" t="s">
        <v>2909</v>
      </c>
      <c r="AG2833" s="36" t="s">
        <v>2757</v>
      </c>
      <c r="AH2833" s="36" t="s">
        <v>578</v>
      </c>
      <c r="AI2833" s="36" t="s">
        <v>1650</v>
      </c>
      <c r="AJ2833" s="36" t="s">
        <v>133</v>
      </c>
      <c r="AQ2833" s="36" t="s">
        <v>2916</v>
      </c>
      <c r="AR2833" s="36" t="s">
        <v>2916</v>
      </c>
      <c r="AT2833" s="36" t="s">
        <v>161</v>
      </c>
      <c r="AU2833" s="36">
        <v>4</v>
      </c>
      <c r="AV2833" s="36">
        <v>6</v>
      </c>
      <c r="AW2833" s="36" t="s">
        <v>142</v>
      </c>
      <c r="BH2833" s="36">
        <v>488</v>
      </c>
      <c r="BI2833" s="36">
        <v>580</v>
      </c>
      <c r="BM2833" s="407"/>
      <c r="BN2833" s="407"/>
      <c r="BR2833" s="407"/>
      <c r="BS2833" s="407"/>
      <c r="IO2833" s="36" t="s">
        <v>2920</v>
      </c>
      <c r="IQ2833" s="230"/>
    </row>
    <row r="2834" spans="1:251" s="36" customFormat="1" x14ac:dyDescent="0.25">
      <c r="A2834" s="36">
        <v>131</v>
      </c>
      <c r="B2834" s="36" t="s">
        <v>2905</v>
      </c>
      <c r="C2834" s="36" t="s">
        <v>2906</v>
      </c>
      <c r="D2834" s="36">
        <v>2004</v>
      </c>
      <c r="E2834" s="36">
        <v>1999</v>
      </c>
      <c r="F2834" s="36" t="s">
        <v>2753</v>
      </c>
      <c r="G2834" s="36" t="s">
        <v>2907</v>
      </c>
      <c r="H2834" s="36" t="s">
        <v>2908</v>
      </c>
      <c r="I2834" s="36">
        <f t="shared" si="347"/>
        <v>6.4666666666666668</v>
      </c>
      <c r="J2834" s="36">
        <f t="shared" si="348"/>
        <v>1.6333333333333333</v>
      </c>
      <c r="K2834" s="36">
        <v>72</v>
      </c>
      <c r="N2834" s="36">
        <v>968</v>
      </c>
      <c r="Q2834" s="51" t="s">
        <v>1986</v>
      </c>
      <c r="R2834" s="51" t="s">
        <v>1856</v>
      </c>
      <c r="S2834" s="51"/>
      <c r="T2834" s="51" t="s">
        <v>2919</v>
      </c>
      <c r="U2834" s="51" t="s">
        <v>1393</v>
      </c>
      <c r="V2834" s="51" t="s">
        <v>1727</v>
      </c>
      <c r="W2834" s="51" t="s">
        <v>1393</v>
      </c>
      <c r="X2834" s="51" t="s">
        <v>1393</v>
      </c>
      <c r="Z2834" s="331">
        <v>90</v>
      </c>
      <c r="AA2834" s="331">
        <v>1</v>
      </c>
      <c r="AB2834" s="36" t="s">
        <v>203</v>
      </c>
      <c r="AC2834" s="36">
        <v>5.7</v>
      </c>
      <c r="AF2834" s="36" t="s">
        <v>2909</v>
      </c>
      <c r="AG2834" s="36" t="s">
        <v>2757</v>
      </c>
      <c r="AH2834" s="36" t="s">
        <v>578</v>
      </c>
      <c r="AI2834" s="36" t="s">
        <v>1650</v>
      </c>
      <c r="AJ2834" s="36" t="s">
        <v>133</v>
      </c>
      <c r="AQ2834" s="36" t="s">
        <v>2917</v>
      </c>
      <c r="AR2834" s="36" t="s">
        <v>2917</v>
      </c>
      <c r="AT2834" s="36" t="s">
        <v>161</v>
      </c>
      <c r="AU2834" s="36">
        <v>4</v>
      </c>
      <c r="AV2834" s="36">
        <v>6</v>
      </c>
      <c r="AW2834" s="36" t="s">
        <v>142</v>
      </c>
      <c r="BH2834" s="36">
        <v>1323</v>
      </c>
      <c r="BI2834" s="36">
        <v>1723</v>
      </c>
      <c r="BM2834" s="407"/>
      <c r="BN2834" s="407"/>
      <c r="BR2834" s="407"/>
      <c r="BS2834" s="407"/>
      <c r="IO2834" s="36" t="s">
        <v>2920</v>
      </c>
      <c r="IQ2834" s="230"/>
    </row>
    <row r="2835" spans="1:251" s="36" customFormat="1" x14ac:dyDescent="0.25">
      <c r="A2835" s="36">
        <v>131</v>
      </c>
      <c r="B2835" s="36" t="s">
        <v>2905</v>
      </c>
      <c r="C2835" s="36" t="s">
        <v>2906</v>
      </c>
      <c r="D2835" s="36">
        <v>2004</v>
      </c>
      <c r="E2835" s="36">
        <v>1999</v>
      </c>
      <c r="F2835" s="36" t="s">
        <v>2753</v>
      </c>
      <c r="G2835" s="36" t="s">
        <v>2907</v>
      </c>
      <c r="H2835" s="36" t="s">
        <v>2908</v>
      </c>
      <c r="I2835" s="36">
        <f t="shared" si="347"/>
        <v>6.4666666666666668</v>
      </c>
      <c r="J2835" s="36">
        <f t="shared" si="348"/>
        <v>1.6333333333333333</v>
      </c>
      <c r="K2835" s="36">
        <v>72</v>
      </c>
      <c r="N2835" s="36">
        <v>968</v>
      </c>
      <c r="Q2835" s="51" t="s">
        <v>1986</v>
      </c>
      <c r="R2835" s="51" t="s">
        <v>1856</v>
      </c>
      <c r="S2835" s="51"/>
      <c r="T2835" s="51" t="s">
        <v>2919</v>
      </c>
      <c r="U2835" s="51" t="s">
        <v>1393</v>
      </c>
      <c r="V2835" s="51" t="s">
        <v>1727</v>
      </c>
      <c r="W2835" s="51" t="s">
        <v>1393</v>
      </c>
      <c r="X2835" s="51" t="s">
        <v>1393</v>
      </c>
      <c r="Z2835" s="331">
        <v>90</v>
      </c>
      <c r="AA2835" s="331">
        <v>1</v>
      </c>
      <c r="AB2835" s="36" t="s">
        <v>203</v>
      </c>
      <c r="AC2835" s="36">
        <v>5.7</v>
      </c>
      <c r="AF2835" s="36" t="s">
        <v>2909</v>
      </c>
      <c r="AG2835" s="36" t="s">
        <v>2757</v>
      </c>
      <c r="AH2835" s="36" t="s">
        <v>578</v>
      </c>
      <c r="AI2835" s="36" t="s">
        <v>1650</v>
      </c>
      <c r="AJ2835" s="36" t="s">
        <v>133</v>
      </c>
      <c r="AQ2835" s="36" t="s">
        <v>2918</v>
      </c>
      <c r="AR2835" s="36" t="s">
        <v>2918</v>
      </c>
      <c r="AT2835" s="36" t="s">
        <v>161</v>
      </c>
      <c r="AU2835" s="36">
        <v>4</v>
      </c>
      <c r="AV2835" s="36">
        <v>6</v>
      </c>
      <c r="AW2835" s="36" t="s">
        <v>142</v>
      </c>
      <c r="BH2835" s="36">
        <v>1667</v>
      </c>
      <c r="BI2835" s="36">
        <v>1992</v>
      </c>
      <c r="BM2835" s="407"/>
      <c r="BN2835" s="407"/>
      <c r="BR2835" s="407"/>
      <c r="BS2835" s="407"/>
      <c r="IO2835" s="36" t="s">
        <v>2920</v>
      </c>
      <c r="IQ2835" s="230"/>
    </row>
    <row r="2836" spans="1:251" s="126" customFormat="1" x14ac:dyDescent="0.25">
      <c r="A2836" s="126">
        <v>131</v>
      </c>
      <c r="B2836" s="126" t="s">
        <v>2905</v>
      </c>
      <c r="C2836" s="126" t="s">
        <v>2906</v>
      </c>
      <c r="D2836" s="126">
        <v>2004</v>
      </c>
      <c r="E2836" s="126">
        <v>2000</v>
      </c>
      <c r="F2836" s="126" t="s">
        <v>2753</v>
      </c>
      <c r="G2836" s="126" t="s">
        <v>2907</v>
      </c>
      <c r="H2836" s="126" t="s">
        <v>2908</v>
      </c>
      <c r="I2836" s="126">
        <f t="shared" si="347"/>
        <v>6.4666666666666668</v>
      </c>
      <c r="J2836" s="126">
        <f t="shared" si="348"/>
        <v>1.6333333333333333</v>
      </c>
      <c r="K2836" s="126">
        <v>72</v>
      </c>
      <c r="N2836" s="126">
        <v>968</v>
      </c>
      <c r="Q2836" s="478" t="s">
        <v>1856</v>
      </c>
      <c r="R2836" s="478" t="s">
        <v>1856</v>
      </c>
      <c r="S2836" s="478"/>
      <c r="T2836" s="478" t="s">
        <v>2919</v>
      </c>
      <c r="U2836" s="478" t="s">
        <v>1393</v>
      </c>
      <c r="V2836" s="478" t="s">
        <v>1727</v>
      </c>
      <c r="W2836" s="478" t="s">
        <v>1393</v>
      </c>
      <c r="X2836" s="478" t="s">
        <v>1393</v>
      </c>
      <c r="Z2836" s="479">
        <v>90</v>
      </c>
      <c r="AA2836" s="479">
        <v>1</v>
      </c>
      <c r="AB2836" s="126" t="s">
        <v>203</v>
      </c>
      <c r="AC2836" s="126">
        <v>5.7</v>
      </c>
      <c r="AF2836" s="126" t="s">
        <v>2909</v>
      </c>
      <c r="AG2836" s="126" t="s">
        <v>2757</v>
      </c>
      <c r="AH2836" s="126" t="s">
        <v>578</v>
      </c>
      <c r="AI2836" s="126" t="s">
        <v>1650</v>
      </c>
      <c r="AJ2836" s="126" t="s">
        <v>133</v>
      </c>
      <c r="AQ2836" s="126" t="s">
        <v>2910</v>
      </c>
      <c r="AR2836" s="126" t="s">
        <v>2910</v>
      </c>
      <c r="AT2836" s="126" t="s">
        <v>161</v>
      </c>
      <c r="AU2836" s="126">
        <v>4</v>
      </c>
      <c r="AV2836" s="126">
        <v>6</v>
      </c>
      <c r="AW2836" s="126" t="s">
        <v>142</v>
      </c>
      <c r="BH2836" s="126">
        <v>1325</v>
      </c>
      <c r="BI2836" s="126">
        <v>2263</v>
      </c>
      <c r="BM2836" s="481"/>
      <c r="BN2836" s="481"/>
      <c r="BR2836" s="481"/>
      <c r="BS2836" s="481"/>
      <c r="IO2836" s="126" t="s">
        <v>2920</v>
      </c>
      <c r="IQ2836" s="480"/>
    </row>
    <row r="2837" spans="1:251" s="126" customFormat="1" x14ac:dyDescent="0.25">
      <c r="A2837" s="126">
        <v>131</v>
      </c>
      <c r="B2837" s="126" t="s">
        <v>2905</v>
      </c>
      <c r="C2837" s="126" t="s">
        <v>2906</v>
      </c>
      <c r="D2837" s="126">
        <v>2004</v>
      </c>
      <c r="E2837" s="126">
        <v>2000</v>
      </c>
      <c r="F2837" s="126" t="s">
        <v>2753</v>
      </c>
      <c r="G2837" s="126" t="s">
        <v>2907</v>
      </c>
      <c r="H2837" s="126" t="s">
        <v>2908</v>
      </c>
      <c r="I2837" s="126">
        <f t="shared" si="347"/>
        <v>6.4666666666666668</v>
      </c>
      <c r="J2837" s="126">
        <f t="shared" si="348"/>
        <v>1.6333333333333333</v>
      </c>
      <c r="K2837" s="126">
        <v>72</v>
      </c>
      <c r="N2837" s="126">
        <v>968</v>
      </c>
      <c r="Q2837" s="478" t="s">
        <v>1856</v>
      </c>
      <c r="R2837" s="478" t="s">
        <v>1856</v>
      </c>
      <c r="S2837" s="478"/>
      <c r="T2837" s="478" t="s">
        <v>2919</v>
      </c>
      <c r="U2837" s="478" t="s">
        <v>1393</v>
      </c>
      <c r="V2837" s="478" t="s">
        <v>1727</v>
      </c>
      <c r="W2837" s="478" t="s">
        <v>1393</v>
      </c>
      <c r="X2837" s="478" t="s">
        <v>1393</v>
      </c>
      <c r="Z2837" s="479">
        <v>90</v>
      </c>
      <c r="AA2837" s="479">
        <v>1</v>
      </c>
      <c r="AB2837" s="126" t="s">
        <v>203</v>
      </c>
      <c r="AC2837" s="126">
        <v>5.7</v>
      </c>
      <c r="AF2837" s="126" t="s">
        <v>2909</v>
      </c>
      <c r="AG2837" s="126" t="s">
        <v>2757</v>
      </c>
      <c r="AH2837" s="126" t="s">
        <v>578</v>
      </c>
      <c r="AI2837" s="126" t="s">
        <v>1650</v>
      </c>
      <c r="AJ2837" s="126" t="s">
        <v>133</v>
      </c>
      <c r="AQ2837" s="126" t="s">
        <v>2912</v>
      </c>
      <c r="AR2837" s="126" t="s">
        <v>2912</v>
      </c>
      <c r="AT2837" s="126" t="s">
        <v>161</v>
      </c>
      <c r="AU2837" s="126">
        <v>4</v>
      </c>
      <c r="AV2837" s="126">
        <v>6</v>
      </c>
      <c r="AW2837" s="126" t="s">
        <v>142</v>
      </c>
      <c r="BH2837" s="126">
        <v>2186</v>
      </c>
      <c r="BI2837" s="126">
        <v>2918</v>
      </c>
      <c r="BM2837" s="481"/>
      <c r="BN2837" s="481"/>
      <c r="BR2837" s="481"/>
      <c r="BS2837" s="481"/>
      <c r="IO2837" s="126" t="s">
        <v>2920</v>
      </c>
      <c r="IQ2837" s="480"/>
    </row>
    <row r="2838" spans="1:251" s="126" customFormat="1" x14ac:dyDescent="0.25">
      <c r="A2838" s="126">
        <v>131</v>
      </c>
      <c r="B2838" s="126" t="s">
        <v>2905</v>
      </c>
      <c r="C2838" s="126" t="s">
        <v>2906</v>
      </c>
      <c r="D2838" s="126">
        <v>2004</v>
      </c>
      <c r="E2838" s="126">
        <v>2000</v>
      </c>
      <c r="F2838" s="126" t="s">
        <v>2753</v>
      </c>
      <c r="G2838" s="126" t="s">
        <v>2907</v>
      </c>
      <c r="H2838" s="126" t="s">
        <v>2908</v>
      </c>
      <c r="I2838" s="126">
        <f t="shared" si="347"/>
        <v>6.4666666666666668</v>
      </c>
      <c r="J2838" s="126">
        <f t="shared" si="348"/>
        <v>1.6333333333333333</v>
      </c>
      <c r="K2838" s="126">
        <v>72</v>
      </c>
      <c r="N2838" s="126">
        <v>968</v>
      </c>
      <c r="Q2838" s="478" t="s">
        <v>1856</v>
      </c>
      <c r="R2838" s="478" t="s">
        <v>1856</v>
      </c>
      <c r="S2838" s="478"/>
      <c r="T2838" s="478" t="s">
        <v>2919</v>
      </c>
      <c r="U2838" s="478" t="s">
        <v>1393</v>
      </c>
      <c r="V2838" s="478" t="s">
        <v>1727</v>
      </c>
      <c r="W2838" s="478" t="s">
        <v>1393</v>
      </c>
      <c r="X2838" s="478" t="s">
        <v>1393</v>
      </c>
      <c r="Z2838" s="479">
        <v>90</v>
      </c>
      <c r="AA2838" s="479">
        <v>1</v>
      </c>
      <c r="AB2838" s="126" t="s">
        <v>203</v>
      </c>
      <c r="AC2838" s="126">
        <v>5.7</v>
      </c>
      <c r="AF2838" s="126" t="s">
        <v>2909</v>
      </c>
      <c r="AG2838" s="126" t="s">
        <v>2757</v>
      </c>
      <c r="AH2838" s="126" t="s">
        <v>578</v>
      </c>
      <c r="AI2838" s="126" t="s">
        <v>1650</v>
      </c>
      <c r="AJ2838" s="126" t="s">
        <v>133</v>
      </c>
      <c r="AQ2838" s="126" t="s">
        <v>2913</v>
      </c>
      <c r="AR2838" s="126" t="s">
        <v>2913</v>
      </c>
      <c r="AT2838" s="126" t="s">
        <v>161</v>
      </c>
      <c r="AU2838" s="126">
        <v>4</v>
      </c>
      <c r="AV2838" s="126">
        <v>6</v>
      </c>
      <c r="AW2838" s="126" t="s">
        <v>142</v>
      </c>
      <c r="BH2838" s="126">
        <v>2513</v>
      </c>
      <c r="BI2838" s="126">
        <v>2878</v>
      </c>
      <c r="BM2838" s="481"/>
      <c r="BN2838" s="481"/>
      <c r="BR2838" s="481"/>
      <c r="BS2838" s="481"/>
      <c r="IO2838" s="126" t="s">
        <v>2920</v>
      </c>
      <c r="IQ2838" s="480"/>
    </row>
    <row r="2839" spans="1:251" s="99" customFormat="1" x14ac:dyDescent="0.25">
      <c r="A2839" s="99">
        <v>131</v>
      </c>
      <c r="B2839" s="99" t="s">
        <v>2905</v>
      </c>
      <c r="C2839" s="99" t="s">
        <v>2906</v>
      </c>
      <c r="D2839" s="99">
        <v>2004</v>
      </c>
      <c r="E2839" s="99">
        <v>2000</v>
      </c>
      <c r="F2839" s="99" t="s">
        <v>2753</v>
      </c>
      <c r="G2839" s="99" t="s">
        <v>2907</v>
      </c>
      <c r="H2839" s="99" t="s">
        <v>2908</v>
      </c>
      <c r="I2839" s="99">
        <f t="shared" si="347"/>
        <v>6.4666666666666668</v>
      </c>
      <c r="J2839" s="99">
        <f t="shared" si="348"/>
        <v>1.6333333333333333</v>
      </c>
      <c r="K2839" s="99">
        <v>72</v>
      </c>
      <c r="N2839" s="99">
        <v>968</v>
      </c>
      <c r="Q2839" s="100" t="s">
        <v>1856</v>
      </c>
      <c r="R2839" s="100" t="s">
        <v>1856</v>
      </c>
      <c r="S2839" s="100"/>
      <c r="T2839" s="100" t="s">
        <v>2919</v>
      </c>
      <c r="U2839" s="100" t="s">
        <v>1393</v>
      </c>
      <c r="V2839" s="100" t="s">
        <v>1727</v>
      </c>
      <c r="W2839" s="100" t="s">
        <v>1393</v>
      </c>
      <c r="X2839" s="100" t="s">
        <v>1393</v>
      </c>
      <c r="Z2839" s="351">
        <v>90</v>
      </c>
      <c r="AA2839" s="351">
        <v>1</v>
      </c>
      <c r="AB2839" s="99" t="s">
        <v>203</v>
      </c>
      <c r="AC2839" s="99">
        <v>5.7</v>
      </c>
      <c r="AF2839" s="99" t="s">
        <v>2909</v>
      </c>
      <c r="AG2839" s="99" t="s">
        <v>2757</v>
      </c>
      <c r="AH2839" s="99" t="s">
        <v>578</v>
      </c>
      <c r="AI2839" s="99" t="s">
        <v>1650</v>
      </c>
      <c r="AJ2839" s="99" t="s">
        <v>133</v>
      </c>
      <c r="AQ2839" s="99" t="s">
        <v>2911</v>
      </c>
      <c r="AR2839" s="99" t="s">
        <v>2911</v>
      </c>
      <c r="AT2839" s="99" t="s">
        <v>161</v>
      </c>
      <c r="AU2839" s="99">
        <v>4</v>
      </c>
      <c r="AV2839" s="99">
        <v>6</v>
      </c>
      <c r="AW2839" s="99" t="s">
        <v>142</v>
      </c>
      <c r="BH2839" s="99">
        <v>1647</v>
      </c>
      <c r="BI2839" s="99">
        <v>2219</v>
      </c>
      <c r="BM2839" s="426"/>
      <c r="BN2839" s="426"/>
      <c r="BR2839" s="426"/>
      <c r="BS2839" s="426"/>
      <c r="IO2839" s="99" t="s">
        <v>2920</v>
      </c>
      <c r="IQ2839" s="511"/>
    </row>
    <row r="2840" spans="1:251" s="99" customFormat="1" x14ac:dyDescent="0.25">
      <c r="A2840" s="99">
        <v>131</v>
      </c>
      <c r="B2840" s="99" t="s">
        <v>2905</v>
      </c>
      <c r="C2840" s="99" t="s">
        <v>2906</v>
      </c>
      <c r="D2840" s="99">
        <v>2004</v>
      </c>
      <c r="E2840" s="99">
        <v>2000</v>
      </c>
      <c r="F2840" s="99" t="s">
        <v>2753</v>
      </c>
      <c r="G2840" s="99" t="s">
        <v>2907</v>
      </c>
      <c r="H2840" s="99" t="s">
        <v>2908</v>
      </c>
      <c r="I2840" s="99">
        <f t="shared" si="347"/>
        <v>6.4666666666666668</v>
      </c>
      <c r="J2840" s="99">
        <f t="shared" si="348"/>
        <v>1.6333333333333333</v>
      </c>
      <c r="K2840" s="99">
        <v>72</v>
      </c>
      <c r="N2840" s="99">
        <v>968</v>
      </c>
      <c r="Q2840" s="100" t="s">
        <v>1856</v>
      </c>
      <c r="R2840" s="100" t="s">
        <v>1856</v>
      </c>
      <c r="S2840" s="100"/>
      <c r="T2840" s="100" t="s">
        <v>2919</v>
      </c>
      <c r="U2840" s="100" t="s">
        <v>1393</v>
      </c>
      <c r="V2840" s="100" t="s">
        <v>1727</v>
      </c>
      <c r="W2840" s="100" t="s">
        <v>1393</v>
      </c>
      <c r="X2840" s="100" t="s">
        <v>1393</v>
      </c>
      <c r="Z2840" s="351">
        <v>90</v>
      </c>
      <c r="AA2840" s="351">
        <v>1</v>
      </c>
      <c r="AB2840" s="99" t="s">
        <v>203</v>
      </c>
      <c r="AC2840" s="99">
        <v>5.7</v>
      </c>
      <c r="AF2840" s="99" t="s">
        <v>2909</v>
      </c>
      <c r="AG2840" s="99" t="s">
        <v>2757</v>
      </c>
      <c r="AH2840" s="99" t="s">
        <v>578</v>
      </c>
      <c r="AI2840" s="99" t="s">
        <v>1650</v>
      </c>
      <c r="AJ2840" s="99" t="s">
        <v>133</v>
      </c>
      <c r="AQ2840" s="99" t="s">
        <v>2914</v>
      </c>
      <c r="AR2840" s="99" t="s">
        <v>2914</v>
      </c>
      <c r="AT2840" s="99" t="s">
        <v>161</v>
      </c>
      <c r="AU2840" s="99">
        <v>4</v>
      </c>
      <c r="AV2840" s="99">
        <v>6</v>
      </c>
      <c r="AW2840" s="99" t="s">
        <v>142</v>
      </c>
      <c r="BH2840" s="99">
        <v>2639</v>
      </c>
      <c r="BI2840" s="99">
        <v>2789</v>
      </c>
      <c r="BM2840" s="426"/>
      <c r="BN2840" s="426"/>
      <c r="BR2840" s="426"/>
      <c r="BS2840" s="426"/>
      <c r="IO2840" s="99" t="s">
        <v>2920</v>
      </c>
      <c r="IQ2840" s="511"/>
    </row>
    <row r="2841" spans="1:251" s="99" customFormat="1" x14ac:dyDescent="0.25">
      <c r="A2841" s="99">
        <v>131</v>
      </c>
      <c r="B2841" s="99" t="s">
        <v>2905</v>
      </c>
      <c r="C2841" s="99" t="s">
        <v>2906</v>
      </c>
      <c r="D2841" s="99">
        <v>2004</v>
      </c>
      <c r="E2841" s="99">
        <v>2000</v>
      </c>
      <c r="F2841" s="99" t="s">
        <v>2753</v>
      </c>
      <c r="G2841" s="99" t="s">
        <v>2907</v>
      </c>
      <c r="H2841" s="99" t="s">
        <v>2908</v>
      </c>
      <c r="I2841" s="99">
        <f t="shared" si="347"/>
        <v>6.4666666666666668</v>
      </c>
      <c r="J2841" s="99">
        <f t="shared" si="348"/>
        <v>1.6333333333333333</v>
      </c>
      <c r="K2841" s="99">
        <v>72</v>
      </c>
      <c r="N2841" s="99">
        <v>968</v>
      </c>
      <c r="Q2841" s="100" t="s">
        <v>1856</v>
      </c>
      <c r="R2841" s="100" t="s">
        <v>1856</v>
      </c>
      <c r="S2841" s="100"/>
      <c r="T2841" s="100" t="s">
        <v>2919</v>
      </c>
      <c r="U2841" s="100" t="s">
        <v>1393</v>
      </c>
      <c r="V2841" s="100" t="s">
        <v>1727</v>
      </c>
      <c r="W2841" s="100" t="s">
        <v>1393</v>
      </c>
      <c r="X2841" s="100" t="s">
        <v>1393</v>
      </c>
      <c r="Z2841" s="351">
        <v>90</v>
      </c>
      <c r="AA2841" s="351">
        <v>1</v>
      </c>
      <c r="AB2841" s="99" t="s">
        <v>203</v>
      </c>
      <c r="AC2841" s="99">
        <v>5.7</v>
      </c>
      <c r="AF2841" s="99" t="s">
        <v>2909</v>
      </c>
      <c r="AG2841" s="99" t="s">
        <v>2757</v>
      </c>
      <c r="AH2841" s="99" t="s">
        <v>578</v>
      </c>
      <c r="AI2841" s="99" t="s">
        <v>1650</v>
      </c>
      <c r="AJ2841" s="99" t="s">
        <v>133</v>
      </c>
      <c r="AQ2841" s="99" t="s">
        <v>2915</v>
      </c>
      <c r="AR2841" s="99" t="s">
        <v>2915</v>
      </c>
      <c r="AT2841" s="99" t="s">
        <v>161</v>
      </c>
      <c r="AU2841" s="99">
        <v>4</v>
      </c>
      <c r="AV2841" s="99">
        <v>6</v>
      </c>
      <c r="AW2841" s="99" t="s">
        <v>142</v>
      </c>
      <c r="BH2841" s="99">
        <v>2853</v>
      </c>
      <c r="BI2841" s="99">
        <v>2937</v>
      </c>
      <c r="BM2841" s="426"/>
      <c r="BN2841" s="426"/>
      <c r="BR2841" s="426"/>
      <c r="BS2841" s="426"/>
      <c r="IO2841" s="99" t="s">
        <v>2920</v>
      </c>
      <c r="IQ2841" s="511"/>
    </row>
    <row r="2842" spans="1:251" s="126" customFormat="1" x14ac:dyDescent="0.25">
      <c r="A2842" s="126">
        <v>131</v>
      </c>
      <c r="B2842" s="126" t="s">
        <v>2905</v>
      </c>
      <c r="C2842" s="126" t="s">
        <v>2906</v>
      </c>
      <c r="D2842" s="126">
        <v>2004</v>
      </c>
      <c r="E2842" s="126">
        <v>2000</v>
      </c>
      <c r="F2842" s="126" t="s">
        <v>2753</v>
      </c>
      <c r="G2842" s="126" t="s">
        <v>2907</v>
      </c>
      <c r="H2842" s="126" t="s">
        <v>2908</v>
      </c>
      <c r="I2842" s="126">
        <f t="shared" si="347"/>
        <v>6.4666666666666668</v>
      </c>
      <c r="J2842" s="126">
        <f t="shared" si="348"/>
        <v>1.6333333333333333</v>
      </c>
      <c r="K2842" s="126">
        <v>72</v>
      </c>
      <c r="N2842" s="126">
        <v>968</v>
      </c>
      <c r="Q2842" s="478" t="s">
        <v>1856</v>
      </c>
      <c r="R2842" s="478" t="s">
        <v>1856</v>
      </c>
      <c r="S2842" s="478"/>
      <c r="T2842" s="478" t="s">
        <v>2919</v>
      </c>
      <c r="U2842" s="478" t="s">
        <v>1393</v>
      </c>
      <c r="V2842" s="478" t="s">
        <v>1727</v>
      </c>
      <c r="W2842" s="478" t="s">
        <v>1393</v>
      </c>
      <c r="X2842" s="478" t="s">
        <v>1393</v>
      </c>
      <c r="Z2842" s="479">
        <v>90</v>
      </c>
      <c r="AA2842" s="479">
        <v>1</v>
      </c>
      <c r="AB2842" s="126" t="s">
        <v>203</v>
      </c>
      <c r="AC2842" s="126">
        <v>5.7</v>
      </c>
      <c r="AF2842" s="126" t="s">
        <v>2909</v>
      </c>
      <c r="AG2842" s="126" t="s">
        <v>2757</v>
      </c>
      <c r="AH2842" s="126" t="s">
        <v>578</v>
      </c>
      <c r="AI2842" s="126" t="s">
        <v>1650</v>
      </c>
      <c r="AJ2842" s="126" t="s">
        <v>133</v>
      </c>
      <c r="AQ2842" s="126" t="s">
        <v>2916</v>
      </c>
      <c r="AR2842" s="126" t="s">
        <v>2916</v>
      </c>
      <c r="AT2842" s="126" t="s">
        <v>161</v>
      </c>
      <c r="AU2842" s="126">
        <v>4</v>
      </c>
      <c r="AV2842" s="126">
        <v>6</v>
      </c>
      <c r="AW2842" s="126" t="s">
        <v>142</v>
      </c>
      <c r="BH2842" s="126">
        <v>1434</v>
      </c>
      <c r="BI2842" s="126">
        <v>2081</v>
      </c>
      <c r="BM2842" s="481"/>
      <c r="BN2842" s="481"/>
      <c r="BR2842" s="481"/>
      <c r="BS2842" s="481"/>
      <c r="IO2842" s="126" t="s">
        <v>2920</v>
      </c>
      <c r="IQ2842" s="480"/>
    </row>
    <row r="2843" spans="1:251" s="126" customFormat="1" x14ac:dyDescent="0.25">
      <c r="A2843" s="126">
        <v>131</v>
      </c>
      <c r="B2843" s="126" t="s">
        <v>2905</v>
      </c>
      <c r="C2843" s="126" t="s">
        <v>2906</v>
      </c>
      <c r="D2843" s="126">
        <v>2004</v>
      </c>
      <c r="E2843" s="126">
        <v>2000</v>
      </c>
      <c r="F2843" s="126" t="s">
        <v>2753</v>
      </c>
      <c r="G2843" s="126" t="s">
        <v>2907</v>
      </c>
      <c r="H2843" s="126" t="s">
        <v>2908</v>
      </c>
      <c r="I2843" s="126">
        <f t="shared" si="347"/>
        <v>6.4666666666666668</v>
      </c>
      <c r="J2843" s="126">
        <f t="shared" si="348"/>
        <v>1.6333333333333333</v>
      </c>
      <c r="K2843" s="126">
        <v>72</v>
      </c>
      <c r="N2843" s="126">
        <v>968</v>
      </c>
      <c r="Q2843" s="478" t="s">
        <v>1856</v>
      </c>
      <c r="R2843" s="478" t="s">
        <v>1856</v>
      </c>
      <c r="S2843" s="478"/>
      <c r="T2843" s="478" t="s">
        <v>2919</v>
      </c>
      <c r="U2843" s="478" t="s">
        <v>1393</v>
      </c>
      <c r="V2843" s="478" t="s">
        <v>1727</v>
      </c>
      <c r="W2843" s="478" t="s">
        <v>1393</v>
      </c>
      <c r="X2843" s="478" t="s">
        <v>1393</v>
      </c>
      <c r="Z2843" s="479">
        <v>90</v>
      </c>
      <c r="AA2843" s="479">
        <v>1</v>
      </c>
      <c r="AB2843" s="126" t="s">
        <v>203</v>
      </c>
      <c r="AC2843" s="126">
        <v>5.7</v>
      </c>
      <c r="AF2843" s="126" t="s">
        <v>2909</v>
      </c>
      <c r="AG2843" s="126" t="s">
        <v>2757</v>
      </c>
      <c r="AH2843" s="126" t="s">
        <v>578</v>
      </c>
      <c r="AI2843" s="126" t="s">
        <v>1650</v>
      </c>
      <c r="AJ2843" s="126" t="s">
        <v>133</v>
      </c>
      <c r="AQ2843" s="126" t="s">
        <v>2917</v>
      </c>
      <c r="AR2843" s="126" t="s">
        <v>2917</v>
      </c>
      <c r="AT2843" s="126" t="s">
        <v>161</v>
      </c>
      <c r="AU2843" s="126">
        <v>4</v>
      </c>
      <c r="AV2843" s="126">
        <v>6</v>
      </c>
      <c r="AW2843" s="126" t="s">
        <v>142</v>
      </c>
      <c r="BH2843" s="126">
        <v>2220</v>
      </c>
      <c r="BI2843" s="126">
        <v>2830</v>
      </c>
      <c r="BM2843" s="481"/>
      <c r="BN2843" s="481"/>
      <c r="BR2843" s="481"/>
      <c r="BS2843" s="481"/>
      <c r="IO2843" s="126" t="s">
        <v>2920</v>
      </c>
      <c r="IQ2843" s="480"/>
    </row>
    <row r="2844" spans="1:251" s="126" customFormat="1" x14ac:dyDescent="0.25">
      <c r="A2844" s="126">
        <v>131</v>
      </c>
      <c r="B2844" s="126" t="s">
        <v>2905</v>
      </c>
      <c r="C2844" s="126" t="s">
        <v>2906</v>
      </c>
      <c r="D2844" s="126">
        <v>2004</v>
      </c>
      <c r="E2844" s="126">
        <v>2000</v>
      </c>
      <c r="F2844" s="126" t="s">
        <v>2753</v>
      </c>
      <c r="G2844" s="126" t="s">
        <v>2907</v>
      </c>
      <c r="H2844" s="126" t="s">
        <v>2908</v>
      </c>
      <c r="I2844" s="126">
        <f t="shared" si="347"/>
        <v>6.4666666666666668</v>
      </c>
      <c r="J2844" s="126">
        <f t="shared" si="348"/>
        <v>1.6333333333333333</v>
      </c>
      <c r="K2844" s="126">
        <v>72</v>
      </c>
      <c r="N2844" s="126">
        <v>968</v>
      </c>
      <c r="Q2844" s="478" t="s">
        <v>1856</v>
      </c>
      <c r="R2844" s="478" t="s">
        <v>1856</v>
      </c>
      <c r="S2844" s="478"/>
      <c r="T2844" s="478" t="s">
        <v>2919</v>
      </c>
      <c r="U2844" s="478" t="s">
        <v>1393</v>
      </c>
      <c r="V2844" s="478" t="s">
        <v>1727</v>
      </c>
      <c r="W2844" s="478" t="s">
        <v>1393</v>
      </c>
      <c r="X2844" s="478" t="s">
        <v>1393</v>
      </c>
      <c r="Z2844" s="479">
        <v>90</v>
      </c>
      <c r="AA2844" s="479">
        <v>1</v>
      </c>
      <c r="AB2844" s="126" t="s">
        <v>203</v>
      </c>
      <c r="AC2844" s="126">
        <v>5.7</v>
      </c>
      <c r="AF2844" s="126" t="s">
        <v>2909</v>
      </c>
      <c r="AG2844" s="126" t="s">
        <v>2757</v>
      </c>
      <c r="AH2844" s="126" t="s">
        <v>578</v>
      </c>
      <c r="AI2844" s="126" t="s">
        <v>1650</v>
      </c>
      <c r="AJ2844" s="126" t="s">
        <v>133</v>
      </c>
      <c r="AQ2844" s="126" t="s">
        <v>2918</v>
      </c>
      <c r="AR2844" s="126" t="s">
        <v>2918</v>
      </c>
      <c r="AT2844" s="126" t="s">
        <v>161</v>
      </c>
      <c r="AU2844" s="126">
        <v>4</v>
      </c>
      <c r="AV2844" s="126">
        <v>6</v>
      </c>
      <c r="AW2844" s="126" t="s">
        <v>142</v>
      </c>
      <c r="BH2844" s="126">
        <v>2678</v>
      </c>
      <c r="BI2844" s="126">
        <v>2875</v>
      </c>
      <c r="BM2844" s="481"/>
      <c r="BN2844" s="481"/>
      <c r="BR2844" s="481"/>
      <c r="BS2844" s="481"/>
      <c r="IO2844" s="126" t="s">
        <v>2920</v>
      </c>
      <c r="IQ2844" s="480"/>
    </row>
    <row r="2845" spans="1:251" s="24" customFormat="1" x14ac:dyDescent="0.25">
      <c r="A2845" s="24">
        <v>132</v>
      </c>
      <c r="B2845" s="24" t="s">
        <v>2922</v>
      </c>
      <c r="C2845" s="24" t="s">
        <v>2921</v>
      </c>
      <c r="D2845" s="24">
        <v>2004</v>
      </c>
      <c r="E2845" s="24">
        <v>1999</v>
      </c>
      <c r="F2845" s="24" t="s">
        <v>2711</v>
      </c>
      <c r="G2845" s="24" t="s">
        <v>2923</v>
      </c>
      <c r="H2845" s="24" t="s">
        <v>2839</v>
      </c>
      <c r="I2845" s="24">
        <f t="shared" ref="I2845:I2854" si="349">10+24/60</f>
        <v>10.4</v>
      </c>
      <c r="J2845" s="24">
        <f t="shared" ref="J2845:J2854" si="350">7+42/60</f>
        <v>7.7</v>
      </c>
      <c r="K2845" s="24">
        <v>656</v>
      </c>
      <c r="N2845" s="24">
        <v>1054</v>
      </c>
      <c r="O2845" s="24">
        <v>1350</v>
      </c>
      <c r="Q2845" s="42" t="s">
        <v>1986</v>
      </c>
      <c r="R2845" s="42" t="s">
        <v>1735</v>
      </c>
      <c r="S2845" s="42"/>
      <c r="T2845" s="42" t="s">
        <v>1974</v>
      </c>
      <c r="U2845" s="42" t="s">
        <v>1383</v>
      </c>
      <c r="V2845" s="42" t="s">
        <v>1722</v>
      </c>
      <c r="W2845" s="42" t="s">
        <v>1383</v>
      </c>
      <c r="X2845" s="42" t="s">
        <v>1383</v>
      </c>
      <c r="Z2845" s="321"/>
      <c r="AA2845" s="321"/>
      <c r="AB2845" s="24" t="s">
        <v>241</v>
      </c>
      <c r="AC2845" s="24">
        <v>5.84</v>
      </c>
      <c r="AD2845" s="24">
        <v>0.56999999999999995</v>
      </c>
      <c r="AG2845" s="24" t="s">
        <v>159</v>
      </c>
      <c r="AH2845" s="24" t="s">
        <v>578</v>
      </c>
      <c r="AI2845" s="24" t="s">
        <v>1650</v>
      </c>
      <c r="AJ2845" s="24" t="s">
        <v>133</v>
      </c>
      <c r="AT2845" s="24" t="s">
        <v>120</v>
      </c>
      <c r="AU2845" s="24">
        <v>5</v>
      </c>
      <c r="AW2845" s="24" t="s">
        <v>142</v>
      </c>
      <c r="AY2845" s="24">
        <v>900</v>
      </c>
      <c r="BH2845" s="24">
        <v>140</v>
      </c>
      <c r="BI2845" s="24">
        <v>90</v>
      </c>
      <c r="BM2845" s="395"/>
      <c r="BN2845" s="395"/>
      <c r="BR2845" s="395"/>
      <c r="BS2845" s="395"/>
      <c r="IQ2845" s="249"/>
    </row>
    <row r="2846" spans="1:251" s="24" customFormat="1" x14ac:dyDescent="0.25">
      <c r="A2846" s="24">
        <v>132</v>
      </c>
      <c r="B2846" s="24" t="s">
        <v>2922</v>
      </c>
      <c r="C2846" s="24" t="s">
        <v>2921</v>
      </c>
      <c r="D2846" s="24">
        <v>2004</v>
      </c>
      <c r="E2846" s="24">
        <v>1999</v>
      </c>
      <c r="F2846" s="24" t="s">
        <v>2711</v>
      </c>
      <c r="G2846" s="24" t="s">
        <v>2923</v>
      </c>
      <c r="H2846" s="24" t="s">
        <v>2839</v>
      </c>
      <c r="I2846" s="24">
        <f t="shared" si="349"/>
        <v>10.4</v>
      </c>
      <c r="J2846" s="24">
        <f t="shared" si="350"/>
        <v>7.7</v>
      </c>
      <c r="K2846" s="24">
        <v>656</v>
      </c>
      <c r="N2846" s="24">
        <v>1054</v>
      </c>
      <c r="O2846" s="24">
        <v>1350</v>
      </c>
      <c r="Q2846" s="42" t="s">
        <v>1986</v>
      </c>
      <c r="R2846" s="42" t="s">
        <v>1735</v>
      </c>
      <c r="S2846" s="42"/>
      <c r="T2846" s="42" t="s">
        <v>1974</v>
      </c>
      <c r="U2846" s="42" t="s">
        <v>1383</v>
      </c>
      <c r="V2846" s="42" t="s">
        <v>1722</v>
      </c>
      <c r="W2846" s="42" t="s">
        <v>1383</v>
      </c>
      <c r="X2846" s="42" t="s">
        <v>1383</v>
      </c>
      <c r="Z2846" s="321"/>
      <c r="AA2846" s="321"/>
      <c r="AB2846" s="24" t="s">
        <v>241</v>
      </c>
      <c r="AC2846" s="24">
        <v>5.84</v>
      </c>
      <c r="AD2846" s="24">
        <v>0.56999999999999995</v>
      </c>
      <c r="AG2846" s="24" t="s">
        <v>2337</v>
      </c>
      <c r="AH2846" s="24" t="s">
        <v>578</v>
      </c>
      <c r="AI2846" s="24" t="s">
        <v>1650</v>
      </c>
      <c r="AJ2846" s="24" t="s">
        <v>133</v>
      </c>
      <c r="AT2846" s="24" t="s">
        <v>120</v>
      </c>
      <c r="AU2846" s="24">
        <v>5</v>
      </c>
      <c r="AW2846" s="24" t="s">
        <v>142</v>
      </c>
      <c r="AY2846" s="24">
        <v>730</v>
      </c>
      <c r="BH2846" s="24">
        <v>140</v>
      </c>
      <c r="BI2846" s="24">
        <v>350</v>
      </c>
      <c r="BM2846" s="395"/>
      <c r="BN2846" s="395"/>
      <c r="BR2846" s="395"/>
      <c r="BS2846" s="395"/>
      <c r="IQ2846" s="249"/>
    </row>
    <row r="2847" spans="1:251" s="24" customFormat="1" x14ac:dyDescent="0.25">
      <c r="A2847" s="24">
        <v>132</v>
      </c>
      <c r="B2847" s="24" t="s">
        <v>2922</v>
      </c>
      <c r="C2847" s="24" t="s">
        <v>2921</v>
      </c>
      <c r="D2847" s="24">
        <v>2004</v>
      </c>
      <c r="E2847" s="24">
        <v>1999</v>
      </c>
      <c r="F2847" s="24" t="s">
        <v>2711</v>
      </c>
      <c r="G2847" s="24" t="s">
        <v>2923</v>
      </c>
      <c r="H2847" s="24" t="s">
        <v>2839</v>
      </c>
      <c r="I2847" s="24">
        <f t="shared" si="349"/>
        <v>10.4</v>
      </c>
      <c r="J2847" s="24">
        <f t="shared" si="350"/>
        <v>7.7</v>
      </c>
      <c r="K2847" s="24">
        <v>656</v>
      </c>
      <c r="N2847" s="24">
        <v>1054</v>
      </c>
      <c r="O2847" s="24">
        <v>1350</v>
      </c>
      <c r="Q2847" s="42" t="s">
        <v>1986</v>
      </c>
      <c r="R2847" s="42" t="s">
        <v>1735</v>
      </c>
      <c r="S2847" s="42"/>
      <c r="T2847" s="42" t="s">
        <v>1974</v>
      </c>
      <c r="U2847" s="42" t="s">
        <v>1383</v>
      </c>
      <c r="V2847" s="42" t="s">
        <v>1722</v>
      </c>
      <c r="W2847" s="42" t="s">
        <v>1383</v>
      </c>
      <c r="X2847" s="42" t="s">
        <v>1383</v>
      </c>
      <c r="Z2847" s="321"/>
      <c r="AA2847" s="321"/>
      <c r="AB2847" s="24" t="s">
        <v>241</v>
      </c>
      <c r="AC2847" s="24">
        <v>5.84</v>
      </c>
      <c r="AD2847" s="24">
        <v>0.56999999999999995</v>
      </c>
      <c r="AG2847" s="24" t="s">
        <v>2924</v>
      </c>
      <c r="AH2847" s="24" t="s">
        <v>578</v>
      </c>
      <c r="AI2847" s="24" t="s">
        <v>1650</v>
      </c>
      <c r="AJ2847" s="24" t="s">
        <v>133</v>
      </c>
      <c r="AT2847" s="24" t="s">
        <v>120</v>
      </c>
      <c r="AU2847" s="24">
        <v>5</v>
      </c>
      <c r="AW2847" s="24" t="s">
        <v>142</v>
      </c>
      <c r="AY2847" s="24">
        <v>980</v>
      </c>
      <c r="BH2847" s="24">
        <v>140</v>
      </c>
      <c r="BI2847" s="24">
        <v>530</v>
      </c>
      <c r="BM2847" s="395"/>
      <c r="BN2847" s="395"/>
      <c r="BR2847" s="395"/>
      <c r="BS2847" s="395"/>
      <c r="IQ2847" s="249"/>
    </row>
    <row r="2848" spans="1:251" s="24" customFormat="1" x14ac:dyDescent="0.25">
      <c r="A2848" s="24">
        <v>132</v>
      </c>
      <c r="B2848" s="24" t="s">
        <v>2922</v>
      </c>
      <c r="C2848" s="24" t="s">
        <v>2921</v>
      </c>
      <c r="D2848" s="24">
        <v>2004</v>
      </c>
      <c r="E2848" s="24">
        <v>1999</v>
      </c>
      <c r="F2848" s="24" t="s">
        <v>2711</v>
      </c>
      <c r="G2848" s="24" t="s">
        <v>2923</v>
      </c>
      <c r="H2848" s="24" t="s">
        <v>2839</v>
      </c>
      <c r="I2848" s="24">
        <f t="shared" si="349"/>
        <v>10.4</v>
      </c>
      <c r="J2848" s="24">
        <f t="shared" si="350"/>
        <v>7.7</v>
      </c>
      <c r="K2848" s="24">
        <v>656</v>
      </c>
      <c r="N2848" s="24">
        <v>1054</v>
      </c>
      <c r="O2848" s="24">
        <v>1350</v>
      </c>
      <c r="Q2848" s="42" t="s">
        <v>1986</v>
      </c>
      <c r="R2848" s="42" t="s">
        <v>1735</v>
      </c>
      <c r="S2848" s="42"/>
      <c r="T2848" s="42" t="s">
        <v>1974</v>
      </c>
      <c r="U2848" s="42" t="s">
        <v>1383</v>
      </c>
      <c r="V2848" s="42" t="s">
        <v>1722</v>
      </c>
      <c r="W2848" s="42" t="s">
        <v>1383</v>
      </c>
      <c r="X2848" s="42" t="s">
        <v>1383</v>
      </c>
      <c r="Z2848" s="321"/>
      <c r="AA2848" s="321"/>
      <c r="AB2848" s="24" t="s">
        <v>241</v>
      </c>
      <c r="AC2848" s="24">
        <v>5.84</v>
      </c>
      <c r="AD2848" s="24">
        <v>0.56999999999999995</v>
      </c>
      <c r="AG2848" s="24" t="s">
        <v>2757</v>
      </c>
      <c r="AH2848" s="24" t="s">
        <v>578</v>
      </c>
      <c r="AI2848" s="24" t="s">
        <v>1650</v>
      </c>
      <c r="AJ2848" s="24" t="s">
        <v>133</v>
      </c>
      <c r="AT2848" s="24" t="s">
        <v>120</v>
      </c>
      <c r="AU2848" s="24">
        <v>5</v>
      </c>
      <c r="AW2848" s="24" t="s">
        <v>142</v>
      </c>
      <c r="BH2848" s="24">
        <v>140</v>
      </c>
      <c r="BI2848" s="24">
        <v>450</v>
      </c>
      <c r="BM2848" s="395"/>
      <c r="BN2848" s="395"/>
      <c r="BR2848" s="395"/>
      <c r="BS2848" s="395"/>
      <c r="IQ2848" s="249"/>
    </row>
    <row r="2849" spans="1:251" s="32" customFormat="1" x14ac:dyDescent="0.25">
      <c r="A2849" s="32">
        <v>132</v>
      </c>
      <c r="B2849" s="32" t="s">
        <v>2922</v>
      </c>
      <c r="C2849" s="32" t="s">
        <v>2921</v>
      </c>
      <c r="D2849" s="32">
        <v>2004</v>
      </c>
      <c r="E2849" s="32">
        <v>2000</v>
      </c>
      <c r="F2849" s="32" t="s">
        <v>2711</v>
      </c>
      <c r="G2849" s="32" t="s">
        <v>2923</v>
      </c>
      <c r="H2849" s="32" t="s">
        <v>2839</v>
      </c>
      <c r="I2849" s="32">
        <f t="shared" si="349"/>
        <v>10.4</v>
      </c>
      <c r="J2849" s="32">
        <f t="shared" si="350"/>
        <v>7.7</v>
      </c>
      <c r="K2849" s="32">
        <v>656</v>
      </c>
      <c r="N2849" s="32">
        <v>1647</v>
      </c>
      <c r="O2849" s="32">
        <v>1350</v>
      </c>
      <c r="Q2849" s="44" t="s">
        <v>1856</v>
      </c>
      <c r="R2849" s="44" t="s">
        <v>1735</v>
      </c>
      <c r="S2849" s="44"/>
      <c r="T2849" s="44" t="s">
        <v>1974</v>
      </c>
      <c r="U2849" s="44" t="s">
        <v>1383</v>
      </c>
      <c r="V2849" s="44" t="s">
        <v>1722</v>
      </c>
      <c r="W2849" s="44" t="s">
        <v>1383</v>
      </c>
      <c r="X2849" s="44" t="s">
        <v>1383</v>
      </c>
      <c r="Z2849" s="323"/>
      <c r="AA2849" s="323"/>
      <c r="AB2849" s="32" t="s">
        <v>241</v>
      </c>
      <c r="AC2849" s="32">
        <v>5.84</v>
      </c>
      <c r="AD2849" s="32">
        <v>0.56999999999999995</v>
      </c>
      <c r="AG2849" s="32" t="s">
        <v>2337</v>
      </c>
      <c r="AH2849" s="32" t="s">
        <v>578</v>
      </c>
      <c r="AI2849" s="32" t="s">
        <v>1650</v>
      </c>
      <c r="AJ2849" s="32" t="s">
        <v>133</v>
      </c>
      <c r="AT2849" s="32" t="s">
        <v>120</v>
      </c>
      <c r="AU2849" s="32">
        <v>5</v>
      </c>
      <c r="AW2849" s="32" t="s">
        <v>142</v>
      </c>
      <c r="AY2849" s="32">
        <v>860</v>
      </c>
      <c r="BH2849" s="32">
        <v>20</v>
      </c>
      <c r="BI2849" s="32">
        <v>300</v>
      </c>
      <c r="BM2849" s="397"/>
      <c r="BN2849" s="397"/>
      <c r="BR2849" s="397"/>
      <c r="BS2849" s="397"/>
      <c r="IQ2849" s="243"/>
    </row>
    <row r="2850" spans="1:251" s="32" customFormat="1" x14ac:dyDescent="0.25">
      <c r="A2850" s="32">
        <v>132</v>
      </c>
      <c r="B2850" s="32" t="s">
        <v>2922</v>
      </c>
      <c r="C2850" s="32" t="s">
        <v>2921</v>
      </c>
      <c r="D2850" s="32">
        <v>2004</v>
      </c>
      <c r="E2850" s="32">
        <v>2000</v>
      </c>
      <c r="F2850" s="32" t="s">
        <v>2711</v>
      </c>
      <c r="G2850" s="32" t="s">
        <v>2923</v>
      </c>
      <c r="H2850" s="32" t="s">
        <v>2839</v>
      </c>
      <c r="I2850" s="32">
        <f t="shared" si="349"/>
        <v>10.4</v>
      </c>
      <c r="J2850" s="32">
        <f t="shared" si="350"/>
        <v>7.7</v>
      </c>
      <c r="K2850" s="32">
        <v>656</v>
      </c>
      <c r="N2850" s="32">
        <v>1647</v>
      </c>
      <c r="O2850" s="32">
        <v>1350</v>
      </c>
      <c r="Q2850" s="44" t="s">
        <v>1856</v>
      </c>
      <c r="R2850" s="44" t="s">
        <v>1735</v>
      </c>
      <c r="S2850" s="44"/>
      <c r="T2850" s="44" t="s">
        <v>1974</v>
      </c>
      <c r="U2850" s="44" t="s">
        <v>1383</v>
      </c>
      <c r="V2850" s="44" t="s">
        <v>1722</v>
      </c>
      <c r="W2850" s="44" t="s">
        <v>1383</v>
      </c>
      <c r="X2850" s="44" t="s">
        <v>1383</v>
      </c>
      <c r="Z2850" s="323"/>
      <c r="AA2850" s="323"/>
      <c r="AB2850" s="32" t="s">
        <v>241</v>
      </c>
      <c r="AC2850" s="32">
        <v>5.84</v>
      </c>
      <c r="AD2850" s="32">
        <v>0.56999999999999995</v>
      </c>
      <c r="AG2850" s="32" t="s">
        <v>2924</v>
      </c>
      <c r="AH2850" s="32" t="s">
        <v>578</v>
      </c>
      <c r="AI2850" s="32" t="s">
        <v>1650</v>
      </c>
      <c r="AJ2850" s="32" t="s">
        <v>133</v>
      </c>
      <c r="AT2850" s="32" t="s">
        <v>120</v>
      </c>
      <c r="AU2850" s="32">
        <v>5</v>
      </c>
      <c r="AW2850" s="32" t="s">
        <v>142</v>
      </c>
      <c r="AY2850" s="32">
        <v>880</v>
      </c>
      <c r="BH2850" s="32">
        <v>20</v>
      </c>
      <c r="BI2850" s="32">
        <v>90</v>
      </c>
      <c r="BM2850" s="397"/>
      <c r="BN2850" s="397"/>
      <c r="BR2850" s="397"/>
      <c r="BS2850" s="397"/>
      <c r="IQ2850" s="243"/>
    </row>
    <row r="2851" spans="1:251" s="32" customFormat="1" x14ac:dyDescent="0.25">
      <c r="A2851" s="32">
        <v>132</v>
      </c>
      <c r="B2851" s="32" t="s">
        <v>2922</v>
      </c>
      <c r="C2851" s="32" t="s">
        <v>2921</v>
      </c>
      <c r="D2851" s="32">
        <v>2004</v>
      </c>
      <c r="E2851" s="32">
        <v>2000</v>
      </c>
      <c r="F2851" s="32" t="s">
        <v>2711</v>
      </c>
      <c r="G2851" s="32" t="s">
        <v>2923</v>
      </c>
      <c r="H2851" s="32" t="s">
        <v>2839</v>
      </c>
      <c r="I2851" s="32">
        <f t="shared" si="349"/>
        <v>10.4</v>
      </c>
      <c r="J2851" s="32">
        <f t="shared" si="350"/>
        <v>7.7</v>
      </c>
      <c r="K2851" s="32">
        <v>656</v>
      </c>
      <c r="N2851" s="32">
        <v>1647</v>
      </c>
      <c r="O2851" s="32">
        <v>1350</v>
      </c>
      <c r="Q2851" s="44" t="s">
        <v>1856</v>
      </c>
      <c r="R2851" s="44" t="s">
        <v>1735</v>
      </c>
      <c r="S2851" s="44"/>
      <c r="T2851" s="44" t="s">
        <v>1974</v>
      </c>
      <c r="U2851" s="44" t="s">
        <v>1383</v>
      </c>
      <c r="V2851" s="44" t="s">
        <v>1722</v>
      </c>
      <c r="W2851" s="44" t="s">
        <v>1383</v>
      </c>
      <c r="X2851" s="44" t="s">
        <v>1383</v>
      </c>
      <c r="Z2851" s="323"/>
      <c r="AA2851" s="323"/>
      <c r="AB2851" s="32" t="s">
        <v>241</v>
      </c>
      <c r="AC2851" s="32">
        <v>5.84</v>
      </c>
      <c r="AD2851" s="32">
        <v>0.56999999999999995</v>
      </c>
      <c r="AG2851" s="32" t="s">
        <v>2757</v>
      </c>
      <c r="AH2851" s="32" t="s">
        <v>578</v>
      </c>
      <c r="AI2851" s="32" t="s">
        <v>1650</v>
      </c>
      <c r="AJ2851" s="32" t="s">
        <v>133</v>
      </c>
      <c r="AT2851" s="32" t="s">
        <v>120</v>
      </c>
      <c r="AU2851" s="32">
        <v>5</v>
      </c>
      <c r="AW2851" s="32" t="s">
        <v>142</v>
      </c>
      <c r="BH2851" s="32">
        <v>20</v>
      </c>
      <c r="BI2851" s="32">
        <v>30</v>
      </c>
      <c r="BM2851" s="397"/>
      <c r="BN2851" s="397"/>
      <c r="BR2851" s="397"/>
      <c r="BS2851" s="397"/>
      <c r="IQ2851" s="243"/>
    </row>
    <row r="2852" spans="1:251" s="24" customFormat="1" x14ac:dyDescent="0.25">
      <c r="A2852" s="24">
        <v>132</v>
      </c>
      <c r="B2852" s="24" t="s">
        <v>2922</v>
      </c>
      <c r="C2852" s="24" t="s">
        <v>2921</v>
      </c>
      <c r="D2852" s="24">
        <v>2004</v>
      </c>
      <c r="E2852" s="24">
        <v>2001</v>
      </c>
      <c r="F2852" s="24" t="s">
        <v>2711</v>
      </c>
      <c r="G2852" s="24" t="s">
        <v>2923</v>
      </c>
      <c r="H2852" s="24" t="s">
        <v>2839</v>
      </c>
      <c r="I2852" s="24">
        <f t="shared" si="349"/>
        <v>10.4</v>
      </c>
      <c r="J2852" s="24">
        <f t="shared" si="350"/>
        <v>7.7</v>
      </c>
      <c r="K2852" s="24">
        <v>656</v>
      </c>
      <c r="N2852" s="24">
        <v>1443</v>
      </c>
      <c r="O2852" s="24">
        <v>1350</v>
      </c>
      <c r="Q2852" s="42" t="s">
        <v>1735</v>
      </c>
      <c r="R2852" s="42" t="s">
        <v>1735</v>
      </c>
      <c r="S2852" s="42"/>
      <c r="T2852" s="42" t="s">
        <v>1974</v>
      </c>
      <c r="U2852" s="42" t="s">
        <v>1383</v>
      </c>
      <c r="V2852" s="42" t="s">
        <v>1722</v>
      </c>
      <c r="W2852" s="42" t="s">
        <v>1383</v>
      </c>
      <c r="X2852" s="42" t="s">
        <v>1383</v>
      </c>
      <c r="Z2852" s="321"/>
      <c r="AA2852" s="321"/>
      <c r="AB2852" s="24" t="s">
        <v>241</v>
      </c>
      <c r="AC2852" s="24">
        <v>5.84</v>
      </c>
      <c r="AD2852" s="24">
        <v>0.56999999999999995</v>
      </c>
      <c r="AG2852" s="24" t="s">
        <v>2337</v>
      </c>
      <c r="AH2852" s="24" t="s">
        <v>578</v>
      </c>
      <c r="AI2852" s="24" t="s">
        <v>1650</v>
      </c>
      <c r="AJ2852" s="24" t="s">
        <v>133</v>
      </c>
      <c r="AT2852" s="24" t="s">
        <v>120</v>
      </c>
      <c r="AU2852" s="24">
        <v>5</v>
      </c>
      <c r="AW2852" s="24" t="s">
        <v>142</v>
      </c>
      <c r="AY2852" s="24">
        <v>670</v>
      </c>
      <c r="BH2852" s="24">
        <v>190</v>
      </c>
      <c r="BI2852" s="24">
        <v>300</v>
      </c>
      <c r="BM2852" s="395"/>
      <c r="BN2852" s="395"/>
      <c r="BR2852" s="395"/>
      <c r="BS2852" s="395"/>
      <c r="IQ2852" s="249"/>
    </row>
    <row r="2853" spans="1:251" s="24" customFormat="1" x14ac:dyDescent="0.25">
      <c r="A2853" s="24">
        <v>132</v>
      </c>
      <c r="B2853" s="24" t="s">
        <v>2922</v>
      </c>
      <c r="C2853" s="24" t="s">
        <v>2921</v>
      </c>
      <c r="D2853" s="24">
        <v>2004</v>
      </c>
      <c r="E2853" s="24">
        <v>2001</v>
      </c>
      <c r="F2853" s="24" t="s">
        <v>2711</v>
      </c>
      <c r="G2853" s="24" t="s">
        <v>2923</v>
      </c>
      <c r="H2853" s="24" t="s">
        <v>2839</v>
      </c>
      <c r="I2853" s="24">
        <f t="shared" si="349"/>
        <v>10.4</v>
      </c>
      <c r="J2853" s="24">
        <f t="shared" si="350"/>
        <v>7.7</v>
      </c>
      <c r="K2853" s="24">
        <v>656</v>
      </c>
      <c r="N2853" s="24">
        <v>1443</v>
      </c>
      <c r="O2853" s="24">
        <v>1350</v>
      </c>
      <c r="Q2853" s="42" t="s">
        <v>1735</v>
      </c>
      <c r="R2853" s="42" t="s">
        <v>1735</v>
      </c>
      <c r="S2853" s="42"/>
      <c r="T2853" s="42" t="s">
        <v>1974</v>
      </c>
      <c r="U2853" s="42" t="s">
        <v>1383</v>
      </c>
      <c r="V2853" s="42" t="s">
        <v>1722</v>
      </c>
      <c r="W2853" s="42" t="s">
        <v>1383</v>
      </c>
      <c r="X2853" s="42" t="s">
        <v>1383</v>
      </c>
      <c r="Z2853" s="321"/>
      <c r="AA2853" s="321"/>
      <c r="AB2853" s="24" t="s">
        <v>241</v>
      </c>
      <c r="AC2853" s="24">
        <v>5.84</v>
      </c>
      <c r="AD2853" s="24">
        <v>0.56999999999999995</v>
      </c>
      <c r="AG2853" s="24" t="s">
        <v>2924</v>
      </c>
      <c r="AH2853" s="24" t="s">
        <v>578</v>
      </c>
      <c r="AI2853" s="24" t="s">
        <v>1650</v>
      </c>
      <c r="AJ2853" s="24" t="s">
        <v>133</v>
      </c>
      <c r="AT2853" s="24" t="s">
        <v>120</v>
      </c>
      <c r="AU2853" s="24">
        <v>5</v>
      </c>
      <c r="AW2853" s="24" t="s">
        <v>142</v>
      </c>
      <c r="AY2853" s="24">
        <v>950</v>
      </c>
      <c r="BH2853" s="24">
        <v>190</v>
      </c>
      <c r="BI2853" s="24">
        <v>560</v>
      </c>
      <c r="BM2853" s="395"/>
      <c r="BN2853" s="395"/>
      <c r="BR2853" s="395"/>
      <c r="BS2853" s="395"/>
      <c r="IQ2853" s="249"/>
    </row>
    <row r="2854" spans="1:251" s="24" customFormat="1" x14ac:dyDescent="0.25">
      <c r="A2854" s="24">
        <v>132</v>
      </c>
      <c r="B2854" s="24" t="s">
        <v>2922</v>
      </c>
      <c r="C2854" s="24" t="s">
        <v>2921</v>
      </c>
      <c r="D2854" s="24">
        <v>2004</v>
      </c>
      <c r="E2854" s="24">
        <v>2001</v>
      </c>
      <c r="F2854" s="24" t="s">
        <v>2711</v>
      </c>
      <c r="G2854" s="24" t="s">
        <v>2923</v>
      </c>
      <c r="H2854" s="24" t="s">
        <v>2839</v>
      </c>
      <c r="I2854" s="24">
        <f t="shared" si="349"/>
        <v>10.4</v>
      </c>
      <c r="J2854" s="24">
        <f t="shared" si="350"/>
        <v>7.7</v>
      </c>
      <c r="K2854" s="24">
        <v>656</v>
      </c>
      <c r="N2854" s="24">
        <v>1443</v>
      </c>
      <c r="O2854" s="24">
        <v>1350</v>
      </c>
      <c r="Q2854" s="42" t="s">
        <v>1735</v>
      </c>
      <c r="R2854" s="42" t="s">
        <v>1735</v>
      </c>
      <c r="S2854" s="42"/>
      <c r="T2854" s="42" t="s">
        <v>1974</v>
      </c>
      <c r="U2854" s="42" t="s">
        <v>1383</v>
      </c>
      <c r="V2854" s="42" t="s">
        <v>1722</v>
      </c>
      <c r="W2854" s="42" t="s">
        <v>1383</v>
      </c>
      <c r="X2854" s="42" t="s">
        <v>1383</v>
      </c>
      <c r="Z2854" s="321"/>
      <c r="AA2854" s="321"/>
      <c r="AB2854" s="24" t="s">
        <v>241</v>
      </c>
      <c r="AC2854" s="24">
        <v>5.84</v>
      </c>
      <c r="AD2854" s="24">
        <v>0.56999999999999995</v>
      </c>
      <c r="AG2854" s="24" t="s">
        <v>2757</v>
      </c>
      <c r="AH2854" s="24" t="s">
        <v>578</v>
      </c>
      <c r="AI2854" s="24" t="s">
        <v>1650</v>
      </c>
      <c r="AJ2854" s="24" t="s">
        <v>133</v>
      </c>
      <c r="AT2854" s="24" t="s">
        <v>120</v>
      </c>
      <c r="AU2854" s="24">
        <v>5</v>
      </c>
      <c r="AW2854" s="24" t="s">
        <v>142</v>
      </c>
      <c r="BH2854" s="24">
        <v>190</v>
      </c>
      <c r="BI2854" s="24">
        <v>280</v>
      </c>
      <c r="BM2854" s="395"/>
      <c r="BN2854" s="395"/>
      <c r="BR2854" s="395"/>
      <c r="BS2854" s="395"/>
      <c r="IQ2854" s="249"/>
    </row>
    <row r="2855" spans="1:251" s="22" customFormat="1" x14ac:dyDescent="0.25">
      <c r="A2855" s="22">
        <v>133</v>
      </c>
      <c r="B2855" s="22" t="s">
        <v>2925</v>
      </c>
      <c r="C2855" s="22" t="s">
        <v>2926</v>
      </c>
      <c r="D2855" s="22">
        <v>2005</v>
      </c>
      <c r="E2855" s="45" t="s">
        <v>1985</v>
      </c>
      <c r="F2855" s="22" t="s">
        <v>2927</v>
      </c>
      <c r="G2855" s="22" t="s">
        <v>2928</v>
      </c>
      <c r="H2855" s="22" t="s">
        <v>2852</v>
      </c>
      <c r="I2855" s="22">
        <v>0.01</v>
      </c>
      <c r="J2855" s="22">
        <f t="shared" ref="J2855:J2863" si="351">34+34/60</f>
        <v>34.56666666666667</v>
      </c>
      <c r="K2855" s="22">
        <v>1420</v>
      </c>
      <c r="O2855" s="22">
        <v>1800</v>
      </c>
      <c r="Q2855" s="45" t="s">
        <v>1986</v>
      </c>
      <c r="R2855" s="45" t="s">
        <v>1986</v>
      </c>
      <c r="S2855" s="45"/>
      <c r="T2855" s="45" t="s">
        <v>1985</v>
      </c>
      <c r="U2855" s="45" t="s">
        <v>1386</v>
      </c>
      <c r="V2855" s="45" t="s">
        <v>1724</v>
      </c>
      <c r="W2855" s="45" t="s">
        <v>1386</v>
      </c>
      <c r="X2855" s="45" t="s">
        <v>1386</v>
      </c>
      <c r="Z2855" s="325">
        <v>27</v>
      </c>
      <c r="AA2855" s="325">
        <v>26</v>
      </c>
      <c r="AB2855" s="22" t="s">
        <v>797</v>
      </c>
      <c r="AC2855" s="22">
        <v>5.4</v>
      </c>
      <c r="AD2855" s="22">
        <v>0.161</v>
      </c>
      <c r="AG2855" s="22" t="s">
        <v>2931</v>
      </c>
      <c r="AH2855" s="22" t="s">
        <v>578</v>
      </c>
      <c r="AI2855" s="22" t="s">
        <v>1650</v>
      </c>
      <c r="AJ2855" s="22" t="s">
        <v>133</v>
      </c>
      <c r="AT2855" s="22" t="s">
        <v>2795</v>
      </c>
      <c r="AU2855" s="22">
        <v>4</v>
      </c>
      <c r="AW2855" s="22" t="s">
        <v>142</v>
      </c>
      <c r="AY2855" s="22">
        <f>-1270+1760</f>
        <v>490</v>
      </c>
      <c r="BA2855" s="22">
        <f>AY2855/20</f>
        <v>24.5</v>
      </c>
      <c r="BC2855" s="22">
        <v>1890</v>
      </c>
      <c r="BD2855" s="22">
        <v>1050</v>
      </c>
      <c r="BH2855" s="22">
        <v>1600</v>
      </c>
      <c r="BI2855" s="22">
        <v>570</v>
      </c>
      <c r="BM2855" s="399"/>
      <c r="BN2855" s="399"/>
      <c r="BR2855" s="399"/>
      <c r="BS2855" s="399"/>
      <c r="BW2855" s="22">
        <f>AVERAGE(27,20,21)</f>
        <v>22.666666666666668</v>
      </c>
      <c r="BX2855" s="22">
        <f>AVERAGE(33,21,18)</f>
        <v>24</v>
      </c>
      <c r="CA2855" s="22" t="s">
        <v>2941</v>
      </c>
      <c r="FI2855" s="22">
        <v>86</v>
      </c>
      <c r="FJ2855" s="22">
        <v>76</v>
      </c>
      <c r="FM2855" s="22" t="s">
        <v>2940</v>
      </c>
      <c r="IQ2855" s="276"/>
    </row>
    <row r="2856" spans="1:251" s="22" customFormat="1" x14ac:dyDescent="0.25">
      <c r="A2856" s="22">
        <v>133</v>
      </c>
      <c r="B2856" s="22" t="s">
        <v>2925</v>
      </c>
      <c r="C2856" s="22" t="s">
        <v>2926</v>
      </c>
      <c r="D2856" s="22">
        <v>2005</v>
      </c>
      <c r="E2856" s="45" t="s">
        <v>1985</v>
      </c>
      <c r="F2856" s="22" t="s">
        <v>2927</v>
      </c>
      <c r="G2856" s="22" t="s">
        <v>2928</v>
      </c>
      <c r="H2856" s="22" t="s">
        <v>2852</v>
      </c>
      <c r="I2856" s="22">
        <v>0.01</v>
      </c>
      <c r="J2856" s="22">
        <f t="shared" si="351"/>
        <v>34.56666666666667</v>
      </c>
      <c r="K2856" s="22">
        <v>1420</v>
      </c>
      <c r="O2856" s="22">
        <v>1800</v>
      </c>
      <c r="Q2856" s="45" t="s">
        <v>1986</v>
      </c>
      <c r="R2856" s="45" t="s">
        <v>1986</v>
      </c>
      <c r="S2856" s="45"/>
      <c r="T2856" s="45" t="s">
        <v>1985</v>
      </c>
      <c r="U2856" s="45" t="s">
        <v>1386</v>
      </c>
      <c r="V2856" s="45" t="s">
        <v>1724</v>
      </c>
      <c r="W2856" s="45" t="s">
        <v>1386</v>
      </c>
      <c r="X2856" s="45" t="s">
        <v>1386</v>
      </c>
      <c r="Z2856" s="325">
        <v>27</v>
      </c>
      <c r="AA2856" s="325">
        <v>26</v>
      </c>
      <c r="AB2856" s="22" t="s">
        <v>797</v>
      </c>
      <c r="AC2856" s="22">
        <v>5.4</v>
      </c>
      <c r="AD2856" s="22">
        <v>0.161</v>
      </c>
      <c r="AG2856" s="22" t="s">
        <v>2930</v>
      </c>
      <c r="AH2856" s="22" t="s">
        <v>578</v>
      </c>
      <c r="AI2856" s="22" t="s">
        <v>1650</v>
      </c>
      <c r="AJ2856" s="22" t="s">
        <v>133</v>
      </c>
      <c r="AT2856" s="22" t="s">
        <v>2795</v>
      </c>
      <c r="AU2856" s="22">
        <v>4</v>
      </c>
      <c r="AW2856" s="22" t="s">
        <v>142</v>
      </c>
      <c r="AY2856" s="22">
        <f>1170+340</f>
        <v>1510</v>
      </c>
      <c r="BA2856" s="22">
        <f>AY2856/53</f>
        <v>28.490566037735849</v>
      </c>
      <c r="BC2856" s="22">
        <v>1890</v>
      </c>
      <c r="BD2856" s="22">
        <v>2280</v>
      </c>
      <c r="BH2856" s="22">
        <v>1600</v>
      </c>
      <c r="BI2856" s="22">
        <v>2400</v>
      </c>
      <c r="BM2856" s="399"/>
      <c r="BN2856" s="399"/>
      <c r="BR2856" s="399"/>
      <c r="BS2856" s="399"/>
      <c r="BW2856" s="22">
        <f t="shared" ref="BW2856:BW2863" si="352">AVERAGE(27,20,21)</f>
        <v>22.666666666666668</v>
      </c>
      <c r="BX2856" s="22">
        <f>AVERAGE(35,27,17)</f>
        <v>26.333333333333332</v>
      </c>
      <c r="CA2856" s="22" t="s">
        <v>2941</v>
      </c>
      <c r="FI2856" s="22">
        <v>86</v>
      </c>
      <c r="FJ2856" s="22">
        <v>31</v>
      </c>
      <c r="FM2856" s="22" t="s">
        <v>2940</v>
      </c>
      <c r="IQ2856" s="276"/>
    </row>
    <row r="2857" spans="1:251" s="22" customFormat="1" x14ac:dyDescent="0.25">
      <c r="A2857" s="22">
        <v>133</v>
      </c>
      <c r="B2857" s="22" t="s">
        <v>2925</v>
      </c>
      <c r="C2857" s="22" t="s">
        <v>2926</v>
      </c>
      <c r="D2857" s="22">
        <v>2005</v>
      </c>
      <c r="E2857" s="45" t="s">
        <v>1985</v>
      </c>
      <c r="F2857" s="22" t="s">
        <v>2927</v>
      </c>
      <c r="G2857" s="22" t="s">
        <v>2928</v>
      </c>
      <c r="H2857" s="22" t="s">
        <v>2852</v>
      </c>
      <c r="I2857" s="22">
        <v>0.01</v>
      </c>
      <c r="J2857" s="22">
        <f t="shared" si="351"/>
        <v>34.56666666666667</v>
      </c>
      <c r="K2857" s="22">
        <v>1420</v>
      </c>
      <c r="O2857" s="22">
        <v>1800</v>
      </c>
      <c r="Q2857" s="45" t="s">
        <v>1986</v>
      </c>
      <c r="R2857" s="45" t="s">
        <v>1986</v>
      </c>
      <c r="S2857" s="45"/>
      <c r="T2857" s="45" t="s">
        <v>1985</v>
      </c>
      <c r="U2857" s="45" t="s">
        <v>1386</v>
      </c>
      <c r="V2857" s="45" t="s">
        <v>1724</v>
      </c>
      <c r="W2857" s="45" t="s">
        <v>1386</v>
      </c>
      <c r="X2857" s="45" t="s">
        <v>1386</v>
      </c>
      <c r="Z2857" s="325">
        <v>27</v>
      </c>
      <c r="AA2857" s="325">
        <v>26</v>
      </c>
      <c r="AB2857" s="22" t="s">
        <v>797</v>
      </c>
      <c r="AC2857" s="22">
        <v>5.4</v>
      </c>
      <c r="AD2857" s="22">
        <v>0.161</v>
      </c>
      <c r="AG2857" s="22" t="s">
        <v>2932</v>
      </c>
      <c r="AH2857" s="22" t="s">
        <v>2939</v>
      </c>
      <c r="AI2857" s="22" t="s">
        <v>1650</v>
      </c>
      <c r="AJ2857" s="22" t="s">
        <v>133</v>
      </c>
      <c r="AT2857" s="22" t="s">
        <v>2795</v>
      </c>
      <c r="AU2857" s="22">
        <v>4</v>
      </c>
      <c r="AW2857" s="22" t="s">
        <v>142</v>
      </c>
      <c r="AY2857" s="22">
        <f>2300+1170</f>
        <v>3470</v>
      </c>
      <c r="BA2857" s="22">
        <f>AY2857/85</f>
        <v>40.823529411764703</v>
      </c>
      <c r="BC2857" s="22">
        <v>1890</v>
      </c>
      <c r="BD2857" s="22">
        <v>3790</v>
      </c>
      <c r="BH2857" s="22">
        <v>1600</v>
      </c>
      <c r="BI2857" s="22">
        <v>4190</v>
      </c>
      <c r="BM2857" s="399"/>
      <c r="BN2857" s="399"/>
      <c r="BR2857" s="399"/>
      <c r="BS2857" s="399"/>
      <c r="BW2857" s="22">
        <f t="shared" si="352"/>
        <v>22.666666666666668</v>
      </c>
      <c r="BX2857" s="22">
        <f>AVERAGE(41,25,20)</f>
        <v>28.666666666666668</v>
      </c>
      <c r="CA2857" s="22" t="s">
        <v>2941</v>
      </c>
      <c r="FI2857" s="22">
        <v>86</v>
      </c>
      <c r="FJ2857" s="22">
        <v>64</v>
      </c>
      <c r="FM2857" s="22" t="s">
        <v>2940</v>
      </c>
      <c r="IQ2857" s="276"/>
    </row>
    <row r="2858" spans="1:251" s="22" customFormat="1" x14ac:dyDescent="0.25">
      <c r="A2858" s="22">
        <v>133</v>
      </c>
      <c r="B2858" s="22" t="s">
        <v>2925</v>
      </c>
      <c r="C2858" s="22" t="s">
        <v>2926</v>
      </c>
      <c r="D2858" s="22">
        <v>2005</v>
      </c>
      <c r="E2858" s="45" t="s">
        <v>1985</v>
      </c>
      <c r="F2858" s="22" t="s">
        <v>2927</v>
      </c>
      <c r="G2858" s="22" t="s">
        <v>2928</v>
      </c>
      <c r="H2858" s="22" t="s">
        <v>2852</v>
      </c>
      <c r="I2858" s="22">
        <v>0.01</v>
      </c>
      <c r="J2858" s="22">
        <f t="shared" si="351"/>
        <v>34.56666666666667</v>
      </c>
      <c r="K2858" s="22">
        <v>1420</v>
      </c>
      <c r="O2858" s="22">
        <v>1800</v>
      </c>
      <c r="Q2858" s="45" t="s">
        <v>1986</v>
      </c>
      <c r="R2858" s="45" t="s">
        <v>1986</v>
      </c>
      <c r="S2858" s="45"/>
      <c r="T2858" s="45" t="s">
        <v>1985</v>
      </c>
      <c r="U2858" s="45" t="s">
        <v>1386</v>
      </c>
      <c r="V2858" s="45" t="s">
        <v>1724</v>
      </c>
      <c r="W2858" s="45" t="s">
        <v>1386</v>
      </c>
      <c r="X2858" s="45" t="s">
        <v>1386</v>
      </c>
      <c r="Z2858" s="325">
        <v>27</v>
      </c>
      <c r="AA2858" s="325">
        <v>26</v>
      </c>
      <c r="AB2858" s="22" t="s">
        <v>797</v>
      </c>
      <c r="AC2858" s="22">
        <v>5.4</v>
      </c>
      <c r="AD2858" s="22">
        <v>0.161</v>
      </c>
      <c r="AG2858" s="22" t="s">
        <v>2933</v>
      </c>
      <c r="AH2858" s="22" t="s">
        <v>578</v>
      </c>
      <c r="AI2858" s="22" t="s">
        <v>1650</v>
      </c>
      <c r="AJ2858" s="22" t="s">
        <v>133</v>
      </c>
      <c r="AT2858" s="22" t="s">
        <v>2795</v>
      </c>
      <c r="AU2858" s="22">
        <v>4</v>
      </c>
      <c r="AW2858" s="22" t="s">
        <v>142</v>
      </c>
      <c r="AY2858" s="22">
        <f>1690+1060</f>
        <v>2750</v>
      </c>
      <c r="BA2858" s="22">
        <f>AY2858/74</f>
        <v>37.162162162162161</v>
      </c>
      <c r="BC2858" s="22">
        <v>1890</v>
      </c>
      <c r="BD2858" s="22">
        <v>3350</v>
      </c>
      <c r="BH2858" s="22">
        <v>1600</v>
      </c>
      <c r="BI2858" s="22">
        <v>1830</v>
      </c>
      <c r="BM2858" s="399"/>
      <c r="BN2858" s="399"/>
      <c r="BR2858" s="399"/>
      <c r="BS2858" s="399"/>
      <c r="BW2858" s="22">
        <f t="shared" si="352"/>
        <v>22.666666666666668</v>
      </c>
      <c r="BX2858" s="22">
        <f>AVERAGE(31,21,17)</f>
        <v>23</v>
      </c>
      <c r="CA2858" s="22" t="s">
        <v>2941</v>
      </c>
      <c r="FI2858" s="22">
        <v>86</v>
      </c>
      <c r="FJ2858" s="22">
        <v>56</v>
      </c>
      <c r="FM2858" s="22" t="s">
        <v>2940</v>
      </c>
      <c r="IQ2858" s="276"/>
    </row>
    <row r="2859" spans="1:251" s="22" customFormat="1" x14ac:dyDescent="0.25">
      <c r="A2859" s="22">
        <v>133</v>
      </c>
      <c r="B2859" s="22" t="s">
        <v>2925</v>
      </c>
      <c r="C2859" s="22" t="s">
        <v>2926</v>
      </c>
      <c r="D2859" s="22">
        <v>2005</v>
      </c>
      <c r="E2859" s="45" t="s">
        <v>1985</v>
      </c>
      <c r="F2859" s="22" t="s">
        <v>2927</v>
      </c>
      <c r="G2859" s="22" t="s">
        <v>2928</v>
      </c>
      <c r="H2859" s="22" t="s">
        <v>2852</v>
      </c>
      <c r="I2859" s="22">
        <v>0.01</v>
      </c>
      <c r="J2859" s="22">
        <f t="shared" si="351"/>
        <v>34.56666666666667</v>
      </c>
      <c r="K2859" s="22">
        <v>1420</v>
      </c>
      <c r="O2859" s="22">
        <v>1800</v>
      </c>
      <c r="Q2859" s="45" t="s">
        <v>1986</v>
      </c>
      <c r="R2859" s="45" t="s">
        <v>1986</v>
      </c>
      <c r="S2859" s="45"/>
      <c r="T2859" s="45" t="s">
        <v>1985</v>
      </c>
      <c r="U2859" s="45" t="s">
        <v>1386</v>
      </c>
      <c r="V2859" s="45" t="s">
        <v>1724</v>
      </c>
      <c r="W2859" s="45" t="s">
        <v>1386</v>
      </c>
      <c r="X2859" s="45" t="s">
        <v>1386</v>
      </c>
      <c r="Z2859" s="325">
        <v>27</v>
      </c>
      <c r="AA2859" s="325">
        <v>26</v>
      </c>
      <c r="AB2859" s="22" t="s">
        <v>797</v>
      </c>
      <c r="AC2859" s="22">
        <v>5.4</v>
      </c>
      <c r="AD2859" s="22">
        <v>0.161</v>
      </c>
      <c r="AG2859" s="22" t="s">
        <v>2934</v>
      </c>
      <c r="AH2859" s="22" t="s">
        <v>578</v>
      </c>
      <c r="AI2859" s="22" t="s">
        <v>1650</v>
      </c>
      <c r="AJ2859" s="22" t="s">
        <v>133</v>
      </c>
      <c r="AT2859" s="22" t="s">
        <v>2795</v>
      </c>
      <c r="AU2859" s="22">
        <v>4</v>
      </c>
      <c r="AW2859" s="22" t="s">
        <v>142</v>
      </c>
      <c r="AY2859" s="22">
        <f>2350+530</f>
        <v>2880</v>
      </c>
      <c r="BA2859" s="22">
        <f>AY2859/101</f>
        <v>28.514851485148515</v>
      </c>
      <c r="BC2859" s="22">
        <v>1890</v>
      </c>
      <c r="BD2859" s="22">
        <v>3360</v>
      </c>
      <c r="BH2859" s="22">
        <v>1600</v>
      </c>
      <c r="BI2859" s="22">
        <v>3880</v>
      </c>
      <c r="BM2859" s="399"/>
      <c r="BN2859" s="399"/>
      <c r="BR2859" s="399"/>
      <c r="BS2859" s="399"/>
      <c r="BW2859" s="22">
        <f t="shared" si="352"/>
        <v>22.666666666666668</v>
      </c>
      <c r="BX2859" s="22">
        <f>AVERAGE(41,39,25)</f>
        <v>35</v>
      </c>
      <c r="CA2859" s="22" t="s">
        <v>2941</v>
      </c>
      <c r="FI2859" s="22">
        <v>86</v>
      </c>
      <c r="FJ2859" s="22">
        <v>33</v>
      </c>
      <c r="FM2859" s="22" t="s">
        <v>2940</v>
      </c>
      <c r="IQ2859" s="276"/>
    </row>
    <row r="2860" spans="1:251" s="22" customFormat="1" x14ac:dyDescent="0.25">
      <c r="A2860" s="22">
        <v>133</v>
      </c>
      <c r="B2860" s="22" t="s">
        <v>2925</v>
      </c>
      <c r="C2860" s="22" t="s">
        <v>2926</v>
      </c>
      <c r="D2860" s="22">
        <v>2005</v>
      </c>
      <c r="E2860" s="45" t="s">
        <v>1985</v>
      </c>
      <c r="F2860" s="22" t="s">
        <v>2927</v>
      </c>
      <c r="G2860" s="22" t="s">
        <v>2928</v>
      </c>
      <c r="H2860" s="22" t="s">
        <v>2852</v>
      </c>
      <c r="I2860" s="22">
        <v>0.01</v>
      </c>
      <c r="J2860" s="22">
        <f t="shared" si="351"/>
        <v>34.56666666666667</v>
      </c>
      <c r="K2860" s="22">
        <v>1420</v>
      </c>
      <c r="O2860" s="22">
        <v>1800</v>
      </c>
      <c r="Q2860" s="45" t="s">
        <v>1986</v>
      </c>
      <c r="R2860" s="45" t="s">
        <v>1986</v>
      </c>
      <c r="S2860" s="45"/>
      <c r="T2860" s="45" t="s">
        <v>1985</v>
      </c>
      <c r="U2860" s="45" t="s">
        <v>1386</v>
      </c>
      <c r="V2860" s="45" t="s">
        <v>1724</v>
      </c>
      <c r="W2860" s="45" t="s">
        <v>1386</v>
      </c>
      <c r="X2860" s="45" t="s">
        <v>1386</v>
      </c>
      <c r="Z2860" s="325">
        <v>27</v>
      </c>
      <c r="AA2860" s="325">
        <v>26</v>
      </c>
      <c r="AB2860" s="22" t="s">
        <v>797</v>
      </c>
      <c r="AC2860" s="22">
        <v>5.4</v>
      </c>
      <c r="AD2860" s="22">
        <v>0.161</v>
      </c>
      <c r="AG2860" s="22" t="s">
        <v>2935</v>
      </c>
      <c r="AH2860" s="22" t="s">
        <v>578</v>
      </c>
      <c r="AI2860" s="22" t="s">
        <v>1650</v>
      </c>
      <c r="AJ2860" s="22" t="s">
        <v>133</v>
      </c>
      <c r="AT2860" s="22" t="s">
        <v>2795</v>
      </c>
      <c r="AU2860" s="22">
        <v>4</v>
      </c>
      <c r="AW2860" s="22" t="s">
        <v>142</v>
      </c>
      <c r="AY2860" s="22">
        <f>1990+400</f>
        <v>2390</v>
      </c>
      <c r="BA2860" s="22">
        <f>AY2860/47</f>
        <v>50.851063829787236</v>
      </c>
      <c r="BC2860" s="22">
        <v>1890</v>
      </c>
      <c r="BD2860" s="22">
        <v>3320</v>
      </c>
      <c r="BH2860" s="22">
        <v>1600</v>
      </c>
      <c r="BI2860" s="22">
        <v>3050</v>
      </c>
      <c r="BM2860" s="399"/>
      <c r="BN2860" s="399"/>
      <c r="BR2860" s="399"/>
      <c r="BS2860" s="399"/>
      <c r="BW2860" s="22">
        <f t="shared" si="352"/>
        <v>22.666666666666668</v>
      </c>
      <c r="BX2860" s="22">
        <f>AVERAGE(38,22,23)</f>
        <v>27.666666666666668</v>
      </c>
      <c r="CA2860" s="22" t="s">
        <v>2941</v>
      </c>
      <c r="FI2860" s="22">
        <v>86</v>
      </c>
      <c r="FJ2860" s="22">
        <v>36</v>
      </c>
      <c r="FM2860" s="22" t="s">
        <v>2940</v>
      </c>
      <c r="IQ2860" s="276"/>
    </row>
    <row r="2861" spans="1:251" s="22" customFormat="1" x14ac:dyDescent="0.25">
      <c r="A2861" s="22">
        <v>133</v>
      </c>
      <c r="B2861" s="22" t="s">
        <v>2925</v>
      </c>
      <c r="C2861" s="22" t="s">
        <v>2926</v>
      </c>
      <c r="D2861" s="22">
        <v>2005</v>
      </c>
      <c r="E2861" s="45" t="s">
        <v>1985</v>
      </c>
      <c r="F2861" s="22" t="s">
        <v>2927</v>
      </c>
      <c r="G2861" s="22" t="s">
        <v>2928</v>
      </c>
      <c r="H2861" s="22" t="s">
        <v>2852</v>
      </c>
      <c r="I2861" s="22">
        <v>0.01</v>
      </c>
      <c r="J2861" s="22">
        <f t="shared" si="351"/>
        <v>34.56666666666667</v>
      </c>
      <c r="K2861" s="22">
        <v>1420</v>
      </c>
      <c r="O2861" s="22">
        <v>1800</v>
      </c>
      <c r="Q2861" s="45" t="s">
        <v>1986</v>
      </c>
      <c r="R2861" s="45" t="s">
        <v>1986</v>
      </c>
      <c r="S2861" s="45"/>
      <c r="T2861" s="45" t="s">
        <v>1985</v>
      </c>
      <c r="U2861" s="45" t="s">
        <v>1386</v>
      </c>
      <c r="V2861" s="45" t="s">
        <v>1724</v>
      </c>
      <c r="W2861" s="45" t="s">
        <v>1386</v>
      </c>
      <c r="X2861" s="45" t="s">
        <v>1386</v>
      </c>
      <c r="Z2861" s="325">
        <v>27</v>
      </c>
      <c r="AA2861" s="325">
        <v>26</v>
      </c>
      <c r="AB2861" s="22" t="s">
        <v>797</v>
      </c>
      <c r="AC2861" s="22">
        <v>5.4</v>
      </c>
      <c r="AD2861" s="22">
        <v>0.161</v>
      </c>
      <c r="AG2861" s="22" t="s">
        <v>2936</v>
      </c>
      <c r="AH2861" s="22" t="s">
        <v>578</v>
      </c>
      <c r="AI2861" s="22" t="s">
        <v>1650</v>
      </c>
      <c r="AJ2861" s="22" t="s">
        <v>133</v>
      </c>
      <c r="AT2861" s="22" t="s">
        <v>2795</v>
      </c>
      <c r="AU2861" s="22">
        <v>4</v>
      </c>
      <c r="AW2861" s="22" t="s">
        <v>142</v>
      </c>
      <c r="AY2861" s="22">
        <f>1330+590</f>
        <v>1920</v>
      </c>
      <c r="BA2861" s="22">
        <f>AY2861/47</f>
        <v>40.851063829787236</v>
      </c>
      <c r="BC2861" s="22">
        <v>1890</v>
      </c>
      <c r="BD2861" s="22">
        <v>3400</v>
      </c>
      <c r="BH2861" s="22">
        <v>1600</v>
      </c>
      <c r="BI2861" s="22">
        <v>2950</v>
      </c>
      <c r="BM2861" s="399"/>
      <c r="BN2861" s="399"/>
      <c r="BR2861" s="399"/>
      <c r="BS2861" s="399"/>
      <c r="BW2861" s="22">
        <f t="shared" si="352"/>
        <v>22.666666666666668</v>
      </c>
      <c r="BX2861" s="22">
        <f>AVERAGE(34,24,18)</f>
        <v>25.333333333333332</v>
      </c>
      <c r="CA2861" s="22" t="s">
        <v>2941</v>
      </c>
      <c r="FI2861" s="22">
        <v>86</v>
      </c>
      <c r="FJ2861" s="22">
        <v>39</v>
      </c>
      <c r="FM2861" s="22" t="s">
        <v>2940</v>
      </c>
      <c r="IQ2861" s="276"/>
    </row>
    <row r="2862" spans="1:251" s="22" customFormat="1" x14ac:dyDescent="0.25">
      <c r="A2862" s="22">
        <v>133</v>
      </c>
      <c r="B2862" s="22" t="s">
        <v>2925</v>
      </c>
      <c r="C2862" s="22" t="s">
        <v>2926</v>
      </c>
      <c r="D2862" s="22">
        <v>2005</v>
      </c>
      <c r="E2862" s="45" t="s">
        <v>1985</v>
      </c>
      <c r="F2862" s="22" t="s">
        <v>2927</v>
      </c>
      <c r="G2862" s="22" t="s">
        <v>2928</v>
      </c>
      <c r="H2862" s="22" t="s">
        <v>2852</v>
      </c>
      <c r="I2862" s="22">
        <v>0.01</v>
      </c>
      <c r="J2862" s="22">
        <f t="shared" si="351"/>
        <v>34.56666666666667</v>
      </c>
      <c r="K2862" s="22">
        <v>1420</v>
      </c>
      <c r="O2862" s="22">
        <v>1800</v>
      </c>
      <c r="Q2862" s="45" t="s">
        <v>1986</v>
      </c>
      <c r="R2862" s="45" t="s">
        <v>1986</v>
      </c>
      <c r="S2862" s="45"/>
      <c r="T2862" s="45" t="s">
        <v>1985</v>
      </c>
      <c r="U2862" s="45" t="s">
        <v>1386</v>
      </c>
      <c r="V2862" s="45" t="s">
        <v>1724</v>
      </c>
      <c r="W2862" s="45" t="s">
        <v>1386</v>
      </c>
      <c r="X2862" s="45" t="s">
        <v>1386</v>
      </c>
      <c r="Z2862" s="325">
        <v>27</v>
      </c>
      <c r="AA2862" s="325">
        <v>26</v>
      </c>
      <c r="AB2862" s="22" t="s">
        <v>797</v>
      </c>
      <c r="AC2862" s="22">
        <v>5.4</v>
      </c>
      <c r="AD2862" s="22">
        <v>0.161</v>
      </c>
      <c r="AG2862" s="22" t="s">
        <v>2937</v>
      </c>
      <c r="AH2862" s="22" t="s">
        <v>578</v>
      </c>
      <c r="AI2862" s="22" t="s">
        <v>1650</v>
      </c>
      <c r="AJ2862" s="22" t="s">
        <v>133</v>
      </c>
      <c r="AT2862" s="22" t="s">
        <v>2795</v>
      </c>
      <c r="AU2862" s="22">
        <v>4</v>
      </c>
      <c r="AW2862" s="22" t="s">
        <v>142</v>
      </c>
      <c r="AY2862" s="22">
        <f>4090+790</f>
        <v>4880</v>
      </c>
      <c r="BA2862" s="22">
        <f>AY2862/103</f>
        <v>47.378640776699029</v>
      </c>
      <c r="BC2862" s="22">
        <v>1890</v>
      </c>
      <c r="BD2862" s="22">
        <v>3300</v>
      </c>
      <c r="BH2862" s="22">
        <v>1600</v>
      </c>
      <c r="BI2862" s="22">
        <v>3790</v>
      </c>
      <c r="BM2862" s="399"/>
      <c r="BN2862" s="399"/>
      <c r="BR2862" s="399"/>
      <c r="BS2862" s="399"/>
      <c r="BW2862" s="22">
        <f t="shared" si="352"/>
        <v>22.666666666666668</v>
      </c>
      <c r="BX2862" s="22">
        <f>AVERAGE(51,46,33)</f>
        <v>43.333333333333336</v>
      </c>
      <c r="CA2862" s="22" t="s">
        <v>2941</v>
      </c>
      <c r="FI2862" s="22">
        <v>86</v>
      </c>
      <c r="FJ2862" s="22">
        <v>35</v>
      </c>
      <c r="FM2862" s="22" t="s">
        <v>2940</v>
      </c>
      <c r="IQ2862" s="276"/>
    </row>
    <row r="2863" spans="1:251" s="22" customFormat="1" x14ac:dyDescent="0.25">
      <c r="A2863" s="22">
        <v>133</v>
      </c>
      <c r="B2863" s="22" t="s">
        <v>2925</v>
      </c>
      <c r="C2863" s="22" t="s">
        <v>2926</v>
      </c>
      <c r="D2863" s="22">
        <v>2005</v>
      </c>
      <c r="E2863" s="45" t="s">
        <v>1985</v>
      </c>
      <c r="F2863" s="22" t="s">
        <v>2927</v>
      </c>
      <c r="G2863" s="22" t="s">
        <v>2928</v>
      </c>
      <c r="H2863" s="22" t="s">
        <v>2852</v>
      </c>
      <c r="I2863" s="22">
        <v>0.01</v>
      </c>
      <c r="J2863" s="22">
        <f t="shared" si="351"/>
        <v>34.56666666666667</v>
      </c>
      <c r="K2863" s="22">
        <v>1420</v>
      </c>
      <c r="O2863" s="22">
        <v>1800</v>
      </c>
      <c r="Q2863" s="45" t="s">
        <v>1986</v>
      </c>
      <c r="R2863" s="45" t="s">
        <v>1986</v>
      </c>
      <c r="S2863" s="45"/>
      <c r="T2863" s="45" t="s">
        <v>1985</v>
      </c>
      <c r="U2863" s="45" t="s">
        <v>1386</v>
      </c>
      <c r="V2863" s="45" t="s">
        <v>1724</v>
      </c>
      <c r="W2863" s="45" t="s">
        <v>1386</v>
      </c>
      <c r="X2863" s="45" t="s">
        <v>1386</v>
      </c>
      <c r="Z2863" s="325">
        <v>27</v>
      </c>
      <c r="AA2863" s="325">
        <v>26</v>
      </c>
      <c r="AB2863" s="22" t="s">
        <v>797</v>
      </c>
      <c r="AC2863" s="22">
        <v>5.4</v>
      </c>
      <c r="AD2863" s="22">
        <v>0.161</v>
      </c>
      <c r="AG2863" s="22" t="s">
        <v>2938</v>
      </c>
      <c r="AH2863" s="22" t="s">
        <v>578</v>
      </c>
      <c r="AI2863" s="22" t="s">
        <v>1650</v>
      </c>
      <c r="AJ2863" s="22" t="s">
        <v>133</v>
      </c>
      <c r="AT2863" s="22" t="s">
        <v>2795</v>
      </c>
      <c r="AU2863" s="22">
        <v>4</v>
      </c>
      <c r="AW2863" s="22" t="s">
        <v>142</v>
      </c>
      <c r="AY2863" s="22">
        <f>2130+740</f>
        <v>2870</v>
      </c>
      <c r="BA2863" s="22">
        <f>AY2863/63</f>
        <v>45.555555555555557</v>
      </c>
      <c r="BC2863" s="22">
        <v>1890</v>
      </c>
      <c r="BD2863" s="22">
        <v>4440</v>
      </c>
      <c r="BH2863" s="22">
        <v>1600</v>
      </c>
      <c r="BI2863" s="22">
        <v>3550</v>
      </c>
      <c r="BM2863" s="399"/>
      <c r="BN2863" s="399"/>
      <c r="BR2863" s="399"/>
      <c r="BS2863" s="399"/>
      <c r="BW2863" s="22">
        <f t="shared" si="352"/>
        <v>22.666666666666668</v>
      </c>
      <c r="BX2863" s="22">
        <f>AVERAGE(38,30,22)</f>
        <v>30</v>
      </c>
      <c r="CA2863" s="22" t="s">
        <v>2941</v>
      </c>
      <c r="FI2863" s="22">
        <v>86</v>
      </c>
      <c r="FJ2863" s="22">
        <v>12</v>
      </c>
      <c r="FM2863" s="22" t="s">
        <v>2940</v>
      </c>
      <c r="IQ2863" s="276"/>
    </row>
    <row r="2864" spans="1:251" s="126" customFormat="1" x14ac:dyDescent="0.25">
      <c r="A2864" s="126">
        <v>133</v>
      </c>
      <c r="B2864" s="126" t="s">
        <v>2925</v>
      </c>
      <c r="C2864" s="126" t="s">
        <v>2926</v>
      </c>
      <c r="D2864" s="126">
        <v>2005</v>
      </c>
      <c r="E2864" s="478" t="s">
        <v>2943</v>
      </c>
      <c r="F2864" s="126" t="s">
        <v>2927</v>
      </c>
      <c r="G2864" s="126" t="s">
        <v>2929</v>
      </c>
      <c r="H2864" s="126" t="s">
        <v>2852</v>
      </c>
      <c r="I2864" s="126">
        <v>0.28999999999999998</v>
      </c>
      <c r="J2864" s="126">
        <f t="shared" ref="J2864:J2872" si="353">34+44/60</f>
        <v>34.733333333333334</v>
      </c>
      <c r="K2864" s="126">
        <v>1420</v>
      </c>
      <c r="O2864" s="126">
        <v>1800</v>
      </c>
      <c r="Q2864" s="478" t="s">
        <v>1986</v>
      </c>
      <c r="R2864" s="478" t="s">
        <v>1986</v>
      </c>
      <c r="S2864" s="478"/>
      <c r="T2864" s="478" t="s">
        <v>2943</v>
      </c>
      <c r="U2864" s="478" t="s">
        <v>1386</v>
      </c>
      <c r="V2864" s="478" t="s">
        <v>1724</v>
      </c>
      <c r="W2864" s="478" t="s">
        <v>1386</v>
      </c>
      <c r="X2864" s="478" t="s">
        <v>1386</v>
      </c>
      <c r="Z2864" s="479">
        <v>58</v>
      </c>
      <c r="AA2864" s="479">
        <v>26</v>
      </c>
      <c r="AB2864" s="126" t="s">
        <v>519</v>
      </c>
      <c r="AC2864" s="126">
        <v>5.4</v>
      </c>
      <c r="AD2864" s="126">
        <v>0.14000000000000001</v>
      </c>
      <c r="AG2864" s="126" t="s">
        <v>2937</v>
      </c>
      <c r="AH2864" s="126" t="s">
        <v>578</v>
      </c>
      <c r="AI2864" s="126" t="s">
        <v>1650</v>
      </c>
      <c r="AJ2864" s="126" t="s">
        <v>133</v>
      </c>
      <c r="AT2864" s="126" t="s">
        <v>2795</v>
      </c>
      <c r="AU2864" s="126">
        <v>4</v>
      </c>
      <c r="AW2864" s="126" t="s">
        <v>142</v>
      </c>
      <c r="AY2864" s="126">
        <v>2860</v>
      </c>
      <c r="BA2864" s="126">
        <f>AY2864/76</f>
        <v>37.631578947368418</v>
      </c>
      <c r="BB2864" s="126" t="s">
        <v>2946</v>
      </c>
      <c r="BC2864" s="126">
        <v>2520</v>
      </c>
      <c r="BD2864" s="126">
        <v>1260</v>
      </c>
      <c r="BH2864" s="126">
        <v>1380</v>
      </c>
      <c r="BI2864" s="126">
        <v>710</v>
      </c>
      <c r="BM2864" s="481"/>
      <c r="BN2864" s="481"/>
      <c r="BR2864" s="481"/>
      <c r="BS2864" s="481"/>
      <c r="BW2864" s="126">
        <f>AVERAGE(14,38,44,49)</f>
        <v>36.25</v>
      </c>
      <c r="BX2864" s="126">
        <f>AVERAGE(43,45,56,71)</f>
        <v>53.75</v>
      </c>
      <c r="CA2864" s="126" t="s">
        <v>2944</v>
      </c>
      <c r="FI2864" s="126">
        <v>157</v>
      </c>
      <c r="FJ2864" s="126">
        <v>144</v>
      </c>
      <c r="FM2864" s="126" t="s">
        <v>2940</v>
      </c>
      <c r="IQ2864" s="480"/>
    </row>
    <row r="2865" spans="1:251" s="126" customFormat="1" x14ac:dyDescent="0.25">
      <c r="A2865" s="126">
        <v>133</v>
      </c>
      <c r="B2865" s="126" t="s">
        <v>2925</v>
      </c>
      <c r="C2865" s="126" t="s">
        <v>2926</v>
      </c>
      <c r="D2865" s="126">
        <v>2005</v>
      </c>
      <c r="E2865" s="478" t="s">
        <v>2943</v>
      </c>
      <c r="F2865" s="126" t="s">
        <v>2927</v>
      </c>
      <c r="G2865" s="126" t="s">
        <v>2929</v>
      </c>
      <c r="H2865" s="126" t="s">
        <v>2852</v>
      </c>
      <c r="I2865" s="126">
        <v>0.28999999999999998</v>
      </c>
      <c r="J2865" s="126">
        <f t="shared" si="353"/>
        <v>34.733333333333334</v>
      </c>
      <c r="K2865" s="126">
        <v>1420</v>
      </c>
      <c r="O2865" s="126">
        <v>1800</v>
      </c>
      <c r="Q2865" s="478" t="s">
        <v>1986</v>
      </c>
      <c r="R2865" s="478" t="s">
        <v>1986</v>
      </c>
      <c r="S2865" s="478"/>
      <c r="T2865" s="478" t="s">
        <v>2943</v>
      </c>
      <c r="U2865" s="478" t="s">
        <v>1386</v>
      </c>
      <c r="V2865" s="478" t="s">
        <v>1724</v>
      </c>
      <c r="W2865" s="478" t="s">
        <v>1386</v>
      </c>
      <c r="X2865" s="478" t="s">
        <v>1386</v>
      </c>
      <c r="Z2865" s="479">
        <v>58</v>
      </c>
      <c r="AA2865" s="479">
        <v>26</v>
      </c>
      <c r="AB2865" s="126" t="s">
        <v>519</v>
      </c>
      <c r="AC2865" s="126">
        <v>5.4</v>
      </c>
      <c r="AD2865" s="126">
        <v>0.14000000000000001</v>
      </c>
      <c r="AG2865" s="126" t="s">
        <v>2937</v>
      </c>
      <c r="AH2865" s="126" t="s">
        <v>578</v>
      </c>
      <c r="AI2865" s="126" t="s">
        <v>1650</v>
      </c>
      <c r="AJ2865" s="126" t="s">
        <v>133</v>
      </c>
      <c r="AT2865" s="126" t="s">
        <v>2795</v>
      </c>
      <c r="AU2865" s="126">
        <v>4</v>
      </c>
      <c r="AW2865" s="126" t="s">
        <v>142</v>
      </c>
      <c r="AY2865" s="126">
        <v>2860</v>
      </c>
      <c r="BA2865" s="126">
        <f t="shared" ref="BA2865:BA2866" si="354">AY2865/76</f>
        <v>37.631578947368418</v>
      </c>
      <c r="BB2865" s="126" t="s">
        <v>2945</v>
      </c>
      <c r="BC2865" s="126">
        <v>2520</v>
      </c>
      <c r="BD2865" s="126">
        <v>2590</v>
      </c>
      <c r="BH2865" s="126">
        <v>1380</v>
      </c>
      <c r="BI2865" s="126">
        <v>1100</v>
      </c>
      <c r="BM2865" s="481"/>
      <c r="BN2865" s="481"/>
      <c r="BR2865" s="481"/>
      <c r="BS2865" s="481"/>
      <c r="BW2865" s="126">
        <f t="shared" ref="BW2865:BW2872" si="355">AVERAGE(14,38,44,49)</f>
        <v>36.25</v>
      </c>
      <c r="BX2865" s="126">
        <f>AVERAGE(20,31,46,49)</f>
        <v>36.5</v>
      </c>
      <c r="CA2865" s="126" t="s">
        <v>2944</v>
      </c>
      <c r="FI2865" s="126">
        <v>157</v>
      </c>
      <c r="FJ2865" s="126">
        <v>162</v>
      </c>
      <c r="FM2865" s="126" t="s">
        <v>2940</v>
      </c>
      <c r="IQ2865" s="480"/>
    </row>
    <row r="2866" spans="1:251" s="126" customFormat="1" x14ac:dyDescent="0.25">
      <c r="A2866" s="126">
        <v>133</v>
      </c>
      <c r="B2866" s="126" t="s">
        <v>2925</v>
      </c>
      <c r="C2866" s="126" t="s">
        <v>2926</v>
      </c>
      <c r="D2866" s="126">
        <v>2005</v>
      </c>
      <c r="E2866" s="478" t="s">
        <v>2943</v>
      </c>
      <c r="F2866" s="126" t="s">
        <v>2927</v>
      </c>
      <c r="G2866" s="126" t="s">
        <v>2929</v>
      </c>
      <c r="H2866" s="126" t="s">
        <v>2852</v>
      </c>
      <c r="I2866" s="126">
        <v>0.28999999999999998</v>
      </c>
      <c r="J2866" s="126">
        <f t="shared" si="353"/>
        <v>34.733333333333334</v>
      </c>
      <c r="K2866" s="126">
        <v>1420</v>
      </c>
      <c r="O2866" s="126">
        <v>1800</v>
      </c>
      <c r="Q2866" s="478" t="s">
        <v>1986</v>
      </c>
      <c r="R2866" s="478" t="s">
        <v>1986</v>
      </c>
      <c r="S2866" s="478"/>
      <c r="T2866" s="478" t="s">
        <v>2943</v>
      </c>
      <c r="U2866" s="478" t="s">
        <v>1386</v>
      </c>
      <c r="V2866" s="478" t="s">
        <v>1724</v>
      </c>
      <c r="W2866" s="478" t="s">
        <v>1386</v>
      </c>
      <c r="X2866" s="478" t="s">
        <v>1386</v>
      </c>
      <c r="Z2866" s="479">
        <v>58</v>
      </c>
      <c r="AA2866" s="479">
        <v>26</v>
      </c>
      <c r="AB2866" s="126" t="s">
        <v>519</v>
      </c>
      <c r="AC2866" s="126">
        <v>5.4</v>
      </c>
      <c r="AD2866" s="126">
        <v>0.14000000000000001</v>
      </c>
      <c r="AG2866" s="126" t="s">
        <v>2937</v>
      </c>
      <c r="AH2866" s="126" t="s">
        <v>578</v>
      </c>
      <c r="AI2866" s="126" t="s">
        <v>1650</v>
      </c>
      <c r="AJ2866" s="126" t="s">
        <v>133</v>
      </c>
      <c r="AT2866" s="126" t="s">
        <v>2795</v>
      </c>
      <c r="AU2866" s="126">
        <v>4</v>
      </c>
      <c r="AW2866" s="126" t="s">
        <v>142</v>
      </c>
      <c r="AY2866" s="126">
        <v>2860</v>
      </c>
      <c r="BA2866" s="126">
        <f t="shared" si="354"/>
        <v>37.631578947368418</v>
      </c>
      <c r="BB2866" s="126" t="s">
        <v>2947</v>
      </c>
      <c r="BC2866" s="126">
        <v>2520</v>
      </c>
      <c r="BD2866" s="126">
        <v>3040</v>
      </c>
      <c r="BH2866" s="126">
        <v>1380</v>
      </c>
      <c r="BI2866" s="126">
        <v>1240</v>
      </c>
      <c r="BM2866" s="481"/>
      <c r="BN2866" s="481"/>
      <c r="BR2866" s="481"/>
      <c r="BS2866" s="481"/>
      <c r="BW2866" s="126">
        <f t="shared" si="355"/>
        <v>36.25</v>
      </c>
      <c r="BX2866" s="126">
        <f>AVERAGE(18,32,54,61)</f>
        <v>41.25</v>
      </c>
      <c r="CA2866" s="126" t="s">
        <v>2944</v>
      </c>
      <c r="FI2866" s="126">
        <v>157</v>
      </c>
      <c r="FJ2866" s="126">
        <v>105</v>
      </c>
      <c r="FM2866" s="126" t="s">
        <v>2940</v>
      </c>
      <c r="IQ2866" s="480"/>
    </row>
    <row r="2867" spans="1:251" s="126" customFormat="1" x14ac:dyDescent="0.25">
      <c r="A2867" s="126">
        <v>133</v>
      </c>
      <c r="B2867" s="126" t="s">
        <v>2925</v>
      </c>
      <c r="C2867" s="126" t="s">
        <v>2926</v>
      </c>
      <c r="D2867" s="126">
        <v>2005</v>
      </c>
      <c r="E2867" s="478" t="s">
        <v>2943</v>
      </c>
      <c r="F2867" s="126" t="s">
        <v>2927</v>
      </c>
      <c r="G2867" s="126" t="s">
        <v>2929</v>
      </c>
      <c r="H2867" s="126" t="s">
        <v>2852</v>
      </c>
      <c r="I2867" s="126">
        <v>0.28999999999999998</v>
      </c>
      <c r="J2867" s="126">
        <f t="shared" si="353"/>
        <v>34.733333333333334</v>
      </c>
      <c r="K2867" s="126">
        <v>1420</v>
      </c>
      <c r="O2867" s="126">
        <v>1800</v>
      </c>
      <c r="Q2867" s="478" t="s">
        <v>1986</v>
      </c>
      <c r="R2867" s="478" t="s">
        <v>1986</v>
      </c>
      <c r="S2867" s="478"/>
      <c r="T2867" s="478" t="s">
        <v>2943</v>
      </c>
      <c r="U2867" s="478" t="s">
        <v>1386</v>
      </c>
      <c r="V2867" s="478" t="s">
        <v>1724</v>
      </c>
      <c r="W2867" s="478" t="s">
        <v>1386</v>
      </c>
      <c r="X2867" s="478" t="s">
        <v>1386</v>
      </c>
      <c r="Z2867" s="479">
        <v>58</v>
      </c>
      <c r="AA2867" s="479">
        <v>26</v>
      </c>
      <c r="AB2867" s="126" t="s">
        <v>519</v>
      </c>
      <c r="AC2867" s="126">
        <v>5.4</v>
      </c>
      <c r="AD2867" s="126">
        <v>0.14000000000000001</v>
      </c>
      <c r="AG2867" s="126" t="s">
        <v>2942</v>
      </c>
      <c r="AH2867" s="126" t="s">
        <v>578</v>
      </c>
      <c r="AI2867" s="126" t="s">
        <v>1650</v>
      </c>
      <c r="AJ2867" s="126" t="s">
        <v>133</v>
      </c>
      <c r="AT2867" s="126" t="s">
        <v>2795</v>
      </c>
      <c r="AU2867" s="126">
        <v>4</v>
      </c>
      <c r="AW2867" s="126" t="s">
        <v>142</v>
      </c>
      <c r="AY2867" s="126">
        <v>1840</v>
      </c>
      <c r="BA2867" s="126">
        <f>AY2867/66</f>
        <v>27.878787878787879</v>
      </c>
      <c r="BB2867" s="126" t="s">
        <v>2946</v>
      </c>
      <c r="BC2867" s="126">
        <v>2520</v>
      </c>
      <c r="BD2867" s="126">
        <v>1330</v>
      </c>
      <c r="BH2867" s="126">
        <v>1380</v>
      </c>
      <c r="BI2867" s="126">
        <v>460</v>
      </c>
      <c r="BM2867" s="481"/>
      <c r="BN2867" s="481"/>
      <c r="BR2867" s="481"/>
      <c r="BS2867" s="481"/>
      <c r="BW2867" s="126">
        <f t="shared" si="355"/>
        <v>36.25</v>
      </c>
      <c r="BX2867" s="126">
        <f>AVERAGE(38,43,57,60)</f>
        <v>49.5</v>
      </c>
      <c r="CA2867" s="126" t="s">
        <v>2944</v>
      </c>
      <c r="FI2867" s="126">
        <v>157</v>
      </c>
      <c r="FJ2867" s="126">
        <v>166</v>
      </c>
      <c r="FM2867" s="126" t="s">
        <v>2940</v>
      </c>
      <c r="IQ2867" s="480"/>
    </row>
    <row r="2868" spans="1:251" s="126" customFormat="1" x14ac:dyDescent="0.25">
      <c r="A2868" s="126">
        <v>133</v>
      </c>
      <c r="B2868" s="126" t="s">
        <v>2925</v>
      </c>
      <c r="C2868" s="126" t="s">
        <v>2926</v>
      </c>
      <c r="D2868" s="126">
        <v>2005</v>
      </c>
      <c r="E2868" s="478" t="s">
        <v>2943</v>
      </c>
      <c r="F2868" s="126" t="s">
        <v>2927</v>
      </c>
      <c r="G2868" s="126" t="s">
        <v>2929</v>
      </c>
      <c r="H2868" s="126" t="s">
        <v>2852</v>
      </c>
      <c r="I2868" s="126">
        <v>0.28999999999999998</v>
      </c>
      <c r="J2868" s="126">
        <f t="shared" si="353"/>
        <v>34.733333333333334</v>
      </c>
      <c r="K2868" s="126">
        <v>1420</v>
      </c>
      <c r="O2868" s="126">
        <v>1800</v>
      </c>
      <c r="Q2868" s="478" t="s">
        <v>1986</v>
      </c>
      <c r="R2868" s="478" t="s">
        <v>1986</v>
      </c>
      <c r="S2868" s="478"/>
      <c r="T2868" s="478" t="s">
        <v>2943</v>
      </c>
      <c r="U2868" s="478" t="s">
        <v>1386</v>
      </c>
      <c r="V2868" s="478" t="s">
        <v>1724</v>
      </c>
      <c r="W2868" s="478" t="s">
        <v>1386</v>
      </c>
      <c r="X2868" s="478" t="s">
        <v>1386</v>
      </c>
      <c r="Z2868" s="479">
        <v>58</v>
      </c>
      <c r="AA2868" s="479">
        <v>26</v>
      </c>
      <c r="AB2868" s="126" t="s">
        <v>519</v>
      </c>
      <c r="AC2868" s="126">
        <v>5.4</v>
      </c>
      <c r="AD2868" s="126">
        <v>0.14000000000000001</v>
      </c>
      <c r="AG2868" s="126" t="s">
        <v>2942</v>
      </c>
      <c r="AH2868" s="126" t="s">
        <v>578</v>
      </c>
      <c r="AI2868" s="126" t="s">
        <v>1650</v>
      </c>
      <c r="AJ2868" s="126" t="s">
        <v>133</v>
      </c>
      <c r="AT2868" s="126" t="s">
        <v>2795</v>
      </c>
      <c r="AU2868" s="126">
        <v>4</v>
      </c>
      <c r="AW2868" s="126" t="s">
        <v>142</v>
      </c>
      <c r="AY2868" s="126">
        <v>1840</v>
      </c>
      <c r="BA2868" s="126">
        <f t="shared" ref="BA2868:BA2869" si="356">AY2868/66</f>
        <v>27.878787878787879</v>
      </c>
      <c r="BB2868" s="126" t="s">
        <v>2945</v>
      </c>
      <c r="BC2868" s="126">
        <v>2520</v>
      </c>
      <c r="BD2868" s="126">
        <v>3170</v>
      </c>
      <c r="BH2868" s="126">
        <v>1380</v>
      </c>
      <c r="BI2868" s="126">
        <v>1530</v>
      </c>
      <c r="BM2868" s="481"/>
      <c r="BN2868" s="481"/>
      <c r="BR2868" s="481"/>
      <c r="BS2868" s="481"/>
      <c r="BW2868" s="126">
        <f t="shared" si="355"/>
        <v>36.25</v>
      </c>
      <c r="BX2868" s="126">
        <f>AVERAGE(32,36,48,39)</f>
        <v>38.75</v>
      </c>
      <c r="CA2868" s="126" t="s">
        <v>2944</v>
      </c>
      <c r="FI2868" s="126">
        <v>157</v>
      </c>
      <c r="FJ2868" s="126">
        <v>82</v>
      </c>
      <c r="FM2868" s="126" t="s">
        <v>2940</v>
      </c>
      <c r="IQ2868" s="480"/>
    </row>
    <row r="2869" spans="1:251" s="126" customFormat="1" x14ac:dyDescent="0.25">
      <c r="A2869" s="126">
        <v>133</v>
      </c>
      <c r="B2869" s="126" t="s">
        <v>2925</v>
      </c>
      <c r="C2869" s="126" t="s">
        <v>2926</v>
      </c>
      <c r="D2869" s="126">
        <v>2005</v>
      </c>
      <c r="E2869" s="478" t="s">
        <v>2943</v>
      </c>
      <c r="F2869" s="126" t="s">
        <v>2927</v>
      </c>
      <c r="G2869" s="126" t="s">
        <v>2929</v>
      </c>
      <c r="H2869" s="126" t="s">
        <v>2852</v>
      </c>
      <c r="I2869" s="126">
        <v>0.28999999999999998</v>
      </c>
      <c r="J2869" s="126">
        <f t="shared" si="353"/>
        <v>34.733333333333334</v>
      </c>
      <c r="K2869" s="126">
        <v>1420</v>
      </c>
      <c r="O2869" s="126">
        <v>1800</v>
      </c>
      <c r="Q2869" s="478" t="s">
        <v>1986</v>
      </c>
      <c r="R2869" s="478" t="s">
        <v>1986</v>
      </c>
      <c r="S2869" s="478"/>
      <c r="T2869" s="478" t="s">
        <v>2943</v>
      </c>
      <c r="U2869" s="478" t="s">
        <v>1386</v>
      </c>
      <c r="V2869" s="478" t="s">
        <v>1724</v>
      </c>
      <c r="W2869" s="478" t="s">
        <v>1386</v>
      </c>
      <c r="X2869" s="478" t="s">
        <v>1386</v>
      </c>
      <c r="Z2869" s="479">
        <v>58</v>
      </c>
      <c r="AA2869" s="479">
        <v>26</v>
      </c>
      <c r="AB2869" s="126" t="s">
        <v>519</v>
      </c>
      <c r="AC2869" s="126">
        <v>5.4</v>
      </c>
      <c r="AD2869" s="126">
        <v>0.14000000000000001</v>
      </c>
      <c r="AG2869" s="126" t="s">
        <v>2942</v>
      </c>
      <c r="AH2869" s="126" t="s">
        <v>578</v>
      </c>
      <c r="AI2869" s="126" t="s">
        <v>1650</v>
      </c>
      <c r="AJ2869" s="126" t="s">
        <v>133</v>
      </c>
      <c r="AT2869" s="126" t="s">
        <v>2795</v>
      </c>
      <c r="AU2869" s="126">
        <v>4</v>
      </c>
      <c r="AW2869" s="126" t="s">
        <v>142</v>
      </c>
      <c r="AY2869" s="126">
        <v>1840</v>
      </c>
      <c r="BA2869" s="126">
        <f t="shared" si="356"/>
        <v>27.878787878787879</v>
      </c>
      <c r="BB2869" s="126" t="s">
        <v>2947</v>
      </c>
      <c r="BC2869" s="126">
        <v>2520</v>
      </c>
      <c r="BD2869" s="126">
        <v>3500</v>
      </c>
      <c r="BH2869" s="126">
        <v>1380</v>
      </c>
      <c r="BI2869" s="126">
        <v>2350</v>
      </c>
      <c r="BM2869" s="481"/>
      <c r="BN2869" s="481"/>
      <c r="BR2869" s="481"/>
      <c r="BS2869" s="481"/>
      <c r="BW2869" s="126">
        <f t="shared" si="355"/>
        <v>36.25</v>
      </c>
      <c r="BX2869" s="126">
        <f>AVERAGE(29,39,51,47)</f>
        <v>41.5</v>
      </c>
      <c r="CA2869" s="126" t="s">
        <v>2944</v>
      </c>
      <c r="FI2869" s="126">
        <v>157</v>
      </c>
      <c r="FJ2869" s="126">
        <v>104</v>
      </c>
      <c r="FM2869" s="126" t="s">
        <v>2940</v>
      </c>
      <c r="IQ2869" s="480"/>
    </row>
    <row r="2870" spans="1:251" s="126" customFormat="1" x14ac:dyDescent="0.25">
      <c r="A2870" s="126">
        <v>133</v>
      </c>
      <c r="B2870" s="126" t="s">
        <v>2925</v>
      </c>
      <c r="C2870" s="126" t="s">
        <v>2926</v>
      </c>
      <c r="D2870" s="126">
        <v>2005</v>
      </c>
      <c r="E2870" s="478" t="s">
        <v>2943</v>
      </c>
      <c r="F2870" s="126" t="s">
        <v>2927</v>
      </c>
      <c r="G2870" s="126" t="s">
        <v>2929</v>
      </c>
      <c r="H2870" s="126" t="s">
        <v>2852</v>
      </c>
      <c r="I2870" s="126">
        <v>0.28999999999999998</v>
      </c>
      <c r="J2870" s="126">
        <f t="shared" si="353"/>
        <v>34.733333333333334</v>
      </c>
      <c r="K2870" s="126">
        <v>1420</v>
      </c>
      <c r="O2870" s="126">
        <v>1800</v>
      </c>
      <c r="Q2870" s="478" t="s">
        <v>1986</v>
      </c>
      <c r="R2870" s="478" t="s">
        <v>1986</v>
      </c>
      <c r="S2870" s="478"/>
      <c r="T2870" s="478" t="s">
        <v>2943</v>
      </c>
      <c r="U2870" s="478" t="s">
        <v>1386</v>
      </c>
      <c r="V2870" s="478" t="s">
        <v>1724</v>
      </c>
      <c r="W2870" s="478" t="s">
        <v>1386</v>
      </c>
      <c r="X2870" s="478" t="s">
        <v>1386</v>
      </c>
      <c r="Z2870" s="479">
        <v>58</v>
      </c>
      <c r="AA2870" s="479">
        <v>26</v>
      </c>
      <c r="AB2870" s="126" t="s">
        <v>519</v>
      </c>
      <c r="AC2870" s="126">
        <v>5.4</v>
      </c>
      <c r="AD2870" s="126">
        <v>0.14000000000000001</v>
      </c>
      <c r="AG2870" s="126" t="s">
        <v>2934</v>
      </c>
      <c r="AH2870" s="126" t="s">
        <v>578</v>
      </c>
      <c r="AI2870" s="126" t="s">
        <v>1650</v>
      </c>
      <c r="AJ2870" s="126" t="s">
        <v>133</v>
      </c>
      <c r="AT2870" s="126" t="s">
        <v>2795</v>
      </c>
      <c r="AU2870" s="126">
        <v>4</v>
      </c>
      <c r="AW2870" s="126" t="s">
        <v>142</v>
      </c>
      <c r="AY2870" s="126">
        <v>2510</v>
      </c>
      <c r="BA2870" s="126">
        <f>AY2870/61</f>
        <v>41.147540983606561</v>
      </c>
      <c r="BB2870" s="126" t="s">
        <v>2946</v>
      </c>
      <c r="BC2870" s="126">
        <v>2520</v>
      </c>
      <c r="BD2870" s="126">
        <v>2790</v>
      </c>
      <c r="BH2870" s="126">
        <v>1380</v>
      </c>
      <c r="BI2870" s="126">
        <v>970</v>
      </c>
      <c r="BM2870" s="481"/>
      <c r="BN2870" s="481"/>
      <c r="BR2870" s="481"/>
      <c r="BS2870" s="481"/>
      <c r="BW2870" s="126">
        <f t="shared" si="355"/>
        <v>36.25</v>
      </c>
      <c r="BX2870" s="126">
        <f>AVERAGE(28,36,50,79)</f>
        <v>48.25</v>
      </c>
      <c r="CA2870" s="126" t="s">
        <v>2944</v>
      </c>
      <c r="FI2870" s="126">
        <v>157</v>
      </c>
      <c r="FJ2870" s="126">
        <v>133</v>
      </c>
      <c r="FM2870" s="126" t="s">
        <v>2940</v>
      </c>
      <c r="IQ2870" s="480"/>
    </row>
    <row r="2871" spans="1:251" s="126" customFormat="1" x14ac:dyDescent="0.25">
      <c r="A2871" s="126">
        <v>133</v>
      </c>
      <c r="B2871" s="126" t="s">
        <v>2925</v>
      </c>
      <c r="C2871" s="126" t="s">
        <v>2926</v>
      </c>
      <c r="D2871" s="126">
        <v>2005</v>
      </c>
      <c r="E2871" s="478" t="s">
        <v>2943</v>
      </c>
      <c r="F2871" s="126" t="s">
        <v>2927</v>
      </c>
      <c r="G2871" s="126" t="s">
        <v>2929</v>
      </c>
      <c r="H2871" s="126" t="s">
        <v>2852</v>
      </c>
      <c r="I2871" s="126">
        <v>0.28999999999999998</v>
      </c>
      <c r="J2871" s="126">
        <f t="shared" si="353"/>
        <v>34.733333333333334</v>
      </c>
      <c r="K2871" s="126">
        <v>1420</v>
      </c>
      <c r="O2871" s="126">
        <v>1800</v>
      </c>
      <c r="Q2871" s="478" t="s">
        <v>1986</v>
      </c>
      <c r="R2871" s="478" t="s">
        <v>1986</v>
      </c>
      <c r="S2871" s="478"/>
      <c r="T2871" s="478" t="s">
        <v>2943</v>
      </c>
      <c r="U2871" s="478" t="s">
        <v>1386</v>
      </c>
      <c r="V2871" s="478" t="s">
        <v>1724</v>
      </c>
      <c r="W2871" s="478" t="s">
        <v>1386</v>
      </c>
      <c r="X2871" s="478" t="s">
        <v>1386</v>
      </c>
      <c r="Z2871" s="479">
        <v>58</v>
      </c>
      <c r="AA2871" s="479">
        <v>26</v>
      </c>
      <c r="AB2871" s="126" t="s">
        <v>519</v>
      </c>
      <c r="AC2871" s="126">
        <v>5.4</v>
      </c>
      <c r="AD2871" s="126">
        <v>0.14000000000000001</v>
      </c>
      <c r="AG2871" s="126" t="s">
        <v>2934</v>
      </c>
      <c r="AH2871" s="126" t="s">
        <v>578</v>
      </c>
      <c r="AI2871" s="126" t="s">
        <v>1650</v>
      </c>
      <c r="AJ2871" s="126" t="s">
        <v>133</v>
      </c>
      <c r="AT2871" s="126" t="s">
        <v>2795</v>
      </c>
      <c r="AU2871" s="126">
        <v>4</v>
      </c>
      <c r="AW2871" s="126" t="s">
        <v>142</v>
      </c>
      <c r="AY2871" s="126">
        <v>2510</v>
      </c>
      <c r="BA2871" s="126">
        <f t="shared" ref="BA2871:BA2872" si="357">AY2871/61</f>
        <v>41.147540983606561</v>
      </c>
      <c r="BB2871" s="126" t="s">
        <v>2945</v>
      </c>
      <c r="BC2871" s="126">
        <v>2520</v>
      </c>
      <c r="BD2871" s="126">
        <v>2960</v>
      </c>
      <c r="BH2871" s="126">
        <v>1380</v>
      </c>
      <c r="BI2871" s="126">
        <v>1810</v>
      </c>
      <c r="BM2871" s="481"/>
      <c r="BN2871" s="481"/>
      <c r="BR2871" s="481"/>
      <c r="BS2871" s="481"/>
      <c r="BW2871" s="126">
        <f t="shared" si="355"/>
        <v>36.25</v>
      </c>
      <c r="BX2871" s="126">
        <f>AVERAGE(25,27,41,59)</f>
        <v>38</v>
      </c>
      <c r="CA2871" s="126" t="s">
        <v>2944</v>
      </c>
      <c r="FI2871" s="126">
        <v>157</v>
      </c>
      <c r="FJ2871" s="126">
        <v>117</v>
      </c>
      <c r="FM2871" s="126" t="s">
        <v>2940</v>
      </c>
      <c r="IQ2871" s="480"/>
    </row>
    <row r="2872" spans="1:251" s="126" customFormat="1" x14ac:dyDescent="0.25">
      <c r="A2872" s="126">
        <v>133</v>
      </c>
      <c r="B2872" s="126" t="s">
        <v>2925</v>
      </c>
      <c r="C2872" s="126" t="s">
        <v>2926</v>
      </c>
      <c r="D2872" s="126">
        <v>2005</v>
      </c>
      <c r="E2872" s="478" t="s">
        <v>2943</v>
      </c>
      <c r="F2872" s="126" t="s">
        <v>2927</v>
      </c>
      <c r="G2872" s="126" t="s">
        <v>2929</v>
      </c>
      <c r="H2872" s="126" t="s">
        <v>2852</v>
      </c>
      <c r="I2872" s="126">
        <v>0.28999999999999998</v>
      </c>
      <c r="J2872" s="126">
        <f t="shared" si="353"/>
        <v>34.733333333333334</v>
      </c>
      <c r="K2872" s="126">
        <v>1420</v>
      </c>
      <c r="O2872" s="126">
        <v>1800</v>
      </c>
      <c r="Q2872" s="478" t="s">
        <v>1986</v>
      </c>
      <c r="R2872" s="478" t="s">
        <v>1986</v>
      </c>
      <c r="S2872" s="478"/>
      <c r="T2872" s="478" t="s">
        <v>2943</v>
      </c>
      <c r="U2872" s="478" t="s">
        <v>1386</v>
      </c>
      <c r="V2872" s="478" t="s">
        <v>1724</v>
      </c>
      <c r="W2872" s="478" t="s">
        <v>1386</v>
      </c>
      <c r="X2872" s="478" t="s">
        <v>1386</v>
      </c>
      <c r="Z2872" s="479">
        <v>58</v>
      </c>
      <c r="AA2872" s="479">
        <v>26</v>
      </c>
      <c r="AB2872" s="126" t="s">
        <v>519</v>
      </c>
      <c r="AC2872" s="126">
        <v>5.4</v>
      </c>
      <c r="AD2872" s="126">
        <v>0.14000000000000001</v>
      </c>
      <c r="AG2872" s="126" t="s">
        <v>2934</v>
      </c>
      <c r="AH2872" s="126" t="s">
        <v>578</v>
      </c>
      <c r="AI2872" s="126" t="s">
        <v>1650</v>
      </c>
      <c r="AJ2872" s="126" t="s">
        <v>133</v>
      </c>
      <c r="AT2872" s="126" t="s">
        <v>2795</v>
      </c>
      <c r="AU2872" s="126">
        <v>4</v>
      </c>
      <c r="AW2872" s="126" t="s">
        <v>142</v>
      </c>
      <c r="AY2872" s="126">
        <v>2510</v>
      </c>
      <c r="BA2872" s="126">
        <f t="shared" si="357"/>
        <v>41.147540983606561</v>
      </c>
      <c r="BB2872" s="126" t="s">
        <v>2947</v>
      </c>
      <c r="BC2872" s="126">
        <v>2520</v>
      </c>
      <c r="BD2872" s="126">
        <v>3900</v>
      </c>
      <c r="BH2872" s="126">
        <v>1380</v>
      </c>
      <c r="BI2872" s="126">
        <v>1820</v>
      </c>
      <c r="BM2872" s="481"/>
      <c r="BN2872" s="481"/>
      <c r="BR2872" s="481"/>
      <c r="BS2872" s="481"/>
      <c r="BW2872" s="126">
        <f t="shared" si="355"/>
        <v>36.25</v>
      </c>
      <c r="BX2872" s="126">
        <f>AVERAGE(25,53,42,48)</f>
        <v>42</v>
      </c>
      <c r="CA2872" s="126" t="s">
        <v>2944</v>
      </c>
      <c r="FI2872" s="126">
        <v>157</v>
      </c>
      <c r="FJ2872" s="126">
        <v>131</v>
      </c>
      <c r="FM2872" s="126" t="s">
        <v>2940</v>
      </c>
      <c r="IQ2872" s="480"/>
    </row>
    <row r="2873" spans="1:251" s="24" customFormat="1" x14ac:dyDescent="0.25">
      <c r="A2873" s="24">
        <v>134</v>
      </c>
      <c r="B2873" s="24" t="s">
        <v>2948</v>
      </c>
      <c r="C2873" s="24" t="s">
        <v>418</v>
      </c>
      <c r="D2873" s="24">
        <v>1991</v>
      </c>
      <c r="E2873" s="24">
        <v>1988</v>
      </c>
      <c r="F2873" s="24" t="s">
        <v>2949</v>
      </c>
      <c r="G2873" s="24" t="s">
        <v>2950</v>
      </c>
      <c r="H2873" s="24" t="s">
        <v>2839</v>
      </c>
      <c r="I2873" s="24">
        <f>4+51/60</f>
        <v>4.8499999999999996</v>
      </c>
      <c r="J2873" s="24">
        <f>7+3/60</f>
        <v>7.05</v>
      </c>
      <c r="K2873" s="24">
        <v>21.6</v>
      </c>
      <c r="O2873" s="24">
        <v>2400</v>
      </c>
      <c r="Q2873" s="42" t="s">
        <v>1735</v>
      </c>
      <c r="R2873" s="42" t="s">
        <v>1735</v>
      </c>
      <c r="S2873" s="42"/>
      <c r="T2873" s="42" t="s">
        <v>2951</v>
      </c>
      <c r="U2873" s="42" t="s">
        <v>1398</v>
      </c>
      <c r="V2873" s="42" t="s">
        <v>1729</v>
      </c>
      <c r="W2873" s="42" t="s">
        <v>1398</v>
      </c>
      <c r="X2873" s="42" t="s">
        <v>1398</v>
      </c>
      <c r="Z2873" s="321"/>
      <c r="AA2873" s="321"/>
      <c r="AB2873" s="24" t="s">
        <v>140</v>
      </c>
      <c r="AC2873" s="24">
        <v>4.8</v>
      </c>
      <c r="AD2873" s="24">
        <v>1.84</v>
      </c>
      <c r="AF2873" s="24" t="s">
        <v>2952</v>
      </c>
      <c r="AG2873" s="24" t="s">
        <v>2954</v>
      </c>
      <c r="AH2873" s="24" t="s">
        <v>578</v>
      </c>
      <c r="AI2873" s="24" t="s">
        <v>1650</v>
      </c>
      <c r="AJ2873" s="24" t="s">
        <v>133</v>
      </c>
      <c r="AT2873" s="24" t="s">
        <v>2953</v>
      </c>
      <c r="BC2873" s="24">
        <v>1719</v>
      </c>
      <c r="BD2873" s="24">
        <v>1698</v>
      </c>
      <c r="BG2873" s="24" t="s">
        <v>2957</v>
      </c>
      <c r="BH2873" s="24">
        <v>1217</v>
      </c>
      <c r="BI2873" s="24">
        <v>1071</v>
      </c>
      <c r="BJ2873" s="24">
        <v>279</v>
      </c>
      <c r="BK2873" s="24">
        <v>279</v>
      </c>
      <c r="BL2873" s="24" t="s">
        <v>2958</v>
      </c>
      <c r="BM2873" s="395"/>
      <c r="BN2873" s="395"/>
      <c r="BR2873" s="395">
        <v>1.84</v>
      </c>
      <c r="BS2873" s="395">
        <v>2.21</v>
      </c>
      <c r="BT2873" s="24">
        <v>0.23</v>
      </c>
      <c r="BU2873" s="24">
        <v>0.23</v>
      </c>
      <c r="BV2873" s="24" t="s">
        <v>994</v>
      </c>
      <c r="BW2873" s="24">
        <v>0.16</v>
      </c>
      <c r="BX2873" s="24">
        <v>0.19</v>
      </c>
      <c r="CA2873" s="24" t="s">
        <v>2956</v>
      </c>
      <c r="CG2873" s="24">
        <v>0.23</v>
      </c>
      <c r="CH2873" s="24">
        <v>0.17</v>
      </c>
      <c r="CL2873" s="24">
        <v>4.8</v>
      </c>
      <c r="CM2873" s="24">
        <v>4.5999999999999996</v>
      </c>
      <c r="CP2873" s="24">
        <f>0.83+0.28+0.23</f>
        <v>1.3399999999999999</v>
      </c>
      <c r="CQ2873" s="24">
        <f>0.68+0.2+0.17</f>
        <v>1.05</v>
      </c>
      <c r="CR2873" s="24">
        <v>5.5E-2</v>
      </c>
      <c r="CS2873" s="24">
        <v>5.5E-2</v>
      </c>
      <c r="IQ2873" s="249"/>
    </row>
    <row r="2874" spans="1:251" s="24" customFormat="1" x14ac:dyDescent="0.25">
      <c r="A2874" s="24">
        <v>134</v>
      </c>
      <c r="B2874" s="24" t="s">
        <v>2948</v>
      </c>
      <c r="C2874" s="24" t="s">
        <v>418</v>
      </c>
      <c r="D2874" s="24">
        <v>1991</v>
      </c>
      <c r="E2874" s="24">
        <v>1988</v>
      </c>
      <c r="F2874" s="24" t="s">
        <v>2949</v>
      </c>
      <c r="G2874" s="24" t="s">
        <v>2950</v>
      </c>
      <c r="H2874" s="24" t="s">
        <v>2839</v>
      </c>
      <c r="I2874" s="24">
        <f>4+51/60</f>
        <v>4.8499999999999996</v>
      </c>
      <c r="J2874" s="24">
        <f>7+3/60</f>
        <v>7.05</v>
      </c>
      <c r="K2874" s="24">
        <v>21.6</v>
      </c>
      <c r="O2874" s="24">
        <v>2400</v>
      </c>
      <c r="Q2874" s="42" t="s">
        <v>1735</v>
      </c>
      <c r="R2874" s="42" t="s">
        <v>1735</v>
      </c>
      <c r="S2874" s="42"/>
      <c r="T2874" s="42" t="s">
        <v>2951</v>
      </c>
      <c r="U2874" s="42" t="s">
        <v>1398</v>
      </c>
      <c r="V2874" s="42" t="s">
        <v>1729</v>
      </c>
      <c r="W2874" s="42" t="s">
        <v>1398</v>
      </c>
      <c r="X2874" s="42" t="s">
        <v>1398</v>
      </c>
      <c r="Z2874" s="321"/>
      <c r="AA2874" s="321"/>
      <c r="AB2874" s="24" t="s">
        <v>140</v>
      </c>
      <c r="AC2874" s="24">
        <v>4.8</v>
      </c>
      <c r="AD2874" s="24">
        <v>1.84</v>
      </c>
      <c r="AF2874" s="24" t="s">
        <v>2952</v>
      </c>
      <c r="AG2874" s="24" t="s">
        <v>2955</v>
      </c>
      <c r="AH2874" s="24" t="s">
        <v>578</v>
      </c>
      <c r="AI2874" s="24" t="s">
        <v>1650</v>
      </c>
      <c r="AJ2874" s="24" t="s">
        <v>133</v>
      </c>
      <c r="AT2874" s="24" t="s">
        <v>2953</v>
      </c>
      <c r="BC2874" s="24">
        <v>1719</v>
      </c>
      <c r="BD2874" s="24">
        <v>2665</v>
      </c>
      <c r="BG2874" s="24" t="s">
        <v>2957</v>
      </c>
      <c r="BH2874" s="24">
        <v>1217</v>
      </c>
      <c r="BI2874" s="24">
        <v>2953</v>
      </c>
      <c r="BJ2874" s="24">
        <v>279</v>
      </c>
      <c r="BK2874" s="24">
        <v>279</v>
      </c>
      <c r="BL2874" s="24" t="s">
        <v>2958</v>
      </c>
      <c r="BM2874" s="395"/>
      <c r="BN2874" s="395"/>
      <c r="BR2874" s="395">
        <v>1.84</v>
      </c>
      <c r="BS2874" s="395">
        <v>2.0699999999999998</v>
      </c>
      <c r="BT2874" s="24">
        <v>0.23</v>
      </c>
      <c r="BU2874" s="24">
        <v>0.23</v>
      </c>
      <c r="BV2874" s="24" t="s">
        <v>994</v>
      </c>
      <c r="BW2874" s="24">
        <v>0.16</v>
      </c>
      <c r="BX2874" s="24">
        <v>0.18</v>
      </c>
      <c r="CA2874" s="24" t="s">
        <v>2956</v>
      </c>
      <c r="CG2874" s="24">
        <v>0.23</v>
      </c>
      <c r="CH2874" s="24">
        <v>0.18</v>
      </c>
      <c r="CL2874" s="24">
        <v>4.8</v>
      </c>
      <c r="CM2874" s="24">
        <v>4.5999999999999996</v>
      </c>
      <c r="CP2874" s="24">
        <f>0.83+0.28+0.23</f>
        <v>1.3399999999999999</v>
      </c>
      <c r="CQ2874" s="24">
        <f>0.8+0.23+0.18</f>
        <v>1.21</v>
      </c>
      <c r="CR2874" s="24">
        <v>5.5E-2</v>
      </c>
      <c r="CS2874" s="24">
        <v>5.5E-2</v>
      </c>
      <c r="IQ2874" s="249"/>
    </row>
    <row r="2875" spans="1:251" s="136" customFormat="1" x14ac:dyDescent="0.25">
      <c r="A2875" s="136">
        <v>134</v>
      </c>
      <c r="B2875" s="136" t="s">
        <v>2948</v>
      </c>
      <c r="C2875" s="136" t="s">
        <v>418</v>
      </c>
      <c r="D2875" s="136">
        <v>1991</v>
      </c>
      <c r="E2875" s="136">
        <v>1988</v>
      </c>
      <c r="F2875" s="136" t="s">
        <v>2949</v>
      </c>
      <c r="G2875" s="136" t="s">
        <v>2950</v>
      </c>
      <c r="H2875" s="136" t="s">
        <v>2839</v>
      </c>
      <c r="I2875" s="136">
        <f>4+51/60</f>
        <v>4.8499999999999996</v>
      </c>
      <c r="J2875" s="136">
        <f>7+3/60</f>
        <v>7.05</v>
      </c>
      <c r="K2875" s="136">
        <v>21.6</v>
      </c>
      <c r="O2875" s="136">
        <v>2400</v>
      </c>
      <c r="Q2875" s="137" t="s">
        <v>1735</v>
      </c>
      <c r="R2875" s="137" t="s">
        <v>1735</v>
      </c>
      <c r="S2875" s="137"/>
      <c r="T2875" s="137" t="s">
        <v>2951</v>
      </c>
      <c r="U2875" s="137" t="s">
        <v>1416</v>
      </c>
      <c r="V2875" s="137" t="s">
        <v>1726</v>
      </c>
      <c r="W2875" s="137" t="s">
        <v>1416</v>
      </c>
      <c r="X2875" s="137" t="s">
        <v>1398</v>
      </c>
      <c r="Z2875" s="357"/>
      <c r="AA2875" s="357"/>
      <c r="AB2875" s="136" t="s">
        <v>140</v>
      </c>
      <c r="AC2875" s="136">
        <v>4.4000000000000004</v>
      </c>
      <c r="AD2875" s="136">
        <v>1</v>
      </c>
      <c r="AF2875" s="136" t="s">
        <v>2952</v>
      </c>
      <c r="AG2875" s="136" t="s">
        <v>2954</v>
      </c>
      <c r="AH2875" s="24" t="s">
        <v>578</v>
      </c>
      <c r="AI2875" s="24" t="s">
        <v>1650</v>
      </c>
      <c r="AJ2875" s="24" t="s">
        <v>133</v>
      </c>
      <c r="AT2875" s="24" t="s">
        <v>2953</v>
      </c>
      <c r="BC2875" s="136">
        <v>1547</v>
      </c>
      <c r="BD2875" s="136">
        <v>1532</v>
      </c>
      <c r="BE2875" s="24"/>
      <c r="BF2875" s="24"/>
      <c r="BG2875" s="24" t="s">
        <v>2957</v>
      </c>
      <c r="BH2875" s="136">
        <v>693</v>
      </c>
      <c r="BI2875" s="136">
        <v>835</v>
      </c>
      <c r="BL2875" s="136" t="s">
        <v>2959</v>
      </c>
      <c r="BM2875" s="432"/>
      <c r="BN2875" s="432"/>
      <c r="BR2875" s="432">
        <v>1.1000000000000001</v>
      </c>
      <c r="BS2875" s="432">
        <v>1.2</v>
      </c>
      <c r="BV2875" s="24" t="s">
        <v>994</v>
      </c>
      <c r="BW2875" s="136">
        <v>0.12</v>
      </c>
      <c r="BX2875" s="136">
        <v>0.19</v>
      </c>
      <c r="CA2875" s="24" t="s">
        <v>2956</v>
      </c>
      <c r="CG2875" s="136">
        <v>0.11</v>
      </c>
      <c r="CH2875" s="136">
        <v>0.09</v>
      </c>
      <c r="CL2875" s="136">
        <v>4.4000000000000004</v>
      </c>
      <c r="CM2875" s="136">
        <v>4.3</v>
      </c>
      <c r="CP2875" s="136">
        <f>0.35+0.1+0.11</f>
        <v>0.55999999999999994</v>
      </c>
      <c r="CQ2875" s="136">
        <f>0.34+0.1+0.09</f>
        <v>0.53</v>
      </c>
      <c r="CR2875" s="136">
        <v>0.1</v>
      </c>
      <c r="CS2875" s="136">
        <v>0.1</v>
      </c>
      <c r="IQ2875" s="503"/>
    </row>
    <row r="2876" spans="1:251" s="136" customFormat="1" x14ac:dyDescent="0.25">
      <c r="A2876" s="136">
        <v>134</v>
      </c>
      <c r="B2876" s="136" t="s">
        <v>2948</v>
      </c>
      <c r="C2876" s="136" t="s">
        <v>418</v>
      </c>
      <c r="D2876" s="136">
        <v>1991</v>
      </c>
      <c r="E2876" s="136">
        <v>1988</v>
      </c>
      <c r="F2876" s="136" t="s">
        <v>2949</v>
      </c>
      <c r="G2876" s="136" t="s">
        <v>2950</v>
      </c>
      <c r="H2876" s="136" t="s">
        <v>2839</v>
      </c>
      <c r="I2876" s="136">
        <f>4+51/60</f>
        <v>4.8499999999999996</v>
      </c>
      <c r="J2876" s="136">
        <f>7+3/60</f>
        <v>7.05</v>
      </c>
      <c r="K2876" s="136">
        <v>21.6</v>
      </c>
      <c r="O2876" s="136">
        <v>2400</v>
      </c>
      <c r="Q2876" s="137" t="s">
        <v>1735</v>
      </c>
      <c r="R2876" s="137" t="s">
        <v>1735</v>
      </c>
      <c r="S2876" s="137"/>
      <c r="T2876" s="137" t="s">
        <v>2951</v>
      </c>
      <c r="U2876" s="137" t="s">
        <v>1416</v>
      </c>
      <c r="V2876" s="137" t="s">
        <v>1726</v>
      </c>
      <c r="W2876" s="137" t="s">
        <v>1416</v>
      </c>
      <c r="X2876" s="137" t="s">
        <v>1398</v>
      </c>
      <c r="Z2876" s="357"/>
      <c r="AA2876" s="357"/>
      <c r="AB2876" s="136" t="s">
        <v>140</v>
      </c>
      <c r="AC2876" s="136">
        <v>4.4000000000000004</v>
      </c>
      <c r="AD2876" s="136">
        <v>1</v>
      </c>
      <c r="AF2876" s="136" t="s">
        <v>2952</v>
      </c>
      <c r="AG2876" s="136" t="s">
        <v>2955</v>
      </c>
      <c r="AH2876" s="24" t="s">
        <v>578</v>
      </c>
      <c r="AI2876" s="24" t="s">
        <v>1650</v>
      </c>
      <c r="AJ2876" s="24" t="s">
        <v>133</v>
      </c>
      <c r="AT2876" s="24" t="s">
        <v>2953</v>
      </c>
      <c r="BC2876" s="136">
        <v>1547</v>
      </c>
      <c r="BD2876" s="136">
        <v>2467</v>
      </c>
      <c r="BE2876" s="24"/>
      <c r="BF2876" s="24"/>
      <c r="BG2876" s="24" t="s">
        <v>2957</v>
      </c>
      <c r="BH2876" s="136">
        <v>693</v>
      </c>
      <c r="BI2876" s="136">
        <v>1966</v>
      </c>
      <c r="BL2876" s="136" t="s">
        <v>2959</v>
      </c>
      <c r="BM2876" s="432"/>
      <c r="BN2876" s="432"/>
      <c r="BR2876" s="432">
        <v>1.1000000000000001</v>
      </c>
      <c r="BS2876" s="432">
        <v>1.1200000000000001</v>
      </c>
      <c r="BV2876" s="24" t="s">
        <v>994</v>
      </c>
      <c r="BW2876" s="136">
        <v>0.12</v>
      </c>
      <c r="BX2876" s="136">
        <v>0.11</v>
      </c>
      <c r="CA2876" s="24" t="s">
        <v>2956</v>
      </c>
      <c r="CG2876" s="136">
        <v>0.11</v>
      </c>
      <c r="CH2876" s="136">
        <v>0.1</v>
      </c>
      <c r="CL2876" s="136">
        <v>4.4000000000000004</v>
      </c>
      <c r="CM2876" s="136">
        <v>4.3</v>
      </c>
      <c r="CP2876" s="136">
        <f>0.35+0.1+0.11</f>
        <v>0.55999999999999994</v>
      </c>
      <c r="CQ2876" s="136">
        <f>0.32+0.1+0.1</f>
        <v>0.52</v>
      </c>
      <c r="CR2876" s="136">
        <v>0.1</v>
      </c>
      <c r="CS2876" s="136">
        <v>0.1</v>
      </c>
      <c r="IQ2876" s="503"/>
    </row>
    <row r="2877" spans="1:251" s="126" customFormat="1" x14ac:dyDescent="0.25">
      <c r="A2877" s="126">
        <v>135</v>
      </c>
      <c r="B2877" s="126" t="s">
        <v>2960</v>
      </c>
      <c r="C2877" s="126" t="s">
        <v>2961</v>
      </c>
      <c r="D2877" s="126">
        <v>2006</v>
      </c>
      <c r="E2877" s="126">
        <v>2003</v>
      </c>
      <c r="F2877" s="126" t="s">
        <v>2753</v>
      </c>
      <c r="G2877" s="126" t="s">
        <v>2963</v>
      </c>
      <c r="H2877" s="126" t="s">
        <v>2843</v>
      </c>
      <c r="I2877" s="126">
        <f>-15-18.5/60</f>
        <v>-15.308333333333334</v>
      </c>
      <c r="J2877" s="126">
        <f>35+23.5/60</f>
        <v>35.391666666666666</v>
      </c>
      <c r="K2877" s="126">
        <v>853</v>
      </c>
      <c r="Q2877" s="478" t="s">
        <v>1735</v>
      </c>
      <c r="R2877" s="478" t="s">
        <v>1867</v>
      </c>
      <c r="S2877" s="478"/>
      <c r="T2877" s="478" t="s">
        <v>2962</v>
      </c>
      <c r="U2877" s="478" t="s">
        <v>1383</v>
      </c>
      <c r="V2877" s="478" t="s">
        <v>1722</v>
      </c>
      <c r="W2877" s="478" t="s">
        <v>1383</v>
      </c>
      <c r="X2877" s="478" t="s">
        <v>1383</v>
      </c>
      <c r="Z2877" s="479"/>
      <c r="AA2877" s="479"/>
      <c r="AB2877" s="126" t="s">
        <v>241</v>
      </c>
      <c r="AC2877" s="126">
        <v>5.94</v>
      </c>
      <c r="AD2877" s="126">
        <v>0.90200000000000002</v>
      </c>
      <c r="AF2877" s="126" t="s">
        <v>2964</v>
      </c>
      <c r="AG2877" s="126" t="s">
        <v>2712</v>
      </c>
      <c r="AH2877" s="126" t="s">
        <v>578</v>
      </c>
      <c r="AI2877" s="126" t="s">
        <v>1650</v>
      </c>
      <c r="AJ2877" s="126" t="s">
        <v>133</v>
      </c>
      <c r="AT2877" s="126" t="s">
        <v>161</v>
      </c>
      <c r="AU2877" s="126">
        <v>3</v>
      </c>
      <c r="AV2877" s="126">
        <v>4</v>
      </c>
      <c r="AY2877" s="126">
        <v>959</v>
      </c>
      <c r="BB2877" s="126" t="s">
        <v>2965</v>
      </c>
      <c r="BH2877" s="126">
        <v>871</v>
      </c>
      <c r="BI2877" s="126">
        <v>1052</v>
      </c>
      <c r="BJ2877" s="126">
        <f>8119-7806</f>
        <v>313</v>
      </c>
      <c r="BK2877" s="126">
        <f>8119-7806</f>
        <v>313</v>
      </c>
      <c r="BM2877" s="481"/>
      <c r="BN2877" s="481"/>
      <c r="BR2877" s="481"/>
      <c r="BS2877" s="481"/>
      <c r="BW2877" s="126">
        <v>15.71</v>
      </c>
      <c r="BX2877" s="126">
        <v>13.14</v>
      </c>
      <c r="BY2877" s="126">
        <f>27.57-24.46</f>
        <v>3.1099999999999994</v>
      </c>
      <c r="BZ2877" s="126">
        <f>27.57-24.46</f>
        <v>3.1099999999999994</v>
      </c>
      <c r="CA2877" s="126" t="s">
        <v>2968</v>
      </c>
      <c r="IQ2877" s="480"/>
    </row>
    <row r="2878" spans="1:251" s="126" customFormat="1" x14ac:dyDescent="0.25">
      <c r="A2878" s="126">
        <v>135</v>
      </c>
      <c r="B2878" s="126" t="s">
        <v>2960</v>
      </c>
      <c r="C2878" s="126" t="s">
        <v>2961</v>
      </c>
      <c r="D2878" s="126">
        <v>2006</v>
      </c>
      <c r="E2878" s="126">
        <v>2003</v>
      </c>
      <c r="F2878" s="126" t="s">
        <v>2753</v>
      </c>
      <c r="G2878" s="126" t="s">
        <v>2963</v>
      </c>
      <c r="H2878" s="126" t="s">
        <v>2843</v>
      </c>
      <c r="I2878" s="126">
        <f>-15-18.5/60</f>
        <v>-15.308333333333334</v>
      </c>
      <c r="J2878" s="126">
        <f>35+23.5/60</f>
        <v>35.391666666666666</v>
      </c>
      <c r="K2878" s="126">
        <v>853</v>
      </c>
      <c r="Q2878" s="478" t="s">
        <v>1735</v>
      </c>
      <c r="R2878" s="478" t="s">
        <v>1867</v>
      </c>
      <c r="S2878" s="478"/>
      <c r="T2878" s="478" t="s">
        <v>2962</v>
      </c>
      <c r="U2878" s="478" t="s">
        <v>1383</v>
      </c>
      <c r="V2878" s="478" t="s">
        <v>1722</v>
      </c>
      <c r="W2878" s="478" t="s">
        <v>1383</v>
      </c>
      <c r="X2878" s="478" t="s">
        <v>1383</v>
      </c>
      <c r="Z2878" s="479"/>
      <c r="AA2878" s="479"/>
      <c r="AB2878" s="126" t="s">
        <v>241</v>
      </c>
      <c r="AC2878" s="126">
        <v>5.94</v>
      </c>
      <c r="AD2878" s="126">
        <v>0.90200000000000002</v>
      </c>
      <c r="AF2878" s="126" t="s">
        <v>2964</v>
      </c>
      <c r="AG2878" s="126" t="s">
        <v>2785</v>
      </c>
      <c r="AH2878" s="126" t="s">
        <v>578</v>
      </c>
      <c r="AI2878" s="126" t="s">
        <v>1650</v>
      </c>
      <c r="AJ2878" s="126" t="s">
        <v>133</v>
      </c>
      <c r="AT2878" s="126" t="s">
        <v>161</v>
      </c>
      <c r="AU2878" s="126">
        <v>3</v>
      </c>
      <c r="AV2878" s="126">
        <v>4</v>
      </c>
      <c r="AY2878" s="126">
        <v>1004</v>
      </c>
      <c r="BB2878" s="126" t="s">
        <v>2965</v>
      </c>
      <c r="BH2878" s="126">
        <v>871</v>
      </c>
      <c r="BI2878" s="126">
        <v>1634</v>
      </c>
      <c r="BJ2878" s="126">
        <f t="shared" ref="BJ2878:BK2879" si="358">8119-7806</f>
        <v>313</v>
      </c>
      <c r="BK2878" s="126">
        <f t="shared" si="358"/>
        <v>313</v>
      </c>
      <c r="BM2878" s="481"/>
      <c r="BN2878" s="481"/>
      <c r="BR2878" s="481"/>
      <c r="BS2878" s="481"/>
      <c r="BW2878" s="126">
        <v>15.71</v>
      </c>
      <c r="BX2878" s="126">
        <v>21.28</v>
      </c>
      <c r="BY2878" s="126">
        <f t="shared" ref="BY2878:BZ2879" si="359">27.57-24.46</f>
        <v>3.1099999999999994</v>
      </c>
      <c r="BZ2878" s="126">
        <f t="shared" si="359"/>
        <v>3.1099999999999994</v>
      </c>
      <c r="CA2878" s="126" t="s">
        <v>2968</v>
      </c>
      <c r="IQ2878" s="480"/>
    </row>
    <row r="2879" spans="1:251" s="126" customFormat="1" x14ac:dyDescent="0.25">
      <c r="A2879" s="126">
        <v>135</v>
      </c>
      <c r="B2879" s="126" t="s">
        <v>2960</v>
      </c>
      <c r="C2879" s="126" t="s">
        <v>2961</v>
      </c>
      <c r="D2879" s="126">
        <v>2006</v>
      </c>
      <c r="E2879" s="126">
        <v>2003</v>
      </c>
      <c r="F2879" s="126" t="s">
        <v>2753</v>
      </c>
      <c r="G2879" s="126" t="s">
        <v>2963</v>
      </c>
      <c r="H2879" s="126" t="s">
        <v>2843</v>
      </c>
      <c r="I2879" s="126">
        <f>-15-18.5/60</f>
        <v>-15.308333333333334</v>
      </c>
      <c r="J2879" s="126">
        <f>35+23.5/60</f>
        <v>35.391666666666666</v>
      </c>
      <c r="K2879" s="126">
        <v>853</v>
      </c>
      <c r="Q2879" s="478" t="s">
        <v>1735</v>
      </c>
      <c r="R2879" s="478" t="s">
        <v>1867</v>
      </c>
      <c r="S2879" s="478"/>
      <c r="T2879" s="478" t="s">
        <v>2962</v>
      </c>
      <c r="U2879" s="478" t="s">
        <v>1383</v>
      </c>
      <c r="V2879" s="478" t="s">
        <v>1722</v>
      </c>
      <c r="W2879" s="478" t="s">
        <v>1383</v>
      </c>
      <c r="X2879" s="478" t="s">
        <v>1383</v>
      </c>
      <c r="Z2879" s="479"/>
      <c r="AA2879" s="479"/>
      <c r="AB2879" s="126" t="s">
        <v>241</v>
      </c>
      <c r="AC2879" s="126">
        <v>5.94</v>
      </c>
      <c r="AD2879" s="126">
        <v>0.90200000000000002</v>
      </c>
      <c r="AF2879" s="126" t="s">
        <v>2964</v>
      </c>
      <c r="AG2879" s="126" t="s">
        <v>2869</v>
      </c>
      <c r="AH2879" s="126" t="s">
        <v>578</v>
      </c>
      <c r="AI2879" s="126" t="s">
        <v>1650</v>
      </c>
      <c r="AJ2879" s="126" t="s">
        <v>133</v>
      </c>
      <c r="AT2879" s="126" t="s">
        <v>161</v>
      </c>
      <c r="AU2879" s="126">
        <v>3</v>
      </c>
      <c r="AV2879" s="126">
        <v>4</v>
      </c>
      <c r="AY2879" s="126">
        <v>1835</v>
      </c>
      <c r="BB2879" s="126" t="s">
        <v>2965</v>
      </c>
      <c r="BH2879" s="126">
        <v>871</v>
      </c>
      <c r="BI2879" s="126">
        <v>1322</v>
      </c>
      <c r="BJ2879" s="126">
        <f t="shared" si="358"/>
        <v>313</v>
      </c>
      <c r="BK2879" s="126">
        <f t="shared" si="358"/>
        <v>313</v>
      </c>
      <c r="BM2879" s="481"/>
      <c r="BN2879" s="481"/>
      <c r="BR2879" s="481"/>
      <c r="BS2879" s="481"/>
      <c r="BW2879" s="126">
        <v>15.71</v>
      </c>
      <c r="BX2879" s="126">
        <v>16.420000000000002</v>
      </c>
      <c r="BY2879" s="126">
        <f t="shared" si="359"/>
        <v>3.1099999999999994</v>
      </c>
      <c r="BZ2879" s="126">
        <f t="shared" si="359"/>
        <v>3.1099999999999994</v>
      </c>
      <c r="CA2879" s="126" t="s">
        <v>2968</v>
      </c>
      <c r="IQ2879" s="480"/>
    </row>
    <row r="2880" spans="1:251" s="36" customFormat="1" x14ac:dyDescent="0.25">
      <c r="A2880" s="36">
        <v>135</v>
      </c>
      <c r="B2880" s="36" t="s">
        <v>2960</v>
      </c>
      <c r="C2880" s="36" t="s">
        <v>2961</v>
      </c>
      <c r="D2880" s="36">
        <v>2006</v>
      </c>
      <c r="E2880" s="36">
        <v>2003</v>
      </c>
      <c r="F2880" s="36" t="s">
        <v>2753</v>
      </c>
      <c r="G2880" s="36" t="s">
        <v>2963</v>
      </c>
      <c r="H2880" s="36" t="s">
        <v>2843</v>
      </c>
      <c r="I2880" s="36">
        <f>-15-18.5/60</f>
        <v>-15.308333333333334</v>
      </c>
      <c r="J2880" s="36">
        <f>35+23.5/60</f>
        <v>35.391666666666666</v>
      </c>
      <c r="K2880" s="36">
        <v>853</v>
      </c>
      <c r="Q2880" s="51" t="s">
        <v>1735</v>
      </c>
      <c r="R2880" s="51" t="s">
        <v>1867</v>
      </c>
      <c r="S2880" s="51"/>
      <c r="T2880" s="51" t="s">
        <v>2962</v>
      </c>
      <c r="U2880" s="51" t="s">
        <v>1383</v>
      </c>
      <c r="V2880" s="51" t="s">
        <v>1722</v>
      </c>
      <c r="W2880" s="51" t="s">
        <v>1383</v>
      </c>
      <c r="X2880" s="51" t="s">
        <v>1383</v>
      </c>
      <c r="Z2880" s="331"/>
      <c r="AA2880" s="331"/>
      <c r="AB2880" s="36" t="s">
        <v>241</v>
      </c>
      <c r="AC2880" s="36">
        <v>6.04</v>
      </c>
      <c r="AD2880" s="36">
        <v>0.58499999999999996</v>
      </c>
      <c r="AF2880" s="36" t="s">
        <v>2964</v>
      </c>
      <c r="AG2880" s="36" t="s">
        <v>2712</v>
      </c>
      <c r="AH2880" s="36" t="s">
        <v>578</v>
      </c>
      <c r="AI2880" s="36" t="s">
        <v>1650</v>
      </c>
      <c r="AJ2880" s="36" t="s">
        <v>133</v>
      </c>
      <c r="AT2880" s="36" t="s">
        <v>161</v>
      </c>
      <c r="AU2880" s="36">
        <v>3</v>
      </c>
      <c r="AV2880" s="36">
        <v>4</v>
      </c>
      <c r="AY2880" s="36">
        <v>2086</v>
      </c>
      <c r="BB2880" s="36" t="s">
        <v>2966</v>
      </c>
      <c r="BH2880" s="36">
        <v>831</v>
      </c>
      <c r="BI2880" s="36">
        <v>2014</v>
      </c>
      <c r="BJ2880" s="36">
        <v>338</v>
      </c>
      <c r="BK2880" s="36">
        <v>338</v>
      </c>
      <c r="BM2880" s="407"/>
      <c r="BN2880" s="407"/>
      <c r="BR2880" s="407"/>
      <c r="BS2880" s="407"/>
      <c r="BW2880" s="36">
        <v>13.5</v>
      </c>
      <c r="BX2880" s="36">
        <v>18.45</v>
      </c>
      <c r="BY2880" s="36">
        <f>27.56-24.38</f>
        <v>3.1799999999999997</v>
      </c>
      <c r="BZ2880" s="36">
        <f>27.56-24.38</f>
        <v>3.1799999999999997</v>
      </c>
      <c r="CA2880" s="36" t="s">
        <v>2968</v>
      </c>
      <c r="IQ2880" s="230"/>
    </row>
    <row r="2881" spans="1:251" s="36" customFormat="1" x14ac:dyDescent="0.25">
      <c r="A2881" s="36">
        <v>135</v>
      </c>
      <c r="B2881" s="36" t="s">
        <v>2960</v>
      </c>
      <c r="C2881" s="36" t="s">
        <v>2961</v>
      </c>
      <c r="D2881" s="36">
        <v>2006</v>
      </c>
      <c r="E2881" s="36">
        <v>2003</v>
      </c>
      <c r="F2881" s="36" t="s">
        <v>2753</v>
      </c>
      <c r="G2881" s="36" t="s">
        <v>2963</v>
      </c>
      <c r="H2881" s="36" t="s">
        <v>2843</v>
      </c>
      <c r="I2881" s="36">
        <f>-15-18.5/60</f>
        <v>-15.308333333333334</v>
      </c>
      <c r="J2881" s="36">
        <f>35+23.5/60</f>
        <v>35.391666666666666</v>
      </c>
      <c r="K2881" s="36">
        <v>853</v>
      </c>
      <c r="Q2881" s="51" t="s">
        <v>1735</v>
      </c>
      <c r="R2881" s="51" t="s">
        <v>1867</v>
      </c>
      <c r="S2881" s="51"/>
      <c r="T2881" s="51" t="s">
        <v>2962</v>
      </c>
      <c r="U2881" s="51" t="s">
        <v>1383</v>
      </c>
      <c r="V2881" s="51" t="s">
        <v>1722</v>
      </c>
      <c r="W2881" s="51" t="s">
        <v>1383</v>
      </c>
      <c r="X2881" s="51" t="s">
        <v>1383</v>
      </c>
      <c r="Z2881" s="331"/>
      <c r="AA2881" s="331"/>
      <c r="AB2881" s="36" t="s">
        <v>241</v>
      </c>
      <c r="AC2881" s="36">
        <v>6.04</v>
      </c>
      <c r="AD2881" s="36">
        <v>0.58499999999999996</v>
      </c>
      <c r="AF2881" s="36" t="s">
        <v>2964</v>
      </c>
      <c r="AG2881" s="36" t="s">
        <v>2785</v>
      </c>
      <c r="AH2881" s="36" t="s">
        <v>578</v>
      </c>
      <c r="AI2881" s="36" t="s">
        <v>1650</v>
      </c>
      <c r="AJ2881" s="36" t="s">
        <v>133</v>
      </c>
      <c r="AT2881" s="36" t="s">
        <v>161</v>
      </c>
      <c r="AU2881" s="36">
        <v>3</v>
      </c>
      <c r="AV2881" s="36">
        <v>4</v>
      </c>
      <c r="AY2881" s="36">
        <v>976</v>
      </c>
      <c r="BB2881" s="36" t="s">
        <v>2966</v>
      </c>
      <c r="BH2881" s="36">
        <v>831</v>
      </c>
      <c r="BI2881" s="36">
        <v>1319</v>
      </c>
      <c r="BJ2881" s="36">
        <v>338</v>
      </c>
      <c r="BK2881" s="36">
        <v>338</v>
      </c>
      <c r="BM2881" s="407"/>
      <c r="BN2881" s="407"/>
      <c r="BR2881" s="407"/>
      <c r="BS2881" s="407"/>
      <c r="BW2881" s="36">
        <v>13.5</v>
      </c>
      <c r="BX2881" s="36">
        <v>15.71</v>
      </c>
      <c r="BY2881" s="36">
        <f t="shared" ref="BY2881:BZ2882" si="360">27.56-24.38</f>
        <v>3.1799999999999997</v>
      </c>
      <c r="BZ2881" s="36">
        <f t="shared" si="360"/>
        <v>3.1799999999999997</v>
      </c>
      <c r="CA2881" s="36" t="s">
        <v>2968</v>
      </c>
      <c r="IQ2881" s="230"/>
    </row>
    <row r="2882" spans="1:251" s="36" customFormat="1" x14ac:dyDescent="0.25">
      <c r="A2882" s="36">
        <v>135</v>
      </c>
      <c r="B2882" s="36" t="s">
        <v>2960</v>
      </c>
      <c r="C2882" s="36" t="s">
        <v>2961</v>
      </c>
      <c r="D2882" s="36">
        <v>2006</v>
      </c>
      <c r="E2882" s="36">
        <v>2003</v>
      </c>
      <c r="F2882" s="36" t="s">
        <v>2753</v>
      </c>
      <c r="G2882" s="36" t="s">
        <v>2963</v>
      </c>
      <c r="H2882" s="36" t="s">
        <v>2843</v>
      </c>
      <c r="I2882" s="36">
        <f>-15-18.5/60</f>
        <v>-15.308333333333334</v>
      </c>
      <c r="J2882" s="36">
        <f>35+23.5/60</f>
        <v>35.391666666666666</v>
      </c>
      <c r="K2882" s="36">
        <v>853</v>
      </c>
      <c r="Q2882" s="51" t="s">
        <v>1735</v>
      </c>
      <c r="R2882" s="51" t="s">
        <v>1867</v>
      </c>
      <c r="S2882" s="51"/>
      <c r="T2882" s="51" t="s">
        <v>2962</v>
      </c>
      <c r="U2882" s="51" t="s">
        <v>1383</v>
      </c>
      <c r="V2882" s="51" t="s">
        <v>1722</v>
      </c>
      <c r="W2882" s="51" t="s">
        <v>1383</v>
      </c>
      <c r="X2882" s="51" t="s">
        <v>1383</v>
      </c>
      <c r="Z2882" s="331"/>
      <c r="AA2882" s="331"/>
      <c r="AB2882" s="36" t="s">
        <v>241</v>
      </c>
      <c r="AC2882" s="36">
        <v>6.04</v>
      </c>
      <c r="AD2882" s="36">
        <v>0.58499999999999996</v>
      </c>
      <c r="AF2882" s="36" t="s">
        <v>2964</v>
      </c>
      <c r="AG2882" s="36" t="s">
        <v>2869</v>
      </c>
      <c r="AH2882" s="36" t="s">
        <v>578</v>
      </c>
      <c r="AI2882" s="36" t="s">
        <v>1650</v>
      </c>
      <c r="AJ2882" s="36" t="s">
        <v>133</v>
      </c>
      <c r="AT2882" s="36" t="s">
        <v>161</v>
      </c>
      <c r="AU2882" s="36">
        <v>3</v>
      </c>
      <c r="AV2882" s="36">
        <v>4</v>
      </c>
      <c r="AY2882" s="36">
        <v>1154</v>
      </c>
      <c r="BB2882" s="36" t="s">
        <v>2966</v>
      </c>
      <c r="BH2882" s="36">
        <v>831</v>
      </c>
      <c r="BI2882" s="36">
        <v>1350</v>
      </c>
      <c r="BJ2882" s="36">
        <v>338</v>
      </c>
      <c r="BK2882" s="36">
        <v>338</v>
      </c>
      <c r="BM2882" s="407"/>
      <c r="BN2882" s="407"/>
      <c r="BR2882" s="407"/>
      <c r="BS2882" s="407"/>
      <c r="BW2882" s="36">
        <v>13.5</v>
      </c>
      <c r="BX2882" s="36">
        <v>16.5</v>
      </c>
      <c r="BY2882" s="36">
        <f t="shared" si="360"/>
        <v>3.1799999999999997</v>
      </c>
      <c r="BZ2882" s="36">
        <f t="shared" si="360"/>
        <v>3.1799999999999997</v>
      </c>
      <c r="CA2882" s="36" t="s">
        <v>2968</v>
      </c>
      <c r="IQ2882" s="230"/>
    </row>
    <row r="2883" spans="1:251" s="126" customFormat="1" x14ac:dyDescent="0.25">
      <c r="A2883" s="126">
        <v>135</v>
      </c>
      <c r="B2883" s="126" t="s">
        <v>2960</v>
      </c>
      <c r="C2883" s="126" t="s">
        <v>2961</v>
      </c>
      <c r="D2883" s="126">
        <v>2006</v>
      </c>
      <c r="E2883" s="126">
        <v>2003</v>
      </c>
      <c r="F2883" s="126" t="s">
        <v>2753</v>
      </c>
      <c r="G2883" s="126" t="s">
        <v>2963</v>
      </c>
      <c r="H2883" s="126" t="s">
        <v>2843</v>
      </c>
      <c r="I2883" s="126">
        <f>-15-18.5/60</f>
        <v>-15.308333333333334</v>
      </c>
      <c r="J2883" s="126">
        <f>35+23.5/60</f>
        <v>35.391666666666666</v>
      </c>
      <c r="K2883" s="126">
        <v>853</v>
      </c>
      <c r="Q2883" s="478" t="s">
        <v>1735</v>
      </c>
      <c r="R2883" s="478" t="s">
        <v>1867</v>
      </c>
      <c r="S2883" s="478"/>
      <c r="T2883" s="478" t="s">
        <v>2962</v>
      </c>
      <c r="U2883" s="478" t="s">
        <v>1383</v>
      </c>
      <c r="V2883" s="478" t="s">
        <v>1722</v>
      </c>
      <c r="W2883" s="478" t="s">
        <v>1383</v>
      </c>
      <c r="X2883" s="478" t="s">
        <v>1383</v>
      </c>
      <c r="Z2883" s="479"/>
      <c r="AA2883" s="479"/>
      <c r="AB2883" s="126" t="s">
        <v>241</v>
      </c>
      <c r="AC2883" s="126">
        <v>6.15</v>
      </c>
      <c r="AD2883" s="126">
        <v>0.69399999999999995</v>
      </c>
      <c r="AF2883" s="126" t="s">
        <v>2964</v>
      </c>
      <c r="AG2883" s="126" t="s">
        <v>2712</v>
      </c>
      <c r="AH2883" s="126" t="s">
        <v>578</v>
      </c>
      <c r="AI2883" s="126" t="s">
        <v>1650</v>
      </c>
      <c r="AJ2883" s="126" t="s">
        <v>133</v>
      </c>
      <c r="AT2883" s="126" t="s">
        <v>161</v>
      </c>
      <c r="AU2883" s="126">
        <v>3</v>
      </c>
      <c r="AV2883" s="126">
        <v>4</v>
      </c>
      <c r="AY2883" s="126">
        <v>1697</v>
      </c>
      <c r="BB2883" s="126" t="s">
        <v>2967</v>
      </c>
      <c r="BH2883" s="126">
        <v>702</v>
      </c>
      <c r="BI2883" s="126">
        <v>1450</v>
      </c>
      <c r="BJ2883" s="126">
        <f>8069-7869</f>
        <v>200</v>
      </c>
      <c r="BK2883" s="126">
        <f>8069-7869</f>
        <v>200</v>
      </c>
      <c r="BM2883" s="481"/>
      <c r="BN2883" s="481"/>
      <c r="BR2883" s="481"/>
      <c r="BS2883" s="481"/>
      <c r="BW2883" s="126">
        <v>8.01</v>
      </c>
      <c r="BX2883" s="126">
        <v>17.48</v>
      </c>
      <c r="BY2883" s="126">
        <f>27.3-24.73</f>
        <v>2.5700000000000003</v>
      </c>
      <c r="BZ2883" s="126">
        <f>27.3-24.73</f>
        <v>2.5700000000000003</v>
      </c>
      <c r="CA2883" s="126" t="s">
        <v>2968</v>
      </c>
      <c r="IQ2883" s="480"/>
    </row>
    <row r="2884" spans="1:251" s="126" customFormat="1" x14ac:dyDescent="0.25">
      <c r="A2884" s="126">
        <v>135</v>
      </c>
      <c r="B2884" s="126" t="s">
        <v>2960</v>
      </c>
      <c r="C2884" s="126" t="s">
        <v>2961</v>
      </c>
      <c r="D2884" s="126">
        <v>2006</v>
      </c>
      <c r="E2884" s="126">
        <v>2003</v>
      </c>
      <c r="F2884" s="126" t="s">
        <v>2753</v>
      </c>
      <c r="G2884" s="126" t="s">
        <v>2963</v>
      </c>
      <c r="H2884" s="126" t="s">
        <v>2843</v>
      </c>
      <c r="I2884" s="126">
        <f>-15-18.5/60</f>
        <v>-15.308333333333334</v>
      </c>
      <c r="J2884" s="126">
        <f>35+23.5/60</f>
        <v>35.391666666666666</v>
      </c>
      <c r="K2884" s="126">
        <v>853</v>
      </c>
      <c r="Q2884" s="478" t="s">
        <v>1735</v>
      </c>
      <c r="R2884" s="478" t="s">
        <v>1867</v>
      </c>
      <c r="S2884" s="478"/>
      <c r="T2884" s="478" t="s">
        <v>2962</v>
      </c>
      <c r="U2884" s="478" t="s">
        <v>1383</v>
      </c>
      <c r="V2884" s="478" t="s">
        <v>1722</v>
      </c>
      <c r="W2884" s="478" t="s">
        <v>1383</v>
      </c>
      <c r="X2884" s="478" t="s">
        <v>1383</v>
      </c>
      <c r="Z2884" s="479"/>
      <c r="AA2884" s="479"/>
      <c r="AB2884" s="126" t="s">
        <v>241</v>
      </c>
      <c r="AC2884" s="126">
        <v>6.15</v>
      </c>
      <c r="AD2884" s="126">
        <v>0.69399999999999995</v>
      </c>
      <c r="AF2884" s="126" t="s">
        <v>2964</v>
      </c>
      <c r="AG2884" s="126" t="s">
        <v>2785</v>
      </c>
      <c r="AH2884" s="126" t="s">
        <v>578</v>
      </c>
      <c r="AI2884" s="126" t="s">
        <v>1650</v>
      </c>
      <c r="AJ2884" s="126" t="s">
        <v>133</v>
      </c>
      <c r="AT2884" s="126" t="s">
        <v>161</v>
      </c>
      <c r="AU2884" s="126">
        <v>3</v>
      </c>
      <c r="AV2884" s="126">
        <v>4</v>
      </c>
      <c r="AY2884" s="126">
        <v>372</v>
      </c>
      <c r="BB2884" s="126" t="s">
        <v>2967</v>
      </c>
      <c r="BH2884" s="126">
        <v>702</v>
      </c>
      <c r="BI2884" s="126">
        <v>1035</v>
      </c>
      <c r="BJ2884" s="126">
        <f t="shared" ref="BJ2884:BK2885" si="361">8069-7869</f>
        <v>200</v>
      </c>
      <c r="BK2884" s="126">
        <f t="shared" si="361"/>
        <v>200</v>
      </c>
      <c r="BM2884" s="481"/>
      <c r="BN2884" s="481"/>
      <c r="BR2884" s="481"/>
      <c r="BS2884" s="481"/>
      <c r="BW2884" s="126">
        <v>8.01</v>
      </c>
      <c r="BX2884" s="126">
        <v>11.64</v>
      </c>
      <c r="BY2884" s="126">
        <f t="shared" ref="BY2884:BZ2885" si="362">27.3-24.73</f>
        <v>2.5700000000000003</v>
      </c>
      <c r="BZ2884" s="126">
        <f t="shared" si="362"/>
        <v>2.5700000000000003</v>
      </c>
      <c r="CA2884" s="126" t="s">
        <v>2968</v>
      </c>
      <c r="IQ2884" s="480"/>
    </row>
    <row r="2885" spans="1:251" s="126" customFormat="1" x14ac:dyDescent="0.25">
      <c r="A2885" s="126">
        <v>135</v>
      </c>
      <c r="B2885" s="126" t="s">
        <v>2960</v>
      </c>
      <c r="C2885" s="126" t="s">
        <v>2961</v>
      </c>
      <c r="D2885" s="126">
        <v>2006</v>
      </c>
      <c r="E2885" s="126">
        <v>2003</v>
      </c>
      <c r="F2885" s="126" t="s">
        <v>2753</v>
      </c>
      <c r="G2885" s="126" t="s">
        <v>2963</v>
      </c>
      <c r="H2885" s="126" t="s">
        <v>2843</v>
      </c>
      <c r="I2885" s="126">
        <f>-15-18.5/60</f>
        <v>-15.308333333333334</v>
      </c>
      <c r="J2885" s="126">
        <f>35+23.5/60</f>
        <v>35.391666666666666</v>
      </c>
      <c r="K2885" s="126">
        <v>853</v>
      </c>
      <c r="Q2885" s="478" t="s">
        <v>1735</v>
      </c>
      <c r="R2885" s="478" t="s">
        <v>1867</v>
      </c>
      <c r="S2885" s="478"/>
      <c r="T2885" s="478" t="s">
        <v>2962</v>
      </c>
      <c r="U2885" s="478" t="s">
        <v>1383</v>
      </c>
      <c r="V2885" s="478" t="s">
        <v>1722</v>
      </c>
      <c r="W2885" s="478" t="s">
        <v>1383</v>
      </c>
      <c r="X2885" s="478" t="s">
        <v>1383</v>
      </c>
      <c r="Z2885" s="479"/>
      <c r="AA2885" s="479"/>
      <c r="AB2885" s="126" t="s">
        <v>241</v>
      </c>
      <c r="AC2885" s="126">
        <v>6.15</v>
      </c>
      <c r="AD2885" s="126">
        <v>0.69399999999999995</v>
      </c>
      <c r="AF2885" s="126" t="s">
        <v>2964</v>
      </c>
      <c r="AG2885" s="126" t="s">
        <v>2869</v>
      </c>
      <c r="AH2885" s="126" t="s">
        <v>578</v>
      </c>
      <c r="AI2885" s="126" t="s">
        <v>1650</v>
      </c>
      <c r="AJ2885" s="126" t="s">
        <v>133</v>
      </c>
      <c r="AT2885" s="126" t="s">
        <v>161</v>
      </c>
      <c r="AU2885" s="126">
        <v>3</v>
      </c>
      <c r="AV2885" s="126">
        <v>4</v>
      </c>
      <c r="AY2885" s="126">
        <v>562</v>
      </c>
      <c r="BB2885" s="126" t="s">
        <v>2967</v>
      </c>
      <c r="BH2885" s="126">
        <v>702</v>
      </c>
      <c r="BI2885" s="126">
        <v>1304</v>
      </c>
      <c r="BJ2885" s="126">
        <f t="shared" si="361"/>
        <v>200</v>
      </c>
      <c r="BK2885" s="126">
        <f t="shared" si="361"/>
        <v>200</v>
      </c>
      <c r="BM2885" s="481"/>
      <c r="BN2885" s="481"/>
      <c r="BR2885" s="481"/>
      <c r="BS2885" s="481"/>
      <c r="BW2885" s="126">
        <v>8.01</v>
      </c>
      <c r="BX2885" s="126">
        <v>14.12</v>
      </c>
      <c r="BY2885" s="126">
        <f t="shared" si="362"/>
        <v>2.5700000000000003</v>
      </c>
      <c r="BZ2885" s="126">
        <f t="shared" si="362"/>
        <v>2.5700000000000003</v>
      </c>
      <c r="CA2885" s="126" t="s">
        <v>2968</v>
      </c>
      <c r="IQ2885" s="480"/>
    </row>
    <row r="2886" spans="1:251" s="99" customFormat="1" x14ac:dyDescent="0.25">
      <c r="A2886" s="99">
        <v>135</v>
      </c>
      <c r="B2886" s="99" t="s">
        <v>2960</v>
      </c>
      <c r="C2886" s="99" t="s">
        <v>2961</v>
      </c>
      <c r="D2886" s="99">
        <v>2006</v>
      </c>
      <c r="E2886" s="99">
        <v>2004</v>
      </c>
      <c r="F2886" s="99" t="s">
        <v>2753</v>
      </c>
      <c r="G2886" s="99" t="s">
        <v>2963</v>
      </c>
      <c r="H2886" s="99" t="s">
        <v>2843</v>
      </c>
      <c r="I2886" s="99">
        <f>-15-18.5/60</f>
        <v>-15.308333333333334</v>
      </c>
      <c r="J2886" s="99">
        <f>35+23.5/60</f>
        <v>35.391666666666666</v>
      </c>
      <c r="K2886" s="99">
        <v>853</v>
      </c>
      <c r="Q2886" s="100" t="s">
        <v>1735</v>
      </c>
      <c r="R2886" s="100" t="s">
        <v>1867</v>
      </c>
      <c r="S2886" s="100"/>
      <c r="T2886" s="100" t="s">
        <v>2962</v>
      </c>
      <c r="U2886" s="100" t="s">
        <v>1383</v>
      </c>
      <c r="V2886" s="100" t="s">
        <v>1722</v>
      </c>
      <c r="W2886" s="100" t="s">
        <v>1383</v>
      </c>
      <c r="X2886" s="100" t="s">
        <v>1383</v>
      </c>
      <c r="Z2886" s="351"/>
      <c r="AA2886" s="351"/>
      <c r="AB2886" s="99" t="s">
        <v>241</v>
      </c>
      <c r="AC2886" s="99">
        <v>5.94</v>
      </c>
      <c r="AD2886" s="99">
        <v>0.90200000000000002</v>
      </c>
      <c r="AF2886" s="99" t="s">
        <v>2964</v>
      </c>
      <c r="AG2886" s="99" t="s">
        <v>2712</v>
      </c>
      <c r="AH2886" s="99" t="s">
        <v>578</v>
      </c>
      <c r="AI2886" s="99" t="s">
        <v>1650</v>
      </c>
      <c r="AJ2886" s="99" t="s">
        <v>133</v>
      </c>
      <c r="AT2886" s="99" t="s">
        <v>161</v>
      </c>
      <c r="AU2886" s="99">
        <v>3</v>
      </c>
      <c r="AV2886" s="99">
        <v>4</v>
      </c>
      <c r="AY2886" s="99">
        <v>959</v>
      </c>
      <c r="BB2886" s="99" t="s">
        <v>2965</v>
      </c>
      <c r="BH2886" s="99">
        <v>631</v>
      </c>
      <c r="BI2886" s="99">
        <v>1719</v>
      </c>
      <c r="BJ2886" s="99">
        <v>199</v>
      </c>
      <c r="BK2886" s="99">
        <v>199</v>
      </c>
      <c r="BM2886" s="426"/>
      <c r="BN2886" s="426"/>
      <c r="BR2886" s="426"/>
      <c r="BS2886" s="426"/>
      <c r="BW2886" s="99">
        <v>11.25</v>
      </c>
      <c r="BX2886" s="99">
        <v>17.98</v>
      </c>
      <c r="BY2886" s="99">
        <f>50.48-39.9</f>
        <v>10.579999999999998</v>
      </c>
      <c r="BZ2886" s="99">
        <f>50.48-39.9</f>
        <v>10.579999999999998</v>
      </c>
      <c r="CA2886" s="126" t="s">
        <v>2968</v>
      </c>
      <c r="IQ2886" s="511"/>
    </row>
    <row r="2887" spans="1:251" s="99" customFormat="1" x14ac:dyDescent="0.25">
      <c r="A2887" s="99">
        <v>135</v>
      </c>
      <c r="B2887" s="99" t="s">
        <v>2960</v>
      </c>
      <c r="C2887" s="99" t="s">
        <v>2961</v>
      </c>
      <c r="D2887" s="99">
        <v>2006</v>
      </c>
      <c r="E2887" s="99">
        <v>2004</v>
      </c>
      <c r="F2887" s="99" t="s">
        <v>2753</v>
      </c>
      <c r="G2887" s="99" t="s">
        <v>2963</v>
      </c>
      <c r="H2887" s="99" t="s">
        <v>2843</v>
      </c>
      <c r="I2887" s="99">
        <f>-15-18.5/60</f>
        <v>-15.308333333333334</v>
      </c>
      <c r="J2887" s="99">
        <f>35+23.5/60</f>
        <v>35.391666666666666</v>
      </c>
      <c r="K2887" s="99">
        <v>853</v>
      </c>
      <c r="Q2887" s="100" t="s">
        <v>1735</v>
      </c>
      <c r="R2887" s="100" t="s">
        <v>1867</v>
      </c>
      <c r="S2887" s="100"/>
      <c r="T2887" s="100" t="s">
        <v>2962</v>
      </c>
      <c r="U2887" s="100" t="s">
        <v>1383</v>
      </c>
      <c r="V2887" s="100" t="s">
        <v>1722</v>
      </c>
      <c r="W2887" s="100" t="s">
        <v>1383</v>
      </c>
      <c r="X2887" s="100" t="s">
        <v>1383</v>
      </c>
      <c r="Z2887" s="351"/>
      <c r="AA2887" s="351"/>
      <c r="AB2887" s="99" t="s">
        <v>241</v>
      </c>
      <c r="AC2887" s="99">
        <v>5.94</v>
      </c>
      <c r="AD2887" s="99">
        <v>0.90200000000000002</v>
      </c>
      <c r="AF2887" s="99" t="s">
        <v>2964</v>
      </c>
      <c r="AG2887" s="99" t="s">
        <v>2785</v>
      </c>
      <c r="AH2887" s="99" t="s">
        <v>578</v>
      </c>
      <c r="AI2887" s="99" t="s">
        <v>1650</v>
      </c>
      <c r="AJ2887" s="99" t="s">
        <v>133</v>
      </c>
      <c r="AT2887" s="99" t="s">
        <v>161</v>
      </c>
      <c r="AU2887" s="99">
        <v>3</v>
      </c>
      <c r="AV2887" s="99">
        <v>4</v>
      </c>
      <c r="AY2887" s="99">
        <v>1004</v>
      </c>
      <c r="BB2887" s="99" t="s">
        <v>2965</v>
      </c>
      <c r="BH2887" s="99">
        <v>631</v>
      </c>
      <c r="BI2887" s="99">
        <v>956</v>
      </c>
      <c r="BJ2887" s="99">
        <v>199</v>
      </c>
      <c r="BK2887" s="99">
        <v>199</v>
      </c>
      <c r="BM2887" s="426"/>
      <c r="BN2887" s="426"/>
      <c r="BR2887" s="426"/>
      <c r="BS2887" s="426"/>
      <c r="BW2887" s="99">
        <v>11.25</v>
      </c>
      <c r="BX2887" s="99">
        <v>36.06</v>
      </c>
      <c r="BY2887" s="99">
        <f t="shared" ref="BY2887:BZ2888" si="363">50.48-39.9</f>
        <v>10.579999999999998</v>
      </c>
      <c r="BZ2887" s="99">
        <f t="shared" si="363"/>
        <v>10.579999999999998</v>
      </c>
      <c r="CA2887" s="126" t="s">
        <v>2968</v>
      </c>
      <c r="IQ2887" s="511"/>
    </row>
    <row r="2888" spans="1:251" s="99" customFormat="1" x14ac:dyDescent="0.25">
      <c r="A2888" s="99">
        <v>135</v>
      </c>
      <c r="B2888" s="99" t="s">
        <v>2960</v>
      </c>
      <c r="C2888" s="99" t="s">
        <v>2961</v>
      </c>
      <c r="D2888" s="99">
        <v>2006</v>
      </c>
      <c r="E2888" s="99">
        <v>2004</v>
      </c>
      <c r="F2888" s="99" t="s">
        <v>2753</v>
      </c>
      <c r="G2888" s="99" t="s">
        <v>2963</v>
      </c>
      <c r="H2888" s="99" t="s">
        <v>2843</v>
      </c>
      <c r="I2888" s="99">
        <f>-15-18.5/60</f>
        <v>-15.308333333333334</v>
      </c>
      <c r="J2888" s="99">
        <f>35+23.5/60</f>
        <v>35.391666666666666</v>
      </c>
      <c r="K2888" s="99">
        <v>853</v>
      </c>
      <c r="Q2888" s="100" t="s">
        <v>1735</v>
      </c>
      <c r="R2888" s="100" t="s">
        <v>1867</v>
      </c>
      <c r="S2888" s="100"/>
      <c r="T2888" s="100" t="s">
        <v>2962</v>
      </c>
      <c r="U2888" s="100" t="s">
        <v>1383</v>
      </c>
      <c r="V2888" s="100" t="s">
        <v>1722</v>
      </c>
      <c r="W2888" s="100" t="s">
        <v>1383</v>
      </c>
      <c r="X2888" s="100" t="s">
        <v>1383</v>
      </c>
      <c r="Z2888" s="351"/>
      <c r="AA2888" s="351"/>
      <c r="AB2888" s="99" t="s">
        <v>241</v>
      </c>
      <c r="AC2888" s="99">
        <v>5.94</v>
      </c>
      <c r="AD2888" s="99">
        <v>0.90200000000000002</v>
      </c>
      <c r="AF2888" s="99" t="s">
        <v>2964</v>
      </c>
      <c r="AG2888" s="99" t="s">
        <v>2869</v>
      </c>
      <c r="AH2888" s="99" t="s">
        <v>578</v>
      </c>
      <c r="AI2888" s="99" t="s">
        <v>1650</v>
      </c>
      <c r="AJ2888" s="99" t="s">
        <v>133</v>
      </c>
      <c r="AT2888" s="99" t="s">
        <v>161</v>
      </c>
      <c r="AU2888" s="99">
        <v>3</v>
      </c>
      <c r="AV2888" s="99">
        <v>4</v>
      </c>
      <c r="AY2888" s="99">
        <v>1835</v>
      </c>
      <c r="BB2888" s="99" t="s">
        <v>2965</v>
      </c>
      <c r="BH2888" s="99">
        <v>631</v>
      </c>
      <c r="BI2888" s="99">
        <v>1331</v>
      </c>
      <c r="BJ2888" s="99">
        <v>199</v>
      </c>
      <c r="BK2888" s="99">
        <v>199</v>
      </c>
      <c r="BM2888" s="426"/>
      <c r="BN2888" s="426"/>
      <c r="BR2888" s="426"/>
      <c r="BS2888" s="426"/>
      <c r="BW2888" s="99">
        <v>11.25</v>
      </c>
      <c r="BX2888" s="99">
        <v>24.9</v>
      </c>
      <c r="BY2888" s="99">
        <f t="shared" si="363"/>
        <v>10.579999999999998</v>
      </c>
      <c r="BZ2888" s="99">
        <f t="shared" si="363"/>
        <v>10.579999999999998</v>
      </c>
      <c r="CA2888" s="126" t="s">
        <v>2968</v>
      </c>
      <c r="IQ2888" s="511"/>
    </row>
    <row r="2889" spans="1:251" s="97" customFormat="1" x14ac:dyDescent="0.25">
      <c r="A2889" s="97">
        <v>135</v>
      </c>
      <c r="B2889" s="97" t="s">
        <v>2960</v>
      </c>
      <c r="C2889" s="97" t="s">
        <v>2961</v>
      </c>
      <c r="D2889" s="97">
        <v>2006</v>
      </c>
      <c r="E2889" s="97">
        <v>2004</v>
      </c>
      <c r="F2889" s="97" t="s">
        <v>2753</v>
      </c>
      <c r="G2889" s="97" t="s">
        <v>2963</v>
      </c>
      <c r="H2889" s="97" t="s">
        <v>2843</v>
      </c>
      <c r="I2889" s="97">
        <f>-15-18.5/60</f>
        <v>-15.308333333333334</v>
      </c>
      <c r="J2889" s="97">
        <f>35+23.5/60</f>
        <v>35.391666666666666</v>
      </c>
      <c r="K2889" s="97">
        <v>853</v>
      </c>
      <c r="Q2889" s="98" t="s">
        <v>1735</v>
      </c>
      <c r="R2889" s="98" t="s">
        <v>1867</v>
      </c>
      <c r="S2889" s="98"/>
      <c r="T2889" s="98" t="s">
        <v>2962</v>
      </c>
      <c r="U2889" s="98" t="s">
        <v>1383</v>
      </c>
      <c r="V2889" s="98" t="s">
        <v>1722</v>
      </c>
      <c r="W2889" s="98" t="s">
        <v>1383</v>
      </c>
      <c r="X2889" s="98" t="s">
        <v>1383</v>
      </c>
      <c r="Z2889" s="350"/>
      <c r="AA2889" s="350"/>
      <c r="AB2889" s="97" t="s">
        <v>241</v>
      </c>
      <c r="AC2889" s="97">
        <v>6.04</v>
      </c>
      <c r="AD2889" s="97">
        <v>0.58499999999999996</v>
      </c>
      <c r="AF2889" s="97" t="s">
        <v>2964</v>
      </c>
      <c r="AG2889" s="97" t="s">
        <v>2712</v>
      </c>
      <c r="AH2889" s="97" t="s">
        <v>578</v>
      </c>
      <c r="AI2889" s="97" t="s">
        <v>1650</v>
      </c>
      <c r="AJ2889" s="97" t="s">
        <v>133</v>
      </c>
      <c r="AT2889" s="97" t="s">
        <v>161</v>
      </c>
      <c r="AU2889" s="97">
        <v>3</v>
      </c>
      <c r="AV2889" s="97">
        <v>4</v>
      </c>
      <c r="AY2889" s="97">
        <v>2086</v>
      </c>
      <c r="BB2889" s="97" t="s">
        <v>2966</v>
      </c>
      <c r="BH2889" s="97">
        <v>681</v>
      </c>
      <c r="BI2889" s="97">
        <v>1131</v>
      </c>
      <c r="BJ2889" s="97">
        <v>338</v>
      </c>
      <c r="BK2889" s="97">
        <v>338</v>
      </c>
      <c r="BM2889" s="425"/>
      <c r="BN2889" s="425"/>
      <c r="BR2889" s="425"/>
      <c r="BS2889" s="425"/>
      <c r="BW2889" s="97">
        <v>11.06</v>
      </c>
      <c r="BX2889" s="97">
        <v>23.94</v>
      </c>
      <c r="BY2889" s="97">
        <f>47.98-42.02</f>
        <v>5.9599999999999937</v>
      </c>
      <c r="BZ2889" s="97">
        <f>47.98-42.02</f>
        <v>5.9599999999999937</v>
      </c>
      <c r="CA2889" s="97" t="s">
        <v>2968</v>
      </c>
      <c r="IQ2889" s="517"/>
    </row>
    <row r="2890" spans="1:251" s="97" customFormat="1" x14ac:dyDescent="0.25">
      <c r="A2890" s="97">
        <v>135</v>
      </c>
      <c r="B2890" s="97" t="s">
        <v>2960</v>
      </c>
      <c r="C2890" s="97" t="s">
        <v>2961</v>
      </c>
      <c r="D2890" s="97">
        <v>2006</v>
      </c>
      <c r="E2890" s="97">
        <v>2004</v>
      </c>
      <c r="F2890" s="97" t="s">
        <v>2753</v>
      </c>
      <c r="G2890" s="97" t="s">
        <v>2963</v>
      </c>
      <c r="H2890" s="97" t="s">
        <v>2843</v>
      </c>
      <c r="I2890" s="97">
        <f>-15-18.5/60</f>
        <v>-15.308333333333334</v>
      </c>
      <c r="J2890" s="97">
        <f>35+23.5/60</f>
        <v>35.391666666666666</v>
      </c>
      <c r="K2890" s="97">
        <v>853</v>
      </c>
      <c r="Q2890" s="98" t="s">
        <v>1735</v>
      </c>
      <c r="R2890" s="98" t="s">
        <v>1867</v>
      </c>
      <c r="S2890" s="98"/>
      <c r="T2890" s="98" t="s">
        <v>2962</v>
      </c>
      <c r="U2890" s="98" t="s">
        <v>1383</v>
      </c>
      <c r="V2890" s="98" t="s">
        <v>1722</v>
      </c>
      <c r="W2890" s="98" t="s">
        <v>1383</v>
      </c>
      <c r="X2890" s="98" t="s">
        <v>1383</v>
      </c>
      <c r="Z2890" s="350"/>
      <c r="AA2890" s="350"/>
      <c r="AB2890" s="97" t="s">
        <v>241</v>
      </c>
      <c r="AC2890" s="97">
        <v>6.04</v>
      </c>
      <c r="AD2890" s="97">
        <v>0.58499999999999996</v>
      </c>
      <c r="AF2890" s="97" t="s">
        <v>2964</v>
      </c>
      <c r="AG2890" s="97" t="s">
        <v>2785</v>
      </c>
      <c r="AH2890" s="97" t="s">
        <v>578</v>
      </c>
      <c r="AI2890" s="97" t="s">
        <v>1650</v>
      </c>
      <c r="AJ2890" s="97" t="s">
        <v>133</v>
      </c>
      <c r="AT2890" s="97" t="s">
        <v>161</v>
      </c>
      <c r="AU2890" s="97">
        <v>3</v>
      </c>
      <c r="AV2890" s="97">
        <v>4</v>
      </c>
      <c r="AY2890" s="97">
        <v>976</v>
      </c>
      <c r="BB2890" s="97" t="s">
        <v>2966</v>
      </c>
      <c r="BH2890" s="97">
        <v>681</v>
      </c>
      <c r="BI2890" s="97">
        <v>844</v>
      </c>
      <c r="BJ2890" s="97">
        <v>338</v>
      </c>
      <c r="BK2890" s="97">
        <v>338</v>
      </c>
      <c r="BM2890" s="425"/>
      <c r="BN2890" s="425"/>
      <c r="BR2890" s="425"/>
      <c r="BS2890" s="425"/>
      <c r="BW2890" s="97">
        <v>11.06</v>
      </c>
      <c r="BX2890" s="97">
        <v>20.48</v>
      </c>
      <c r="BY2890" s="97">
        <f t="shared" ref="BY2890:BZ2891" si="364">47.98-42.02</f>
        <v>5.9599999999999937</v>
      </c>
      <c r="BZ2890" s="97">
        <f t="shared" si="364"/>
        <v>5.9599999999999937</v>
      </c>
      <c r="CA2890" s="97" t="s">
        <v>2968</v>
      </c>
      <c r="IQ2890" s="517"/>
    </row>
    <row r="2891" spans="1:251" s="97" customFormat="1" x14ac:dyDescent="0.25">
      <c r="A2891" s="97">
        <v>135</v>
      </c>
      <c r="B2891" s="97" t="s">
        <v>2960</v>
      </c>
      <c r="C2891" s="97" t="s">
        <v>2961</v>
      </c>
      <c r="D2891" s="97">
        <v>2006</v>
      </c>
      <c r="E2891" s="97">
        <v>2004</v>
      </c>
      <c r="F2891" s="97" t="s">
        <v>2753</v>
      </c>
      <c r="G2891" s="97" t="s">
        <v>2963</v>
      </c>
      <c r="H2891" s="97" t="s">
        <v>2843</v>
      </c>
      <c r="I2891" s="97">
        <f>-15-18.5/60</f>
        <v>-15.308333333333334</v>
      </c>
      <c r="J2891" s="97">
        <f>35+23.5/60</f>
        <v>35.391666666666666</v>
      </c>
      <c r="K2891" s="97">
        <v>853</v>
      </c>
      <c r="Q2891" s="98" t="s">
        <v>1735</v>
      </c>
      <c r="R2891" s="98" t="s">
        <v>1867</v>
      </c>
      <c r="S2891" s="98"/>
      <c r="T2891" s="98" t="s">
        <v>2962</v>
      </c>
      <c r="U2891" s="98" t="s">
        <v>1383</v>
      </c>
      <c r="V2891" s="98" t="s">
        <v>1722</v>
      </c>
      <c r="W2891" s="98" t="s">
        <v>1383</v>
      </c>
      <c r="X2891" s="98" t="s">
        <v>1383</v>
      </c>
      <c r="Z2891" s="350"/>
      <c r="AA2891" s="350"/>
      <c r="AB2891" s="97" t="s">
        <v>241</v>
      </c>
      <c r="AC2891" s="97">
        <v>6.04</v>
      </c>
      <c r="AD2891" s="97">
        <v>0.58499999999999996</v>
      </c>
      <c r="AF2891" s="97" t="s">
        <v>2964</v>
      </c>
      <c r="AG2891" s="97" t="s">
        <v>2869</v>
      </c>
      <c r="AH2891" s="97" t="s">
        <v>578</v>
      </c>
      <c r="AI2891" s="97" t="s">
        <v>1650</v>
      </c>
      <c r="AJ2891" s="97" t="s">
        <v>133</v>
      </c>
      <c r="AT2891" s="97" t="s">
        <v>161</v>
      </c>
      <c r="AU2891" s="97">
        <v>3</v>
      </c>
      <c r="AV2891" s="97">
        <v>4</v>
      </c>
      <c r="AY2891" s="97">
        <v>1154</v>
      </c>
      <c r="BB2891" s="97" t="s">
        <v>2966</v>
      </c>
      <c r="BH2891" s="97">
        <v>681</v>
      </c>
      <c r="BI2891" s="97">
        <v>1131</v>
      </c>
      <c r="BJ2891" s="97">
        <v>338</v>
      </c>
      <c r="BK2891" s="97">
        <v>338</v>
      </c>
      <c r="BM2891" s="425"/>
      <c r="BN2891" s="425"/>
      <c r="BR2891" s="425"/>
      <c r="BS2891" s="425"/>
      <c r="BW2891" s="97">
        <v>11.06</v>
      </c>
      <c r="BX2891" s="97">
        <v>13.37</v>
      </c>
      <c r="BY2891" s="97">
        <f t="shared" si="364"/>
        <v>5.9599999999999937</v>
      </c>
      <c r="BZ2891" s="97">
        <f t="shared" si="364"/>
        <v>5.9599999999999937</v>
      </c>
      <c r="CA2891" s="97" t="s">
        <v>2968</v>
      </c>
      <c r="IQ2891" s="517"/>
    </row>
    <row r="2892" spans="1:251" s="99" customFormat="1" x14ac:dyDescent="0.25">
      <c r="A2892" s="99">
        <v>135</v>
      </c>
      <c r="B2892" s="99" t="s">
        <v>2960</v>
      </c>
      <c r="C2892" s="99" t="s">
        <v>2961</v>
      </c>
      <c r="D2892" s="99">
        <v>2006</v>
      </c>
      <c r="E2892" s="99">
        <v>2004</v>
      </c>
      <c r="F2892" s="99" t="s">
        <v>2753</v>
      </c>
      <c r="G2892" s="99" t="s">
        <v>2963</v>
      </c>
      <c r="H2892" s="99" t="s">
        <v>2843</v>
      </c>
      <c r="I2892" s="99">
        <f>-15-18.5/60</f>
        <v>-15.308333333333334</v>
      </c>
      <c r="J2892" s="99">
        <f>35+23.5/60</f>
        <v>35.391666666666666</v>
      </c>
      <c r="K2892" s="99">
        <v>853</v>
      </c>
      <c r="Q2892" s="100" t="s">
        <v>1735</v>
      </c>
      <c r="R2892" s="100" t="s">
        <v>1867</v>
      </c>
      <c r="S2892" s="100"/>
      <c r="T2892" s="100" t="s">
        <v>2962</v>
      </c>
      <c r="U2892" s="100" t="s">
        <v>1383</v>
      </c>
      <c r="V2892" s="100" t="s">
        <v>1722</v>
      </c>
      <c r="W2892" s="100" t="s">
        <v>1383</v>
      </c>
      <c r="X2892" s="100" t="s">
        <v>1383</v>
      </c>
      <c r="Z2892" s="351"/>
      <c r="AA2892" s="351"/>
      <c r="AB2892" s="99" t="s">
        <v>241</v>
      </c>
      <c r="AC2892" s="99">
        <v>6.15</v>
      </c>
      <c r="AD2892" s="99">
        <v>0.69399999999999995</v>
      </c>
      <c r="AF2892" s="99" t="s">
        <v>2964</v>
      </c>
      <c r="AG2892" s="99" t="s">
        <v>2712</v>
      </c>
      <c r="AH2892" s="99" t="s">
        <v>578</v>
      </c>
      <c r="AI2892" s="99" t="s">
        <v>1650</v>
      </c>
      <c r="AJ2892" s="99" t="s">
        <v>133</v>
      </c>
      <c r="AT2892" s="99" t="s">
        <v>161</v>
      </c>
      <c r="AU2892" s="99">
        <v>3</v>
      </c>
      <c r="AV2892" s="99">
        <v>4</v>
      </c>
      <c r="AY2892" s="99">
        <v>1697</v>
      </c>
      <c r="BB2892" s="99" t="s">
        <v>2967</v>
      </c>
      <c r="BH2892" s="99">
        <v>406</v>
      </c>
      <c r="BI2892" s="99">
        <v>731</v>
      </c>
      <c r="BJ2892" s="99">
        <f>2994-2844</f>
        <v>150</v>
      </c>
      <c r="BK2892" s="99">
        <f>2994-2844</f>
        <v>150</v>
      </c>
      <c r="BM2892" s="426"/>
      <c r="BN2892" s="426"/>
      <c r="BR2892" s="426"/>
      <c r="BS2892" s="426"/>
      <c r="BW2892" s="99">
        <v>7.6</v>
      </c>
      <c r="BX2892" s="99">
        <v>14.71</v>
      </c>
      <c r="BY2892" s="99">
        <f>46.63-43.55</f>
        <v>3.0800000000000054</v>
      </c>
      <c r="BZ2892" s="99">
        <f>46.63-43.55</f>
        <v>3.0800000000000054</v>
      </c>
      <c r="CA2892" s="99" t="s">
        <v>2968</v>
      </c>
      <c r="IQ2892" s="511"/>
    </row>
    <row r="2893" spans="1:251" s="99" customFormat="1" x14ac:dyDescent="0.25">
      <c r="A2893" s="99">
        <v>135</v>
      </c>
      <c r="B2893" s="99" t="s">
        <v>2960</v>
      </c>
      <c r="C2893" s="99" t="s">
        <v>2961</v>
      </c>
      <c r="D2893" s="99">
        <v>2006</v>
      </c>
      <c r="E2893" s="99">
        <v>2004</v>
      </c>
      <c r="F2893" s="99" t="s">
        <v>2753</v>
      </c>
      <c r="G2893" s="99" t="s">
        <v>2963</v>
      </c>
      <c r="H2893" s="99" t="s">
        <v>2843</v>
      </c>
      <c r="I2893" s="99">
        <f>-15-18.5/60</f>
        <v>-15.308333333333334</v>
      </c>
      <c r="J2893" s="99">
        <f>35+23.5/60</f>
        <v>35.391666666666666</v>
      </c>
      <c r="K2893" s="99">
        <v>853</v>
      </c>
      <c r="Q2893" s="100" t="s">
        <v>1735</v>
      </c>
      <c r="R2893" s="100" t="s">
        <v>1867</v>
      </c>
      <c r="S2893" s="100"/>
      <c r="T2893" s="100" t="s">
        <v>2962</v>
      </c>
      <c r="U2893" s="100" t="s">
        <v>1383</v>
      </c>
      <c r="V2893" s="100" t="s">
        <v>1722</v>
      </c>
      <c r="W2893" s="100" t="s">
        <v>1383</v>
      </c>
      <c r="X2893" s="100" t="s">
        <v>1383</v>
      </c>
      <c r="Z2893" s="351"/>
      <c r="AA2893" s="351"/>
      <c r="AB2893" s="99" t="s">
        <v>241</v>
      </c>
      <c r="AC2893" s="99">
        <v>6.15</v>
      </c>
      <c r="AD2893" s="99">
        <v>0.69399999999999995</v>
      </c>
      <c r="AF2893" s="99" t="s">
        <v>2964</v>
      </c>
      <c r="AG2893" s="99" t="s">
        <v>2785</v>
      </c>
      <c r="AH2893" s="99" t="s">
        <v>578</v>
      </c>
      <c r="AI2893" s="99" t="s">
        <v>1650</v>
      </c>
      <c r="AJ2893" s="99" t="s">
        <v>133</v>
      </c>
      <c r="AT2893" s="99" t="s">
        <v>161</v>
      </c>
      <c r="AU2893" s="99">
        <v>3</v>
      </c>
      <c r="AV2893" s="99">
        <v>4</v>
      </c>
      <c r="AY2893" s="99">
        <v>372</v>
      </c>
      <c r="BB2893" s="99" t="s">
        <v>2967</v>
      </c>
      <c r="BH2893" s="99">
        <v>406</v>
      </c>
      <c r="BI2893" s="99">
        <v>544</v>
      </c>
      <c r="BJ2893" s="99">
        <f t="shared" ref="BJ2893:BK2894" si="365">2994-2844</f>
        <v>150</v>
      </c>
      <c r="BK2893" s="99">
        <f t="shared" si="365"/>
        <v>150</v>
      </c>
      <c r="BM2893" s="426"/>
      <c r="BN2893" s="426"/>
      <c r="BR2893" s="426"/>
      <c r="BS2893" s="426"/>
      <c r="BW2893" s="99">
        <v>7.6</v>
      </c>
      <c r="BX2893" s="99">
        <v>11.63</v>
      </c>
      <c r="BY2893" s="99">
        <f t="shared" ref="BY2893:BZ2894" si="366">46.63-43.55</f>
        <v>3.0800000000000054</v>
      </c>
      <c r="BZ2893" s="99">
        <f t="shared" si="366"/>
        <v>3.0800000000000054</v>
      </c>
      <c r="CA2893" s="99" t="s">
        <v>2968</v>
      </c>
      <c r="IQ2893" s="511"/>
    </row>
    <row r="2894" spans="1:251" s="99" customFormat="1" x14ac:dyDescent="0.25">
      <c r="A2894" s="99">
        <v>135</v>
      </c>
      <c r="B2894" s="99" t="s">
        <v>2960</v>
      </c>
      <c r="C2894" s="99" t="s">
        <v>2961</v>
      </c>
      <c r="D2894" s="99">
        <v>2006</v>
      </c>
      <c r="E2894" s="99">
        <v>2004</v>
      </c>
      <c r="F2894" s="99" t="s">
        <v>2753</v>
      </c>
      <c r="G2894" s="99" t="s">
        <v>2963</v>
      </c>
      <c r="H2894" s="99" t="s">
        <v>2843</v>
      </c>
      <c r="I2894" s="99">
        <f>-15-18.5/60</f>
        <v>-15.308333333333334</v>
      </c>
      <c r="J2894" s="99">
        <f>35+23.5/60</f>
        <v>35.391666666666666</v>
      </c>
      <c r="K2894" s="99">
        <v>853</v>
      </c>
      <c r="Q2894" s="100" t="s">
        <v>1735</v>
      </c>
      <c r="R2894" s="100" t="s">
        <v>1867</v>
      </c>
      <c r="S2894" s="100"/>
      <c r="T2894" s="100" t="s">
        <v>2962</v>
      </c>
      <c r="U2894" s="100" t="s">
        <v>1383</v>
      </c>
      <c r="V2894" s="100" t="s">
        <v>1722</v>
      </c>
      <c r="W2894" s="100" t="s">
        <v>1383</v>
      </c>
      <c r="X2894" s="100" t="s">
        <v>1383</v>
      </c>
      <c r="Z2894" s="351"/>
      <c r="AA2894" s="351"/>
      <c r="AB2894" s="99" t="s">
        <v>241</v>
      </c>
      <c r="AC2894" s="99">
        <v>6.15</v>
      </c>
      <c r="AD2894" s="99">
        <v>0.69399999999999995</v>
      </c>
      <c r="AF2894" s="99" t="s">
        <v>2964</v>
      </c>
      <c r="AG2894" s="99" t="s">
        <v>2869</v>
      </c>
      <c r="AH2894" s="99" t="s">
        <v>578</v>
      </c>
      <c r="AI2894" s="99" t="s">
        <v>1650</v>
      </c>
      <c r="AJ2894" s="99" t="s">
        <v>133</v>
      </c>
      <c r="AT2894" s="99" t="s">
        <v>161</v>
      </c>
      <c r="AU2894" s="99">
        <v>3</v>
      </c>
      <c r="AV2894" s="99">
        <v>4</v>
      </c>
      <c r="AY2894" s="99">
        <v>562</v>
      </c>
      <c r="BB2894" s="99" t="s">
        <v>2967</v>
      </c>
      <c r="BH2894" s="99">
        <v>406</v>
      </c>
      <c r="BI2894" s="99">
        <v>606</v>
      </c>
      <c r="BJ2894" s="99">
        <f t="shared" si="365"/>
        <v>150</v>
      </c>
      <c r="BK2894" s="99">
        <f t="shared" si="365"/>
        <v>150</v>
      </c>
      <c r="BM2894" s="426"/>
      <c r="BN2894" s="426"/>
      <c r="BR2894" s="426"/>
      <c r="BS2894" s="426"/>
      <c r="BW2894" s="99">
        <v>7.6</v>
      </c>
      <c r="BX2894" s="99">
        <v>12.4</v>
      </c>
      <c r="BY2894" s="99">
        <f t="shared" si="366"/>
        <v>3.0800000000000054</v>
      </c>
      <c r="BZ2894" s="99">
        <f t="shared" si="366"/>
        <v>3.0800000000000054</v>
      </c>
      <c r="CA2894" s="99" t="s">
        <v>2968</v>
      </c>
      <c r="IQ2894" s="511"/>
    </row>
    <row r="2895" spans="1:251" s="24" customFormat="1" x14ac:dyDescent="0.25">
      <c r="A2895" s="24">
        <v>136</v>
      </c>
      <c r="B2895" s="24" t="s">
        <v>2970</v>
      </c>
      <c r="C2895" s="24" t="s">
        <v>2969</v>
      </c>
      <c r="D2895" s="24">
        <v>2003</v>
      </c>
      <c r="E2895" s="24">
        <v>1993</v>
      </c>
      <c r="F2895" s="24" t="s">
        <v>2753</v>
      </c>
      <c r="G2895" s="24" t="s">
        <v>2972</v>
      </c>
      <c r="H2895" s="24" t="s">
        <v>2839</v>
      </c>
      <c r="I2895" s="24">
        <f>4+45/60</f>
        <v>4.75</v>
      </c>
      <c r="J2895" s="24">
        <f>7+18/60</f>
        <v>7.3</v>
      </c>
      <c r="K2895" s="24">
        <v>19.600000000000001</v>
      </c>
      <c r="O2895" s="24">
        <v>2400</v>
      </c>
      <c r="Q2895" s="42" t="s">
        <v>1986</v>
      </c>
      <c r="R2895" s="42" t="s">
        <v>1856</v>
      </c>
      <c r="S2895" s="42"/>
      <c r="T2895" s="42" t="s">
        <v>2978</v>
      </c>
      <c r="U2895" s="42" t="s">
        <v>1398</v>
      </c>
      <c r="V2895" s="42" t="s">
        <v>1729</v>
      </c>
      <c r="W2895" s="42" t="s">
        <v>1398</v>
      </c>
      <c r="X2895" s="42" t="s">
        <v>1393</v>
      </c>
      <c r="Z2895" s="321"/>
      <c r="AA2895" s="321"/>
      <c r="AC2895" s="24">
        <v>4.5</v>
      </c>
      <c r="AD2895" s="24">
        <v>1.1299999999999999</v>
      </c>
      <c r="AG2895" s="24" t="s">
        <v>2869</v>
      </c>
      <c r="AH2895" s="24" t="s">
        <v>578</v>
      </c>
      <c r="AI2895" s="24" t="s">
        <v>1650</v>
      </c>
      <c r="AJ2895" s="24" t="s">
        <v>133</v>
      </c>
      <c r="AT2895" s="24" t="s">
        <v>2795</v>
      </c>
      <c r="AW2895" s="24" t="s">
        <v>2971</v>
      </c>
      <c r="BH2895" s="24">
        <v>10204</v>
      </c>
      <c r="BI2895" s="24">
        <v>7015</v>
      </c>
      <c r="BJ2895" s="24">
        <v>3720</v>
      </c>
      <c r="BK2895" s="24">
        <v>3720</v>
      </c>
      <c r="BL2895" s="24" t="s">
        <v>2979</v>
      </c>
      <c r="BM2895" s="395"/>
      <c r="BN2895" s="395"/>
      <c r="BR2895" s="395">
        <v>1.3</v>
      </c>
      <c r="BS2895" s="395">
        <v>1.23</v>
      </c>
      <c r="BT2895" s="24">
        <v>0.11</v>
      </c>
      <c r="BU2895" s="24">
        <v>0.11</v>
      </c>
      <c r="BV2895" s="24" t="s">
        <v>2974</v>
      </c>
      <c r="BW2895" s="24">
        <v>0.1</v>
      </c>
      <c r="BX2895" s="24">
        <v>0.10299999999999999</v>
      </c>
      <c r="BY2895" s="24">
        <v>1.0999999999999999E-2</v>
      </c>
      <c r="BZ2895" s="24">
        <v>1.0999999999999999E-2</v>
      </c>
      <c r="CA2895" s="24" t="s">
        <v>2973</v>
      </c>
      <c r="CB2895" s="24">
        <v>45.93</v>
      </c>
      <c r="CC2895" s="24">
        <v>41.23</v>
      </c>
      <c r="CD2895" s="24">
        <v>16</v>
      </c>
      <c r="CE2895" s="24">
        <v>16</v>
      </c>
      <c r="CF2895" s="24" t="s">
        <v>2975</v>
      </c>
      <c r="CG2895" s="24">
        <v>7.0000000000000007E-2</v>
      </c>
      <c r="CH2895" s="24">
        <v>0.09</v>
      </c>
      <c r="CI2895" s="24">
        <v>0.01</v>
      </c>
      <c r="CJ2895" s="24">
        <v>0.01</v>
      </c>
      <c r="CK2895" s="24" t="s">
        <v>2976</v>
      </c>
      <c r="CL2895" s="24">
        <v>4.9000000000000004</v>
      </c>
      <c r="CM2895" s="24">
        <v>4.7</v>
      </c>
      <c r="CN2895" s="24">
        <v>0.14000000000000001</v>
      </c>
      <c r="CO2895" s="24">
        <v>0.14000000000000001</v>
      </c>
      <c r="CQ2895" s="24">
        <v>2.23</v>
      </c>
      <c r="CR2895" s="24">
        <v>2.27</v>
      </c>
      <c r="CS2895" s="24">
        <v>0.15</v>
      </c>
      <c r="CT2895" s="24">
        <v>0.15</v>
      </c>
      <c r="CU2895" s="24" t="s">
        <v>2977</v>
      </c>
      <c r="DA2895" s="24">
        <v>45.78</v>
      </c>
      <c r="DB2895" s="24">
        <v>58.6</v>
      </c>
      <c r="DC2895" s="24">
        <v>10.01</v>
      </c>
      <c r="DD2895" s="24">
        <v>10.01</v>
      </c>
      <c r="DE2895" s="24" t="s">
        <v>165</v>
      </c>
      <c r="FI2895" s="24">
        <v>5274</v>
      </c>
      <c r="FJ2895" s="24">
        <v>1863</v>
      </c>
      <c r="FM2895" s="24" t="s">
        <v>2981</v>
      </c>
      <c r="IQ2895" s="249"/>
    </row>
    <row r="2896" spans="1:251" s="24" customFormat="1" x14ac:dyDescent="0.25">
      <c r="A2896" s="24">
        <v>136</v>
      </c>
      <c r="B2896" s="24" t="s">
        <v>2970</v>
      </c>
      <c r="C2896" s="24" t="s">
        <v>2969</v>
      </c>
      <c r="D2896" s="24">
        <v>2003</v>
      </c>
      <c r="E2896" s="24">
        <v>1993</v>
      </c>
      <c r="F2896" s="24" t="s">
        <v>2753</v>
      </c>
      <c r="G2896" s="24" t="s">
        <v>2972</v>
      </c>
      <c r="H2896" s="24" t="s">
        <v>2839</v>
      </c>
      <c r="I2896" s="24">
        <f>4+45/60</f>
        <v>4.75</v>
      </c>
      <c r="J2896" s="24">
        <f>7+18/60</f>
        <v>7.3</v>
      </c>
      <c r="K2896" s="24">
        <v>19.600000000000001</v>
      </c>
      <c r="O2896" s="24">
        <v>2400</v>
      </c>
      <c r="Q2896" s="42" t="s">
        <v>1986</v>
      </c>
      <c r="R2896" s="42" t="s">
        <v>1856</v>
      </c>
      <c r="S2896" s="42"/>
      <c r="T2896" s="42" t="s">
        <v>2978</v>
      </c>
      <c r="U2896" s="42" t="s">
        <v>1416</v>
      </c>
      <c r="V2896" s="42" t="s">
        <v>1726</v>
      </c>
      <c r="W2896" s="42" t="s">
        <v>1398</v>
      </c>
      <c r="X2896" s="42" t="s">
        <v>1393</v>
      </c>
      <c r="Z2896" s="321"/>
      <c r="AA2896" s="321"/>
      <c r="AC2896" s="24">
        <v>4.5</v>
      </c>
      <c r="AD2896" s="24">
        <v>1.1299999999999999</v>
      </c>
      <c r="AG2896" s="24" t="s">
        <v>2869</v>
      </c>
      <c r="AH2896" s="24" t="s">
        <v>578</v>
      </c>
      <c r="AI2896" s="24" t="s">
        <v>1650</v>
      </c>
      <c r="AJ2896" s="24" t="s">
        <v>133</v>
      </c>
      <c r="AT2896" s="24" t="s">
        <v>2795</v>
      </c>
      <c r="AW2896" s="24" t="s">
        <v>2971</v>
      </c>
      <c r="BH2896" s="24">
        <v>236</v>
      </c>
      <c r="BI2896" s="24">
        <v>186</v>
      </c>
      <c r="BJ2896" s="24">
        <v>260</v>
      </c>
      <c r="BK2896" s="24">
        <v>260</v>
      </c>
      <c r="BL2896" s="24" t="s">
        <v>2980</v>
      </c>
      <c r="BM2896" s="395"/>
      <c r="BN2896" s="395"/>
      <c r="BR2896" s="395">
        <v>0.85</v>
      </c>
      <c r="BS2896" s="395">
        <v>0.98</v>
      </c>
      <c r="BT2896" s="24">
        <v>0.08</v>
      </c>
      <c r="BU2896" s="24">
        <v>0.08</v>
      </c>
      <c r="BV2896" s="24" t="s">
        <v>2974</v>
      </c>
      <c r="BW2896" s="24">
        <v>7.6999999999999999E-2</v>
      </c>
      <c r="BX2896" s="24">
        <v>7.9000000000000001E-2</v>
      </c>
      <c r="BY2896" s="24">
        <v>3.0000000000000001E-3</v>
      </c>
      <c r="BZ2896" s="24">
        <v>3.0000000000000001E-3</v>
      </c>
      <c r="CA2896" s="24" t="s">
        <v>2973</v>
      </c>
      <c r="CB2896" s="24">
        <v>35.5</v>
      </c>
      <c r="CC2896" s="24">
        <v>70.5</v>
      </c>
      <c r="CD2896" s="24">
        <v>16.579999999999998</v>
      </c>
      <c r="CE2896" s="24">
        <v>16.579999999999998</v>
      </c>
      <c r="CF2896" s="24" t="s">
        <v>2975</v>
      </c>
      <c r="CG2896" s="24">
        <v>0.06</v>
      </c>
      <c r="CH2896" s="24">
        <v>0.06</v>
      </c>
      <c r="CI2896" s="24">
        <v>0.01</v>
      </c>
      <c r="CJ2896" s="24">
        <v>0.01</v>
      </c>
      <c r="CK2896" s="24" t="s">
        <v>2976</v>
      </c>
      <c r="CL2896" s="24">
        <v>4.9000000000000004</v>
      </c>
      <c r="CM2896" s="24">
        <v>4.5999999999999996</v>
      </c>
      <c r="CN2896" s="24">
        <v>0.11</v>
      </c>
      <c r="CO2896" s="24">
        <v>0.11</v>
      </c>
      <c r="CQ2896" s="24">
        <v>2.27</v>
      </c>
      <c r="CR2896" s="24">
        <v>1.9630000000000001</v>
      </c>
      <c r="CS2896" s="24">
        <v>0.2</v>
      </c>
      <c r="CT2896" s="24">
        <v>0.2</v>
      </c>
      <c r="CU2896" s="24" t="s">
        <v>2977</v>
      </c>
      <c r="DA2896" s="24">
        <v>39.36</v>
      </c>
      <c r="DB2896" s="24">
        <v>3.07</v>
      </c>
      <c r="DC2896" s="24">
        <v>6.86</v>
      </c>
      <c r="DD2896" s="24">
        <v>6.86</v>
      </c>
      <c r="DE2896" s="24" t="s">
        <v>165</v>
      </c>
      <c r="IQ2896" s="249"/>
    </row>
    <row r="2897" spans="1:251" s="24" customFormat="1" x14ac:dyDescent="0.25">
      <c r="A2897" s="24">
        <v>136</v>
      </c>
      <c r="B2897" s="24" t="s">
        <v>2970</v>
      </c>
      <c r="C2897" s="24" t="s">
        <v>2969</v>
      </c>
      <c r="D2897" s="24">
        <v>2003</v>
      </c>
      <c r="E2897" s="24">
        <v>1993</v>
      </c>
      <c r="F2897" s="24" t="s">
        <v>2753</v>
      </c>
      <c r="G2897" s="24" t="s">
        <v>2972</v>
      </c>
      <c r="H2897" s="24" t="s">
        <v>2839</v>
      </c>
      <c r="I2897" s="24">
        <f>4+45/60</f>
        <v>4.75</v>
      </c>
      <c r="J2897" s="24">
        <f>7+18/60</f>
        <v>7.3</v>
      </c>
      <c r="K2897" s="24">
        <v>19.600000000000001</v>
      </c>
      <c r="O2897" s="24">
        <v>2400</v>
      </c>
      <c r="Q2897" s="42" t="s">
        <v>1986</v>
      </c>
      <c r="R2897" s="42" t="s">
        <v>1856</v>
      </c>
      <c r="S2897" s="42"/>
      <c r="T2897" s="42" t="s">
        <v>2978</v>
      </c>
      <c r="U2897" s="42" t="s">
        <v>1394</v>
      </c>
      <c r="V2897" s="42" t="s">
        <v>1724</v>
      </c>
      <c r="W2897" s="42" t="s">
        <v>1398</v>
      </c>
      <c r="X2897" s="42" t="s">
        <v>1393</v>
      </c>
      <c r="Z2897" s="321"/>
      <c r="AA2897" s="321"/>
      <c r="AC2897" s="24">
        <v>4.5</v>
      </c>
      <c r="AD2897" s="24">
        <v>1.04</v>
      </c>
      <c r="AG2897" s="24" t="s">
        <v>2869</v>
      </c>
      <c r="AH2897" s="24" t="s">
        <v>578</v>
      </c>
      <c r="AI2897" s="24" t="s">
        <v>1650</v>
      </c>
      <c r="AJ2897" s="24" t="s">
        <v>133</v>
      </c>
      <c r="AT2897" s="24" t="s">
        <v>2795</v>
      </c>
      <c r="AW2897" s="24" t="s">
        <v>2971</v>
      </c>
      <c r="BM2897" s="395"/>
      <c r="BN2897" s="395"/>
      <c r="BR2897" s="395">
        <v>0.85</v>
      </c>
      <c r="BS2897" s="395">
        <v>0.85</v>
      </c>
      <c r="BT2897" s="24">
        <v>0.17</v>
      </c>
      <c r="BU2897" s="24">
        <v>0.17</v>
      </c>
      <c r="BV2897" s="24" t="s">
        <v>2974</v>
      </c>
      <c r="BW2897" s="24">
        <v>5.8000000000000003E-2</v>
      </c>
      <c r="BX2897" s="24">
        <v>6.3E-2</v>
      </c>
      <c r="BY2897" s="24">
        <v>3.0000000000000001E-3</v>
      </c>
      <c r="BZ2897" s="24">
        <v>3.0000000000000001E-3</v>
      </c>
      <c r="CA2897" s="24" t="s">
        <v>2973</v>
      </c>
      <c r="CB2897" s="24">
        <v>19.100000000000001</v>
      </c>
      <c r="CC2897" s="24">
        <v>38.979999999999997</v>
      </c>
      <c r="CD2897" s="24">
        <v>9.69</v>
      </c>
      <c r="CE2897" s="24">
        <v>9.69</v>
      </c>
      <c r="CF2897" s="24" t="s">
        <v>2975</v>
      </c>
      <c r="CG2897" s="24">
        <v>8.3000000000000004E-2</v>
      </c>
      <c r="CH2897" s="24">
        <v>6.3E-2</v>
      </c>
      <c r="CI2897" s="24">
        <v>0.02</v>
      </c>
      <c r="CJ2897" s="24">
        <v>0.02</v>
      </c>
      <c r="CK2897" s="24" t="s">
        <v>2976</v>
      </c>
      <c r="CL2897" s="24">
        <v>5</v>
      </c>
      <c r="CM2897" s="24">
        <v>4.8</v>
      </c>
      <c r="CN2897" s="24">
        <v>7.0000000000000007E-2</v>
      </c>
      <c r="CO2897" s="24">
        <v>7.0000000000000007E-2</v>
      </c>
      <c r="CQ2897" s="24">
        <v>2.27</v>
      </c>
      <c r="CR2897" s="24">
        <v>1.64</v>
      </c>
      <c r="CS2897" s="24">
        <v>0.28000000000000003</v>
      </c>
      <c r="CT2897" s="24">
        <v>0.28000000000000003</v>
      </c>
      <c r="CU2897" s="24" t="s">
        <v>2977</v>
      </c>
      <c r="DA2897" s="24">
        <v>47.13</v>
      </c>
      <c r="DB2897" s="24">
        <v>32.44</v>
      </c>
      <c r="DC2897" s="24">
        <v>8.01</v>
      </c>
      <c r="DD2897" s="24">
        <v>8.01</v>
      </c>
      <c r="DE2897" s="24" t="s">
        <v>165</v>
      </c>
      <c r="IQ2897" s="249"/>
    </row>
    <row r="2898" spans="1:251" s="32" customFormat="1" x14ac:dyDescent="0.25">
      <c r="A2898" s="32">
        <v>136</v>
      </c>
      <c r="B2898" s="32" t="s">
        <v>2970</v>
      </c>
      <c r="C2898" s="32" t="s">
        <v>2969</v>
      </c>
      <c r="D2898" s="32">
        <v>2003</v>
      </c>
      <c r="E2898" s="32">
        <v>1994</v>
      </c>
      <c r="F2898" s="32" t="s">
        <v>2753</v>
      </c>
      <c r="G2898" s="32" t="s">
        <v>2972</v>
      </c>
      <c r="H2898" s="32" t="s">
        <v>2839</v>
      </c>
      <c r="I2898" s="32">
        <f>4+45/60</f>
        <v>4.75</v>
      </c>
      <c r="J2898" s="32">
        <f>7+18/60</f>
        <v>7.3</v>
      </c>
      <c r="K2898" s="32">
        <v>19.600000000000001</v>
      </c>
      <c r="O2898" s="32">
        <v>2400</v>
      </c>
      <c r="Q2898" s="44" t="s">
        <v>1856</v>
      </c>
      <c r="R2898" s="44" t="s">
        <v>1856</v>
      </c>
      <c r="S2898" s="44"/>
      <c r="T2898" s="44" t="s">
        <v>2978</v>
      </c>
      <c r="U2898" s="44" t="s">
        <v>1398</v>
      </c>
      <c r="V2898" s="44" t="s">
        <v>1729</v>
      </c>
      <c r="W2898" s="44" t="s">
        <v>1398</v>
      </c>
      <c r="X2898" s="44" t="s">
        <v>1393</v>
      </c>
      <c r="Z2898" s="323"/>
      <c r="AA2898" s="323"/>
      <c r="AC2898" s="32">
        <v>4.5</v>
      </c>
      <c r="AD2898" s="32">
        <v>1.1299999999999999</v>
      </c>
      <c r="AG2898" s="32" t="s">
        <v>2869</v>
      </c>
      <c r="AH2898" s="32" t="s">
        <v>578</v>
      </c>
      <c r="AI2898" s="32" t="s">
        <v>1650</v>
      </c>
      <c r="AJ2898" s="32" t="s">
        <v>133</v>
      </c>
      <c r="AT2898" s="32" t="s">
        <v>2795</v>
      </c>
      <c r="AW2898" s="32" t="s">
        <v>2971</v>
      </c>
      <c r="BH2898" s="32">
        <v>13189</v>
      </c>
      <c r="BI2898" s="32">
        <v>18495</v>
      </c>
      <c r="BJ2898" s="32">
        <v>3720</v>
      </c>
      <c r="BK2898" s="32">
        <v>3720</v>
      </c>
      <c r="BL2898" s="32" t="s">
        <v>2979</v>
      </c>
      <c r="BM2898" s="397"/>
      <c r="BN2898" s="397"/>
      <c r="BR2898" s="397">
        <v>1.28</v>
      </c>
      <c r="BS2898" s="397">
        <v>1.36</v>
      </c>
      <c r="BT2898" s="32">
        <v>0.08</v>
      </c>
      <c r="BU2898" s="32">
        <v>0.08</v>
      </c>
      <c r="BV2898" s="32" t="s">
        <v>2974</v>
      </c>
      <c r="BW2898" s="32">
        <v>0.10100000000000001</v>
      </c>
      <c r="BX2898" s="32">
        <v>0.113</v>
      </c>
      <c r="BY2898" s="32">
        <v>6.0000000000000001E-3</v>
      </c>
      <c r="BZ2898" s="32">
        <v>6.0000000000000001E-3</v>
      </c>
      <c r="CA2898" s="32" t="s">
        <v>2973</v>
      </c>
      <c r="CB2898" s="32">
        <v>31.5</v>
      </c>
      <c r="CC2898" s="32">
        <v>31.4</v>
      </c>
      <c r="CD2898" s="32">
        <v>12.99</v>
      </c>
      <c r="CE2898" s="32">
        <v>12.99</v>
      </c>
      <c r="CF2898" s="32" t="s">
        <v>2975</v>
      </c>
      <c r="CG2898" s="32">
        <v>0.1</v>
      </c>
      <c r="CH2898" s="32">
        <v>0.1</v>
      </c>
      <c r="CK2898" s="32" t="s">
        <v>2976</v>
      </c>
      <c r="CL2898" s="32">
        <v>4.2</v>
      </c>
      <c r="CM2898" s="32">
        <v>3.8</v>
      </c>
      <c r="CN2898" s="32">
        <v>0.14000000000000001</v>
      </c>
      <c r="CO2898" s="32">
        <v>0.14000000000000001</v>
      </c>
      <c r="CQ2898" s="32">
        <v>2.6</v>
      </c>
      <c r="CR2898" s="32">
        <v>2.5</v>
      </c>
      <c r="CS2898" s="32">
        <v>0.24</v>
      </c>
      <c r="CT2898" s="32">
        <v>0.24</v>
      </c>
      <c r="CU2898" s="32" t="s">
        <v>2977</v>
      </c>
      <c r="DA2898" s="32">
        <v>63.5</v>
      </c>
      <c r="DB2898" s="32">
        <v>59.1</v>
      </c>
      <c r="DC2898" s="32">
        <v>11.69</v>
      </c>
      <c r="DD2898" s="32">
        <v>11.69</v>
      </c>
      <c r="DE2898" s="32" t="s">
        <v>165</v>
      </c>
      <c r="FI2898" s="32">
        <v>6768</v>
      </c>
      <c r="FJ2898" s="32">
        <v>2032</v>
      </c>
      <c r="FM2898" s="32" t="s">
        <v>2981</v>
      </c>
      <c r="IQ2898" s="243"/>
    </row>
    <row r="2899" spans="1:251" s="32" customFormat="1" x14ac:dyDescent="0.25">
      <c r="A2899" s="32">
        <v>136</v>
      </c>
      <c r="B2899" s="32" t="s">
        <v>2970</v>
      </c>
      <c r="C2899" s="32" t="s">
        <v>2969</v>
      </c>
      <c r="D2899" s="32">
        <v>2003</v>
      </c>
      <c r="E2899" s="32">
        <v>1994</v>
      </c>
      <c r="F2899" s="32" t="s">
        <v>2753</v>
      </c>
      <c r="G2899" s="32" t="s">
        <v>2972</v>
      </c>
      <c r="H2899" s="32" t="s">
        <v>2839</v>
      </c>
      <c r="I2899" s="32">
        <f>4+45/60</f>
        <v>4.75</v>
      </c>
      <c r="J2899" s="32">
        <f>7+18/60</f>
        <v>7.3</v>
      </c>
      <c r="K2899" s="32">
        <v>19.600000000000001</v>
      </c>
      <c r="O2899" s="32">
        <v>2400</v>
      </c>
      <c r="Q2899" s="44" t="s">
        <v>1856</v>
      </c>
      <c r="R2899" s="44" t="s">
        <v>1856</v>
      </c>
      <c r="S2899" s="44"/>
      <c r="T2899" s="44" t="s">
        <v>2978</v>
      </c>
      <c r="U2899" s="44" t="s">
        <v>1416</v>
      </c>
      <c r="V2899" s="44" t="s">
        <v>1726</v>
      </c>
      <c r="W2899" s="44" t="s">
        <v>1398</v>
      </c>
      <c r="X2899" s="44" t="s">
        <v>1393</v>
      </c>
      <c r="Z2899" s="323"/>
      <c r="AA2899" s="323"/>
      <c r="AC2899" s="32">
        <v>4.5</v>
      </c>
      <c r="AD2899" s="32">
        <v>1.1299999999999999</v>
      </c>
      <c r="AG2899" s="32" t="s">
        <v>2869</v>
      </c>
      <c r="AH2899" s="32" t="s">
        <v>578</v>
      </c>
      <c r="AI2899" s="32" t="s">
        <v>1650</v>
      </c>
      <c r="AJ2899" s="32" t="s">
        <v>133</v>
      </c>
      <c r="AT2899" s="32" t="s">
        <v>2795</v>
      </c>
      <c r="AW2899" s="32" t="s">
        <v>2971</v>
      </c>
      <c r="BH2899" s="32">
        <v>3114</v>
      </c>
      <c r="BI2899" s="32">
        <v>3958</v>
      </c>
      <c r="BJ2899" s="32">
        <v>260</v>
      </c>
      <c r="BK2899" s="32">
        <v>260</v>
      </c>
      <c r="BL2899" s="32" t="s">
        <v>2980</v>
      </c>
      <c r="BM2899" s="397"/>
      <c r="BN2899" s="397"/>
      <c r="BR2899" s="397">
        <v>0.93</v>
      </c>
      <c r="BS2899" s="397">
        <v>0.97</v>
      </c>
      <c r="BT2899" s="32">
        <v>0.08</v>
      </c>
      <c r="BU2899" s="32">
        <v>0.08</v>
      </c>
      <c r="BV2899" s="32" t="s">
        <v>2974</v>
      </c>
      <c r="BW2899" s="32">
        <v>8.4000000000000005E-2</v>
      </c>
      <c r="BX2899" s="32">
        <v>8.6999999999999994E-2</v>
      </c>
      <c r="BY2899" s="32">
        <v>4.0000000000000001E-3</v>
      </c>
      <c r="BZ2899" s="32">
        <v>4.0000000000000001E-3</v>
      </c>
      <c r="CA2899" s="32" t="s">
        <v>2973</v>
      </c>
      <c r="CB2899" s="32">
        <v>38.43</v>
      </c>
      <c r="CC2899" s="32">
        <v>26.88</v>
      </c>
      <c r="CD2899" s="32">
        <v>7.05</v>
      </c>
      <c r="CE2899" s="32">
        <v>7.05</v>
      </c>
      <c r="CF2899" s="32" t="s">
        <v>2975</v>
      </c>
      <c r="CG2899" s="32">
        <v>0.05</v>
      </c>
      <c r="CH2899" s="32">
        <v>0.04</v>
      </c>
      <c r="CI2899" s="32">
        <v>0.01</v>
      </c>
      <c r="CJ2899" s="32">
        <v>0.01</v>
      </c>
      <c r="CK2899" s="32" t="s">
        <v>2976</v>
      </c>
      <c r="CL2899" s="32">
        <v>4.0999999999999996</v>
      </c>
      <c r="CM2899" s="32">
        <v>4</v>
      </c>
      <c r="CN2899" s="32">
        <v>0.1</v>
      </c>
      <c r="CO2899" s="32">
        <v>0.1</v>
      </c>
      <c r="CQ2899" s="32">
        <v>2.58</v>
      </c>
      <c r="CR2899" s="32">
        <v>2.76</v>
      </c>
      <c r="CS2899" s="32">
        <v>0.19</v>
      </c>
      <c r="CT2899" s="32">
        <v>0.19</v>
      </c>
      <c r="CU2899" s="32" t="s">
        <v>2977</v>
      </c>
      <c r="DA2899" s="32">
        <v>29.31</v>
      </c>
      <c r="DB2899" s="32">
        <v>30.58</v>
      </c>
      <c r="DC2899" s="32">
        <v>4.5199999999999996</v>
      </c>
      <c r="DD2899" s="32">
        <v>4.5199999999999996</v>
      </c>
      <c r="DE2899" s="32" t="s">
        <v>165</v>
      </c>
      <c r="IQ2899" s="243"/>
    </row>
    <row r="2900" spans="1:251" s="32" customFormat="1" x14ac:dyDescent="0.25">
      <c r="A2900" s="32">
        <v>136</v>
      </c>
      <c r="B2900" s="32" t="s">
        <v>2970</v>
      </c>
      <c r="C2900" s="32" t="s">
        <v>2969</v>
      </c>
      <c r="D2900" s="32">
        <v>2003</v>
      </c>
      <c r="E2900" s="32">
        <v>1994</v>
      </c>
      <c r="F2900" s="32" t="s">
        <v>2753</v>
      </c>
      <c r="G2900" s="32" t="s">
        <v>2972</v>
      </c>
      <c r="H2900" s="32" t="s">
        <v>2839</v>
      </c>
      <c r="I2900" s="32">
        <f>4+45/60</f>
        <v>4.75</v>
      </c>
      <c r="J2900" s="32">
        <f>7+18/60</f>
        <v>7.3</v>
      </c>
      <c r="K2900" s="32">
        <v>19.600000000000001</v>
      </c>
      <c r="O2900" s="32">
        <v>2400</v>
      </c>
      <c r="Q2900" s="44" t="s">
        <v>1856</v>
      </c>
      <c r="R2900" s="44" t="s">
        <v>1856</v>
      </c>
      <c r="S2900" s="44"/>
      <c r="T2900" s="44" t="s">
        <v>2978</v>
      </c>
      <c r="U2900" s="44" t="s">
        <v>1394</v>
      </c>
      <c r="V2900" s="44" t="s">
        <v>1724</v>
      </c>
      <c r="W2900" s="44" t="s">
        <v>1398</v>
      </c>
      <c r="X2900" s="44" t="s">
        <v>1393</v>
      </c>
      <c r="Z2900" s="323"/>
      <c r="AA2900" s="323"/>
      <c r="AC2900" s="32">
        <v>4.5</v>
      </c>
      <c r="AD2900" s="32">
        <v>1.04</v>
      </c>
      <c r="AG2900" s="32" t="s">
        <v>2869</v>
      </c>
      <c r="AH2900" s="32" t="s">
        <v>578</v>
      </c>
      <c r="AI2900" s="32" t="s">
        <v>1650</v>
      </c>
      <c r="AJ2900" s="32" t="s">
        <v>133</v>
      </c>
      <c r="AT2900" s="32" t="s">
        <v>2795</v>
      </c>
      <c r="AW2900" s="32" t="s">
        <v>2971</v>
      </c>
      <c r="BM2900" s="397"/>
      <c r="BN2900" s="397"/>
      <c r="BR2900" s="397">
        <v>0.75</v>
      </c>
      <c r="BS2900" s="397">
        <v>0.73</v>
      </c>
      <c r="BT2900" s="32">
        <v>7.0000000000000007E-2</v>
      </c>
      <c r="BU2900" s="32">
        <v>7.0000000000000007E-2</v>
      </c>
      <c r="BV2900" s="32" t="s">
        <v>2974</v>
      </c>
      <c r="BW2900" s="32">
        <v>6.6000000000000003E-2</v>
      </c>
      <c r="BX2900" s="32">
        <v>6.4000000000000001E-2</v>
      </c>
      <c r="BY2900" s="32">
        <v>4.0000000000000001E-3</v>
      </c>
      <c r="BZ2900" s="32">
        <v>4.0000000000000001E-3</v>
      </c>
      <c r="CA2900" s="32" t="s">
        <v>2973</v>
      </c>
      <c r="CB2900" s="32">
        <v>20.399999999999999</v>
      </c>
      <c r="CC2900" s="32">
        <v>15.65</v>
      </c>
      <c r="CD2900" s="32">
        <v>5.52</v>
      </c>
      <c r="CE2900" s="32">
        <v>5.52</v>
      </c>
      <c r="CF2900" s="32" t="s">
        <v>2975</v>
      </c>
      <c r="CG2900" s="32">
        <v>0.05</v>
      </c>
      <c r="CH2900" s="32">
        <v>0.03</v>
      </c>
      <c r="CI2900" s="32">
        <v>0.01</v>
      </c>
      <c r="CJ2900" s="32">
        <v>0.01</v>
      </c>
      <c r="CK2900" s="32" t="s">
        <v>2976</v>
      </c>
      <c r="CL2900" s="32">
        <v>4.5999999999999996</v>
      </c>
      <c r="CM2900" s="32">
        <v>4.0999999999999996</v>
      </c>
      <c r="CN2900" s="32">
        <v>0.25</v>
      </c>
      <c r="CO2900" s="32">
        <v>0.25</v>
      </c>
      <c r="CQ2900" s="32">
        <v>2.82</v>
      </c>
      <c r="CR2900" s="32">
        <v>2.63</v>
      </c>
      <c r="CS2900" s="32">
        <v>0.28999999999999998</v>
      </c>
      <c r="CT2900" s="32">
        <v>0.28999999999999998</v>
      </c>
      <c r="CU2900" s="32" t="s">
        <v>2977</v>
      </c>
      <c r="DA2900" s="32">
        <v>31.19</v>
      </c>
      <c r="DB2900" s="32">
        <v>29.6</v>
      </c>
      <c r="DC2900" s="32">
        <v>29.6</v>
      </c>
      <c r="DD2900" s="32">
        <v>29.6</v>
      </c>
      <c r="DE2900" s="32" t="s">
        <v>165</v>
      </c>
      <c r="IQ2900" s="243"/>
    </row>
    <row r="2901" spans="1:251" s="22" customFormat="1" x14ac:dyDescent="0.25">
      <c r="A2901" s="22">
        <v>137</v>
      </c>
      <c r="B2901" s="22" t="s">
        <v>2982</v>
      </c>
      <c r="C2901" s="22" t="s">
        <v>2983</v>
      </c>
      <c r="D2901" s="22">
        <v>1998</v>
      </c>
      <c r="E2901" s="22">
        <v>1993</v>
      </c>
      <c r="F2901" s="22" t="s">
        <v>2781</v>
      </c>
      <c r="G2901" s="22" t="s">
        <v>2986</v>
      </c>
      <c r="H2901" s="22" t="s">
        <v>2839</v>
      </c>
      <c r="I2901" s="22">
        <v>7.5</v>
      </c>
      <c r="J2901" s="22">
        <f>3+54/60</f>
        <v>3.9</v>
      </c>
      <c r="K2901" s="22">
        <v>214.6</v>
      </c>
      <c r="O2901" s="22">
        <v>1360</v>
      </c>
      <c r="Q2901" s="45" t="s">
        <v>1986</v>
      </c>
      <c r="R2901" s="45" t="s">
        <v>1856</v>
      </c>
      <c r="S2901" s="45"/>
      <c r="T2901" s="45" t="s">
        <v>2978</v>
      </c>
      <c r="U2901" s="45" t="s">
        <v>1392</v>
      </c>
      <c r="V2901" s="45" t="s">
        <v>1726</v>
      </c>
      <c r="W2901" s="45" t="s">
        <v>1392</v>
      </c>
      <c r="X2901" s="45" t="s">
        <v>1393</v>
      </c>
      <c r="Z2901" s="325"/>
      <c r="AA2901" s="325"/>
      <c r="AB2901" s="22" t="s">
        <v>241</v>
      </c>
      <c r="AC2901" s="22">
        <v>6.2</v>
      </c>
      <c r="AF2901" s="22" t="s">
        <v>2987</v>
      </c>
      <c r="AG2901" s="22" t="s">
        <v>2989</v>
      </c>
      <c r="AH2901" s="22" t="s">
        <v>1131</v>
      </c>
      <c r="AI2901" s="22" t="s">
        <v>1650</v>
      </c>
      <c r="AJ2901" s="22" t="s">
        <v>133</v>
      </c>
      <c r="AU2901" s="22">
        <v>3</v>
      </c>
      <c r="AW2901" s="22" t="s">
        <v>142</v>
      </c>
      <c r="AY2901" s="22">
        <v>3830</v>
      </c>
      <c r="AZ2901" s="22">
        <f>AY2901/160.49</f>
        <v>23.864415228363136</v>
      </c>
      <c r="BH2901" s="22">
        <v>3.03</v>
      </c>
      <c r="BI2901" s="22">
        <v>3.63</v>
      </c>
      <c r="BL2901" s="22" t="s">
        <v>2991</v>
      </c>
      <c r="BM2901" s="399"/>
      <c r="BN2901" s="399"/>
      <c r="BR2901" s="399">
        <v>1.01</v>
      </c>
      <c r="BS2901" s="399">
        <v>1.49</v>
      </c>
      <c r="BW2901" s="22">
        <v>7.0000000000000007E-2</v>
      </c>
      <c r="BX2901" s="22">
        <v>0.15</v>
      </c>
      <c r="CA2901" s="22" t="s">
        <v>2973</v>
      </c>
      <c r="CB2901" s="22">
        <v>30.61</v>
      </c>
      <c r="CC2901" s="22">
        <v>95.5</v>
      </c>
      <c r="CF2901" s="22" t="s">
        <v>2975</v>
      </c>
      <c r="CG2901" s="22">
        <v>0.48</v>
      </c>
      <c r="CH2901" s="22">
        <v>0.61</v>
      </c>
      <c r="CK2901" s="22" t="s">
        <v>2976</v>
      </c>
      <c r="CL2901" s="22">
        <v>6.4</v>
      </c>
      <c r="CM2901" s="22">
        <v>6.5</v>
      </c>
      <c r="CQ2901" s="22">
        <f>5.81+0.85+0.48</f>
        <v>7.1399999999999988</v>
      </c>
      <c r="CR2901" s="22">
        <f>7.7+0.61+0.61</f>
        <v>8.92</v>
      </c>
      <c r="CU2901" s="22" t="s">
        <v>2990</v>
      </c>
      <c r="IQ2901" s="276"/>
    </row>
    <row r="2902" spans="1:251" s="22" customFormat="1" x14ac:dyDescent="0.25">
      <c r="A2902" s="22">
        <v>137</v>
      </c>
      <c r="B2902" s="22" t="s">
        <v>2982</v>
      </c>
      <c r="C2902" s="22" t="s">
        <v>2983</v>
      </c>
      <c r="D2902" s="22">
        <v>1998</v>
      </c>
      <c r="E2902" s="22">
        <v>1993</v>
      </c>
      <c r="F2902" s="22" t="s">
        <v>2781</v>
      </c>
      <c r="G2902" s="22" t="s">
        <v>2986</v>
      </c>
      <c r="H2902" s="22" t="s">
        <v>2839</v>
      </c>
      <c r="I2902" s="22">
        <v>7.5</v>
      </c>
      <c r="J2902" s="22">
        <f>3+54/60</f>
        <v>3.9</v>
      </c>
      <c r="K2902" s="22">
        <v>214.6</v>
      </c>
      <c r="O2902" s="22">
        <v>1360</v>
      </c>
      <c r="Q2902" s="45" t="s">
        <v>1986</v>
      </c>
      <c r="R2902" s="45" t="s">
        <v>1856</v>
      </c>
      <c r="S2902" s="45"/>
      <c r="T2902" s="45" t="s">
        <v>2978</v>
      </c>
      <c r="U2902" s="45" t="s">
        <v>1392</v>
      </c>
      <c r="V2902" s="45" t="s">
        <v>1726</v>
      </c>
      <c r="W2902" s="45" t="s">
        <v>1392</v>
      </c>
      <c r="X2902" s="45" t="s">
        <v>1393</v>
      </c>
      <c r="Z2902" s="325"/>
      <c r="AA2902" s="325"/>
      <c r="AB2902" s="22" t="s">
        <v>241</v>
      </c>
      <c r="AC2902" s="22">
        <v>6.2</v>
      </c>
      <c r="AF2902" s="22" t="s">
        <v>2987</v>
      </c>
      <c r="AG2902" s="22" t="s">
        <v>2988</v>
      </c>
      <c r="AH2902" s="22" t="s">
        <v>578</v>
      </c>
      <c r="AI2902" s="22" t="s">
        <v>1650</v>
      </c>
      <c r="AJ2902" s="22" t="s">
        <v>133</v>
      </c>
      <c r="AU2902" s="22">
        <v>3</v>
      </c>
      <c r="AW2902" s="22" t="s">
        <v>142</v>
      </c>
      <c r="AY2902" s="22">
        <v>5020</v>
      </c>
      <c r="AZ2902" s="22">
        <f>AY2902/183</f>
        <v>27.431693989071039</v>
      </c>
      <c r="BH2902" s="22">
        <v>3.03</v>
      </c>
      <c r="BI2902" s="22">
        <v>3.46</v>
      </c>
      <c r="BL2902" s="22" t="s">
        <v>2991</v>
      </c>
      <c r="BM2902" s="399"/>
      <c r="BN2902" s="399"/>
      <c r="BR2902" s="399">
        <v>1.01</v>
      </c>
      <c r="BS2902" s="399">
        <v>1.4</v>
      </c>
      <c r="BW2902" s="22">
        <v>7.0000000000000007E-2</v>
      </c>
      <c r="BX2902" s="22">
        <v>0.15</v>
      </c>
      <c r="CA2902" s="22" t="s">
        <v>2973</v>
      </c>
      <c r="CB2902" s="22">
        <v>30.61</v>
      </c>
      <c r="CC2902" s="22">
        <v>84.96</v>
      </c>
      <c r="CF2902" s="22" t="s">
        <v>2975</v>
      </c>
      <c r="CG2902" s="22">
        <v>0.48</v>
      </c>
      <c r="CH2902" s="22">
        <v>0.8</v>
      </c>
      <c r="CK2902" s="22" t="s">
        <v>2976</v>
      </c>
      <c r="CL2902" s="22">
        <v>6.4</v>
      </c>
      <c r="CM2902" s="22">
        <v>6.6</v>
      </c>
      <c r="CQ2902" s="22">
        <f>5.81+0.85+0.48</f>
        <v>7.1399999999999988</v>
      </c>
      <c r="CR2902" s="22">
        <f>7.91+1.25+0.8</f>
        <v>9.9600000000000009</v>
      </c>
      <c r="CU2902" s="22" t="s">
        <v>2990</v>
      </c>
      <c r="IQ2902" s="276"/>
    </row>
    <row r="2903" spans="1:251" s="36" customFormat="1" x14ac:dyDescent="0.25">
      <c r="A2903" s="36">
        <v>137</v>
      </c>
      <c r="B2903" s="36" t="s">
        <v>2982</v>
      </c>
      <c r="C2903" s="36" t="s">
        <v>2983</v>
      </c>
      <c r="D2903" s="36">
        <v>1998</v>
      </c>
      <c r="E2903" s="36">
        <v>1993</v>
      </c>
      <c r="F2903" s="36" t="s">
        <v>2781</v>
      </c>
      <c r="G2903" s="36" t="s">
        <v>2986</v>
      </c>
      <c r="H2903" s="36" t="s">
        <v>2839</v>
      </c>
      <c r="I2903" s="36">
        <v>7.5</v>
      </c>
      <c r="J2903" s="36">
        <f>3+54/60</f>
        <v>3.9</v>
      </c>
      <c r="K2903" s="36">
        <v>214.6</v>
      </c>
      <c r="O2903" s="36">
        <v>1360</v>
      </c>
      <c r="Q2903" s="51" t="s">
        <v>1986</v>
      </c>
      <c r="R2903" s="51" t="s">
        <v>1856</v>
      </c>
      <c r="S2903" s="51"/>
      <c r="T2903" s="51" t="s">
        <v>2978</v>
      </c>
      <c r="U2903" s="51" t="s">
        <v>1396</v>
      </c>
      <c r="V2903" s="51" t="s">
        <v>1726</v>
      </c>
      <c r="W2903" s="51" t="s">
        <v>1392</v>
      </c>
      <c r="X2903" s="51" t="s">
        <v>1393</v>
      </c>
      <c r="Z2903" s="331"/>
      <c r="AA2903" s="331"/>
      <c r="AB2903" s="36" t="s">
        <v>241</v>
      </c>
      <c r="AC2903" s="36">
        <v>6.2</v>
      </c>
      <c r="AF2903" s="36" t="s">
        <v>2987</v>
      </c>
      <c r="AG2903" s="36" t="s">
        <v>2989</v>
      </c>
      <c r="AH2903" s="36" t="s">
        <v>1131</v>
      </c>
      <c r="AI2903" s="36" t="s">
        <v>1650</v>
      </c>
      <c r="AJ2903" s="36" t="s">
        <v>133</v>
      </c>
      <c r="AU2903" s="36">
        <v>3</v>
      </c>
      <c r="AW2903" s="36" t="s">
        <v>142</v>
      </c>
      <c r="AY2903" s="36">
        <v>3830</v>
      </c>
      <c r="AZ2903" s="36">
        <v>23.864415228363136</v>
      </c>
      <c r="BM2903" s="407"/>
      <c r="BN2903" s="407"/>
      <c r="BR2903" s="407">
        <v>0.82</v>
      </c>
      <c r="BS2903" s="407">
        <v>0.96</v>
      </c>
      <c r="BW2903" s="36">
        <v>0.05</v>
      </c>
      <c r="BX2903" s="36">
        <v>0.13</v>
      </c>
      <c r="CA2903" s="36" t="s">
        <v>2973</v>
      </c>
      <c r="CB2903" s="36">
        <v>28.12</v>
      </c>
      <c r="CC2903" s="36">
        <v>77.05</v>
      </c>
      <c r="CF2903" s="36" t="s">
        <v>2975</v>
      </c>
      <c r="CG2903" s="36">
        <v>0.66</v>
      </c>
      <c r="CH2903" s="36">
        <v>0.51</v>
      </c>
      <c r="CK2903" s="36" t="s">
        <v>2976</v>
      </c>
      <c r="CL2903" s="36">
        <v>5.3</v>
      </c>
      <c r="CM2903" s="36">
        <v>5.8</v>
      </c>
      <c r="CQ2903" s="36">
        <f>5.7+0.91+0.66</f>
        <v>7.2700000000000005</v>
      </c>
      <c r="CR2903" s="36">
        <f>5.5+0.52+0.51</f>
        <v>6.5299999999999994</v>
      </c>
      <c r="CU2903" s="36" t="s">
        <v>2990</v>
      </c>
      <c r="IQ2903" s="230"/>
    </row>
    <row r="2904" spans="1:251" s="36" customFormat="1" x14ac:dyDescent="0.25">
      <c r="A2904" s="36">
        <v>137</v>
      </c>
      <c r="B2904" s="36" t="s">
        <v>2982</v>
      </c>
      <c r="C2904" s="36" t="s">
        <v>2983</v>
      </c>
      <c r="D2904" s="36">
        <v>1998</v>
      </c>
      <c r="E2904" s="36">
        <v>1993</v>
      </c>
      <c r="F2904" s="36" t="s">
        <v>2781</v>
      </c>
      <c r="G2904" s="36" t="s">
        <v>2986</v>
      </c>
      <c r="H2904" s="36" t="s">
        <v>2839</v>
      </c>
      <c r="I2904" s="36">
        <v>7.5</v>
      </c>
      <c r="J2904" s="36">
        <f>3+54/60</f>
        <v>3.9</v>
      </c>
      <c r="K2904" s="36">
        <v>214.6</v>
      </c>
      <c r="O2904" s="36">
        <v>1360</v>
      </c>
      <c r="Q2904" s="51" t="s">
        <v>1986</v>
      </c>
      <c r="R2904" s="51" t="s">
        <v>1856</v>
      </c>
      <c r="S2904" s="51"/>
      <c r="T2904" s="51" t="s">
        <v>2978</v>
      </c>
      <c r="U2904" s="51" t="s">
        <v>1396</v>
      </c>
      <c r="V2904" s="51" t="s">
        <v>1726</v>
      </c>
      <c r="W2904" s="51" t="s">
        <v>1392</v>
      </c>
      <c r="X2904" s="51" t="s">
        <v>1393</v>
      </c>
      <c r="Z2904" s="331"/>
      <c r="AA2904" s="331"/>
      <c r="AB2904" s="36" t="s">
        <v>241</v>
      </c>
      <c r="AC2904" s="36">
        <v>6.2</v>
      </c>
      <c r="AF2904" s="36" t="s">
        <v>2987</v>
      </c>
      <c r="AG2904" s="36" t="s">
        <v>2988</v>
      </c>
      <c r="AH2904" s="36" t="s">
        <v>578</v>
      </c>
      <c r="AI2904" s="36" t="s">
        <v>1650</v>
      </c>
      <c r="AJ2904" s="36" t="s">
        <v>133</v>
      </c>
      <c r="AU2904" s="36">
        <v>3</v>
      </c>
      <c r="AW2904" s="36" t="s">
        <v>142</v>
      </c>
      <c r="AY2904" s="36">
        <v>5020</v>
      </c>
      <c r="AZ2904" s="36">
        <v>27.431693989071039</v>
      </c>
      <c r="BM2904" s="407"/>
      <c r="BN2904" s="407"/>
      <c r="BR2904" s="407">
        <v>0.82</v>
      </c>
      <c r="BS2904" s="407">
        <v>0.91</v>
      </c>
      <c r="BW2904" s="36">
        <v>0.05</v>
      </c>
      <c r="BX2904" s="36">
        <v>0.12</v>
      </c>
      <c r="CA2904" s="36" t="s">
        <v>2973</v>
      </c>
      <c r="CB2904" s="36">
        <v>28.12</v>
      </c>
      <c r="CC2904" s="36">
        <v>46.16</v>
      </c>
      <c r="CF2904" s="36" t="s">
        <v>2975</v>
      </c>
      <c r="CG2904" s="36">
        <v>0.66</v>
      </c>
      <c r="CH2904" s="36">
        <v>0.82</v>
      </c>
      <c r="CK2904" s="36" t="s">
        <v>2976</v>
      </c>
      <c r="CL2904" s="36">
        <v>5.3</v>
      </c>
      <c r="CM2904" s="36">
        <v>6</v>
      </c>
      <c r="CQ2904" s="36">
        <f>5.7+0.91+0.66</f>
        <v>7.2700000000000005</v>
      </c>
      <c r="CR2904" s="36">
        <f>6.3+1+0.82</f>
        <v>8.1199999999999992</v>
      </c>
      <c r="CU2904" s="36" t="s">
        <v>2990</v>
      </c>
      <c r="IQ2904" s="230"/>
    </row>
    <row r="2905" spans="1:251" s="22" customFormat="1" x14ac:dyDescent="0.25">
      <c r="A2905" s="22">
        <v>137</v>
      </c>
      <c r="B2905" s="22" t="s">
        <v>2982</v>
      </c>
      <c r="C2905" s="22" t="s">
        <v>2983</v>
      </c>
      <c r="D2905" s="22">
        <v>1998</v>
      </c>
      <c r="E2905" s="22">
        <v>1993</v>
      </c>
      <c r="F2905" s="22" t="s">
        <v>2781</v>
      </c>
      <c r="G2905" s="22" t="s">
        <v>2986</v>
      </c>
      <c r="H2905" s="22" t="s">
        <v>2839</v>
      </c>
      <c r="I2905" s="22">
        <v>7.5</v>
      </c>
      <c r="J2905" s="22">
        <f>3+54/60</f>
        <v>3.9</v>
      </c>
      <c r="K2905" s="22">
        <v>214.6</v>
      </c>
      <c r="O2905" s="22">
        <v>1360</v>
      </c>
      <c r="Q2905" s="45" t="s">
        <v>1986</v>
      </c>
      <c r="R2905" s="45" t="s">
        <v>1856</v>
      </c>
      <c r="S2905" s="45"/>
      <c r="T2905" s="45" t="s">
        <v>2978</v>
      </c>
      <c r="U2905" s="45" t="s">
        <v>1397</v>
      </c>
      <c r="V2905" s="45" t="s">
        <v>1726</v>
      </c>
      <c r="W2905" s="45" t="s">
        <v>1392</v>
      </c>
      <c r="X2905" s="45" t="s">
        <v>1393</v>
      </c>
      <c r="Z2905" s="325"/>
      <c r="AA2905" s="325"/>
      <c r="AB2905" s="22" t="s">
        <v>241</v>
      </c>
      <c r="AC2905" s="22">
        <v>6.2</v>
      </c>
      <c r="AF2905" s="22" t="s">
        <v>2987</v>
      </c>
      <c r="AG2905" s="22" t="s">
        <v>2989</v>
      </c>
      <c r="AH2905" s="22" t="s">
        <v>1131</v>
      </c>
      <c r="AI2905" s="22" t="s">
        <v>1650</v>
      </c>
      <c r="AJ2905" s="22" t="s">
        <v>133</v>
      </c>
      <c r="AU2905" s="22">
        <v>3</v>
      </c>
      <c r="AW2905" s="22" t="s">
        <v>142</v>
      </c>
      <c r="AY2905" s="22">
        <v>3830</v>
      </c>
      <c r="AZ2905" s="22">
        <f>AY2905/160.49</f>
        <v>23.864415228363136</v>
      </c>
      <c r="BM2905" s="399"/>
      <c r="BN2905" s="399"/>
      <c r="BR2905" s="399">
        <v>0.65</v>
      </c>
      <c r="BS2905" s="399">
        <v>0.77</v>
      </c>
      <c r="BW2905" s="22">
        <v>0.06</v>
      </c>
      <c r="BX2905" s="22">
        <v>0.1</v>
      </c>
      <c r="CA2905" s="22" t="s">
        <v>2973</v>
      </c>
      <c r="CB2905" s="22">
        <v>15.06</v>
      </c>
      <c r="CC2905" s="22">
        <v>45.01</v>
      </c>
      <c r="CF2905" s="22" t="s">
        <v>2975</v>
      </c>
      <c r="CG2905" s="22">
        <v>0.17</v>
      </c>
      <c r="CH2905" s="22">
        <v>0.42</v>
      </c>
      <c r="CK2905" s="22" t="s">
        <v>2976</v>
      </c>
      <c r="CL2905" s="22">
        <v>5.4</v>
      </c>
      <c r="CM2905" s="22">
        <v>5.4</v>
      </c>
      <c r="CQ2905" s="22">
        <f>5.62+0.26+0.17</f>
        <v>6.05</v>
      </c>
      <c r="CR2905" s="22">
        <f>4.73+0.41+0.42</f>
        <v>5.5600000000000005</v>
      </c>
      <c r="CU2905" s="22" t="s">
        <v>2990</v>
      </c>
      <c r="IQ2905" s="276"/>
    </row>
    <row r="2906" spans="1:251" s="22" customFormat="1" x14ac:dyDescent="0.25">
      <c r="A2906" s="22">
        <v>137</v>
      </c>
      <c r="B2906" s="22" t="s">
        <v>2982</v>
      </c>
      <c r="C2906" s="22" t="s">
        <v>2983</v>
      </c>
      <c r="D2906" s="22">
        <v>1998</v>
      </c>
      <c r="E2906" s="22">
        <v>1993</v>
      </c>
      <c r="F2906" s="22" t="s">
        <v>2781</v>
      </c>
      <c r="G2906" s="22" t="s">
        <v>2986</v>
      </c>
      <c r="H2906" s="22" t="s">
        <v>2839</v>
      </c>
      <c r="I2906" s="22">
        <v>7.5</v>
      </c>
      <c r="J2906" s="22">
        <f>3+54/60</f>
        <v>3.9</v>
      </c>
      <c r="K2906" s="22">
        <v>214.6</v>
      </c>
      <c r="O2906" s="22">
        <v>1360</v>
      </c>
      <c r="Q2906" s="45" t="s">
        <v>1986</v>
      </c>
      <c r="R2906" s="45" t="s">
        <v>1856</v>
      </c>
      <c r="S2906" s="45"/>
      <c r="T2906" s="45" t="s">
        <v>2978</v>
      </c>
      <c r="U2906" s="45" t="s">
        <v>1397</v>
      </c>
      <c r="V2906" s="45" t="s">
        <v>1726</v>
      </c>
      <c r="W2906" s="45" t="s">
        <v>1392</v>
      </c>
      <c r="X2906" s="45" t="s">
        <v>1393</v>
      </c>
      <c r="Z2906" s="325"/>
      <c r="AA2906" s="325"/>
      <c r="AB2906" s="22" t="s">
        <v>241</v>
      </c>
      <c r="AC2906" s="22">
        <v>6.2</v>
      </c>
      <c r="AF2906" s="22" t="s">
        <v>2987</v>
      </c>
      <c r="AG2906" s="22" t="s">
        <v>2988</v>
      </c>
      <c r="AH2906" s="22" t="s">
        <v>578</v>
      </c>
      <c r="AI2906" s="22" t="s">
        <v>1650</v>
      </c>
      <c r="AJ2906" s="22" t="s">
        <v>133</v>
      </c>
      <c r="AU2906" s="22">
        <v>3</v>
      </c>
      <c r="AW2906" s="22" t="s">
        <v>142</v>
      </c>
      <c r="AY2906" s="22">
        <v>5020</v>
      </c>
      <c r="AZ2906" s="22">
        <f>AY2906/183</f>
        <v>27.431693989071039</v>
      </c>
      <c r="BM2906" s="399"/>
      <c r="BN2906" s="399"/>
      <c r="BR2906" s="399">
        <v>0.65</v>
      </c>
      <c r="BS2906" s="399">
        <v>0.93</v>
      </c>
      <c r="BW2906" s="22">
        <v>0.06</v>
      </c>
      <c r="BX2906" s="22">
        <v>0.11</v>
      </c>
      <c r="CA2906" s="22" t="s">
        <v>2973</v>
      </c>
      <c r="CB2906" s="22">
        <v>15.06</v>
      </c>
      <c r="CC2906" s="22">
        <v>26.6</v>
      </c>
      <c r="CF2906" s="22" t="s">
        <v>2975</v>
      </c>
      <c r="CG2906" s="22">
        <v>0.17</v>
      </c>
      <c r="CH2906" s="22">
        <v>0.43</v>
      </c>
      <c r="CK2906" s="22" t="s">
        <v>2976</v>
      </c>
      <c r="CL2906" s="22">
        <v>5.4</v>
      </c>
      <c r="CM2906" s="22">
        <v>5.5</v>
      </c>
      <c r="CQ2906" s="22">
        <f>5.62+0.26+0.17</f>
        <v>6.05</v>
      </c>
      <c r="CR2906" s="22">
        <f>6.1+0.44+0.43</f>
        <v>6.97</v>
      </c>
      <c r="CU2906" s="22" t="s">
        <v>2990</v>
      </c>
      <c r="IQ2906" s="276"/>
    </row>
    <row r="2907" spans="1:251" s="92" customFormat="1" x14ac:dyDescent="0.25">
      <c r="A2907" s="92">
        <v>137</v>
      </c>
      <c r="B2907" s="92" t="s">
        <v>2982</v>
      </c>
      <c r="C2907" s="92" t="s">
        <v>2983</v>
      </c>
      <c r="D2907" s="92">
        <v>1998</v>
      </c>
      <c r="E2907" s="92">
        <v>1993</v>
      </c>
      <c r="F2907" s="92" t="s">
        <v>2781</v>
      </c>
      <c r="G2907" s="92" t="s">
        <v>2984</v>
      </c>
      <c r="H2907" s="92" t="s">
        <v>2847</v>
      </c>
      <c r="I2907" s="92">
        <v>3.5</v>
      </c>
      <c r="J2907" s="92">
        <f>11+42/60</f>
        <v>11.7</v>
      </c>
      <c r="K2907" s="92">
        <v>649.79999999999995</v>
      </c>
      <c r="O2907" s="92">
        <v>1522</v>
      </c>
      <c r="Q2907" s="93" t="s">
        <v>1986</v>
      </c>
      <c r="R2907" s="93" t="s">
        <v>1856</v>
      </c>
      <c r="S2907" s="93"/>
      <c r="T2907" s="93" t="s">
        <v>2978</v>
      </c>
      <c r="U2907" s="93" t="s">
        <v>1392</v>
      </c>
      <c r="V2907" s="93" t="s">
        <v>1726</v>
      </c>
      <c r="W2907" s="93" t="s">
        <v>1392</v>
      </c>
      <c r="X2907" s="93" t="s">
        <v>1393</v>
      </c>
      <c r="Z2907" s="349"/>
      <c r="AA2907" s="349"/>
      <c r="AB2907" s="92" t="s">
        <v>241</v>
      </c>
      <c r="AC2907" s="92">
        <v>5</v>
      </c>
      <c r="AF2907" s="92" t="s">
        <v>2985</v>
      </c>
      <c r="AG2907" s="92" t="s">
        <v>2989</v>
      </c>
      <c r="AH2907" s="92" t="s">
        <v>1131</v>
      </c>
      <c r="AI2907" s="92" t="s">
        <v>1650</v>
      </c>
      <c r="AJ2907" s="92" t="s">
        <v>133</v>
      </c>
      <c r="AU2907" s="92">
        <v>3</v>
      </c>
      <c r="AW2907" s="92" t="s">
        <v>142</v>
      </c>
      <c r="AY2907" s="92">
        <v>4370</v>
      </c>
      <c r="AZ2907" s="92">
        <f>AY2907/272.19</f>
        <v>16.054961607700502</v>
      </c>
      <c r="BH2907" s="92">
        <v>1.91</v>
      </c>
      <c r="BI2907" s="92">
        <v>3.01</v>
      </c>
      <c r="BL2907" s="92" t="s">
        <v>2991</v>
      </c>
      <c r="BM2907" s="424"/>
      <c r="BN2907" s="424"/>
      <c r="BR2907" s="424">
        <v>1.1599999999999999</v>
      </c>
      <c r="BS2907" s="424">
        <v>2.0699999999999998</v>
      </c>
      <c r="BW2907" s="92">
        <v>0.09</v>
      </c>
      <c r="BX2907" s="92">
        <v>0.21</v>
      </c>
      <c r="CA2907" s="92" t="s">
        <v>2973</v>
      </c>
      <c r="CB2907" s="92">
        <v>3.1</v>
      </c>
      <c r="CC2907" s="92">
        <v>3.55</v>
      </c>
      <c r="CF2907" s="92" t="s">
        <v>2975</v>
      </c>
      <c r="CG2907" s="92">
        <v>0.11</v>
      </c>
      <c r="CH2907" s="92">
        <v>0.21</v>
      </c>
      <c r="CK2907" s="92" t="s">
        <v>2976</v>
      </c>
      <c r="CL2907" s="92">
        <v>5.0999999999999996</v>
      </c>
      <c r="CM2907" s="92">
        <v>5.5</v>
      </c>
      <c r="CQ2907" s="92">
        <f>3.2+3.2+0.11</f>
        <v>6.5100000000000007</v>
      </c>
      <c r="CR2907" s="92">
        <f>3.55+5.75+0.21</f>
        <v>9.5100000000000016</v>
      </c>
      <c r="CU2907" s="92" t="s">
        <v>2990</v>
      </c>
      <c r="IQ2907" s="259"/>
    </row>
    <row r="2908" spans="1:251" s="92" customFormat="1" x14ac:dyDescent="0.25">
      <c r="A2908" s="92">
        <v>137</v>
      </c>
      <c r="B2908" s="92" t="s">
        <v>2982</v>
      </c>
      <c r="C2908" s="92" t="s">
        <v>2983</v>
      </c>
      <c r="D2908" s="92">
        <v>1998</v>
      </c>
      <c r="E2908" s="92">
        <v>1993</v>
      </c>
      <c r="F2908" s="92" t="s">
        <v>2781</v>
      </c>
      <c r="G2908" s="92" t="s">
        <v>2984</v>
      </c>
      <c r="H2908" s="92" t="s">
        <v>2847</v>
      </c>
      <c r="I2908" s="92">
        <v>3.5</v>
      </c>
      <c r="J2908" s="92">
        <f>11+42/60</f>
        <v>11.7</v>
      </c>
      <c r="K2908" s="92">
        <v>649.79999999999995</v>
      </c>
      <c r="O2908" s="92">
        <v>1522</v>
      </c>
      <c r="Q2908" s="93" t="s">
        <v>1986</v>
      </c>
      <c r="R2908" s="93" t="s">
        <v>1856</v>
      </c>
      <c r="S2908" s="93"/>
      <c r="T2908" s="93" t="s">
        <v>2978</v>
      </c>
      <c r="U2908" s="93" t="s">
        <v>1392</v>
      </c>
      <c r="V2908" s="93" t="s">
        <v>1726</v>
      </c>
      <c r="W2908" s="93" t="s">
        <v>1392</v>
      </c>
      <c r="X2908" s="93" t="s">
        <v>1393</v>
      </c>
      <c r="Z2908" s="349"/>
      <c r="AA2908" s="349"/>
      <c r="AB2908" s="92" t="s">
        <v>241</v>
      </c>
      <c r="AC2908" s="92">
        <v>5</v>
      </c>
      <c r="AF2908" s="92" t="s">
        <v>2985</v>
      </c>
      <c r="AG2908" s="92" t="s">
        <v>2988</v>
      </c>
      <c r="AH2908" s="92" t="s">
        <v>578</v>
      </c>
      <c r="AI2908" s="92" t="s">
        <v>1650</v>
      </c>
      <c r="AJ2908" s="92" t="s">
        <v>133</v>
      </c>
      <c r="AU2908" s="92">
        <v>3</v>
      </c>
      <c r="AW2908" s="92" t="s">
        <v>142</v>
      </c>
      <c r="AY2908" s="92">
        <v>6850</v>
      </c>
      <c r="AZ2908" s="92">
        <f>AY2908/333.29</f>
        <v>20.552671847340154</v>
      </c>
      <c r="BH2908" s="92">
        <v>1.91</v>
      </c>
      <c r="BI2908" s="92">
        <v>3</v>
      </c>
      <c r="BL2908" s="92" t="s">
        <v>2991</v>
      </c>
      <c r="BM2908" s="424"/>
      <c r="BN2908" s="424"/>
      <c r="BR2908" s="424">
        <v>1.1599999999999999</v>
      </c>
      <c r="BS2908" s="424">
        <v>1.49</v>
      </c>
      <c r="BW2908" s="92">
        <v>0.09</v>
      </c>
      <c r="BX2908" s="92">
        <v>0.16</v>
      </c>
      <c r="CA2908" s="92" t="s">
        <v>2973</v>
      </c>
      <c r="CB2908" s="92">
        <v>3.1</v>
      </c>
      <c r="CC2908" s="92">
        <v>3.5</v>
      </c>
      <c r="CF2908" s="92" t="s">
        <v>2975</v>
      </c>
      <c r="CG2908" s="92">
        <v>0.11</v>
      </c>
      <c r="CH2908" s="92">
        <v>0.65</v>
      </c>
      <c r="CK2908" s="92" t="s">
        <v>2976</v>
      </c>
      <c r="CL2908" s="92">
        <v>5.0999999999999996</v>
      </c>
      <c r="CM2908" s="92">
        <v>5.5</v>
      </c>
      <c r="CQ2908" s="92">
        <f>3.2+3.2+0.11</f>
        <v>6.5100000000000007</v>
      </c>
      <c r="CR2908" s="92">
        <f>3.5+5.25+0.63</f>
        <v>9.3800000000000008</v>
      </c>
      <c r="CU2908" s="92" t="s">
        <v>2990</v>
      </c>
      <c r="IQ2908" s="259"/>
    </row>
    <row r="2909" spans="1:251" s="284" customFormat="1" x14ac:dyDescent="0.25">
      <c r="A2909" s="284">
        <v>137</v>
      </c>
      <c r="B2909" s="284" t="s">
        <v>2982</v>
      </c>
      <c r="C2909" s="284" t="s">
        <v>2983</v>
      </c>
      <c r="D2909" s="284">
        <v>1998</v>
      </c>
      <c r="E2909" s="284">
        <v>1993</v>
      </c>
      <c r="F2909" s="284" t="s">
        <v>2781</v>
      </c>
      <c r="G2909" s="284" t="s">
        <v>2984</v>
      </c>
      <c r="H2909" s="284" t="s">
        <v>2847</v>
      </c>
      <c r="I2909" s="284">
        <v>3.5</v>
      </c>
      <c r="J2909" s="284">
        <f>11+42/60</f>
        <v>11.7</v>
      </c>
      <c r="K2909" s="284">
        <v>649.79999999999995</v>
      </c>
      <c r="O2909" s="284">
        <v>1522</v>
      </c>
      <c r="Q2909" s="531" t="s">
        <v>1986</v>
      </c>
      <c r="R2909" s="531" t="s">
        <v>1856</v>
      </c>
      <c r="S2909" s="531"/>
      <c r="T2909" s="531" t="s">
        <v>2978</v>
      </c>
      <c r="U2909" s="531" t="s">
        <v>1396</v>
      </c>
      <c r="V2909" s="531" t="s">
        <v>1726</v>
      </c>
      <c r="W2909" s="531" t="s">
        <v>1392</v>
      </c>
      <c r="X2909" s="531" t="s">
        <v>1393</v>
      </c>
      <c r="Z2909" s="532"/>
      <c r="AA2909" s="532"/>
      <c r="AB2909" s="284" t="s">
        <v>241</v>
      </c>
      <c r="AC2909" s="284">
        <v>5</v>
      </c>
      <c r="AF2909" s="284" t="s">
        <v>2985</v>
      </c>
      <c r="AG2909" s="284" t="s">
        <v>2989</v>
      </c>
      <c r="AH2909" s="284" t="s">
        <v>1131</v>
      </c>
      <c r="AI2909" s="284" t="s">
        <v>1650</v>
      </c>
      <c r="AJ2909" s="284" t="s">
        <v>133</v>
      </c>
      <c r="AU2909" s="284">
        <v>3</v>
      </c>
      <c r="AW2909" s="284" t="s">
        <v>142</v>
      </c>
      <c r="AY2909" s="284">
        <v>4370</v>
      </c>
      <c r="AZ2909" s="284">
        <v>16.054961607700502</v>
      </c>
      <c r="BM2909" s="452"/>
      <c r="BN2909" s="452"/>
      <c r="BR2909" s="452">
        <v>0.72</v>
      </c>
      <c r="BS2909" s="452">
        <v>1.1499999999999999</v>
      </c>
      <c r="BW2909" s="284">
        <v>7.0000000000000007E-2</v>
      </c>
      <c r="BX2909" s="284">
        <v>0.13</v>
      </c>
      <c r="CA2909" s="284" t="s">
        <v>2973</v>
      </c>
      <c r="CB2909" s="284">
        <v>0.12</v>
      </c>
      <c r="CC2909" s="284">
        <v>1.1399999999999999</v>
      </c>
      <c r="CF2909" s="284" t="s">
        <v>2975</v>
      </c>
      <c r="CG2909" s="284">
        <v>0.11</v>
      </c>
      <c r="CH2909" s="284">
        <v>0.16</v>
      </c>
      <c r="CK2909" s="284" t="s">
        <v>2976</v>
      </c>
      <c r="CL2909" s="284">
        <v>4.9000000000000004</v>
      </c>
      <c r="CM2909" s="284">
        <v>5.2</v>
      </c>
      <c r="CQ2909" s="284">
        <f>2.9+0.14+0.11</f>
        <v>3.15</v>
      </c>
      <c r="CR2909" s="284">
        <f>5.08+0.21+0.16</f>
        <v>5.45</v>
      </c>
      <c r="CU2909" s="284" t="s">
        <v>2990</v>
      </c>
      <c r="IQ2909" s="285"/>
    </row>
    <row r="2910" spans="1:251" s="284" customFormat="1" x14ac:dyDescent="0.25">
      <c r="A2910" s="284">
        <v>137</v>
      </c>
      <c r="B2910" s="284" t="s">
        <v>2982</v>
      </c>
      <c r="C2910" s="284" t="s">
        <v>2983</v>
      </c>
      <c r="D2910" s="284">
        <v>1998</v>
      </c>
      <c r="E2910" s="284">
        <v>1993</v>
      </c>
      <c r="F2910" s="284" t="s">
        <v>2781</v>
      </c>
      <c r="G2910" s="284" t="s">
        <v>2984</v>
      </c>
      <c r="H2910" s="284" t="s">
        <v>2847</v>
      </c>
      <c r="I2910" s="284">
        <v>3.5</v>
      </c>
      <c r="J2910" s="284">
        <f>11+42/60</f>
        <v>11.7</v>
      </c>
      <c r="K2910" s="284">
        <v>649.79999999999995</v>
      </c>
      <c r="O2910" s="284">
        <v>1522</v>
      </c>
      <c r="Q2910" s="531" t="s">
        <v>1986</v>
      </c>
      <c r="R2910" s="531" t="s">
        <v>1856</v>
      </c>
      <c r="S2910" s="531"/>
      <c r="T2910" s="531" t="s">
        <v>2978</v>
      </c>
      <c r="U2910" s="531" t="s">
        <v>1396</v>
      </c>
      <c r="V2910" s="531" t="s">
        <v>1726</v>
      </c>
      <c r="W2910" s="531" t="s">
        <v>1392</v>
      </c>
      <c r="X2910" s="531" t="s">
        <v>1393</v>
      </c>
      <c r="Z2910" s="532"/>
      <c r="AA2910" s="532"/>
      <c r="AB2910" s="284" t="s">
        <v>241</v>
      </c>
      <c r="AC2910" s="284">
        <v>5</v>
      </c>
      <c r="AF2910" s="284" t="s">
        <v>2985</v>
      </c>
      <c r="AG2910" s="284" t="s">
        <v>2988</v>
      </c>
      <c r="AH2910" s="284" t="s">
        <v>578</v>
      </c>
      <c r="AI2910" s="284" t="s">
        <v>1650</v>
      </c>
      <c r="AJ2910" s="284" t="s">
        <v>133</v>
      </c>
      <c r="AU2910" s="284">
        <v>3</v>
      </c>
      <c r="AW2910" s="284" t="s">
        <v>142</v>
      </c>
      <c r="AY2910" s="284">
        <v>6850</v>
      </c>
      <c r="AZ2910" s="284">
        <v>20.552671847340154</v>
      </c>
      <c r="BM2910" s="452"/>
      <c r="BN2910" s="452"/>
      <c r="BR2910" s="452">
        <v>0.72</v>
      </c>
      <c r="BS2910" s="452">
        <v>0.77</v>
      </c>
      <c r="BW2910" s="284">
        <v>7.0000000000000007E-2</v>
      </c>
      <c r="BX2910" s="284">
        <v>0.14000000000000001</v>
      </c>
      <c r="CA2910" s="284" t="s">
        <v>2973</v>
      </c>
      <c r="CB2910" s="284">
        <v>0.12</v>
      </c>
      <c r="CC2910" s="284">
        <v>1.52</v>
      </c>
      <c r="CF2910" s="284" t="s">
        <v>2975</v>
      </c>
      <c r="CG2910" s="284">
        <v>0.11</v>
      </c>
      <c r="CH2910" s="284">
        <v>0.52</v>
      </c>
      <c r="CK2910" s="284" t="s">
        <v>2976</v>
      </c>
      <c r="CL2910" s="284">
        <v>4.9000000000000004</v>
      </c>
      <c r="CM2910" s="284">
        <v>4.0999999999999996</v>
      </c>
      <c r="CQ2910" s="284">
        <f>2.9+0.14+0.11</f>
        <v>3.15</v>
      </c>
      <c r="CR2910" s="284">
        <f>3.3+0.16+0.52</f>
        <v>3.98</v>
      </c>
      <c r="CU2910" s="284" t="s">
        <v>2990</v>
      </c>
      <c r="IQ2910" s="285"/>
    </row>
    <row r="2911" spans="1:251" s="92" customFormat="1" x14ac:dyDescent="0.25">
      <c r="A2911" s="92">
        <v>137</v>
      </c>
      <c r="B2911" s="92" t="s">
        <v>2982</v>
      </c>
      <c r="C2911" s="92" t="s">
        <v>2983</v>
      </c>
      <c r="D2911" s="92">
        <v>1998</v>
      </c>
      <c r="E2911" s="92">
        <v>1993</v>
      </c>
      <c r="F2911" s="92" t="s">
        <v>2781</v>
      </c>
      <c r="G2911" s="92" t="s">
        <v>2984</v>
      </c>
      <c r="H2911" s="92" t="s">
        <v>2847</v>
      </c>
      <c r="I2911" s="92">
        <v>3.5</v>
      </c>
      <c r="J2911" s="92">
        <f>11+42/60</f>
        <v>11.7</v>
      </c>
      <c r="K2911" s="92">
        <v>649.79999999999995</v>
      </c>
      <c r="O2911" s="92">
        <v>1522</v>
      </c>
      <c r="Q2911" s="93" t="s">
        <v>1986</v>
      </c>
      <c r="R2911" s="93" t="s">
        <v>1856</v>
      </c>
      <c r="S2911" s="93"/>
      <c r="T2911" s="93" t="s">
        <v>2978</v>
      </c>
      <c r="U2911" s="93" t="s">
        <v>1397</v>
      </c>
      <c r="V2911" s="93" t="s">
        <v>1726</v>
      </c>
      <c r="W2911" s="93" t="s">
        <v>1392</v>
      </c>
      <c r="X2911" s="93" t="s">
        <v>1393</v>
      </c>
      <c r="Z2911" s="349"/>
      <c r="AA2911" s="349"/>
      <c r="AB2911" s="92" t="s">
        <v>241</v>
      </c>
      <c r="AC2911" s="92">
        <v>5</v>
      </c>
      <c r="AF2911" s="92" t="s">
        <v>2985</v>
      </c>
      <c r="AG2911" s="92" t="s">
        <v>2989</v>
      </c>
      <c r="AH2911" s="92" t="s">
        <v>1131</v>
      </c>
      <c r="AI2911" s="92" t="s">
        <v>1650</v>
      </c>
      <c r="AJ2911" s="92" t="s">
        <v>133</v>
      </c>
      <c r="AU2911" s="92">
        <v>3</v>
      </c>
      <c r="AW2911" s="92" t="s">
        <v>142</v>
      </c>
      <c r="AY2911" s="92">
        <v>4370</v>
      </c>
      <c r="AZ2911" s="92">
        <f>AY2911/272.19</f>
        <v>16.054961607700502</v>
      </c>
      <c r="BM2911" s="424"/>
      <c r="BN2911" s="424"/>
      <c r="BR2911" s="424">
        <v>0.55000000000000004</v>
      </c>
      <c r="BS2911" s="424">
        <v>0.61</v>
      </c>
      <c r="BW2911" s="92">
        <v>0.09</v>
      </c>
      <c r="BX2911" s="92">
        <v>0.12</v>
      </c>
      <c r="CA2911" s="92" t="s">
        <v>2973</v>
      </c>
      <c r="CB2911" s="92">
        <v>1.1000000000000001</v>
      </c>
      <c r="CC2911" s="92">
        <v>1.2</v>
      </c>
      <c r="CF2911" s="92" t="s">
        <v>2975</v>
      </c>
      <c r="CG2911" s="92">
        <v>0.12</v>
      </c>
      <c r="CH2911" s="92">
        <v>0.12</v>
      </c>
      <c r="CK2911" s="92" t="s">
        <v>2976</v>
      </c>
      <c r="CL2911" s="92">
        <v>4.8</v>
      </c>
      <c r="CM2911" s="92">
        <v>4.9000000000000004</v>
      </c>
      <c r="CQ2911" s="92">
        <f>2.12+0.17+0.12</f>
        <v>2.41</v>
      </c>
      <c r="CR2911" s="92">
        <f>3.73+0.16+0.12</f>
        <v>4.01</v>
      </c>
      <c r="CU2911" s="92" t="s">
        <v>2990</v>
      </c>
      <c r="IQ2911" s="259"/>
    </row>
    <row r="2912" spans="1:251" s="92" customFormat="1" x14ac:dyDescent="0.25">
      <c r="A2912" s="92">
        <v>137</v>
      </c>
      <c r="B2912" s="92" t="s">
        <v>2982</v>
      </c>
      <c r="C2912" s="92" t="s">
        <v>2983</v>
      </c>
      <c r="D2912" s="92">
        <v>1998</v>
      </c>
      <c r="E2912" s="92">
        <v>1993</v>
      </c>
      <c r="F2912" s="92" t="s">
        <v>2781</v>
      </c>
      <c r="G2912" s="92" t="s">
        <v>2984</v>
      </c>
      <c r="H2912" s="92" t="s">
        <v>2847</v>
      </c>
      <c r="I2912" s="92">
        <v>3.5</v>
      </c>
      <c r="J2912" s="92">
        <f>11+42/60</f>
        <v>11.7</v>
      </c>
      <c r="K2912" s="92">
        <v>649.79999999999995</v>
      </c>
      <c r="O2912" s="92">
        <v>1522</v>
      </c>
      <c r="Q2912" s="93" t="s">
        <v>1986</v>
      </c>
      <c r="R2912" s="93" t="s">
        <v>1856</v>
      </c>
      <c r="S2912" s="93"/>
      <c r="T2912" s="93" t="s">
        <v>2978</v>
      </c>
      <c r="U2912" s="93" t="s">
        <v>1397</v>
      </c>
      <c r="V2912" s="93" t="s">
        <v>1726</v>
      </c>
      <c r="W2912" s="93" t="s">
        <v>1392</v>
      </c>
      <c r="X2912" s="93" t="s">
        <v>1393</v>
      </c>
      <c r="Z2912" s="349"/>
      <c r="AA2912" s="349"/>
      <c r="AB2912" s="92" t="s">
        <v>241</v>
      </c>
      <c r="AC2912" s="92">
        <v>5</v>
      </c>
      <c r="AF2912" s="92" t="s">
        <v>2985</v>
      </c>
      <c r="AG2912" s="92" t="s">
        <v>2988</v>
      </c>
      <c r="AH2912" s="92" t="s">
        <v>578</v>
      </c>
      <c r="AI2912" s="92" t="s">
        <v>1650</v>
      </c>
      <c r="AJ2912" s="92" t="s">
        <v>133</v>
      </c>
      <c r="AU2912" s="92">
        <v>3</v>
      </c>
      <c r="AW2912" s="92" t="s">
        <v>142</v>
      </c>
      <c r="AY2912" s="92">
        <v>6850</v>
      </c>
      <c r="AZ2912" s="92">
        <f>AY2912/333.29</f>
        <v>20.552671847340154</v>
      </c>
      <c r="BM2912" s="424"/>
      <c r="BN2912" s="424"/>
      <c r="BR2912" s="424">
        <v>0.55000000000000004</v>
      </c>
      <c r="BS2912" s="424">
        <v>0.57999999999999996</v>
      </c>
      <c r="BW2912" s="92">
        <v>0.09</v>
      </c>
      <c r="BX2912" s="92">
        <v>0.09</v>
      </c>
      <c r="CA2912" s="92" t="s">
        <v>2973</v>
      </c>
      <c r="CB2912" s="92">
        <v>1.1000000000000001</v>
      </c>
      <c r="CC2912" s="92">
        <v>0.7</v>
      </c>
      <c r="CF2912" s="92" t="s">
        <v>2975</v>
      </c>
      <c r="CG2912" s="92">
        <v>0.12</v>
      </c>
      <c r="CH2912" s="92">
        <v>0.27</v>
      </c>
      <c r="CK2912" s="92" t="s">
        <v>2976</v>
      </c>
      <c r="CL2912" s="92">
        <v>4.8</v>
      </c>
      <c r="CM2912" s="92">
        <v>4.9000000000000004</v>
      </c>
      <c r="CQ2912" s="92">
        <f>2.12+0.17+0.12</f>
        <v>2.41</v>
      </c>
      <c r="CR2912" s="92">
        <f>2.19+0.18+0.27</f>
        <v>2.64</v>
      </c>
      <c r="CU2912" s="92" t="s">
        <v>2990</v>
      </c>
      <c r="IQ2912" s="259"/>
    </row>
    <row r="2913" spans="1:251" s="24" customFormat="1" x14ac:dyDescent="0.25">
      <c r="A2913" s="24">
        <v>138</v>
      </c>
      <c r="B2913" s="24" t="s">
        <v>2992</v>
      </c>
      <c r="C2913" s="24" t="s">
        <v>2993</v>
      </c>
      <c r="D2913" s="24">
        <v>1997</v>
      </c>
      <c r="E2913" s="24">
        <v>1994</v>
      </c>
      <c r="F2913" s="24" t="s">
        <v>2994</v>
      </c>
      <c r="G2913" s="24" t="s">
        <v>2996</v>
      </c>
      <c r="H2913" s="24" t="s">
        <v>2852</v>
      </c>
      <c r="I2913" s="24">
        <v>-0.02</v>
      </c>
      <c r="J2913" s="24">
        <v>37.909999999999997</v>
      </c>
      <c r="K2913" s="24">
        <v>883</v>
      </c>
      <c r="N2913" s="24">
        <v>1754</v>
      </c>
      <c r="Q2913" s="42" t="s">
        <v>1986</v>
      </c>
      <c r="R2913" s="42" t="s">
        <v>1986</v>
      </c>
      <c r="S2913" s="42"/>
      <c r="T2913" s="42" t="s">
        <v>3001</v>
      </c>
      <c r="U2913" s="42"/>
      <c r="V2913" s="42"/>
      <c r="W2913" s="42"/>
      <c r="X2913" s="42"/>
      <c r="Z2913" s="321">
        <v>40</v>
      </c>
      <c r="AA2913" s="321">
        <f>100-40-38</f>
        <v>22</v>
      </c>
      <c r="AB2913" s="24" t="s">
        <v>797</v>
      </c>
      <c r="AC2913" s="24">
        <v>5.0999999999999996</v>
      </c>
      <c r="AD2913" s="24">
        <v>1.4</v>
      </c>
      <c r="AF2913" s="24" t="s">
        <v>2995</v>
      </c>
      <c r="AG2913" s="24" t="s">
        <v>2998</v>
      </c>
      <c r="AH2913" s="24" t="s">
        <v>578</v>
      </c>
      <c r="AI2913" s="24" t="s">
        <v>1650</v>
      </c>
      <c r="AJ2913" s="24" t="s">
        <v>133</v>
      </c>
      <c r="AQ2913" s="24" t="s">
        <v>2999</v>
      </c>
      <c r="AR2913" s="24" t="s">
        <v>3000</v>
      </c>
      <c r="AS2913" s="24" t="s">
        <v>503</v>
      </c>
      <c r="AT2913" s="24" t="s">
        <v>161</v>
      </c>
      <c r="AU2913" s="24">
        <v>4</v>
      </c>
      <c r="AW2913" s="24" t="s">
        <v>142</v>
      </c>
      <c r="BH2913" s="24">
        <v>400</v>
      </c>
      <c r="BI2913" s="24">
        <v>1500</v>
      </c>
      <c r="BM2913" s="395"/>
      <c r="BN2913" s="395"/>
      <c r="BR2913" s="395"/>
      <c r="BS2913" s="395"/>
      <c r="IQ2913" s="249"/>
    </row>
    <row r="2914" spans="1:251" s="24" customFormat="1" x14ac:dyDescent="0.25">
      <c r="A2914" s="24">
        <v>138</v>
      </c>
      <c r="B2914" s="24" t="s">
        <v>2992</v>
      </c>
      <c r="C2914" s="24" t="s">
        <v>2993</v>
      </c>
      <c r="D2914" s="24">
        <v>1997</v>
      </c>
      <c r="E2914" s="24">
        <v>1994</v>
      </c>
      <c r="F2914" s="24" t="s">
        <v>2994</v>
      </c>
      <c r="G2914" s="24" t="s">
        <v>2997</v>
      </c>
      <c r="H2914" s="24" t="s">
        <v>2852</v>
      </c>
      <c r="I2914" s="24">
        <v>-0.03</v>
      </c>
      <c r="J2914" s="24">
        <v>37.9</v>
      </c>
      <c r="K2914" s="24">
        <v>883</v>
      </c>
      <c r="N2914" s="24">
        <v>1754</v>
      </c>
      <c r="Q2914" s="42" t="s">
        <v>1986</v>
      </c>
      <c r="R2914" s="42" t="s">
        <v>1986</v>
      </c>
      <c r="S2914" s="42"/>
      <c r="T2914" s="42" t="s">
        <v>3001</v>
      </c>
      <c r="U2914" s="42"/>
      <c r="V2914" s="42"/>
      <c r="W2914" s="42"/>
      <c r="X2914" s="42"/>
      <c r="Z2914" s="321">
        <v>42</v>
      </c>
      <c r="AA2914" s="321">
        <f>100-42-28</f>
        <v>30</v>
      </c>
      <c r="AB2914" s="24" t="s">
        <v>673</v>
      </c>
      <c r="AC2914" s="24">
        <v>5</v>
      </c>
      <c r="AD2914" s="24">
        <v>1.56</v>
      </c>
      <c r="AF2914" s="24" t="s">
        <v>2995</v>
      </c>
      <c r="AG2914" s="24" t="s">
        <v>2998</v>
      </c>
      <c r="AH2914" s="24" t="s">
        <v>578</v>
      </c>
      <c r="AI2914" s="24" t="s">
        <v>1650</v>
      </c>
      <c r="AJ2914" s="24" t="s">
        <v>133</v>
      </c>
      <c r="AQ2914" s="24" t="s">
        <v>2999</v>
      </c>
      <c r="AR2914" s="24" t="s">
        <v>3000</v>
      </c>
      <c r="AS2914" s="24" t="s">
        <v>503</v>
      </c>
      <c r="AT2914" s="24" t="s">
        <v>161</v>
      </c>
      <c r="AU2914" s="24">
        <v>4</v>
      </c>
      <c r="AW2914" s="24" t="s">
        <v>142</v>
      </c>
      <c r="BH2914" s="24">
        <v>300</v>
      </c>
      <c r="BI2914" s="24">
        <v>200</v>
      </c>
      <c r="BM2914" s="395"/>
      <c r="BN2914" s="395"/>
      <c r="BR2914" s="395"/>
      <c r="BS2914" s="395"/>
      <c r="IQ2914" s="249"/>
    </row>
    <row r="2915" spans="1:251" s="36" customFormat="1" x14ac:dyDescent="0.25">
      <c r="A2915" s="36">
        <v>139</v>
      </c>
      <c r="B2915" s="36" t="s">
        <v>2992</v>
      </c>
      <c r="C2915" s="36" t="s">
        <v>2993</v>
      </c>
      <c r="D2915" s="36">
        <v>1998</v>
      </c>
      <c r="E2915" s="36">
        <v>1993</v>
      </c>
      <c r="F2915" s="36" t="s">
        <v>2994</v>
      </c>
      <c r="G2915" s="36" t="s">
        <v>3002</v>
      </c>
      <c r="H2915" s="36" t="s">
        <v>2852</v>
      </c>
      <c r="I2915" s="36">
        <f>6/60</f>
        <v>0.1</v>
      </c>
      <c r="J2915" s="36">
        <f>34+34/60</f>
        <v>34.56666666666667</v>
      </c>
      <c r="K2915" s="36">
        <v>1420</v>
      </c>
      <c r="N2915" s="36">
        <v>1800</v>
      </c>
      <c r="Q2915" s="51" t="s">
        <v>1986</v>
      </c>
      <c r="R2915" s="51" t="s">
        <v>1867</v>
      </c>
      <c r="S2915" s="51"/>
      <c r="T2915" s="51" t="s">
        <v>2897</v>
      </c>
      <c r="U2915" s="51"/>
      <c r="V2915" s="51"/>
      <c r="W2915" s="51"/>
      <c r="X2915" s="51"/>
      <c r="Z2915" s="331">
        <v>46</v>
      </c>
      <c r="AA2915" s="331">
        <f>100-46-26</f>
        <v>28</v>
      </c>
      <c r="AB2915" s="36" t="s">
        <v>673</v>
      </c>
      <c r="AC2915" s="36">
        <v>5.0999999999999996</v>
      </c>
      <c r="AD2915" s="36">
        <v>1.5</v>
      </c>
      <c r="AF2915" s="36" t="s">
        <v>3004</v>
      </c>
      <c r="AG2915" s="36" t="s">
        <v>2785</v>
      </c>
      <c r="AH2915" s="36" t="s">
        <v>1585</v>
      </c>
      <c r="AI2915" s="36" t="s">
        <v>1650</v>
      </c>
      <c r="AJ2915" s="36" t="s">
        <v>133</v>
      </c>
      <c r="AQ2915" s="36" t="s">
        <v>2999</v>
      </c>
      <c r="AR2915" s="36" t="s">
        <v>3000</v>
      </c>
      <c r="AS2915" s="36" t="s">
        <v>503</v>
      </c>
      <c r="AT2915" s="36" t="s">
        <v>161</v>
      </c>
      <c r="AU2915" s="36">
        <v>4</v>
      </c>
      <c r="AW2915" s="36" t="s">
        <v>142</v>
      </c>
      <c r="BB2915" s="36" t="s">
        <v>3006</v>
      </c>
      <c r="BH2915" s="36">
        <v>830.15</v>
      </c>
      <c r="BI2915" s="36">
        <v>892.26</v>
      </c>
      <c r="BM2915" s="407"/>
      <c r="BN2915" s="407"/>
      <c r="BR2915" s="407"/>
      <c r="BS2915" s="407"/>
      <c r="IQ2915" s="230"/>
    </row>
    <row r="2916" spans="1:251" s="36" customFormat="1" x14ac:dyDescent="0.25">
      <c r="A2916" s="36">
        <v>139</v>
      </c>
      <c r="B2916" s="36" t="s">
        <v>2992</v>
      </c>
      <c r="C2916" s="36" t="s">
        <v>2993</v>
      </c>
      <c r="D2916" s="36">
        <v>1998</v>
      </c>
      <c r="E2916" s="36">
        <v>1995</v>
      </c>
      <c r="F2916" s="36" t="s">
        <v>2994</v>
      </c>
      <c r="G2916" s="36" t="s">
        <v>3002</v>
      </c>
      <c r="H2916" s="36" t="s">
        <v>2852</v>
      </c>
      <c r="I2916" s="36">
        <f>6/60</f>
        <v>0.1</v>
      </c>
      <c r="J2916" s="36">
        <f>34+34/60</f>
        <v>34.56666666666667</v>
      </c>
      <c r="K2916" s="36">
        <v>1420</v>
      </c>
      <c r="N2916" s="36">
        <v>1800</v>
      </c>
      <c r="Q2916" s="51" t="s">
        <v>1735</v>
      </c>
      <c r="R2916" s="51" t="s">
        <v>1867</v>
      </c>
      <c r="S2916" s="51"/>
      <c r="T2916" s="51" t="s">
        <v>2897</v>
      </c>
      <c r="U2916" s="51"/>
      <c r="V2916" s="51"/>
      <c r="W2916" s="51"/>
      <c r="X2916" s="51"/>
      <c r="Z2916" s="331">
        <v>46</v>
      </c>
      <c r="AA2916" s="331">
        <f>100-46-26</f>
        <v>28</v>
      </c>
      <c r="AB2916" s="36" t="s">
        <v>673</v>
      </c>
      <c r="AC2916" s="36">
        <v>5.0999999999999996</v>
      </c>
      <c r="AD2916" s="36">
        <v>1.5</v>
      </c>
      <c r="AF2916" s="36" t="s">
        <v>3004</v>
      </c>
      <c r="AG2916" s="36" t="s">
        <v>2785</v>
      </c>
      <c r="AH2916" s="36" t="s">
        <v>1585</v>
      </c>
      <c r="AI2916" s="36" t="s">
        <v>1650</v>
      </c>
      <c r="AJ2916" s="36" t="s">
        <v>133</v>
      </c>
      <c r="AQ2916" s="36" t="s">
        <v>2999</v>
      </c>
      <c r="AR2916" s="36" t="s">
        <v>3000</v>
      </c>
      <c r="AS2916" s="36" t="s">
        <v>503</v>
      </c>
      <c r="AT2916" s="36" t="s">
        <v>161</v>
      </c>
      <c r="AU2916" s="36">
        <v>4</v>
      </c>
      <c r="AW2916" s="36" t="s">
        <v>142</v>
      </c>
      <c r="BB2916" s="36" t="s">
        <v>3006</v>
      </c>
      <c r="BH2916" s="36">
        <v>3526</v>
      </c>
      <c r="BI2916" s="36">
        <v>4407</v>
      </c>
      <c r="BM2916" s="407"/>
      <c r="BN2916" s="407"/>
      <c r="BR2916" s="407"/>
      <c r="BS2916" s="407"/>
      <c r="IQ2916" s="230"/>
    </row>
    <row r="2917" spans="1:251" s="36" customFormat="1" x14ac:dyDescent="0.25">
      <c r="A2917" s="36">
        <v>139</v>
      </c>
      <c r="B2917" s="36" t="s">
        <v>2992</v>
      </c>
      <c r="C2917" s="36" t="s">
        <v>2993</v>
      </c>
      <c r="D2917" s="36">
        <v>1998</v>
      </c>
      <c r="E2917" s="36">
        <v>1995</v>
      </c>
      <c r="F2917" s="36" t="s">
        <v>2994</v>
      </c>
      <c r="G2917" s="36" t="s">
        <v>3002</v>
      </c>
      <c r="H2917" s="36" t="s">
        <v>2852</v>
      </c>
      <c r="I2917" s="36">
        <f>6/60</f>
        <v>0.1</v>
      </c>
      <c r="J2917" s="36">
        <f>34+34/60</f>
        <v>34.56666666666667</v>
      </c>
      <c r="K2917" s="36">
        <v>1420</v>
      </c>
      <c r="N2917" s="36">
        <v>1800</v>
      </c>
      <c r="Q2917" s="51" t="s">
        <v>1735</v>
      </c>
      <c r="R2917" s="51" t="s">
        <v>1867</v>
      </c>
      <c r="S2917" s="51"/>
      <c r="T2917" s="51" t="s">
        <v>2897</v>
      </c>
      <c r="U2917" s="51"/>
      <c r="V2917" s="51"/>
      <c r="W2917" s="51"/>
      <c r="X2917" s="51"/>
      <c r="Z2917" s="331">
        <v>46</v>
      </c>
      <c r="AA2917" s="331">
        <f>100-46-26</f>
        <v>28</v>
      </c>
      <c r="AB2917" s="36" t="s">
        <v>673</v>
      </c>
      <c r="AC2917" s="36">
        <v>5.0999999999999996</v>
      </c>
      <c r="AD2917" s="36">
        <v>1.5</v>
      </c>
      <c r="AF2917" s="36" t="s">
        <v>3004</v>
      </c>
      <c r="AG2917" s="36" t="s">
        <v>2785</v>
      </c>
      <c r="AH2917" s="36" t="s">
        <v>1585</v>
      </c>
      <c r="AI2917" s="36" t="s">
        <v>1650</v>
      </c>
      <c r="AJ2917" s="36" t="s">
        <v>133</v>
      </c>
      <c r="AQ2917" s="36" t="s">
        <v>2999</v>
      </c>
      <c r="AR2917" s="36" t="s">
        <v>3000</v>
      </c>
      <c r="AS2917" s="36" t="s">
        <v>503</v>
      </c>
      <c r="AT2917" s="36" t="s">
        <v>161</v>
      </c>
      <c r="AU2917" s="36">
        <v>4</v>
      </c>
      <c r="AW2917" s="36" t="s">
        <v>142</v>
      </c>
      <c r="BB2917" s="36" t="s">
        <v>3007</v>
      </c>
      <c r="BH2917" s="36">
        <v>1165</v>
      </c>
      <c r="BI2917" s="36">
        <v>1026</v>
      </c>
      <c r="BM2917" s="407"/>
      <c r="BN2917" s="407"/>
      <c r="BR2917" s="407"/>
      <c r="BS2917" s="407"/>
      <c r="IQ2917" s="230"/>
    </row>
    <row r="2918" spans="1:251" s="36" customFormat="1" x14ac:dyDescent="0.25">
      <c r="A2918" s="36">
        <v>139</v>
      </c>
      <c r="B2918" s="36" t="s">
        <v>2992</v>
      </c>
      <c r="C2918" s="36" t="s">
        <v>2993</v>
      </c>
      <c r="D2918" s="36">
        <v>1998</v>
      </c>
      <c r="E2918" s="36">
        <v>1996</v>
      </c>
      <c r="F2918" s="36" t="s">
        <v>2994</v>
      </c>
      <c r="G2918" s="36" t="s">
        <v>3002</v>
      </c>
      <c r="H2918" s="36" t="s">
        <v>2852</v>
      </c>
      <c r="I2918" s="36">
        <f>6/60</f>
        <v>0.1</v>
      </c>
      <c r="J2918" s="36">
        <f>34+34/60</f>
        <v>34.56666666666667</v>
      </c>
      <c r="K2918" s="36">
        <v>1420</v>
      </c>
      <c r="N2918" s="36">
        <v>1800</v>
      </c>
      <c r="Q2918" s="51" t="s">
        <v>1867</v>
      </c>
      <c r="R2918" s="51" t="s">
        <v>1867</v>
      </c>
      <c r="S2918" s="51"/>
      <c r="T2918" s="51" t="s">
        <v>2897</v>
      </c>
      <c r="U2918" s="51"/>
      <c r="V2918" s="51"/>
      <c r="W2918" s="51"/>
      <c r="X2918" s="51"/>
      <c r="Z2918" s="331">
        <v>46</v>
      </c>
      <c r="AA2918" s="331">
        <f>100-46-26</f>
        <v>28</v>
      </c>
      <c r="AB2918" s="36" t="s">
        <v>673</v>
      </c>
      <c r="AC2918" s="36">
        <v>5.0999999999999996</v>
      </c>
      <c r="AD2918" s="36">
        <v>1.5</v>
      </c>
      <c r="AF2918" s="36" t="s">
        <v>3004</v>
      </c>
      <c r="AG2918" s="36" t="s">
        <v>2785</v>
      </c>
      <c r="AH2918" s="36" t="s">
        <v>1585</v>
      </c>
      <c r="AI2918" s="36" t="s">
        <v>1650</v>
      </c>
      <c r="AJ2918" s="36" t="s">
        <v>133</v>
      </c>
      <c r="AQ2918" s="36" t="s">
        <v>2999</v>
      </c>
      <c r="AR2918" s="36" t="s">
        <v>3000</v>
      </c>
      <c r="AS2918" s="36" t="s">
        <v>503</v>
      </c>
      <c r="AT2918" s="36" t="s">
        <v>161</v>
      </c>
      <c r="AU2918" s="36">
        <v>4</v>
      </c>
      <c r="AW2918" s="36" t="s">
        <v>142</v>
      </c>
      <c r="BB2918" s="36" t="s">
        <v>3006</v>
      </c>
      <c r="BH2918" s="36">
        <v>1275</v>
      </c>
      <c r="BI2918" s="36">
        <v>1829</v>
      </c>
      <c r="BM2918" s="407"/>
      <c r="BN2918" s="407"/>
      <c r="BR2918" s="407"/>
      <c r="BS2918" s="407"/>
      <c r="IQ2918" s="230"/>
    </row>
    <row r="2919" spans="1:251" s="22" customFormat="1" x14ac:dyDescent="0.25">
      <c r="A2919" s="22">
        <v>139</v>
      </c>
      <c r="B2919" s="22" t="s">
        <v>2992</v>
      </c>
      <c r="C2919" s="22" t="s">
        <v>2993</v>
      </c>
      <c r="D2919" s="22">
        <v>1998</v>
      </c>
      <c r="E2919" s="22">
        <v>1995</v>
      </c>
      <c r="F2919" s="22" t="s">
        <v>2994</v>
      </c>
      <c r="G2919" s="22" t="s">
        <v>3003</v>
      </c>
      <c r="H2919" s="22" t="s">
        <v>2852</v>
      </c>
      <c r="I2919" s="22">
        <f>-1-31/60</f>
        <v>-1.5166666666666666</v>
      </c>
      <c r="J2919" s="22">
        <f>37+19/60</f>
        <v>37.31666666666667</v>
      </c>
      <c r="K2919" s="22">
        <v>1920</v>
      </c>
      <c r="N2919" s="22">
        <v>900</v>
      </c>
      <c r="Q2919" s="45" t="s">
        <v>1735</v>
      </c>
      <c r="R2919" s="45" t="s">
        <v>1867</v>
      </c>
      <c r="S2919" s="45"/>
      <c r="T2919" s="45" t="s">
        <v>2897</v>
      </c>
      <c r="U2919" s="45"/>
      <c r="V2919" s="45"/>
      <c r="W2919" s="45"/>
      <c r="X2919" s="45"/>
      <c r="Z2919" s="325">
        <v>56</v>
      </c>
      <c r="AA2919" s="325">
        <f>100-56-29</f>
        <v>15</v>
      </c>
      <c r="AB2919" s="22" t="s">
        <v>519</v>
      </c>
      <c r="AC2919" s="22">
        <v>5.7</v>
      </c>
      <c r="AD2919" s="22">
        <v>0.8</v>
      </c>
      <c r="AF2919" s="22" t="s">
        <v>3005</v>
      </c>
      <c r="AG2919" s="22" t="s">
        <v>2785</v>
      </c>
      <c r="AH2919" s="22" t="s">
        <v>1585</v>
      </c>
      <c r="AI2919" s="22" t="s">
        <v>1650</v>
      </c>
      <c r="AJ2919" s="22" t="s">
        <v>133</v>
      </c>
      <c r="AQ2919" s="22" t="s">
        <v>2999</v>
      </c>
      <c r="AR2919" s="22" t="s">
        <v>3000</v>
      </c>
      <c r="AS2919" s="22" t="s">
        <v>503</v>
      </c>
      <c r="AT2919" s="22" t="s">
        <v>161</v>
      </c>
      <c r="AU2919" s="22">
        <v>4</v>
      </c>
      <c r="AW2919" s="22" t="s">
        <v>142</v>
      </c>
      <c r="BB2919" s="22" t="s">
        <v>3007</v>
      </c>
      <c r="BH2919" s="22">
        <v>1400</v>
      </c>
      <c r="BI2919" s="22">
        <v>1353</v>
      </c>
      <c r="BM2919" s="399"/>
      <c r="BN2919" s="399"/>
      <c r="BR2919" s="399"/>
      <c r="BS2919" s="399"/>
      <c r="IQ2919" s="276"/>
    </row>
    <row r="2920" spans="1:251" s="22" customFormat="1" x14ac:dyDescent="0.25">
      <c r="A2920" s="22">
        <v>139</v>
      </c>
      <c r="B2920" s="22" t="s">
        <v>2992</v>
      </c>
      <c r="C2920" s="22" t="s">
        <v>2993</v>
      </c>
      <c r="D2920" s="22">
        <v>1998</v>
      </c>
      <c r="E2920" s="22">
        <v>1995</v>
      </c>
      <c r="F2920" s="22" t="s">
        <v>2994</v>
      </c>
      <c r="G2920" s="22" t="s">
        <v>3003</v>
      </c>
      <c r="H2920" s="22" t="s">
        <v>2852</v>
      </c>
      <c r="I2920" s="22">
        <f>-1-31/60</f>
        <v>-1.5166666666666666</v>
      </c>
      <c r="J2920" s="22">
        <f>37+19/60</f>
        <v>37.31666666666667</v>
      </c>
      <c r="K2920" s="22">
        <v>1920</v>
      </c>
      <c r="N2920" s="22">
        <v>900</v>
      </c>
      <c r="Q2920" s="45" t="s">
        <v>1735</v>
      </c>
      <c r="R2920" s="45" t="s">
        <v>1867</v>
      </c>
      <c r="S2920" s="45"/>
      <c r="T2920" s="45" t="s">
        <v>2897</v>
      </c>
      <c r="U2920" s="45"/>
      <c r="V2920" s="45"/>
      <c r="W2920" s="45"/>
      <c r="X2920" s="45"/>
      <c r="Z2920" s="325">
        <v>56</v>
      </c>
      <c r="AA2920" s="325">
        <f>100-56-29</f>
        <v>15</v>
      </c>
      <c r="AB2920" s="22" t="s">
        <v>519</v>
      </c>
      <c r="AC2920" s="22">
        <v>5.7</v>
      </c>
      <c r="AD2920" s="22">
        <v>0.8</v>
      </c>
      <c r="AF2920" s="22" t="s">
        <v>3005</v>
      </c>
      <c r="AG2920" s="22" t="s">
        <v>2785</v>
      </c>
      <c r="AH2920" s="22" t="s">
        <v>1585</v>
      </c>
      <c r="AI2920" s="22" t="s">
        <v>1650</v>
      </c>
      <c r="AJ2920" s="22" t="s">
        <v>133</v>
      </c>
      <c r="AQ2920" s="22" t="s">
        <v>2999</v>
      </c>
      <c r="AR2920" s="22" t="s">
        <v>3000</v>
      </c>
      <c r="AS2920" s="22" t="s">
        <v>503</v>
      </c>
      <c r="AT2920" s="22" t="s">
        <v>161</v>
      </c>
      <c r="AU2920" s="22">
        <v>4</v>
      </c>
      <c r="AW2920" s="22" t="s">
        <v>142</v>
      </c>
      <c r="BB2920" s="22" t="s">
        <v>3006</v>
      </c>
      <c r="BH2920" s="22">
        <v>961</v>
      </c>
      <c r="BI2920" s="22">
        <v>1143</v>
      </c>
      <c r="BM2920" s="399"/>
      <c r="BN2920" s="399"/>
      <c r="BR2920" s="399"/>
      <c r="BS2920" s="399"/>
      <c r="IQ2920" s="276"/>
    </row>
    <row r="2921" spans="1:251" s="22" customFormat="1" x14ac:dyDescent="0.25">
      <c r="A2921" s="22">
        <v>139</v>
      </c>
      <c r="B2921" s="22" t="s">
        <v>2992</v>
      </c>
      <c r="C2921" s="22" t="s">
        <v>2993</v>
      </c>
      <c r="D2921" s="22">
        <v>1998</v>
      </c>
      <c r="E2921" s="22">
        <v>1996</v>
      </c>
      <c r="F2921" s="22" t="s">
        <v>2994</v>
      </c>
      <c r="G2921" s="22" t="s">
        <v>3003</v>
      </c>
      <c r="H2921" s="22" t="s">
        <v>2852</v>
      </c>
      <c r="I2921" s="22">
        <f>-1-31/60</f>
        <v>-1.5166666666666666</v>
      </c>
      <c r="J2921" s="22">
        <f>37+19/60</f>
        <v>37.31666666666667</v>
      </c>
      <c r="K2921" s="22">
        <v>1920</v>
      </c>
      <c r="N2921" s="22">
        <v>900</v>
      </c>
      <c r="Q2921" s="45" t="s">
        <v>1867</v>
      </c>
      <c r="R2921" s="45" t="s">
        <v>1867</v>
      </c>
      <c r="S2921" s="45"/>
      <c r="T2921" s="45" t="s">
        <v>2897</v>
      </c>
      <c r="U2921" s="45"/>
      <c r="V2921" s="45"/>
      <c r="W2921" s="45"/>
      <c r="X2921" s="45"/>
      <c r="Z2921" s="325">
        <v>56</v>
      </c>
      <c r="AA2921" s="325">
        <f>100-56-29</f>
        <v>15</v>
      </c>
      <c r="AB2921" s="22" t="s">
        <v>519</v>
      </c>
      <c r="AC2921" s="22">
        <v>5.7</v>
      </c>
      <c r="AD2921" s="22">
        <v>0.8</v>
      </c>
      <c r="AF2921" s="22" t="s">
        <v>3005</v>
      </c>
      <c r="AG2921" s="22" t="s">
        <v>2785</v>
      </c>
      <c r="AH2921" s="22" t="s">
        <v>1585</v>
      </c>
      <c r="AI2921" s="22" t="s">
        <v>1650</v>
      </c>
      <c r="AJ2921" s="22" t="s">
        <v>133</v>
      </c>
      <c r="AQ2921" s="22" t="s">
        <v>2999</v>
      </c>
      <c r="AR2921" s="22" t="s">
        <v>3000</v>
      </c>
      <c r="AS2921" s="22" t="s">
        <v>503</v>
      </c>
      <c r="AT2921" s="22" t="s">
        <v>161</v>
      </c>
      <c r="AU2921" s="22">
        <v>4</v>
      </c>
      <c r="AW2921" s="22" t="s">
        <v>142</v>
      </c>
      <c r="BB2921" s="22" t="s">
        <v>3006</v>
      </c>
      <c r="BH2921" s="22">
        <v>1692</v>
      </c>
      <c r="BI2921" s="22">
        <v>852</v>
      </c>
      <c r="BM2921" s="399"/>
      <c r="BN2921" s="399"/>
      <c r="BR2921" s="399"/>
      <c r="BS2921" s="399"/>
      <c r="IQ2921" s="276"/>
    </row>
    <row r="2922" spans="1:251" s="24" customFormat="1" x14ac:dyDescent="0.25">
      <c r="A2922" s="24">
        <v>140</v>
      </c>
      <c r="B2922" s="24" t="s">
        <v>3008</v>
      </c>
      <c r="C2922" s="24" t="s">
        <v>3009</v>
      </c>
      <c r="D2922" s="24">
        <v>2000</v>
      </c>
      <c r="E2922" s="24">
        <v>1996</v>
      </c>
      <c r="F2922" s="24" t="s">
        <v>2994</v>
      </c>
      <c r="G2922" s="24" t="s">
        <v>3011</v>
      </c>
      <c r="H2922" s="24" t="s">
        <v>3012</v>
      </c>
      <c r="I2922" s="24">
        <v>-17.61</v>
      </c>
      <c r="J2922" s="24">
        <v>31.14</v>
      </c>
      <c r="K2922" s="24">
        <v>1500</v>
      </c>
      <c r="Q2922" s="42" t="s">
        <v>1986</v>
      </c>
      <c r="R2922" s="42" t="s">
        <v>1735</v>
      </c>
      <c r="S2922" s="42"/>
      <c r="T2922" s="42" t="s">
        <v>2022</v>
      </c>
      <c r="U2922" s="42"/>
      <c r="V2922" s="42"/>
      <c r="W2922" s="42"/>
      <c r="X2922" s="42"/>
      <c r="Z2922" s="321"/>
      <c r="AA2922" s="321"/>
      <c r="AB2922" s="24" t="s">
        <v>176</v>
      </c>
      <c r="AC2922" s="24">
        <v>4.5</v>
      </c>
      <c r="AD2922" s="24">
        <v>0.46</v>
      </c>
      <c r="AF2922" s="24" t="s">
        <v>3010</v>
      </c>
      <c r="BM2922" s="395"/>
      <c r="BN2922" s="395"/>
      <c r="BR2922" s="395"/>
      <c r="BS2922" s="395"/>
      <c r="IQ2922" s="249"/>
    </row>
    <row r="2923" spans="1:251" s="24" customFormat="1" x14ac:dyDescent="0.25">
      <c r="A2923" s="24">
        <v>140</v>
      </c>
      <c r="B2923" s="24" t="s">
        <v>3008</v>
      </c>
      <c r="C2923" s="24" t="s">
        <v>3009</v>
      </c>
      <c r="D2923" s="24">
        <v>2000</v>
      </c>
      <c r="E2923" s="24">
        <v>1996</v>
      </c>
      <c r="F2923" s="24" t="s">
        <v>2994</v>
      </c>
      <c r="G2923" s="24" t="s">
        <v>3011</v>
      </c>
      <c r="H2923" s="24" t="s">
        <v>3012</v>
      </c>
      <c r="I2923" s="24">
        <v>-17.61</v>
      </c>
      <c r="J2923" s="24">
        <v>31.14</v>
      </c>
      <c r="K2923" s="24">
        <v>1500</v>
      </c>
      <c r="Q2923" s="42" t="s">
        <v>1986</v>
      </c>
      <c r="R2923" s="42" t="s">
        <v>1735</v>
      </c>
      <c r="S2923" s="42"/>
      <c r="T2923" s="42" t="s">
        <v>2022</v>
      </c>
      <c r="U2923" s="42"/>
      <c r="V2923" s="42"/>
      <c r="W2923" s="42"/>
      <c r="X2923" s="42"/>
      <c r="Z2923" s="321"/>
      <c r="AA2923" s="321"/>
      <c r="AB2923" s="24" t="s">
        <v>176</v>
      </c>
      <c r="AC2923" s="24">
        <v>4.5</v>
      </c>
      <c r="AD2923" s="24">
        <v>0.46</v>
      </c>
      <c r="AF2923" s="24" t="s">
        <v>3010</v>
      </c>
      <c r="BM2923" s="395"/>
      <c r="BN2923" s="395"/>
      <c r="BR2923" s="395"/>
      <c r="BS2923" s="395"/>
      <c r="IQ2923" s="249"/>
    </row>
    <row r="2924" spans="1:251" s="24" customFormat="1" x14ac:dyDescent="0.25">
      <c r="A2924" s="24">
        <v>140</v>
      </c>
      <c r="B2924" s="24" t="s">
        <v>3008</v>
      </c>
      <c r="C2924" s="24" t="s">
        <v>3009</v>
      </c>
      <c r="D2924" s="24">
        <v>2000</v>
      </c>
      <c r="E2924" s="24">
        <v>1996</v>
      </c>
      <c r="F2924" s="24" t="s">
        <v>2994</v>
      </c>
      <c r="G2924" s="24" t="s">
        <v>3011</v>
      </c>
      <c r="H2924" s="24" t="s">
        <v>3012</v>
      </c>
      <c r="I2924" s="24">
        <v>-17.61</v>
      </c>
      <c r="J2924" s="24">
        <v>31.14</v>
      </c>
      <c r="K2924" s="24">
        <v>1500</v>
      </c>
      <c r="Q2924" s="42" t="s">
        <v>1986</v>
      </c>
      <c r="R2924" s="42" t="s">
        <v>1735</v>
      </c>
      <c r="S2924" s="42"/>
      <c r="T2924" s="42" t="s">
        <v>2022</v>
      </c>
      <c r="U2924" s="42"/>
      <c r="V2924" s="42"/>
      <c r="W2924" s="42"/>
      <c r="X2924" s="42"/>
      <c r="Z2924" s="321"/>
      <c r="AA2924" s="321"/>
      <c r="AB2924" s="24" t="s">
        <v>176</v>
      </c>
      <c r="AC2924" s="24">
        <v>4.5</v>
      </c>
      <c r="AD2924" s="24">
        <v>0.46</v>
      </c>
      <c r="AF2924" s="24" t="s">
        <v>3010</v>
      </c>
      <c r="BM2924" s="395"/>
      <c r="BN2924" s="395"/>
      <c r="BR2924" s="395"/>
      <c r="BS2924" s="395"/>
      <c r="IQ2924" s="249"/>
    </row>
    <row r="2925" spans="1:251" s="32" customFormat="1" x14ac:dyDescent="0.25">
      <c r="A2925" s="32">
        <v>140</v>
      </c>
      <c r="B2925" s="32" t="s">
        <v>3008</v>
      </c>
      <c r="C2925" s="32" t="s">
        <v>3009</v>
      </c>
      <c r="D2925" s="32">
        <v>2000</v>
      </c>
      <c r="E2925" s="32">
        <v>1997</v>
      </c>
      <c r="F2925" s="32" t="s">
        <v>2994</v>
      </c>
      <c r="G2925" s="32" t="s">
        <v>3011</v>
      </c>
      <c r="H2925" s="32" t="s">
        <v>3012</v>
      </c>
      <c r="I2925" s="32">
        <v>-17.61</v>
      </c>
      <c r="J2925" s="32">
        <v>31.14</v>
      </c>
      <c r="K2925" s="32">
        <v>1500</v>
      </c>
      <c r="Q2925" s="44" t="s">
        <v>1986</v>
      </c>
      <c r="R2925" s="44" t="s">
        <v>1735</v>
      </c>
      <c r="S2925" s="44"/>
      <c r="T2925" s="44" t="s">
        <v>2022</v>
      </c>
      <c r="U2925" s="44"/>
      <c r="V2925" s="44"/>
      <c r="W2925" s="44"/>
      <c r="X2925" s="44"/>
      <c r="Z2925" s="323"/>
      <c r="AA2925" s="323"/>
      <c r="AB2925" s="32" t="s">
        <v>176</v>
      </c>
      <c r="AC2925" s="32">
        <v>4.5</v>
      </c>
      <c r="AD2925" s="32">
        <v>0.46</v>
      </c>
      <c r="AF2925" s="32" t="s">
        <v>3010</v>
      </c>
      <c r="BM2925" s="397"/>
      <c r="BN2925" s="397"/>
      <c r="BR2925" s="397"/>
      <c r="BS2925" s="397"/>
      <c r="IQ2925" s="243"/>
    </row>
    <row r="2926" spans="1:251" s="32" customFormat="1" x14ac:dyDescent="0.25">
      <c r="A2926" s="32">
        <v>140</v>
      </c>
      <c r="B2926" s="32" t="s">
        <v>3008</v>
      </c>
      <c r="C2926" s="32" t="s">
        <v>3009</v>
      </c>
      <c r="D2926" s="32">
        <v>2000</v>
      </c>
      <c r="E2926" s="32">
        <v>1997</v>
      </c>
      <c r="F2926" s="32" t="s">
        <v>2994</v>
      </c>
      <c r="G2926" s="32" t="s">
        <v>3011</v>
      </c>
      <c r="H2926" s="32" t="s">
        <v>3012</v>
      </c>
      <c r="I2926" s="32">
        <v>-17.61</v>
      </c>
      <c r="J2926" s="32">
        <v>31.14</v>
      </c>
      <c r="K2926" s="32">
        <v>1500</v>
      </c>
      <c r="Q2926" s="44" t="s">
        <v>1986</v>
      </c>
      <c r="R2926" s="44" t="s">
        <v>1735</v>
      </c>
      <c r="S2926" s="44"/>
      <c r="T2926" s="44" t="s">
        <v>2022</v>
      </c>
      <c r="U2926" s="44"/>
      <c r="V2926" s="44"/>
      <c r="W2926" s="44"/>
      <c r="X2926" s="44"/>
      <c r="Z2926" s="323"/>
      <c r="AA2926" s="323"/>
      <c r="AB2926" s="32" t="s">
        <v>176</v>
      </c>
      <c r="AC2926" s="32">
        <v>4.5</v>
      </c>
      <c r="AD2926" s="32">
        <v>0.46</v>
      </c>
      <c r="AF2926" s="32" t="s">
        <v>3010</v>
      </c>
      <c r="BM2926" s="397"/>
      <c r="BN2926" s="397"/>
      <c r="BR2926" s="397"/>
      <c r="BS2926" s="397"/>
      <c r="IQ2926" s="243"/>
    </row>
    <row r="2927" spans="1:251" s="32" customFormat="1" x14ac:dyDescent="0.25">
      <c r="A2927" s="32">
        <v>140</v>
      </c>
      <c r="B2927" s="32" t="s">
        <v>3008</v>
      </c>
      <c r="C2927" s="32" t="s">
        <v>3009</v>
      </c>
      <c r="D2927" s="32">
        <v>2000</v>
      </c>
      <c r="E2927" s="32">
        <v>1997</v>
      </c>
      <c r="F2927" s="32" t="s">
        <v>2994</v>
      </c>
      <c r="G2927" s="32" t="s">
        <v>3011</v>
      </c>
      <c r="H2927" s="32" t="s">
        <v>3012</v>
      </c>
      <c r="I2927" s="32">
        <v>-17.61</v>
      </c>
      <c r="J2927" s="32">
        <v>31.14</v>
      </c>
      <c r="K2927" s="32">
        <v>1500</v>
      </c>
      <c r="Q2927" s="44" t="s">
        <v>1986</v>
      </c>
      <c r="R2927" s="44" t="s">
        <v>1735</v>
      </c>
      <c r="S2927" s="44"/>
      <c r="T2927" s="44" t="s">
        <v>2022</v>
      </c>
      <c r="U2927" s="44"/>
      <c r="V2927" s="44"/>
      <c r="W2927" s="44"/>
      <c r="X2927" s="44"/>
      <c r="Z2927" s="323"/>
      <c r="AA2927" s="323"/>
      <c r="AB2927" s="32" t="s">
        <v>176</v>
      </c>
      <c r="AC2927" s="32">
        <v>4.5</v>
      </c>
      <c r="AD2927" s="32">
        <v>0.46</v>
      </c>
      <c r="AF2927" s="32" t="s">
        <v>3010</v>
      </c>
      <c r="BM2927" s="397"/>
      <c r="BN2927" s="397"/>
      <c r="BR2927" s="397"/>
      <c r="BS2927" s="397"/>
      <c r="IQ2927" s="2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opLeftCell="A151" workbookViewId="0">
      <selection activeCell="C178" sqref="C178"/>
    </sheetView>
  </sheetViews>
  <sheetFormatPr defaultRowHeight="15" x14ac:dyDescent="0.25"/>
  <cols>
    <col min="2" max="2" width="28.140625" customWidth="1"/>
    <col min="3" max="3" width="118" customWidth="1"/>
    <col min="4" max="4" width="91.7109375" customWidth="1"/>
    <col min="5" max="5" width="41" customWidth="1"/>
  </cols>
  <sheetData>
    <row r="1" spans="1:4" x14ac:dyDescent="0.25">
      <c r="A1" s="2" t="s">
        <v>5</v>
      </c>
      <c r="B1" t="s">
        <v>110</v>
      </c>
      <c r="C1" t="s">
        <v>581</v>
      </c>
    </row>
    <row r="2" spans="1:4" x14ac:dyDescent="0.25">
      <c r="A2" s="2" t="s">
        <v>5</v>
      </c>
      <c r="B2" s="1" t="s">
        <v>43</v>
      </c>
      <c r="C2" s="4" t="s">
        <v>92</v>
      </c>
    </row>
    <row r="3" spans="1:4" x14ac:dyDescent="0.25">
      <c r="A3" s="2"/>
      <c r="B3" s="1" t="s">
        <v>44</v>
      </c>
      <c r="C3" s="4" t="s">
        <v>45</v>
      </c>
    </row>
    <row r="4" spans="1:4" x14ac:dyDescent="0.25">
      <c r="A4" s="2"/>
      <c r="B4" s="1" t="s">
        <v>6</v>
      </c>
      <c r="C4" s="4" t="s">
        <v>46</v>
      </c>
    </row>
    <row r="5" spans="1:4" x14ac:dyDescent="0.25">
      <c r="A5" s="2"/>
      <c r="B5" s="1" t="s">
        <v>186</v>
      </c>
      <c r="C5" s="4" t="s">
        <v>2488</v>
      </c>
    </row>
    <row r="6" spans="1:4" x14ac:dyDescent="0.25">
      <c r="A6" s="2"/>
      <c r="B6" s="1" t="s">
        <v>88</v>
      </c>
      <c r="C6" s="4" t="s">
        <v>89</v>
      </c>
    </row>
    <row r="7" spans="1:4" x14ac:dyDescent="0.25">
      <c r="A7" s="2"/>
      <c r="B7" s="1" t="s">
        <v>4</v>
      </c>
      <c r="C7" s="4" t="s">
        <v>47</v>
      </c>
      <c r="D7" t="s">
        <v>2497</v>
      </c>
    </row>
    <row r="8" spans="1:4" x14ac:dyDescent="0.25">
      <c r="A8" s="2"/>
      <c r="B8" s="1" t="s">
        <v>2829</v>
      </c>
      <c r="C8" s="4" t="s">
        <v>2830</v>
      </c>
    </row>
    <row r="9" spans="1:4" x14ac:dyDescent="0.25">
      <c r="A9" s="2"/>
      <c r="B9" s="1" t="s">
        <v>3</v>
      </c>
      <c r="C9" s="4" t="s">
        <v>2489</v>
      </c>
      <c r="D9" t="s">
        <v>2527</v>
      </c>
    </row>
    <row r="10" spans="1:4" x14ac:dyDescent="0.25">
      <c r="A10" s="2"/>
      <c r="B10" s="1" t="s">
        <v>2</v>
      </c>
      <c r="C10" s="4" t="s">
        <v>2490</v>
      </c>
      <c r="D10" t="s">
        <v>2527</v>
      </c>
    </row>
    <row r="11" spans="1:4" x14ac:dyDescent="0.25">
      <c r="A11" s="2"/>
      <c r="B11" s="1" t="s">
        <v>87</v>
      </c>
      <c r="C11" s="4" t="s">
        <v>2491</v>
      </c>
      <c r="D11" t="s">
        <v>130</v>
      </c>
    </row>
    <row r="12" spans="1:4" x14ac:dyDescent="0.25">
      <c r="A12" s="2"/>
      <c r="B12" s="1" t="s">
        <v>35</v>
      </c>
      <c r="C12" s="4" t="s">
        <v>2492</v>
      </c>
      <c r="D12" t="s">
        <v>2498</v>
      </c>
    </row>
    <row r="13" spans="1:4" x14ac:dyDescent="0.25">
      <c r="A13" s="2"/>
      <c r="B13" s="1" t="s">
        <v>16</v>
      </c>
      <c r="C13" s="4" t="s">
        <v>2493</v>
      </c>
      <c r="D13" t="s">
        <v>2498</v>
      </c>
    </row>
    <row r="14" spans="1:4" x14ac:dyDescent="0.25">
      <c r="A14" s="2"/>
      <c r="B14" s="1" t="s">
        <v>36</v>
      </c>
      <c r="C14" s="4" t="s">
        <v>48</v>
      </c>
      <c r="D14" t="s">
        <v>135</v>
      </c>
    </row>
    <row r="15" spans="1:4" x14ac:dyDescent="0.25">
      <c r="A15" s="2"/>
      <c r="B15" s="1" t="s">
        <v>17</v>
      </c>
      <c r="C15" s="4" t="s">
        <v>2494</v>
      </c>
      <c r="D15" t="s">
        <v>135</v>
      </c>
    </row>
    <row r="16" spans="1:4" x14ac:dyDescent="0.25">
      <c r="A16" s="2"/>
      <c r="B16" s="1" t="s">
        <v>18</v>
      </c>
      <c r="C16" s="4" t="s">
        <v>2495</v>
      </c>
      <c r="D16" t="s">
        <v>2499</v>
      </c>
    </row>
    <row r="17" spans="1:4" x14ac:dyDescent="0.25">
      <c r="A17" s="2"/>
      <c r="B17" s="1" t="s">
        <v>8</v>
      </c>
      <c r="C17" s="4" t="s">
        <v>2496</v>
      </c>
    </row>
    <row r="18" spans="1:4" x14ac:dyDescent="0.25">
      <c r="A18" s="2"/>
      <c r="B18" s="482" t="s">
        <v>1767</v>
      </c>
      <c r="C18" s="4" t="s">
        <v>1768</v>
      </c>
    </row>
    <row r="19" spans="1:4" x14ac:dyDescent="0.25">
      <c r="A19" s="2"/>
      <c r="B19" s="1" t="s">
        <v>868</v>
      </c>
      <c r="C19" s="4" t="s">
        <v>872</v>
      </c>
    </row>
    <row r="20" spans="1:4" x14ac:dyDescent="0.25">
      <c r="A20" s="2"/>
      <c r="B20" s="1" t="s">
        <v>870</v>
      </c>
      <c r="C20" s="4" t="s">
        <v>2500</v>
      </c>
    </row>
    <row r="21" spans="1:4" x14ac:dyDescent="0.25">
      <c r="A21" s="2"/>
      <c r="B21" s="1" t="s">
        <v>7</v>
      </c>
      <c r="C21" s="4" t="s">
        <v>2502</v>
      </c>
      <c r="D21" t="s">
        <v>156</v>
      </c>
    </row>
    <row r="22" spans="1:4" x14ac:dyDescent="0.25">
      <c r="A22" s="2"/>
      <c r="B22" s="1" t="s">
        <v>1721</v>
      </c>
      <c r="C22" s="4" t="s">
        <v>2501</v>
      </c>
    </row>
    <row r="23" spans="1:4" x14ac:dyDescent="0.25">
      <c r="A23" s="2"/>
      <c r="B23" s="1" t="s">
        <v>1420</v>
      </c>
      <c r="C23" s="4" t="s">
        <v>2503</v>
      </c>
    </row>
    <row r="24" spans="1:4" x14ac:dyDescent="0.25">
      <c r="A24" s="2"/>
      <c r="B24" s="1" t="s">
        <v>1635</v>
      </c>
      <c r="C24" s="4" t="s">
        <v>2504</v>
      </c>
    </row>
    <row r="25" spans="1:4" x14ac:dyDescent="0.25">
      <c r="A25" s="2"/>
      <c r="B25" s="1" t="s">
        <v>284</v>
      </c>
      <c r="C25" s="4" t="s">
        <v>285</v>
      </c>
    </row>
    <row r="26" spans="1:4" x14ac:dyDescent="0.25">
      <c r="A26" s="2"/>
      <c r="B26" s="1" t="s">
        <v>122</v>
      </c>
      <c r="C26" s="4" t="s">
        <v>124</v>
      </c>
    </row>
    <row r="27" spans="1:4" x14ac:dyDescent="0.25">
      <c r="A27" s="2"/>
      <c r="B27" s="1" t="s">
        <v>123</v>
      </c>
      <c r="C27" s="4" t="s">
        <v>125</v>
      </c>
    </row>
    <row r="28" spans="1:4" x14ac:dyDescent="0.25">
      <c r="A28" s="2"/>
      <c r="B28" s="1" t="s">
        <v>15</v>
      </c>
      <c r="C28" s="4" t="s">
        <v>49</v>
      </c>
    </row>
    <row r="29" spans="1:4" x14ac:dyDescent="0.25">
      <c r="A29" s="2"/>
      <c r="B29" s="1" t="s">
        <v>190</v>
      </c>
      <c r="C29" s="4" t="s">
        <v>193</v>
      </c>
    </row>
    <row r="30" spans="1:4" x14ac:dyDescent="0.25">
      <c r="A30" s="2"/>
      <c r="B30" s="1" t="s">
        <v>191</v>
      </c>
      <c r="C30" s="4" t="s">
        <v>2505</v>
      </c>
      <c r="D30" t="s">
        <v>67</v>
      </c>
    </row>
    <row r="31" spans="1:4" x14ac:dyDescent="0.25">
      <c r="A31" s="2"/>
      <c r="B31" s="1" t="s">
        <v>192</v>
      </c>
      <c r="C31" s="4" t="s">
        <v>194</v>
      </c>
      <c r="D31" t="s">
        <v>894</v>
      </c>
    </row>
    <row r="32" spans="1:4" x14ac:dyDescent="0.25">
      <c r="A32" s="2"/>
      <c r="B32" s="1" t="s">
        <v>1310</v>
      </c>
      <c r="C32" s="4" t="s">
        <v>2506</v>
      </c>
    </row>
    <row r="33" spans="1:4" x14ac:dyDescent="0.25">
      <c r="A33" s="2"/>
      <c r="B33" s="1" t="s">
        <v>0</v>
      </c>
      <c r="C33" s="4" t="s">
        <v>2510</v>
      </c>
    </row>
    <row r="34" spans="1:4" x14ac:dyDescent="0.25">
      <c r="A34" s="2"/>
      <c r="B34" s="1" t="s">
        <v>1505</v>
      </c>
      <c r="C34" s="4" t="s">
        <v>2507</v>
      </c>
      <c r="D34" t="s">
        <v>1706</v>
      </c>
    </row>
    <row r="35" spans="1:4" x14ac:dyDescent="0.25">
      <c r="A35" s="2"/>
      <c r="B35" s="1" t="s">
        <v>1</v>
      </c>
      <c r="C35" s="4" t="s">
        <v>2509</v>
      </c>
    </row>
    <row r="36" spans="1:4" x14ac:dyDescent="0.25">
      <c r="A36" s="2"/>
      <c r="B36" s="1" t="s">
        <v>1504</v>
      </c>
      <c r="C36" s="4" t="s">
        <v>2508</v>
      </c>
      <c r="D36" t="s">
        <v>1707</v>
      </c>
    </row>
    <row r="37" spans="1:4" x14ac:dyDescent="0.25">
      <c r="A37" s="2"/>
      <c r="B37" s="1" t="s">
        <v>533</v>
      </c>
      <c r="C37" s="4" t="s">
        <v>567</v>
      </c>
    </row>
    <row r="38" spans="1:4" x14ac:dyDescent="0.25">
      <c r="A38" s="2"/>
      <c r="B38" s="1" t="s">
        <v>532</v>
      </c>
      <c r="C38" s="4" t="s">
        <v>566</v>
      </c>
    </row>
    <row r="39" spans="1:4" x14ac:dyDescent="0.25">
      <c r="A39" s="2"/>
      <c r="B39" s="1" t="s">
        <v>534</v>
      </c>
      <c r="C39" s="4" t="s">
        <v>2515</v>
      </c>
    </row>
    <row r="40" spans="1:4" x14ac:dyDescent="0.25">
      <c r="A40" s="2"/>
      <c r="B40" s="1" t="s">
        <v>536</v>
      </c>
      <c r="C40" s="4" t="s">
        <v>539</v>
      </c>
    </row>
    <row r="41" spans="1:4" x14ac:dyDescent="0.25">
      <c r="A41" s="2"/>
      <c r="B41" s="1" t="s">
        <v>535</v>
      </c>
      <c r="C41" s="4" t="s">
        <v>538</v>
      </c>
    </row>
    <row r="42" spans="1:4" x14ac:dyDescent="0.25">
      <c r="A42" s="2"/>
      <c r="B42" s="1" t="s">
        <v>537</v>
      </c>
      <c r="C42" s="4" t="s">
        <v>2514</v>
      </c>
    </row>
    <row r="43" spans="1:4" x14ac:dyDescent="0.25">
      <c r="A43" s="2"/>
      <c r="B43" s="1" t="s">
        <v>218</v>
      </c>
      <c r="C43" s="4" t="s">
        <v>2511</v>
      </c>
    </row>
    <row r="44" spans="1:4" x14ac:dyDescent="0.25">
      <c r="A44" s="2"/>
      <c r="B44" s="1" t="s">
        <v>217</v>
      </c>
      <c r="C44" s="4" t="s">
        <v>2512</v>
      </c>
    </row>
    <row r="45" spans="1:4" x14ac:dyDescent="0.25">
      <c r="A45" s="2"/>
      <c r="B45" s="1" t="s">
        <v>502</v>
      </c>
      <c r="C45" s="4" t="s">
        <v>2513</v>
      </c>
    </row>
    <row r="46" spans="1:4" x14ac:dyDescent="0.25">
      <c r="A46" s="2"/>
      <c r="B46" s="78" t="s">
        <v>66</v>
      </c>
      <c r="C46" s="4" t="s">
        <v>2516</v>
      </c>
    </row>
    <row r="47" spans="1:4" x14ac:dyDescent="0.25">
      <c r="A47" s="2"/>
      <c r="B47" s="6" t="s">
        <v>2113</v>
      </c>
      <c r="C47" t="s">
        <v>2517</v>
      </c>
    </row>
    <row r="48" spans="1:4" x14ac:dyDescent="0.25">
      <c r="A48" s="2"/>
      <c r="B48" s="6" t="s">
        <v>2114</v>
      </c>
      <c r="C48" t="s">
        <v>2518</v>
      </c>
    </row>
    <row r="49" spans="1:4" x14ac:dyDescent="0.25">
      <c r="A49" s="2"/>
      <c r="B49" s="6" t="s">
        <v>141</v>
      </c>
      <c r="C49" t="s">
        <v>2519</v>
      </c>
    </row>
    <row r="50" spans="1:4" x14ac:dyDescent="0.25">
      <c r="A50" s="2"/>
      <c r="B50" s="12" t="s">
        <v>69</v>
      </c>
      <c r="C50" s="4" t="s">
        <v>70</v>
      </c>
      <c r="D50" t="s">
        <v>2592</v>
      </c>
    </row>
    <row r="51" spans="1:4" x14ac:dyDescent="0.25">
      <c r="A51" s="2"/>
      <c r="B51" s="12" t="s">
        <v>68</v>
      </c>
      <c r="C51" s="4" t="s">
        <v>71</v>
      </c>
      <c r="D51" t="s">
        <v>2592</v>
      </c>
    </row>
    <row r="52" spans="1:4" x14ac:dyDescent="0.25">
      <c r="A52" s="2"/>
      <c r="B52" s="12" t="s">
        <v>975</v>
      </c>
      <c r="C52" s="4" t="s">
        <v>2520</v>
      </c>
      <c r="D52" t="s">
        <v>67</v>
      </c>
    </row>
    <row r="53" spans="1:4" x14ac:dyDescent="0.25">
      <c r="A53" s="2"/>
      <c r="B53" s="12" t="s">
        <v>614</v>
      </c>
      <c r="C53" s="4" t="s">
        <v>2521</v>
      </c>
    </row>
    <row r="54" spans="1:4" x14ac:dyDescent="0.25">
      <c r="A54" s="2"/>
      <c r="B54" s="482" t="s">
        <v>143</v>
      </c>
      <c r="C54" s="4" t="s">
        <v>2522</v>
      </c>
    </row>
    <row r="55" spans="1:4" x14ac:dyDescent="0.25">
      <c r="A55" s="14"/>
      <c r="B55" s="1"/>
      <c r="C55" s="4"/>
    </row>
    <row r="56" spans="1:4" x14ac:dyDescent="0.25">
      <c r="A56" s="3">
        <v>1</v>
      </c>
      <c r="B56" s="1" t="s">
        <v>809</v>
      </c>
      <c r="C56" s="4" t="s">
        <v>2414</v>
      </c>
      <c r="D56" t="s">
        <v>2591</v>
      </c>
    </row>
    <row r="57" spans="1:4" x14ac:dyDescent="0.25">
      <c r="A57" s="3"/>
      <c r="B57" s="1" t="s">
        <v>810</v>
      </c>
      <c r="C57" s="4" t="s">
        <v>2415</v>
      </c>
      <c r="D57" t="s">
        <v>2591</v>
      </c>
    </row>
    <row r="58" spans="1:4" x14ac:dyDescent="0.25">
      <c r="A58" s="3"/>
      <c r="B58" s="1" t="s">
        <v>834</v>
      </c>
      <c r="C58" s="4" t="s">
        <v>2523</v>
      </c>
      <c r="D58" t="s">
        <v>2593</v>
      </c>
    </row>
    <row r="59" spans="1:4" x14ac:dyDescent="0.25">
      <c r="A59" s="3">
        <v>2</v>
      </c>
      <c r="B59" s="1" t="s">
        <v>14</v>
      </c>
      <c r="C59" t="s">
        <v>2524</v>
      </c>
      <c r="D59" t="s">
        <v>2592</v>
      </c>
    </row>
    <row r="60" spans="1:4" x14ac:dyDescent="0.25">
      <c r="A60" s="3" t="s">
        <v>42</v>
      </c>
      <c r="B60" s="1" t="s">
        <v>13</v>
      </c>
      <c r="C60" t="s">
        <v>2525</v>
      </c>
      <c r="D60" t="s">
        <v>2592</v>
      </c>
    </row>
    <row r="61" spans="1:4" x14ac:dyDescent="0.25">
      <c r="A61" s="3"/>
      <c r="B61" s="1" t="s">
        <v>830</v>
      </c>
      <c r="C61" t="s">
        <v>2526</v>
      </c>
      <c r="D61" t="s">
        <v>2593</v>
      </c>
    </row>
    <row r="62" spans="1:4" x14ac:dyDescent="0.25">
      <c r="A62" s="3">
        <v>3</v>
      </c>
      <c r="B62" s="1" t="s">
        <v>24</v>
      </c>
      <c r="C62" t="s">
        <v>2528</v>
      </c>
      <c r="D62" t="s">
        <v>2594</v>
      </c>
    </row>
    <row r="63" spans="1:4" x14ac:dyDescent="0.25">
      <c r="A63" s="3"/>
      <c r="B63" s="1" t="s">
        <v>23</v>
      </c>
      <c r="C63" t="s">
        <v>2529</v>
      </c>
      <c r="D63" t="s">
        <v>2594</v>
      </c>
    </row>
    <row r="64" spans="1:4" x14ac:dyDescent="0.25">
      <c r="A64" s="3"/>
      <c r="B64" s="1" t="s">
        <v>813</v>
      </c>
      <c r="C64" t="s">
        <v>2530</v>
      </c>
      <c r="D64" t="s">
        <v>2595</v>
      </c>
    </row>
    <row r="65" spans="1:8" x14ac:dyDescent="0.25">
      <c r="A65" s="3">
        <v>4</v>
      </c>
      <c r="B65" s="1" t="s">
        <v>10</v>
      </c>
      <c r="C65" t="s">
        <v>1672</v>
      </c>
      <c r="D65" t="s">
        <v>2531</v>
      </c>
    </row>
    <row r="66" spans="1:8" x14ac:dyDescent="0.25">
      <c r="A66" s="3"/>
      <c r="B66" s="1" t="s">
        <v>9</v>
      </c>
      <c r="C66" t="s">
        <v>1673</v>
      </c>
      <c r="D66" t="s">
        <v>2531</v>
      </c>
    </row>
    <row r="67" spans="1:8" x14ac:dyDescent="0.25">
      <c r="A67" s="3"/>
      <c r="B67" s="1" t="s">
        <v>761</v>
      </c>
      <c r="C67" t="s">
        <v>2532</v>
      </c>
      <c r="D67" t="s">
        <v>2593</v>
      </c>
    </row>
    <row r="68" spans="1:8" x14ac:dyDescent="0.25">
      <c r="A68" s="3">
        <v>5</v>
      </c>
      <c r="B68" s="1" t="s">
        <v>233</v>
      </c>
      <c r="C68" t="s">
        <v>2534</v>
      </c>
      <c r="D68" t="s">
        <v>2598</v>
      </c>
    </row>
    <row r="69" spans="1:8" x14ac:dyDescent="0.25">
      <c r="A69" s="3"/>
      <c r="B69" s="1" t="s">
        <v>234</v>
      </c>
      <c r="C69" t="s">
        <v>2533</v>
      </c>
      <c r="D69" t="s">
        <v>2598</v>
      </c>
    </row>
    <row r="70" spans="1:8" x14ac:dyDescent="0.25">
      <c r="A70" s="3"/>
      <c r="B70" s="1" t="s">
        <v>762</v>
      </c>
      <c r="C70" t="s">
        <v>2535</v>
      </c>
      <c r="D70" t="s">
        <v>2593</v>
      </c>
      <c r="H70" s="18"/>
    </row>
    <row r="71" spans="1:8" x14ac:dyDescent="0.25">
      <c r="A71" s="3">
        <v>6</v>
      </c>
      <c r="B71" s="1" t="s">
        <v>20</v>
      </c>
      <c r="C71" t="s">
        <v>51</v>
      </c>
      <c r="D71" t="s">
        <v>2598</v>
      </c>
    </row>
    <row r="72" spans="1:8" x14ac:dyDescent="0.25">
      <c r="A72" s="3"/>
      <c r="B72" s="1" t="s">
        <v>19</v>
      </c>
      <c r="C72" t="s">
        <v>50</v>
      </c>
      <c r="D72" t="s">
        <v>2598</v>
      </c>
    </row>
    <row r="73" spans="1:8" x14ac:dyDescent="0.25">
      <c r="A73" s="3"/>
      <c r="B73" s="1" t="s">
        <v>763</v>
      </c>
      <c r="C73" t="s">
        <v>2536</v>
      </c>
      <c r="D73" t="s">
        <v>2593</v>
      </c>
    </row>
    <row r="74" spans="1:8" x14ac:dyDescent="0.25">
      <c r="A74" s="3">
        <v>7</v>
      </c>
      <c r="B74" s="1" t="s">
        <v>22</v>
      </c>
      <c r="C74" t="s">
        <v>53</v>
      </c>
      <c r="D74" t="s">
        <v>2598</v>
      </c>
    </row>
    <row r="75" spans="1:8" x14ac:dyDescent="0.25">
      <c r="A75" s="3"/>
      <c r="B75" s="1" t="s">
        <v>21</v>
      </c>
      <c r="C75" t="s">
        <v>52</v>
      </c>
      <c r="D75" t="s">
        <v>2598</v>
      </c>
    </row>
    <row r="76" spans="1:8" x14ac:dyDescent="0.25">
      <c r="A76" s="3"/>
      <c r="B76" s="1" t="s">
        <v>831</v>
      </c>
      <c r="C76" t="s">
        <v>2537</v>
      </c>
      <c r="D76" t="s">
        <v>2593</v>
      </c>
    </row>
    <row r="77" spans="1:8" x14ac:dyDescent="0.25">
      <c r="A77" s="3">
        <v>8</v>
      </c>
      <c r="B77" s="1" t="s">
        <v>12</v>
      </c>
      <c r="C77" t="s">
        <v>55</v>
      </c>
      <c r="D77" t="s">
        <v>2596</v>
      </c>
    </row>
    <row r="78" spans="1:8" x14ac:dyDescent="0.25">
      <c r="A78" s="3"/>
      <c r="B78" s="1" t="s">
        <v>11</v>
      </c>
      <c r="C78" t="s">
        <v>54</v>
      </c>
      <c r="D78" t="s">
        <v>2596</v>
      </c>
    </row>
    <row r="79" spans="1:8" x14ac:dyDescent="0.25">
      <c r="A79" s="3"/>
      <c r="B79" s="1" t="s">
        <v>815</v>
      </c>
      <c r="C79" t="s">
        <v>2538</v>
      </c>
      <c r="D79" t="s">
        <v>2595</v>
      </c>
    </row>
    <row r="80" spans="1:8" x14ac:dyDescent="0.25">
      <c r="A80" s="3">
        <v>9</v>
      </c>
      <c r="B80" s="1" t="s">
        <v>30</v>
      </c>
      <c r="C80" t="s">
        <v>57</v>
      </c>
      <c r="D80" t="s">
        <v>2599</v>
      </c>
    </row>
    <row r="81" spans="1:4" x14ac:dyDescent="0.25">
      <c r="A81" s="3"/>
      <c r="B81" s="1" t="s">
        <v>29</v>
      </c>
      <c r="C81" t="s">
        <v>56</v>
      </c>
      <c r="D81" t="s">
        <v>2599</v>
      </c>
    </row>
    <row r="82" spans="1:4" x14ac:dyDescent="0.25">
      <c r="A82" s="3"/>
      <c r="B82" s="1" t="s">
        <v>818</v>
      </c>
      <c r="C82" t="s">
        <v>2539</v>
      </c>
      <c r="D82" t="s">
        <v>2593</v>
      </c>
    </row>
    <row r="83" spans="1:4" x14ac:dyDescent="0.25">
      <c r="A83" s="3">
        <v>10</v>
      </c>
      <c r="B83" s="1" t="s">
        <v>32</v>
      </c>
      <c r="C83" t="s">
        <v>1086</v>
      </c>
      <c r="D83" t="s">
        <v>2600</v>
      </c>
    </row>
    <row r="84" spans="1:4" x14ac:dyDescent="0.25">
      <c r="A84" s="3"/>
      <c r="B84" s="1" t="s">
        <v>31</v>
      </c>
      <c r="C84" t="s">
        <v>1087</v>
      </c>
      <c r="D84" t="s">
        <v>2600</v>
      </c>
    </row>
    <row r="85" spans="1:4" x14ac:dyDescent="0.25">
      <c r="A85" s="3"/>
      <c r="B85" s="1" t="s">
        <v>765</v>
      </c>
      <c r="C85" t="s">
        <v>2540</v>
      </c>
      <c r="D85" t="s">
        <v>2593</v>
      </c>
    </row>
    <row r="86" spans="1:4" x14ac:dyDescent="0.25">
      <c r="A86" s="3">
        <v>11</v>
      </c>
      <c r="B86" s="1" t="s">
        <v>34</v>
      </c>
      <c r="C86" t="s">
        <v>1088</v>
      </c>
      <c r="D86" t="s">
        <v>2598</v>
      </c>
    </row>
    <row r="87" spans="1:4" x14ac:dyDescent="0.25">
      <c r="A87" s="3"/>
      <c r="B87" s="1" t="s">
        <v>33</v>
      </c>
      <c r="C87" t="s">
        <v>90</v>
      </c>
      <c r="D87" t="s">
        <v>2598</v>
      </c>
    </row>
    <row r="88" spans="1:4" x14ac:dyDescent="0.25">
      <c r="A88" s="3"/>
      <c r="B88" s="1" t="s">
        <v>819</v>
      </c>
      <c r="C88" t="s">
        <v>2541</v>
      </c>
      <c r="D88" t="s">
        <v>2593</v>
      </c>
    </row>
    <row r="89" spans="1:4" x14ac:dyDescent="0.25">
      <c r="A89" s="3">
        <v>12</v>
      </c>
      <c r="B89" s="1" t="s">
        <v>26</v>
      </c>
      <c r="C89" t="s">
        <v>2542</v>
      </c>
      <c r="D89" t="s">
        <v>2601</v>
      </c>
    </row>
    <row r="90" spans="1:4" x14ac:dyDescent="0.25">
      <c r="A90" s="3"/>
      <c r="B90" s="1" t="s">
        <v>25</v>
      </c>
      <c r="C90" t="s">
        <v>2543</v>
      </c>
      <c r="D90" t="s">
        <v>2601</v>
      </c>
    </row>
    <row r="91" spans="1:4" x14ac:dyDescent="0.25">
      <c r="A91" s="3"/>
      <c r="B91" s="1" t="s">
        <v>764</v>
      </c>
      <c r="C91" t="s">
        <v>2544</v>
      </c>
      <c r="D91" t="s">
        <v>2593</v>
      </c>
    </row>
    <row r="92" spans="1:4" x14ac:dyDescent="0.25">
      <c r="A92" s="3">
        <v>13</v>
      </c>
      <c r="B92" s="1" t="s">
        <v>916</v>
      </c>
      <c r="C92" t="s">
        <v>919</v>
      </c>
      <c r="D92" t="s">
        <v>2602</v>
      </c>
    </row>
    <row r="93" spans="1:4" x14ac:dyDescent="0.25">
      <c r="A93" s="3"/>
      <c r="B93" s="1" t="s">
        <v>917</v>
      </c>
      <c r="C93" t="s">
        <v>920</v>
      </c>
      <c r="D93" t="s">
        <v>2602</v>
      </c>
    </row>
    <row r="94" spans="1:4" x14ac:dyDescent="0.25">
      <c r="A94" s="3"/>
      <c r="B94" s="1" t="s">
        <v>918</v>
      </c>
      <c r="C94" t="s">
        <v>2545</v>
      </c>
      <c r="D94" t="s">
        <v>2593</v>
      </c>
    </row>
    <row r="95" spans="1:4" x14ac:dyDescent="0.25">
      <c r="A95" s="3">
        <v>14</v>
      </c>
      <c r="B95" s="1" t="s">
        <v>28</v>
      </c>
      <c r="C95" t="s">
        <v>856</v>
      </c>
      <c r="D95" t="s">
        <v>2603</v>
      </c>
    </row>
    <row r="96" spans="1:4" x14ac:dyDescent="0.25">
      <c r="A96" s="3"/>
      <c r="B96" s="1" t="s">
        <v>27</v>
      </c>
      <c r="C96" t="s">
        <v>857</v>
      </c>
      <c r="D96" t="s">
        <v>2603</v>
      </c>
    </row>
    <row r="97" spans="1:4" x14ac:dyDescent="0.25">
      <c r="A97" s="3"/>
      <c r="B97" s="1" t="s">
        <v>817</v>
      </c>
      <c r="C97" t="s">
        <v>2546</v>
      </c>
      <c r="D97" t="s">
        <v>2593</v>
      </c>
    </row>
    <row r="98" spans="1:4" x14ac:dyDescent="0.25">
      <c r="A98" s="3">
        <v>15</v>
      </c>
      <c r="B98" s="1" t="s">
        <v>40</v>
      </c>
      <c r="C98" t="s">
        <v>854</v>
      </c>
      <c r="D98" t="s">
        <v>2604</v>
      </c>
    </row>
    <row r="99" spans="1:4" x14ac:dyDescent="0.25">
      <c r="A99" s="3"/>
      <c r="B99" s="1" t="s">
        <v>39</v>
      </c>
      <c r="C99" t="s">
        <v>855</v>
      </c>
      <c r="D99" t="s">
        <v>2604</v>
      </c>
    </row>
    <row r="100" spans="1:4" x14ac:dyDescent="0.25">
      <c r="A100" s="3"/>
      <c r="B100" s="1" t="s">
        <v>766</v>
      </c>
      <c r="C100" t="s">
        <v>2547</v>
      </c>
      <c r="D100" t="s">
        <v>2593</v>
      </c>
    </row>
    <row r="101" spans="1:4" x14ac:dyDescent="0.25">
      <c r="A101" s="3">
        <v>16</v>
      </c>
      <c r="B101" s="1" t="s">
        <v>1800</v>
      </c>
      <c r="C101" t="s">
        <v>109</v>
      </c>
      <c r="D101" t="s">
        <v>2605</v>
      </c>
    </row>
    <row r="102" spans="1:4" x14ac:dyDescent="0.25">
      <c r="A102" s="3"/>
      <c r="B102" s="1" t="s">
        <v>1801</v>
      </c>
      <c r="C102" t="s">
        <v>108</v>
      </c>
      <c r="D102" t="s">
        <v>2605</v>
      </c>
    </row>
    <row r="103" spans="1:4" x14ac:dyDescent="0.25">
      <c r="A103" s="3"/>
      <c r="B103" s="1" t="s">
        <v>1804</v>
      </c>
      <c r="C103" t="s">
        <v>2548</v>
      </c>
      <c r="D103" t="s">
        <v>2593</v>
      </c>
    </row>
    <row r="104" spans="1:4" x14ac:dyDescent="0.25">
      <c r="A104" s="3">
        <v>17</v>
      </c>
      <c r="B104" s="1" t="s">
        <v>1013</v>
      </c>
      <c r="C104" t="s">
        <v>1016</v>
      </c>
      <c r="D104" t="s">
        <v>2606</v>
      </c>
    </row>
    <row r="105" spans="1:4" x14ac:dyDescent="0.25">
      <c r="A105" s="3"/>
      <c r="B105" s="1" t="s">
        <v>1014</v>
      </c>
      <c r="C105" t="s">
        <v>1017</v>
      </c>
      <c r="D105" t="s">
        <v>2606</v>
      </c>
    </row>
    <row r="106" spans="1:4" x14ac:dyDescent="0.25">
      <c r="A106" s="3"/>
      <c r="B106" s="1" t="s">
        <v>1015</v>
      </c>
      <c r="C106" t="s">
        <v>1018</v>
      </c>
      <c r="D106" t="s">
        <v>2593</v>
      </c>
    </row>
    <row r="107" spans="1:4" x14ac:dyDescent="0.25">
      <c r="A107" s="3">
        <v>18</v>
      </c>
      <c r="B107" s="1" t="s">
        <v>1499</v>
      </c>
      <c r="C107" t="s">
        <v>2550</v>
      </c>
      <c r="D107" t="s">
        <v>2607</v>
      </c>
    </row>
    <row r="108" spans="1:4" x14ac:dyDescent="0.25">
      <c r="A108" s="3"/>
      <c r="B108" s="1" t="s">
        <v>2549</v>
      </c>
      <c r="C108" t="s">
        <v>2551</v>
      </c>
      <c r="D108" t="s">
        <v>2607</v>
      </c>
    </row>
    <row r="109" spans="1:4" x14ac:dyDescent="0.25">
      <c r="A109" s="3"/>
      <c r="B109" s="1" t="s">
        <v>1501</v>
      </c>
      <c r="C109" t="s">
        <v>2552</v>
      </c>
      <c r="D109" t="s">
        <v>2593</v>
      </c>
    </row>
    <row r="110" spans="1:4" x14ac:dyDescent="0.25">
      <c r="A110" s="3">
        <v>19</v>
      </c>
      <c r="B110" s="1" t="s">
        <v>1502</v>
      </c>
      <c r="C110" t="s">
        <v>2553</v>
      </c>
      <c r="D110" t="s">
        <v>894</v>
      </c>
    </row>
    <row r="111" spans="1:4" x14ac:dyDescent="0.25">
      <c r="A111" s="3"/>
      <c r="B111" s="1" t="s">
        <v>1503</v>
      </c>
      <c r="C111" t="s">
        <v>2554</v>
      </c>
      <c r="D111" t="s">
        <v>894</v>
      </c>
    </row>
    <row r="112" spans="1:4" x14ac:dyDescent="0.25">
      <c r="A112" s="3"/>
      <c r="B112" s="1" t="s">
        <v>1500</v>
      </c>
      <c r="C112" t="s">
        <v>2555</v>
      </c>
      <c r="D112" t="s">
        <v>2593</v>
      </c>
    </row>
    <row r="113" spans="1:8" x14ac:dyDescent="0.25">
      <c r="A113" s="3">
        <v>20</v>
      </c>
      <c r="B113" s="1" t="s">
        <v>60</v>
      </c>
      <c r="C113" t="s">
        <v>64</v>
      </c>
      <c r="D113" t="s">
        <v>2498</v>
      </c>
    </row>
    <row r="114" spans="1:8" x14ac:dyDescent="0.25">
      <c r="A114" s="3"/>
      <c r="B114" s="1" t="s">
        <v>61</v>
      </c>
      <c r="C114" t="s">
        <v>65</v>
      </c>
      <c r="D114" t="s">
        <v>2498</v>
      </c>
    </row>
    <row r="115" spans="1:8" x14ac:dyDescent="0.25">
      <c r="A115" s="3"/>
      <c r="B115" s="1" t="s">
        <v>821</v>
      </c>
      <c r="C115" t="s">
        <v>2556</v>
      </c>
      <c r="D115" t="s">
        <v>2595</v>
      </c>
    </row>
    <row r="116" spans="1:8" x14ac:dyDescent="0.25">
      <c r="A116" s="3">
        <v>21</v>
      </c>
      <c r="B116" s="1" t="s">
        <v>62</v>
      </c>
      <c r="C116" t="s">
        <v>2558</v>
      </c>
      <c r="D116" t="s">
        <v>2608</v>
      </c>
    </row>
    <row r="117" spans="1:8" x14ac:dyDescent="0.25">
      <c r="A117" s="3"/>
      <c r="B117" s="1" t="s">
        <v>63</v>
      </c>
      <c r="C117" t="s">
        <v>2557</v>
      </c>
      <c r="D117" t="s">
        <v>2608</v>
      </c>
    </row>
    <row r="118" spans="1:8" x14ac:dyDescent="0.25">
      <c r="A118" s="3"/>
      <c r="B118" s="1" t="s">
        <v>822</v>
      </c>
      <c r="C118" t="s">
        <v>2559</v>
      </c>
      <c r="D118" t="s">
        <v>2593</v>
      </c>
    </row>
    <row r="119" spans="1:8" x14ac:dyDescent="0.25">
      <c r="A119" s="3">
        <v>22</v>
      </c>
      <c r="B119" s="1" t="s">
        <v>38</v>
      </c>
      <c r="C119" t="s">
        <v>59</v>
      </c>
      <c r="D119" t="s">
        <v>2609</v>
      </c>
      <c r="E119" s="1">
        <f>1/3*100</f>
        <v>33.333333333333329</v>
      </c>
      <c r="F119" s="1">
        <f>15*100</f>
        <v>1500</v>
      </c>
      <c r="G119" s="1" t="s">
        <v>852</v>
      </c>
      <c r="H119" s="1"/>
    </row>
    <row r="120" spans="1:8" x14ac:dyDescent="0.25">
      <c r="A120" s="3"/>
      <c r="B120" s="1" t="s">
        <v>37</v>
      </c>
      <c r="C120" t="s">
        <v>58</v>
      </c>
      <c r="D120" t="s">
        <v>2609</v>
      </c>
    </row>
    <row r="121" spans="1:8" x14ac:dyDescent="0.25">
      <c r="A121" s="3"/>
      <c r="B121" s="1" t="s">
        <v>820</v>
      </c>
      <c r="C121" t="s">
        <v>2560</v>
      </c>
      <c r="D121" t="s">
        <v>2593</v>
      </c>
    </row>
    <row r="122" spans="1:8" x14ac:dyDescent="0.25">
      <c r="A122" s="17">
        <v>23</v>
      </c>
      <c r="B122" s="1" t="s">
        <v>147</v>
      </c>
      <c r="C122" t="s">
        <v>149</v>
      </c>
      <c r="D122" t="s">
        <v>2610</v>
      </c>
    </row>
    <row r="123" spans="1:8" x14ac:dyDescent="0.25">
      <c r="A123" s="17"/>
      <c r="B123" s="1" t="s">
        <v>146</v>
      </c>
      <c r="C123" t="s">
        <v>148</v>
      </c>
      <c r="D123" t="s">
        <v>2610</v>
      </c>
    </row>
    <row r="124" spans="1:8" x14ac:dyDescent="0.25">
      <c r="A124" s="17"/>
      <c r="B124" s="1" t="s">
        <v>823</v>
      </c>
      <c r="C124" t="s">
        <v>2561</v>
      </c>
      <c r="D124" t="s">
        <v>2593</v>
      </c>
    </row>
    <row r="125" spans="1:8" x14ac:dyDescent="0.25">
      <c r="A125" s="17">
        <v>24</v>
      </c>
      <c r="B125" s="1" t="s">
        <v>364</v>
      </c>
      <c r="C125" t="s">
        <v>2562</v>
      </c>
      <c r="D125" t="s">
        <v>2597</v>
      </c>
    </row>
    <row r="126" spans="1:8" x14ac:dyDescent="0.25">
      <c r="A126" s="17"/>
      <c r="B126" s="1" t="s">
        <v>363</v>
      </c>
      <c r="C126" t="s">
        <v>2563</v>
      </c>
      <c r="D126" t="s">
        <v>2597</v>
      </c>
    </row>
    <row r="127" spans="1:8" x14ac:dyDescent="0.25">
      <c r="A127" s="17"/>
      <c r="B127" s="1" t="s">
        <v>824</v>
      </c>
      <c r="C127" t="s">
        <v>2564</v>
      </c>
      <c r="D127" t="s">
        <v>2593</v>
      </c>
    </row>
    <row r="128" spans="1:8" x14ac:dyDescent="0.25">
      <c r="A128" s="17">
        <v>25</v>
      </c>
      <c r="B128" s="1" t="s">
        <v>1698</v>
      </c>
      <c r="C128" t="s">
        <v>2566</v>
      </c>
      <c r="D128" t="s">
        <v>2611</v>
      </c>
    </row>
    <row r="129" spans="1:4" x14ac:dyDescent="0.25">
      <c r="A129" s="17"/>
      <c r="B129" s="1" t="s">
        <v>1699</v>
      </c>
      <c r="C129" t="s">
        <v>2567</v>
      </c>
      <c r="D129" t="s">
        <v>2611</v>
      </c>
    </row>
    <row r="130" spans="1:4" x14ac:dyDescent="0.25">
      <c r="A130" s="17"/>
      <c r="B130" s="1" t="s">
        <v>1700</v>
      </c>
      <c r="C130" t="s">
        <v>2565</v>
      </c>
      <c r="D130" t="s">
        <v>2593</v>
      </c>
    </row>
    <row r="131" spans="1:4" x14ac:dyDescent="0.25">
      <c r="A131" s="17">
        <v>26</v>
      </c>
      <c r="B131" s="1" t="s">
        <v>1715</v>
      </c>
      <c r="C131" t="s">
        <v>2568</v>
      </c>
      <c r="D131" t="s">
        <v>2597</v>
      </c>
    </row>
    <row r="132" spans="1:4" x14ac:dyDescent="0.25">
      <c r="A132" s="17"/>
      <c r="B132" s="1" t="s">
        <v>1716</v>
      </c>
      <c r="C132" t="s">
        <v>2569</v>
      </c>
      <c r="D132" t="s">
        <v>2597</v>
      </c>
    </row>
    <row r="133" spans="1:4" x14ac:dyDescent="0.25">
      <c r="A133" s="17"/>
      <c r="B133" s="1" t="s">
        <v>1717</v>
      </c>
      <c r="C133" t="s">
        <v>2570</v>
      </c>
      <c r="D133" t="s">
        <v>2593</v>
      </c>
    </row>
    <row r="134" spans="1:4" x14ac:dyDescent="0.25">
      <c r="A134" s="17">
        <v>27</v>
      </c>
      <c r="B134" s="1" t="s">
        <v>1701</v>
      </c>
      <c r="C134" t="s">
        <v>2571</v>
      </c>
      <c r="D134" t="s">
        <v>2597</v>
      </c>
    </row>
    <row r="135" spans="1:4" x14ac:dyDescent="0.25">
      <c r="A135" s="17"/>
      <c r="B135" s="1" t="s">
        <v>1702</v>
      </c>
      <c r="C135" t="s">
        <v>2572</v>
      </c>
      <c r="D135" t="s">
        <v>2597</v>
      </c>
    </row>
    <row r="136" spans="1:4" x14ac:dyDescent="0.25">
      <c r="A136" s="17"/>
      <c r="B136" s="1" t="s">
        <v>1703</v>
      </c>
      <c r="C136" t="s">
        <v>2573</v>
      </c>
      <c r="D136" t="s">
        <v>2593</v>
      </c>
    </row>
    <row r="137" spans="1:4" x14ac:dyDescent="0.25">
      <c r="A137" s="17">
        <v>28</v>
      </c>
      <c r="B137" s="1" t="s">
        <v>1718</v>
      </c>
      <c r="C137" t="s">
        <v>2574</v>
      </c>
      <c r="D137" t="s">
        <v>2612</v>
      </c>
    </row>
    <row r="138" spans="1:4" x14ac:dyDescent="0.25">
      <c r="A138" s="17"/>
      <c r="B138" s="1" t="s">
        <v>1719</v>
      </c>
      <c r="C138" t="s">
        <v>2575</v>
      </c>
      <c r="D138" t="s">
        <v>2612</v>
      </c>
    </row>
    <row r="139" spans="1:4" x14ac:dyDescent="0.25">
      <c r="A139" s="17"/>
      <c r="B139" s="1" t="s">
        <v>1720</v>
      </c>
      <c r="C139" t="s">
        <v>2576</v>
      </c>
      <c r="D139" t="s">
        <v>2593</v>
      </c>
    </row>
    <row r="140" spans="1:4" x14ac:dyDescent="0.25">
      <c r="A140" s="17">
        <v>29</v>
      </c>
      <c r="B140" s="1" t="s">
        <v>1738</v>
      </c>
      <c r="C140" t="s">
        <v>2577</v>
      </c>
      <c r="D140" t="s">
        <v>2597</v>
      </c>
    </row>
    <row r="141" spans="1:4" x14ac:dyDescent="0.25">
      <c r="A141" s="17"/>
      <c r="B141" s="1" t="s">
        <v>1739</v>
      </c>
      <c r="C141" t="s">
        <v>2578</v>
      </c>
      <c r="D141" t="s">
        <v>2597</v>
      </c>
    </row>
    <row r="142" spans="1:4" x14ac:dyDescent="0.25">
      <c r="A142" s="17"/>
      <c r="B142" s="1" t="s">
        <v>1740</v>
      </c>
      <c r="C142" t="s">
        <v>2579</v>
      </c>
      <c r="D142" t="s">
        <v>2593</v>
      </c>
    </row>
    <row r="143" spans="1:4" x14ac:dyDescent="0.25">
      <c r="A143" s="17">
        <v>30</v>
      </c>
      <c r="B143" s="1" t="s">
        <v>94</v>
      </c>
      <c r="C143" t="s">
        <v>1667</v>
      </c>
      <c r="D143" t="s">
        <v>2613</v>
      </c>
    </row>
    <row r="144" spans="1:4" x14ac:dyDescent="0.25">
      <c r="A144" s="17"/>
      <c r="B144" s="1" t="s">
        <v>93</v>
      </c>
      <c r="C144" t="s">
        <v>1668</v>
      </c>
      <c r="D144" t="s">
        <v>2613</v>
      </c>
    </row>
    <row r="145" spans="1:4" x14ac:dyDescent="0.25">
      <c r="A145" s="17"/>
      <c r="B145" s="1" t="s">
        <v>825</v>
      </c>
      <c r="C145" t="s">
        <v>2580</v>
      </c>
      <c r="D145" t="s">
        <v>2593</v>
      </c>
    </row>
    <row r="146" spans="1:4" x14ac:dyDescent="0.25">
      <c r="A146" s="17">
        <v>31</v>
      </c>
      <c r="B146" s="1" t="s">
        <v>96</v>
      </c>
      <c r="C146" t="s">
        <v>1669</v>
      </c>
      <c r="D146" t="s">
        <v>2614</v>
      </c>
    </row>
    <row r="147" spans="1:4" x14ac:dyDescent="0.25">
      <c r="A147" s="17"/>
      <c r="B147" s="1" t="s">
        <v>95</v>
      </c>
      <c r="C147" t="s">
        <v>1670</v>
      </c>
      <c r="D147" t="s">
        <v>2614</v>
      </c>
    </row>
    <row r="148" spans="1:4" x14ac:dyDescent="0.25">
      <c r="A148" s="17"/>
      <c r="B148" s="1" t="s">
        <v>829</v>
      </c>
      <c r="C148" t="s">
        <v>2581</v>
      </c>
      <c r="D148" t="s">
        <v>2593</v>
      </c>
    </row>
    <row r="149" spans="1:4" x14ac:dyDescent="0.25">
      <c r="A149" s="17">
        <v>32</v>
      </c>
      <c r="B149" s="1" t="s">
        <v>1363</v>
      </c>
      <c r="C149" t="s">
        <v>1371</v>
      </c>
      <c r="D149" t="s">
        <v>2597</v>
      </c>
    </row>
    <row r="150" spans="1:4" x14ac:dyDescent="0.25">
      <c r="A150" s="17"/>
      <c r="B150" s="1" t="s">
        <v>1364</v>
      </c>
      <c r="C150" t="s">
        <v>1372</v>
      </c>
      <c r="D150" t="s">
        <v>2597</v>
      </c>
    </row>
    <row r="151" spans="1:4" x14ac:dyDescent="0.25">
      <c r="A151" s="17"/>
      <c r="B151" s="1" t="s">
        <v>1373</v>
      </c>
      <c r="C151" t="s">
        <v>1374</v>
      </c>
      <c r="D151" t="s">
        <v>2593</v>
      </c>
    </row>
    <row r="152" spans="1:4" x14ac:dyDescent="0.25">
      <c r="A152" s="17">
        <v>33</v>
      </c>
      <c r="B152" s="1" t="s">
        <v>98</v>
      </c>
      <c r="C152" t="s">
        <v>103</v>
      </c>
      <c r="D152" t="s">
        <v>2615</v>
      </c>
    </row>
    <row r="153" spans="1:4" x14ac:dyDescent="0.25">
      <c r="A153" s="17"/>
      <c r="B153" s="1" t="s">
        <v>97</v>
      </c>
      <c r="C153" t="s">
        <v>102</v>
      </c>
      <c r="D153" t="s">
        <v>2615</v>
      </c>
    </row>
    <row r="154" spans="1:4" x14ac:dyDescent="0.25">
      <c r="A154" s="17"/>
      <c r="B154" s="1" t="s">
        <v>826</v>
      </c>
      <c r="C154" t="s">
        <v>2582</v>
      </c>
      <c r="D154" t="s">
        <v>2593</v>
      </c>
    </row>
    <row r="155" spans="1:4" x14ac:dyDescent="0.25">
      <c r="A155" s="17">
        <v>34</v>
      </c>
      <c r="B155" s="1" t="s">
        <v>100</v>
      </c>
      <c r="C155" t="s">
        <v>105</v>
      </c>
      <c r="D155" t="s">
        <v>2616</v>
      </c>
    </row>
    <row r="156" spans="1:4" x14ac:dyDescent="0.25">
      <c r="A156" s="17"/>
      <c r="B156" s="1" t="s">
        <v>99</v>
      </c>
      <c r="C156" t="s">
        <v>104</v>
      </c>
      <c r="D156" t="s">
        <v>2616</v>
      </c>
    </row>
    <row r="157" spans="1:4" x14ac:dyDescent="0.25">
      <c r="A157" s="17"/>
      <c r="B157" s="1" t="s">
        <v>827</v>
      </c>
      <c r="C157" t="s">
        <v>2583</v>
      </c>
      <c r="D157" t="s">
        <v>2593</v>
      </c>
    </row>
    <row r="158" spans="1:4" x14ac:dyDescent="0.25">
      <c r="A158" s="17">
        <v>35</v>
      </c>
      <c r="B158" s="1" t="s">
        <v>1365</v>
      </c>
      <c r="C158" t="s">
        <v>2584</v>
      </c>
      <c r="D158" t="s">
        <v>2617</v>
      </c>
    </row>
    <row r="159" spans="1:4" x14ac:dyDescent="0.25">
      <c r="A159" s="17"/>
      <c r="B159" s="1" t="s">
        <v>1366</v>
      </c>
      <c r="C159" t="s">
        <v>2585</v>
      </c>
      <c r="D159" t="s">
        <v>2617</v>
      </c>
    </row>
    <row r="160" spans="1:4" x14ac:dyDescent="0.25">
      <c r="A160" s="17"/>
      <c r="B160" s="1" t="s">
        <v>1375</v>
      </c>
      <c r="C160" t="s">
        <v>1376</v>
      </c>
      <c r="D160" t="s">
        <v>2593</v>
      </c>
    </row>
    <row r="161" spans="1:4" x14ac:dyDescent="0.25">
      <c r="A161" s="17">
        <v>36</v>
      </c>
      <c r="B161" s="1" t="s">
        <v>1367</v>
      </c>
      <c r="C161" t="s">
        <v>1377</v>
      </c>
      <c r="D161" t="s">
        <v>2597</v>
      </c>
    </row>
    <row r="162" spans="1:4" x14ac:dyDescent="0.25">
      <c r="A162" s="17"/>
      <c r="B162" s="1" t="s">
        <v>1368</v>
      </c>
      <c r="C162" t="s">
        <v>1378</v>
      </c>
      <c r="D162" t="s">
        <v>2597</v>
      </c>
    </row>
    <row r="163" spans="1:4" x14ac:dyDescent="0.25">
      <c r="A163" s="17"/>
      <c r="B163" s="1" t="s">
        <v>1379</v>
      </c>
      <c r="C163" t="s">
        <v>1380</v>
      </c>
      <c r="D163" t="s">
        <v>2593</v>
      </c>
    </row>
    <row r="164" spans="1:4" x14ac:dyDescent="0.25">
      <c r="A164" s="17">
        <v>37</v>
      </c>
      <c r="B164" s="1" t="s">
        <v>154</v>
      </c>
      <c r="C164" t="s">
        <v>107</v>
      </c>
      <c r="D164" t="s">
        <v>2598</v>
      </c>
    </row>
    <row r="165" spans="1:4" x14ac:dyDescent="0.25">
      <c r="A165" s="17"/>
      <c r="B165" s="1" t="s">
        <v>101</v>
      </c>
      <c r="C165" t="s">
        <v>106</v>
      </c>
      <c r="D165" t="s">
        <v>2598</v>
      </c>
    </row>
    <row r="166" spans="1:4" x14ac:dyDescent="0.25">
      <c r="A166" s="17"/>
      <c r="B166" s="1" t="s">
        <v>828</v>
      </c>
      <c r="C166" t="s">
        <v>2586</v>
      </c>
      <c r="D166" t="s">
        <v>2593</v>
      </c>
    </row>
    <row r="167" spans="1:4" x14ac:dyDescent="0.25">
      <c r="A167" s="17">
        <v>38</v>
      </c>
      <c r="B167" s="1" t="s">
        <v>1089</v>
      </c>
      <c r="C167" t="s">
        <v>1092</v>
      </c>
      <c r="D167" t="s">
        <v>2598</v>
      </c>
    </row>
    <row r="168" spans="1:4" x14ac:dyDescent="0.25">
      <c r="A168" s="17"/>
      <c r="B168" s="1" t="s">
        <v>1090</v>
      </c>
      <c r="C168" t="s">
        <v>1093</v>
      </c>
      <c r="D168" t="s">
        <v>2598</v>
      </c>
    </row>
    <row r="169" spans="1:4" x14ac:dyDescent="0.25">
      <c r="A169" s="17"/>
      <c r="B169" s="1" t="s">
        <v>1091</v>
      </c>
      <c r="C169" t="s">
        <v>2587</v>
      </c>
      <c r="D169" t="s">
        <v>2593</v>
      </c>
    </row>
    <row r="170" spans="1:4" s="14" customFormat="1" x14ac:dyDescent="0.25">
      <c r="A170" s="17">
        <v>39</v>
      </c>
      <c r="B170" s="15" t="s">
        <v>1150</v>
      </c>
      <c r="C170" s="14" t="s">
        <v>2588</v>
      </c>
      <c r="D170" s="14" t="s">
        <v>1849</v>
      </c>
    </row>
    <row r="171" spans="1:4" x14ac:dyDescent="0.25">
      <c r="A171" s="17">
        <v>40</v>
      </c>
      <c r="B171" s="1" t="s">
        <v>1370</v>
      </c>
      <c r="C171" t="s">
        <v>2589</v>
      </c>
      <c r="D171" s="14" t="s">
        <v>1849</v>
      </c>
    </row>
    <row r="172" spans="1:4" x14ac:dyDescent="0.25">
      <c r="A172" s="17">
        <v>41</v>
      </c>
      <c r="B172" s="1" t="s">
        <v>1369</v>
      </c>
      <c r="C172" t="s">
        <v>2590</v>
      </c>
      <c r="D172" s="14" t="s">
        <v>1849</v>
      </c>
    </row>
    <row r="173" spans="1:4" x14ac:dyDescent="0.25">
      <c r="A173" s="17">
        <v>42</v>
      </c>
      <c r="B173" s="1" t="s">
        <v>1497</v>
      </c>
      <c r="C173" t="s">
        <v>1850</v>
      </c>
      <c r="D173" s="14" t="s">
        <v>1849</v>
      </c>
    </row>
    <row r="174" spans="1:4" x14ac:dyDescent="0.25">
      <c r="A174" s="13"/>
      <c r="B174" s="1" t="s">
        <v>832</v>
      </c>
      <c r="C174" t="s">
        <v>833</v>
      </c>
    </row>
    <row r="175" spans="1:4" x14ac:dyDescent="0.25">
      <c r="A175" s="13"/>
      <c r="B175" s="1" t="s">
        <v>709</v>
      </c>
      <c r="C175" t="s">
        <v>717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opLeftCell="A13" workbookViewId="0">
      <selection activeCell="E14" sqref="E14"/>
    </sheetView>
  </sheetViews>
  <sheetFormatPr defaultRowHeight="15" x14ac:dyDescent="0.25"/>
  <cols>
    <col min="2" max="2" width="22.42578125" customWidth="1"/>
    <col min="3" max="3" width="15.85546875" style="31" bestFit="1" customWidth="1"/>
    <col min="4" max="4" width="9.28515625" style="31" bestFit="1" customWidth="1"/>
    <col min="5" max="5" width="12.42578125" style="31" customWidth="1"/>
    <col min="6" max="6" width="10.28515625" customWidth="1"/>
    <col min="7" max="7" width="13.140625" customWidth="1"/>
    <col min="9" max="9" width="12" bestFit="1" customWidth="1"/>
    <col min="12" max="12" width="11" bestFit="1" customWidth="1"/>
    <col min="13" max="14" width="10" bestFit="1" customWidth="1"/>
  </cols>
  <sheetData>
    <row r="1" spans="2:8" x14ac:dyDescent="0.25">
      <c r="B1" s="5"/>
      <c r="C1" s="29"/>
      <c r="D1" s="29"/>
      <c r="E1" s="29"/>
      <c r="F1" s="5"/>
      <c r="G1" s="5"/>
      <c r="H1" s="5"/>
    </row>
    <row r="2" spans="2:8" x14ac:dyDescent="0.25">
      <c r="B2" s="5"/>
      <c r="C2" s="29"/>
      <c r="D2" s="29"/>
      <c r="E2" s="29"/>
      <c r="F2" s="5"/>
      <c r="G2" s="5"/>
      <c r="H2" s="5"/>
    </row>
    <row r="3" spans="2:8" x14ac:dyDescent="0.25">
      <c r="B3" s="6" t="s">
        <v>83</v>
      </c>
      <c r="C3" s="29"/>
      <c r="D3" s="29"/>
      <c r="E3" s="29"/>
      <c r="F3" s="5"/>
      <c r="G3" s="5"/>
      <c r="H3" s="5"/>
    </row>
    <row r="4" spans="2:8" x14ac:dyDescent="0.25">
      <c r="B4" s="8" t="s">
        <v>80</v>
      </c>
      <c r="C4" s="30" t="s">
        <v>72</v>
      </c>
      <c r="D4" s="30" t="s">
        <v>73</v>
      </c>
      <c r="E4" s="30" t="s">
        <v>74</v>
      </c>
      <c r="F4" s="8" t="s">
        <v>41</v>
      </c>
      <c r="G4" s="5"/>
      <c r="H4" s="5"/>
    </row>
    <row r="5" spans="2:8" x14ac:dyDescent="0.25">
      <c r="B5" s="9" t="s">
        <v>75</v>
      </c>
      <c r="C5" s="25" t="s">
        <v>76</v>
      </c>
      <c r="D5" s="25">
        <v>1</v>
      </c>
      <c r="E5" s="25" t="s">
        <v>77</v>
      </c>
      <c r="F5" s="5" t="s">
        <v>85</v>
      </c>
      <c r="G5" s="5"/>
      <c r="H5" s="5"/>
    </row>
    <row r="6" spans="2:8" x14ac:dyDescent="0.25">
      <c r="B6" s="9" t="s">
        <v>78</v>
      </c>
      <c r="C6" s="25" t="s">
        <v>76</v>
      </c>
      <c r="D6" s="25">
        <v>1</v>
      </c>
      <c r="E6" s="25" t="s">
        <v>77</v>
      </c>
      <c r="F6" s="5" t="s">
        <v>91</v>
      </c>
      <c r="G6" s="5"/>
      <c r="H6" s="5"/>
    </row>
    <row r="7" spans="2:8" x14ac:dyDescent="0.25">
      <c r="B7" s="9" t="s">
        <v>665</v>
      </c>
      <c r="C7" s="25">
        <f>100/300</f>
        <v>0.33333333333333331</v>
      </c>
      <c r="D7" s="25"/>
      <c r="E7" s="25"/>
      <c r="F7" s="5" t="s">
        <v>707</v>
      </c>
      <c r="G7" s="5" t="s">
        <v>445</v>
      </c>
      <c r="H7" s="5"/>
    </row>
    <row r="8" spans="2:8" x14ac:dyDescent="0.25">
      <c r="B8" s="9"/>
      <c r="C8" s="25"/>
      <c r="D8" s="25"/>
      <c r="E8" s="25"/>
      <c r="F8" s="5"/>
      <c r="G8" s="5"/>
      <c r="H8" s="5"/>
    </row>
    <row r="9" spans="2:8" x14ac:dyDescent="0.25">
      <c r="B9" s="9" t="s">
        <v>184</v>
      </c>
      <c r="C9" s="25"/>
      <c r="D9" s="25"/>
      <c r="E9" s="25"/>
      <c r="F9" s="5"/>
      <c r="G9" s="5"/>
      <c r="H9" s="5"/>
    </row>
    <row r="10" spans="2:8" x14ac:dyDescent="0.25">
      <c r="B10" s="5"/>
      <c r="C10" s="29"/>
      <c r="D10" s="29"/>
      <c r="E10" s="29"/>
      <c r="F10" s="5"/>
      <c r="G10" s="5"/>
      <c r="H10" s="5"/>
    </row>
    <row r="11" spans="2:8" x14ac:dyDescent="0.25">
      <c r="B11" s="5"/>
      <c r="C11" s="29"/>
      <c r="D11" s="29"/>
      <c r="E11" s="29"/>
      <c r="F11" s="5"/>
      <c r="G11" s="5"/>
      <c r="H11" s="5"/>
    </row>
    <row r="12" spans="2:8" x14ac:dyDescent="0.25">
      <c r="B12" s="5"/>
      <c r="C12" s="29"/>
      <c r="D12" s="29"/>
      <c r="E12" s="29"/>
      <c r="F12" s="5"/>
      <c r="G12" s="5"/>
      <c r="H12" s="5"/>
    </row>
    <row r="13" spans="2:8" x14ac:dyDescent="0.25">
      <c r="B13" s="6" t="s">
        <v>84</v>
      </c>
      <c r="C13" s="29"/>
      <c r="D13" s="29"/>
      <c r="E13" s="29"/>
      <c r="F13" s="5"/>
      <c r="G13" s="5"/>
      <c r="H13" s="5"/>
    </row>
    <row r="14" spans="2:8" x14ac:dyDescent="0.25">
      <c r="B14" s="8" t="s">
        <v>80</v>
      </c>
      <c r="C14" s="30" t="s">
        <v>72</v>
      </c>
      <c r="D14" s="30" t="s">
        <v>79</v>
      </c>
      <c r="E14" s="30" t="s">
        <v>75</v>
      </c>
      <c r="F14" s="8" t="s">
        <v>41</v>
      </c>
      <c r="G14" s="5"/>
      <c r="H14" s="5"/>
    </row>
    <row r="15" spans="2:8" x14ac:dyDescent="0.25">
      <c r="B15" s="9" t="s">
        <v>81</v>
      </c>
      <c r="C15" s="25">
        <v>1</v>
      </c>
      <c r="D15" s="25">
        <v>1</v>
      </c>
      <c r="E15" s="25">
        <v>1</v>
      </c>
      <c r="F15" s="5" t="s">
        <v>82</v>
      </c>
      <c r="G15" s="5"/>
      <c r="H15" s="5"/>
    </row>
    <row r="16" spans="2:8" x14ac:dyDescent="0.25">
      <c r="B16" s="9"/>
      <c r="C16" s="25"/>
      <c r="D16" s="25"/>
      <c r="E16" s="25"/>
      <c r="F16" s="5"/>
      <c r="G16" s="5"/>
      <c r="H16" s="5"/>
    </row>
    <row r="17" spans="2:17" x14ac:dyDescent="0.25">
      <c r="B17" s="9"/>
      <c r="C17" s="25"/>
      <c r="D17" s="25"/>
      <c r="E17" s="25"/>
      <c r="F17" s="5"/>
      <c r="G17" s="5"/>
      <c r="H17" s="5"/>
    </row>
    <row r="18" spans="2:17" x14ac:dyDescent="0.25">
      <c r="B18" s="9" t="s">
        <v>86</v>
      </c>
      <c r="C18" s="25"/>
      <c r="D18" s="25"/>
      <c r="E18" s="25"/>
      <c r="F18" s="5"/>
      <c r="G18" s="5"/>
      <c r="H18" s="5"/>
    </row>
    <row r="21" spans="2:17" x14ac:dyDescent="0.25">
      <c r="B21" s="1" t="s">
        <v>1452</v>
      </c>
    </row>
    <row r="22" spans="2:17" x14ac:dyDescent="0.25">
      <c r="B22" s="8" t="s">
        <v>80</v>
      </c>
      <c r="C22" s="30" t="s">
        <v>72</v>
      </c>
      <c r="D22" s="30" t="s">
        <v>79</v>
      </c>
      <c r="E22" s="30" t="s">
        <v>180</v>
      </c>
      <c r="F22" s="8" t="s">
        <v>41</v>
      </c>
      <c r="G22" s="5"/>
      <c r="M22" s="129"/>
      <c r="N22" s="128"/>
      <c r="O22" s="128"/>
      <c r="P22" s="128"/>
      <c r="Q22" s="130"/>
    </row>
    <row r="23" spans="2:17" x14ac:dyDescent="0.25">
      <c r="B23" s="9" t="s">
        <v>179</v>
      </c>
      <c r="C23" s="25">
        <v>10</v>
      </c>
      <c r="D23" s="25">
        <v>1</v>
      </c>
      <c r="E23" s="25">
        <f>C23*D23</f>
        <v>10</v>
      </c>
      <c r="F23" s="5" t="s">
        <v>181</v>
      </c>
      <c r="G23" s="5"/>
      <c r="M23" s="131"/>
      <c r="N23" s="132"/>
      <c r="O23" s="132"/>
      <c r="P23" s="132"/>
      <c r="Q23" s="130"/>
    </row>
    <row r="24" spans="2:17" x14ac:dyDescent="0.25">
      <c r="B24" s="9" t="s">
        <v>182</v>
      </c>
      <c r="C24" s="25">
        <v>1000</v>
      </c>
      <c r="D24" s="25">
        <v>1</v>
      </c>
      <c r="E24" s="25">
        <f>C24*D24</f>
        <v>1000</v>
      </c>
      <c r="F24" s="5" t="s">
        <v>183</v>
      </c>
      <c r="G24" s="5"/>
      <c r="M24" s="127"/>
      <c r="N24" s="133"/>
      <c r="O24" s="133"/>
      <c r="P24" s="133"/>
      <c r="Q24" s="130"/>
    </row>
    <row r="25" spans="2:17" x14ac:dyDescent="0.25">
      <c r="B25" s="9" t="s">
        <v>208</v>
      </c>
      <c r="C25" s="25">
        <v>1000</v>
      </c>
      <c r="D25" s="25">
        <v>1</v>
      </c>
      <c r="E25" s="25">
        <f>C25*D25</f>
        <v>1000</v>
      </c>
      <c r="F25" s="5"/>
      <c r="G25" s="5"/>
      <c r="M25" s="127"/>
      <c r="N25" s="133"/>
      <c r="O25" s="133"/>
      <c r="P25" s="133"/>
      <c r="Q25" s="130"/>
    </row>
    <row r="26" spans="2:17" x14ac:dyDescent="0.25">
      <c r="B26" s="9" t="s">
        <v>1453</v>
      </c>
      <c r="C26" s="25">
        <f>0.4536/0.4047</f>
        <v>1.1208302446256486</v>
      </c>
      <c r="D26" s="25">
        <v>1</v>
      </c>
      <c r="E26" s="25"/>
      <c r="F26" s="5" t="s">
        <v>1454</v>
      </c>
      <c r="G26" s="5"/>
      <c r="H26" t="s">
        <v>1455</v>
      </c>
      <c r="M26" s="127"/>
      <c r="N26" s="133"/>
      <c r="O26" s="133"/>
      <c r="P26" s="133"/>
      <c r="Q26" s="130"/>
    </row>
    <row r="27" spans="2:17" x14ac:dyDescent="0.25">
      <c r="B27" s="9"/>
      <c r="C27" s="25"/>
      <c r="D27" s="25"/>
      <c r="E27" s="25"/>
      <c r="F27" s="5"/>
      <c r="G27" s="5"/>
      <c r="M27" s="127"/>
      <c r="N27" s="133"/>
      <c r="O27" s="133"/>
      <c r="P27" s="133"/>
      <c r="Q27" s="130"/>
    </row>
    <row r="28" spans="2:17" x14ac:dyDescent="0.25">
      <c r="B28" s="9" t="s">
        <v>184</v>
      </c>
      <c r="C28" s="38"/>
      <c r="D28" s="38"/>
      <c r="E28" s="38"/>
      <c r="M28" s="127"/>
      <c r="N28" s="133"/>
      <c r="O28" s="133"/>
      <c r="P28" s="133"/>
      <c r="Q28" s="130"/>
    </row>
    <row r="29" spans="2:17" x14ac:dyDescent="0.25">
      <c r="B29" s="127"/>
      <c r="C29" s="128"/>
      <c r="D29" s="128"/>
      <c r="E29" s="128"/>
      <c r="M29" s="127"/>
      <c r="N29" s="133"/>
      <c r="O29" s="133"/>
      <c r="P29" s="133"/>
      <c r="Q29" s="130"/>
    </row>
    <row r="30" spans="2:17" x14ac:dyDescent="0.25">
      <c r="B30" s="19"/>
      <c r="M30" s="130"/>
      <c r="N30" s="130"/>
      <c r="O30" s="130"/>
      <c r="P30" s="130"/>
      <c r="Q30" s="130"/>
    </row>
    <row r="32" spans="2:17" x14ac:dyDescent="0.25">
      <c r="B32" s="1" t="s">
        <v>164</v>
      </c>
    </row>
    <row r="33" spans="2:15" x14ac:dyDescent="0.25">
      <c r="B33" s="8" t="s">
        <v>80</v>
      </c>
      <c r="C33" s="30" t="s">
        <v>72</v>
      </c>
      <c r="D33" s="30" t="s">
        <v>79</v>
      </c>
      <c r="E33" s="30" t="s">
        <v>165</v>
      </c>
    </row>
    <row r="34" spans="2:15" x14ac:dyDescent="0.25">
      <c r="B34" s="9" t="s">
        <v>166</v>
      </c>
      <c r="C34" s="25">
        <v>0.1</v>
      </c>
      <c r="D34" s="25">
        <v>1</v>
      </c>
      <c r="E34" s="25">
        <f>D34*C34</f>
        <v>0.1</v>
      </c>
      <c r="F34" t="s">
        <v>170</v>
      </c>
      <c r="M34" t="s">
        <v>590</v>
      </c>
      <c r="N34" t="s">
        <v>591</v>
      </c>
    </row>
    <row r="35" spans="2:15" x14ac:dyDescent="0.25">
      <c r="B35" s="9" t="s">
        <v>208</v>
      </c>
      <c r="C35" s="25">
        <f>1000/1627500*100</f>
        <v>6.1443932411674347E-2</v>
      </c>
      <c r="D35" s="25">
        <v>1</v>
      </c>
      <c r="E35" s="25">
        <f>D35*C35</f>
        <v>6.1443932411674347E-2</v>
      </c>
      <c r="F35" t="s">
        <v>588</v>
      </c>
      <c r="I35" t="s">
        <v>287</v>
      </c>
      <c r="M35">
        <f>(100*100*0.1*1.37)</f>
        <v>1370</v>
      </c>
      <c r="N35">
        <f>M35*1000</f>
        <v>1370000</v>
      </c>
    </row>
    <row r="36" spans="2:15" x14ac:dyDescent="0.25">
      <c r="B36" s="9" t="s">
        <v>180</v>
      </c>
      <c r="C36" s="41">
        <f>1/N35*100</f>
        <v>7.2992700729927014E-5</v>
      </c>
      <c r="D36" s="25">
        <v>1</v>
      </c>
      <c r="E36" s="25">
        <f t="shared" ref="E36:E37" si="0">D36*C36</f>
        <v>7.2992700729927014E-5</v>
      </c>
      <c r="F36" t="s">
        <v>589</v>
      </c>
    </row>
    <row r="37" spans="2:15" x14ac:dyDescent="0.25">
      <c r="B37" s="9" t="s">
        <v>905</v>
      </c>
      <c r="C37" s="41">
        <f>1/M35*100</f>
        <v>7.2992700729927001E-2</v>
      </c>
      <c r="D37" s="25">
        <v>1</v>
      </c>
      <c r="E37" s="25">
        <f t="shared" si="0"/>
        <v>7.2992700729927001E-2</v>
      </c>
      <c r="F37" t="s">
        <v>589</v>
      </c>
      <c r="M37">
        <f>1/(100*100*0.05*1.35)*100</f>
        <v>0.14814814814814814</v>
      </c>
      <c r="N37">
        <f>1/(100*100*0.1*1.57)*100</f>
        <v>6.3694267515923567E-2</v>
      </c>
      <c r="O37">
        <f>1/(100*100*0.15*1.59)*100</f>
        <v>4.1928721174004188E-2</v>
      </c>
    </row>
    <row r="38" spans="2:15" x14ac:dyDescent="0.25">
      <c r="B38" s="9" t="s">
        <v>1010</v>
      </c>
      <c r="C38" s="41">
        <v>0.1</v>
      </c>
      <c r="D38" s="25">
        <v>1</v>
      </c>
      <c r="E38" s="25">
        <f>D38*C38</f>
        <v>0.1</v>
      </c>
      <c r="M38">
        <f>1/(100*100*0.05*1.39)*100</f>
        <v>0.14388489208633093</v>
      </c>
      <c r="N38">
        <f>1/(100*100*0.1*1.62)*100</f>
        <v>6.1728395061728392E-2</v>
      </c>
      <c r="O38">
        <f>1/(100*100*0.15*1.57)*100</f>
        <v>4.2462845010615716E-2</v>
      </c>
    </row>
    <row r="39" spans="2:15" x14ac:dyDescent="0.25">
      <c r="B39" s="9" t="s">
        <v>184</v>
      </c>
      <c r="C39" s="38"/>
      <c r="D39" s="38"/>
      <c r="E39" s="38"/>
    </row>
    <row r="41" spans="2:15" x14ac:dyDescent="0.25">
      <c r="B41" s="1" t="s">
        <v>1085</v>
      </c>
      <c r="J41" t="s">
        <v>1124</v>
      </c>
      <c r="K41" t="s">
        <v>1125</v>
      </c>
    </row>
    <row r="42" spans="2:15" x14ac:dyDescent="0.25">
      <c r="B42" s="8" t="s">
        <v>80</v>
      </c>
      <c r="C42" s="30" t="s">
        <v>72</v>
      </c>
      <c r="D42" s="30" t="s">
        <v>79</v>
      </c>
      <c r="E42" s="30" t="s">
        <v>247</v>
      </c>
      <c r="I42" t="s">
        <v>325</v>
      </c>
      <c r="J42" t="s">
        <v>326</v>
      </c>
      <c r="K42" t="s">
        <v>326</v>
      </c>
    </row>
    <row r="43" spans="2:15" x14ac:dyDescent="0.25">
      <c r="B43" s="9" t="s">
        <v>180</v>
      </c>
      <c r="C43" s="25">
        <f>1000000/K43</f>
        <v>5.6003584229390682E-2</v>
      </c>
      <c r="D43" s="25">
        <v>1</v>
      </c>
      <c r="E43" s="25">
        <f>D43*C43</f>
        <v>5.6003584229390682E-2</v>
      </c>
      <c r="I43">
        <f>100*100*0.6*1.5</f>
        <v>9000</v>
      </c>
      <c r="J43">
        <f>I43*1000</f>
        <v>9000000</v>
      </c>
      <c r="K43">
        <f>100*100*1.2*1.488*1000</f>
        <v>17856000</v>
      </c>
    </row>
    <row r="44" spans="2:15" x14ac:dyDescent="0.25">
      <c r="B44" s="9" t="s">
        <v>165</v>
      </c>
      <c r="C44" s="25">
        <v>10000</v>
      </c>
      <c r="D44" s="25">
        <v>1</v>
      </c>
      <c r="E44" s="25">
        <f t="shared" ref="E44:E45" si="1">D44*C44</f>
        <v>10000</v>
      </c>
      <c r="F44" t="s">
        <v>343</v>
      </c>
      <c r="G44" t="s">
        <v>344</v>
      </c>
      <c r="H44" t="s">
        <v>345</v>
      </c>
    </row>
    <row r="45" spans="2:15" x14ac:dyDescent="0.25">
      <c r="B45" s="9" t="s">
        <v>166</v>
      </c>
      <c r="C45" s="25">
        <v>1000</v>
      </c>
      <c r="D45" s="25">
        <v>1</v>
      </c>
      <c r="E45" s="25">
        <f t="shared" si="1"/>
        <v>1000</v>
      </c>
    </row>
    <row r="46" spans="2:15" x14ac:dyDescent="0.25">
      <c r="B46" s="9" t="s">
        <v>347</v>
      </c>
      <c r="C46" s="25">
        <v>1</v>
      </c>
      <c r="D46" s="25">
        <v>1</v>
      </c>
      <c r="E46" s="25">
        <f t="shared" ref="E46" si="2">D46*C46</f>
        <v>1</v>
      </c>
      <c r="F46" t="s">
        <v>348</v>
      </c>
    </row>
    <row r="47" spans="2:15" x14ac:dyDescent="0.25">
      <c r="B47" s="9" t="s">
        <v>382</v>
      </c>
      <c r="C47" s="25">
        <v>1</v>
      </c>
      <c r="D47" s="25">
        <v>1</v>
      </c>
      <c r="E47" s="25">
        <f t="shared" ref="E47" si="3">D47*C47</f>
        <v>1</v>
      </c>
    </row>
    <row r="48" spans="2:15" x14ac:dyDescent="0.25">
      <c r="B48" s="9" t="s">
        <v>179</v>
      </c>
      <c r="C48" s="25">
        <f>1000/G48</f>
        <v>1.5220700152207001</v>
      </c>
      <c r="D48" s="25">
        <v>1</v>
      </c>
      <c r="E48" s="25">
        <f t="shared" ref="E48" si="4">D48*C48</f>
        <v>1.5220700152207001</v>
      </c>
      <c r="F48" t="s">
        <v>1074</v>
      </c>
      <c r="G48">
        <f>1.46*100*100*45/1000</f>
        <v>657</v>
      </c>
      <c r="I48" s="1" t="s">
        <v>1072</v>
      </c>
    </row>
    <row r="49" spans="2:14" x14ac:dyDescent="0.25">
      <c r="B49" s="9" t="s">
        <v>184</v>
      </c>
      <c r="C49" s="38"/>
      <c r="D49" s="38"/>
      <c r="E49" s="38"/>
    </row>
    <row r="51" spans="2:14" x14ac:dyDescent="0.25">
      <c r="B51" s="1" t="s">
        <v>246</v>
      </c>
    </row>
    <row r="52" spans="2:14" x14ac:dyDescent="0.25">
      <c r="B52" s="8" t="s">
        <v>195</v>
      </c>
      <c r="C52" s="30" t="s">
        <v>72</v>
      </c>
      <c r="D52" s="30" t="s">
        <v>79</v>
      </c>
      <c r="E52" s="30" t="s">
        <v>196</v>
      </c>
    </row>
    <row r="53" spans="2:14" x14ac:dyDescent="0.25">
      <c r="B53" s="9" t="s">
        <v>653</v>
      </c>
      <c r="C53" s="25">
        <f>1/22.7273</f>
        <v>4.3999947200063359E-2</v>
      </c>
      <c r="D53" s="25">
        <v>1</v>
      </c>
      <c r="E53" s="25">
        <f>D53*C53</f>
        <v>4.3999947200063359E-2</v>
      </c>
      <c r="F53" t="s">
        <v>197</v>
      </c>
      <c r="G53" t="s">
        <v>654</v>
      </c>
      <c r="I53">
        <f>1/1000000*44*1000</f>
        <v>4.3999999999999997E-2</v>
      </c>
    </row>
    <row r="54" spans="2:14" x14ac:dyDescent="0.25">
      <c r="B54" s="9" t="s">
        <v>245</v>
      </c>
      <c r="C54" s="25">
        <v>4.3999999999999997E-2</v>
      </c>
      <c r="D54" s="25">
        <v>1</v>
      </c>
      <c r="E54" s="25">
        <f t="shared" ref="E54:E56" si="5">D54*C54</f>
        <v>4.3999999999999997E-2</v>
      </c>
      <c r="F54" t="s">
        <v>655</v>
      </c>
      <c r="I54">
        <f>1/1000000000*44*1000*1000</f>
        <v>4.4000000000000004E-2</v>
      </c>
    </row>
    <row r="55" spans="2:14" x14ac:dyDescent="0.25">
      <c r="B55" s="9" t="s">
        <v>283</v>
      </c>
      <c r="C55" s="25">
        <f>1000000/L55</f>
        <v>0.61443932411674351</v>
      </c>
      <c r="D55" s="25">
        <v>1</v>
      </c>
      <c r="E55" s="25">
        <f t="shared" si="5"/>
        <v>0.61443932411674351</v>
      </c>
      <c r="F55" t="s">
        <v>286</v>
      </c>
      <c r="H55" t="s">
        <v>292</v>
      </c>
      <c r="L55">
        <f>100*100*0.15*1.085*1000</f>
        <v>1627500</v>
      </c>
      <c r="N55" s="1" t="s">
        <v>328</v>
      </c>
    </row>
    <row r="56" spans="2:14" x14ac:dyDescent="0.25">
      <c r="B56" s="9" t="s">
        <v>332</v>
      </c>
      <c r="C56" s="25">
        <f>1/1000000*1000*1000</f>
        <v>1</v>
      </c>
      <c r="D56" s="25">
        <v>1</v>
      </c>
      <c r="E56" s="25">
        <f t="shared" si="5"/>
        <v>1</v>
      </c>
    </row>
    <row r="57" spans="2:14" x14ac:dyDescent="0.25">
      <c r="B57" s="9"/>
      <c r="C57" s="25"/>
      <c r="D57" s="25"/>
      <c r="E57" s="25"/>
    </row>
    <row r="58" spans="2:14" x14ac:dyDescent="0.25">
      <c r="B58" s="9" t="s">
        <v>184</v>
      </c>
      <c r="C58" s="38"/>
      <c r="D58" s="38"/>
      <c r="E58" s="38"/>
    </row>
    <row r="60" spans="2:14" x14ac:dyDescent="0.25">
      <c r="B60" s="1" t="s">
        <v>1151</v>
      </c>
    </row>
    <row r="61" spans="2:14" x14ac:dyDescent="0.25">
      <c r="B61" s="8" t="s">
        <v>195</v>
      </c>
      <c r="C61" s="30" t="s">
        <v>72</v>
      </c>
      <c r="D61" s="30" t="s">
        <v>79</v>
      </c>
      <c r="E61" s="30" t="s">
        <v>247</v>
      </c>
    </row>
    <row r="62" spans="2:14" x14ac:dyDescent="0.25">
      <c r="B62" s="9" t="s">
        <v>245</v>
      </c>
      <c r="C62" s="9">
        <f>1/1000000000*12*1000*1000</f>
        <v>1.2000000000000002E-2</v>
      </c>
      <c r="D62" s="25">
        <v>1</v>
      </c>
      <c r="E62" s="25">
        <f>C62*D62</f>
        <v>1.2000000000000002E-2</v>
      </c>
      <c r="F62" t="s">
        <v>648</v>
      </c>
      <c r="I62" t="s">
        <v>649</v>
      </c>
      <c r="J62" s="96" t="s">
        <v>651</v>
      </c>
    </row>
    <row r="63" spans="2:14" x14ac:dyDescent="0.25">
      <c r="B63" s="9" t="s">
        <v>643</v>
      </c>
      <c r="C63" s="9">
        <f>0.01*12*1000</f>
        <v>120</v>
      </c>
      <c r="D63" s="25">
        <v>1</v>
      </c>
      <c r="E63" s="25">
        <f>C63*D63</f>
        <v>120</v>
      </c>
      <c r="F63" t="s">
        <v>650</v>
      </c>
      <c r="J63" t="s">
        <v>647</v>
      </c>
    </row>
    <row r="64" spans="2:14" x14ac:dyDescent="0.25">
      <c r="B64" s="9" t="s">
        <v>180</v>
      </c>
      <c r="C64" s="25">
        <f>1000000/1627500</f>
        <v>0.61443932411674351</v>
      </c>
      <c r="D64" s="25">
        <v>1</v>
      </c>
      <c r="E64" s="25">
        <f>D64*C64</f>
        <v>0.61443932411674351</v>
      </c>
      <c r="F64" t="s">
        <v>328</v>
      </c>
      <c r="G64" t="s">
        <v>652</v>
      </c>
      <c r="H64">
        <f>100*100*0.15*1.085</f>
        <v>1627.5</v>
      </c>
    </row>
    <row r="65" spans="2:10" x14ac:dyDescent="0.25">
      <c r="B65" s="9" t="s">
        <v>165</v>
      </c>
      <c r="C65" s="41">
        <f>1000000/100</f>
        <v>10000</v>
      </c>
      <c r="D65" s="25">
        <v>1</v>
      </c>
      <c r="E65" s="25">
        <f>D65*C65</f>
        <v>10000</v>
      </c>
    </row>
    <row r="66" spans="2:10" x14ac:dyDescent="0.25">
      <c r="B66" s="9" t="s">
        <v>184</v>
      </c>
      <c r="C66" s="38"/>
      <c r="D66" s="38"/>
      <c r="E66" s="38"/>
      <c r="J66" s="56"/>
    </row>
    <row r="69" spans="2:10" x14ac:dyDescent="0.25">
      <c r="B69" s="1" t="s">
        <v>710</v>
      </c>
    </row>
    <row r="70" spans="2:10" x14ac:dyDescent="0.25">
      <c r="B70" s="8" t="s">
        <v>195</v>
      </c>
      <c r="C70" s="30" t="s">
        <v>72</v>
      </c>
      <c r="D70" s="30" t="s">
        <v>79</v>
      </c>
      <c r="E70" s="30" t="s">
        <v>659</v>
      </c>
    </row>
    <row r="71" spans="2:10" x14ac:dyDescent="0.25">
      <c r="B71" s="9" t="s">
        <v>245</v>
      </c>
      <c r="C71" s="9">
        <f>1/1000000000*12*1000*1000</f>
        <v>1.2000000000000002E-2</v>
      </c>
      <c r="D71" s="25">
        <v>1</v>
      </c>
      <c r="E71" s="25">
        <f>C71*D71</f>
        <v>1.2000000000000002E-2</v>
      </c>
      <c r="G71">
        <f>1/1000000000*12*1000000</f>
        <v>1.2000000000000002E-2</v>
      </c>
    </row>
    <row r="72" spans="2:10" x14ac:dyDescent="0.25">
      <c r="B72" s="9" t="s">
        <v>1039</v>
      </c>
      <c r="C72" s="9">
        <f>C71/1000</f>
        <v>1.2000000000000002E-5</v>
      </c>
      <c r="D72" s="25"/>
      <c r="E72" s="25"/>
    </row>
    <row r="73" spans="2:10" x14ac:dyDescent="0.25">
      <c r="B73" s="9"/>
      <c r="C73" s="25"/>
      <c r="D73" s="25"/>
      <c r="E73" s="25"/>
    </row>
    <row r="74" spans="2:10" x14ac:dyDescent="0.25">
      <c r="B74" s="9"/>
      <c r="C74" s="25"/>
      <c r="D74" s="25"/>
      <c r="E74" s="25"/>
    </row>
    <row r="75" spans="2:10" x14ac:dyDescent="0.25">
      <c r="B75" s="9" t="s">
        <v>184</v>
      </c>
      <c r="C75" s="38"/>
      <c r="D75" s="38"/>
      <c r="E75" s="38"/>
    </row>
    <row r="78" spans="2:10" x14ac:dyDescent="0.25">
      <c r="B78" s="1" t="s">
        <v>912</v>
      </c>
    </row>
    <row r="79" spans="2:10" x14ac:dyDescent="0.25">
      <c r="B79" s="8" t="s">
        <v>195</v>
      </c>
      <c r="C79" s="30" t="s">
        <v>72</v>
      </c>
      <c r="D79" s="30" t="s">
        <v>79</v>
      </c>
      <c r="E79" s="30" t="s">
        <v>934</v>
      </c>
    </row>
    <row r="80" spans="2:10" x14ac:dyDescent="0.25">
      <c r="B80" s="9" t="s">
        <v>913</v>
      </c>
      <c r="C80" s="9">
        <f>3600/10</f>
        <v>360</v>
      </c>
      <c r="D80" s="25">
        <v>1</v>
      </c>
      <c r="E80" s="25">
        <f>C80*D80</f>
        <v>360</v>
      </c>
    </row>
    <row r="81" spans="2:5" x14ac:dyDescent="0.25">
      <c r="B81" s="9"/>
      <c r="C81" s="9"/>
      <c r="D81" s="25"/>
      <c r="E81" s="25"/>
    </row>
    <row r="82" spans="2:5" x14ac:dyDescent="0.25">
      <c r="B82" s="9"/>
      <c r="C82" s="25"/>
      <c r="D82" s="25"/>
      <c r="E82" s="25"/>
    </row>
    <row r="83" spans="2:5" x14ac:dyDescent="0.25">
      <c r="B83" s="9"/>
      <c r="C83" s="25"/>
      <c r="D83" s="25"/>
      <c r="E83" s="25"/>
    </row>
    <row r="84" spans="2:5" x14ac:dyDescent="0.25">
      <c r="B84" s="9" t="s">
        <v>184</v>
      </c>
      <c r="C84" s="38"/>
      <c r="D84" s="38"/>
      <c r="E84" s="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2"/>
  <sheetViews>
    <sheetView workbookViewId="0">
      <selection activeCell="G26" sqref="G26"/>
    </sheetView>
  </sheetViews>
  <sheetFormatPr defaultRowHeight="15" x14ac:dyDescent="0.25"/>
  <cols>
    <col min="2" max="2" width="21" customWidth="1"/>
    <col min="6" max="6" width="11.42578125" customWidth="1"/>
    <col min="7" max="7" width="26.28515625" customWidth="1"/>
  </cols>
  <sheetData>
    <row r="3" spans="2:20" x14ac:dyDescent="0.25">
      <c r="B3" t="s">
        <v>248</v>
      </c>
    </row>
    <row r="5" spans="2:20" x14ac:dyDescent="0.25">
      <c r="B5" s="26" t="s">
        <v>80</v>
      </c>
      <c r="C5" s="26" t="s">
        <v>249</v>
      </c>
      <c r="D5" s="26" t="s">
        <v>250</v>
      </c>
      <c r="E5" s="26" t="s">
        <v>251</v>
      </c>
    </row>
    <row r="6" spans="2:20" x14ac:dyDescent="0.25">
      <c r="B6" s="27" t="s">
        <v>252</v>
      </c>
      <c r="C6" s="11">
        <f>1/12*10^6/24/60/60</f>
        <v>0.96450617283950613</v>
      </c>
      <c r="D6" s="10">
        <v>1</v>
      </c>
      <c r="E6" s="10">
        <f t="shared" ref="E6:E20" si="0">D6*C6</f>
        <v>0.96450617283950613</v>
      </c>
    </row>
    <row r="7" spans="2:20" x14ac:dyDescent="0.25">
      <c r="B7" s="27" t="s">
        <v>253</v>
      </c>
      <c r="C7" s="9">
        <f>1/12*10^6/60/60</f>
        <v>23.148148148148149</v>
      </c>
      <c r="D7" s="10">
        <v>0.1</v>
      </c>
      <c r="E7" s="10">
        <f t="shared" si="0"/>
        <v>2.3148148148148149</v>
      </c>
    </row>
    <row r="8" spans="2:20" x14ac:dyDescent="0.25">
      <c r="B8" s="27" t="s">
        <v>254</v>
      </c>
      <c r="C8" s="9">
        <f>1/12*10^6/24/60/60/365</f>
        <v>2.6424826653137154E-3</v>
      </c>
      <c r="D8" s="9">
        <v>500</v>
      </c>
      <c r="E8" s="10">
        <f t="shared" si="0"/>
        <v>1.3212413326568577</v>
      </c>
    </row>
    <row r="9" spans="2:20" x14ac:dyDescent="0.25">
      <c r="B9" s="27" t="s">
        <v>255</v>
      </c>
      <c r="C9" s="11">
        <f>1/44*10^6/60/60/24</f>
        <v>0.26304713804713803</v>
      </c>
      <c r="D9" s="9">
        <v>10</v>
      </c>
      <c r="E9" s="10">
        <f t="shared" si="0"/>
        <v>2.6304713804713802</v>
      </c>
      <c r="S9">
        <v>0.01</v>
      </c>
      <c r="T9">
        <f>LOG(S9,10)</f>
        <v>-1.9999999999999996</v>
      </c>
    </row>
    <row r="10" spans="2:20" x14ac:dyDescent="0.25">
      <c r="B10" s="27" t="s">
        <v>256</v>
      </c>
      <c r="C10" s="11">
        <f>1/44*10^6/60/60</f>
        <v>6.3131313131313131</v>
      </c>
      <c r="D10" s="10">
        <v>1</v>
      </c>
      <c r="E10" s="10">
        <f t="shared" si="0"/>
        <v>6.3131313131313131</v>
      </c>
      <c r="S10">
        <v>1</v>
      </c>
      <c r="T10">
        <f t="shared" ref="T10:T13" si="1">LOG(S10,10)</f>
        <v>0</v>
      </c>
    </row>
    <row r="11" spans="2:20" x14ac:dyDescent="0.25">
      <c r="B11" s="27" t="s">
        <v>257</v>
      </c>
      <c r="C11" s="11">
        <f>1/1000/12*10^6/60/60/24</f>
        <v>9.6450617283950612E-4</v>
      </c>
      <c r="D11" s="10">
        <v>1000</v>
      </c>
      <c r="E11" s="10">
        <f t="shared" si="0"/>
        <v>0.96450617283950613</v>
      </c>
      <c r="S11">
        <v>10</v>
      </c>
      <c r="T11">
        <f t="shared" si="1"/>
        <v>1</v>
      </c>
    </row>
    <row r="12" spans="2:20" x14ac:dyDescent="0.25">
      <c r="B12" s="27" t="s">
        <v>258</v>
      </c>
      <c r="C12" s="11">
        <f>1/1000/12*10^6/60/60</f>
        <v>2.3148148148148147E-2</v>
      </c>
      <c r="D12" s="10">
        <v>83</v>
      </c>
      <c r="E12" s="10">
        <f t="shared" si="0"/>
        <v>1.9212962962962963</v>
      </c>
      <c r="S12">
        <v>100</v>
      </c>
      <c r="T12">
        <f t="shared" si="1"/>
        <v>2</v>
      </c>
    </row>
    <row r="13" spans="2:20" x14ac:dyDescent="0.25">
      <c r="B13" s="27" t="s">
        <v>259</v>
      </c>
      <c r="C13" s="11">
        <f>1/1000/44*10^6/24/60/60</f>
        <v>2.6304713804713804E-4</v>
      </c>
      <c r="D13" s="10">
        <v>1000</v>
      </c>
      <c r="E13" s="10">
        <f t="shared" si="0"/>
        <v>0.26304713804713803</v>
      </c>
      <c r="S13">
        <v>1000</v>
      </c>
      <c r="T13">
        <f t="shared" si="1"/>
        <v>2.9999999999999996</v>
      </c>
    </row>
    <row r="14" spans="2:20" x14ac:dyDescent="0.25">
      <c r="B14" s="27" t="s">
        <v>260</v>
      </c>
      <c r="C14" s="11">
        <f>1/1000/44*10^6/60/60</f>
        <v>6.3131313131313139E-3</v>
      </c>
      <c r="D14" s="10">
        <v>100</v>
      </c>
      <c r="E14" s="10">
        <f t="shared" si="0"/>
        <v>0.63131313131313138</v>
      </c>
    </row>
    <row r="15" spans="2:20" x14ac:dyDescent="0.25">
      <c r="B15" s="27" t="s">
        <v>644</v>
      </c>
      <c r="C15" s="11">
        <f>1/1000/44*10^6</f>
        <v>22.72727272727273</v>
      </c>
      <c r="D15" s="9">
        <v>1</v>
      </c>
      <c r="E15" s="10">
        <f t="shared" si="0"/>
        <v>22.72727272727273</v>
      </c>
      <c r="F15" t="s">
        <v>645</v>
      </c>
      <c r="G15" t="s">
        <v>646</v>
      </c>
      <c r="H15">
        <f>0.001/44*1000000</f>
        <v>22.72727272727273</v>
      </c>
    </row>
    <row r="16" spans="2:20" x14ac:dyDescent="0.25">
      <c r="B16" s="27" t="s">
        <v>261</v>
      </c>
      <c r="C16" s="11">
        <f>1*1000/24/60/60</f>
        <v>1.1574074074074073E-2</v>
      </c>
      <c r="D16" s="10">
        <v>10</v>
      </c>
      <c r="E16" s="10">
        <f t="shared" si="0"/>
        <v>0.11574074074074073</v>
      </c>
    </row>
    <row r="17" spans="2:5" x14ac:dyDescent="0.25">
      <c r="B17" s="27" t="s">
        <v>262</v>
      </c>
      <c r="C17" s="9">
        <f>1*1000/60/60</f>
        <v>0.27777777777777779</v>
      </c>
      <c r="D17" s="10">
        <v>100</v>
      </c>
      <c r="E17" s="10">
        <f t="shared" si="0"/>
        <v>27.777777777777779</v>
      </c>
    </row>
    <row r="18" spans="2:5" x14ac:dyDescent="0.25">
      <c r="B18" s="27" t="s">
        <v>263</v>
      </c>
      <c r="C18" s="11">
        <f>1/1000</f>
        <v>1E-3</v>
      </c>
      <c r="D18" s="10">
        <v>1000</v>
      </c>
      <c r="E18" s="10">
        <f t="shared" si="0"/>
        <v>1</v>
      </c>
    </row>
    <row r="19" spans="2:5" x14ac:dyDescent="0.25">
      <c r="B19" s="27" t="s">
        <v>264</v>
      </c>
      <c r="C19" s="9">
        <f>1*10^6/365/24/60/60</f>
        <v>3.1709791983764585E-2</v>
      </c>
      <c r="D19" s="10">
        <v>10</v>
      </c>
      <c r="E19" s="10">
        <f t="shared" si="0"/>
        <v>0.31709791983764585</v>
      </c>
    </row>
    <row r="20" spans="2:5" x14ac:dyDescent="0.25">
      <c r="B20" s="27" t="s">
        <v>265</v>
      </c>
      <c r="C20" s="11">
        <v>1</v>
      </c>
      <c r="D20" s="10">
        <v>1</v>
      </c>
      <c r="E20" s="10">
        <f t="shared" si="0"/>
        <v>1</v>
      </c>
    </row>
    <row r="22" spans="2:5" x14ac:dyDescent="0.25">
      <c r="B22" t="s">
        <v>342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opLeftCell="A79" workbookViewId="0">
      <selection activeCell="D102" sqref="D102"/>
    </sheetView>
  </sheetViews>
  <sheetFormatPr defaultRowHeight="15" x14ac:dyDescent="0.25"/>
  <cols>
    <col min="2" max="2" width="23.28515625" customWidth="1"/>
    <col min="3" max="3" width="33.85546875" customWidth="1"/>
    <col min="4" max="4" width="24.5703125" customWidth="1"/>
    <col min="5" max="5" width="22.140625" customWidth="1"/>
    <col min="6" max="6" width="15.7109375" customWidth="1"/>
    <col min="7" max="7" width="26.28515625" customWidth="1"/>
  </cols>
  <sheetData>
    <row r="1" spans="2:7" ht="15.75" thickBot="1" x14ac:dyDescent="0.3">
      <c r="G1" s="1"/>
    </row>
    <row r="2" spans="2:7" ht="16.5" thickTop="1" x14ac:dyDescent="0.25">
      <c r="B2" s="111" t="s">
        <v>1164</v>
      </c>
      <c r="C2" s="112" t="s">
        <v>1165</v>
      </c>
      <c r="D2" s="113" t="s">
        <v>1166</v>
      </c>
      <c r="E2" s="114" t="s">
        <v>1167</v>
      </c>
    </row>
    <row r="3" spans="2:7" ht="15.75" x14ac:dyDescent="0.25">
      <c r="B3" s="115" t="s">
        <v>1168</v>
      </c>
      <c r="C3" s="108"/>
      <c r="D3" s="108"/>
      <c r="E3" s="116"/>
    </row>
    <row r="4" spans="2:7" ht="15.75" x14ac:dyDescent="0.25">
      <c r="B4" s="117"/>
      <c r="C4" s="109" t="s">
        <v>1169</v>
      </c>
      <c r="D4" s="109" t="s">
        <v>1170</v>
      </c>
      <c r="E4" s="118" t="s">
        <v>1171</v>
      </c>
    </row>
    <row r="5" spans="2:7" ht="15.75" x14ac:dyDescent="0.25">
      <c r="B5" s="117"/>
      <c r="C5" s="109" t="s">
        <v>1172</v>
      </c>
      <c r="D5" s="109" t="s">
        <v>1173</v>
      </c>
      <c r="E5" s="118" t="s">
        <v>1174</v>
      </c>
    </row>
    <row r="6" spans="2:7" ht="15.75" x14ac:dyDescent="0.25">
      <c r="B6" s="117"/>
      <c r="C6" s="109" t="s">
        <v>1175</v>
      </c>
      <c r="D6" s="109" t="s">
        <v>1176</v>
      </c>
      <c r="E6" s="118" t="s">
        <v>1177</v>
      </c>
    </row>
    <row r="7" spans="2:7" ht="15.75" x14ac:dyDescent="0.25">
      <c r="B7" s="115" t="s">
        <v>1178</v>
      </c>
      <c r="C7" s="108"/>
      <c r="D7" s="108"/>
      <c r="E7" s="116"/>
    </row>
    <row r="8" spans="2:7" ht="31.5" x14ac:dyDescent="0.25">
      <c r="B8" s="117"/>
      <c r="C8" s="109" t="s">
        <v>1179</v>
      </c>
      <c r="D8" s="109" t="s">
        <v>1180</v>
      </c>
      <c r="E8" s="118" t="s">
        <v>1181</v>
      </c>
    </row>
    <row r="9" spans="2:7" ht="31.5" x14ac:dyDescent="0.25">
      <c r="B9" s="117"/>
      <c r="C9" s="109" t="s">
        <v>1182</v>
      </c>
      <c r="D9" s="109" t="s">
        <v>1183</v>
      </c>
      <c r="E9" s="118" t="s">
        <v>1184</v>
      </c>
    </row>
    <row r="10" spans="2:7" ht="15.75" x14ac:dyDescent="0.25">
      <c r="B10" s="117"/>
      <c r="C10" s="109" t="s">
        <v>1185</v>
      </c>
      <c r="D10" s="109" t="s">
        <v>1186</v>
      </c>
      <c r="E10" s="118" t="s">
        <v>1187</v>
      </c>
    </row>
    <row r="11" spans="2:7" ht="31.5" x14ac:dyDescent="0.25">
      <c r="B11" s="117"/>
      <c r="C11" s="109" t="s">
        <v>1188</v>
      </c>
      <c r="D11" s="109" t="s">
        <v>1180</v>
      </c>
      <c r="E11" s="118" t="s">
        <v>1189</v>
      </c>
    </row>
    <row r="12" spans="2:7" ht="15.75" x14ac:dyDescent="0.25">
      <c r="B12" s="117"/>
      <c r="C12" s="109" t="s">
        <v>1190</v>
      </c>
      <c r="D12" s="109" t="s">
        <v>1191</v>
      </c>
      <c r="E12" s="118" t="s">
        <v>1192</v>
      </c>
    </row>
    <row r="13" spans="2:7" ht="31.5" customHeight="1" x14ac:dyDescent="0.25">
      <c r="B13" s="117"/>
      <c r="C13" s="109" t="s">
        <v>1193</v>
      </c>
      <c r="D13" s="109" t="s">
        <v>1194</v>
      </c>
      <c r="E13" s="118" t="s">
        <v>1195</v>
      </c>
    </row>
    <row r="14" spans="2:7" ht="31.5" customHeight="1" x14ac:dyDescent="0.25">
      <c r="B14" s="117"/>
      <c r="C14" s="109" t="s">
        <v>1196</v>
      </c>
      <c r="D14" s="109" t="s">
        <v>1191</v>
      </c>
      <c r="E14" s="118" t="s">
        <v>1195</v>
      </c>
    </row>
    <row r="15" spans="2:7" ht="15.75" x14ac:dyDescent="0.25">
      <c r="B15" s="117"/>
      <c r="C15" s="109" t="s">
        <v>1197</v>
      </c>
      <c r="D15" s="109" t="s">
        <v>1191</v>
      </c>
      <c r="E15" s="118" t="s">
        <v>1198</v>
      </c>
    </row>
    <row r="16" spans="2:7" ht="15.75" x14ac:dyDescent="0.25">
      <c r="B16" s="117"/>
      <c r="C16" s="109" t="s">
        <v>1199</v>
      </c>
      <c r="D16" s="109" t="s">
        <v>1200</v>
      </c>
      <c r="E16" s="118" t="s">
        <v>1198</v>
      </c>
    </row>
    <row r="17" spans="2:5" ht="15.75" x14ac:dyDescent="0.25">
      <c r="B17" s="115" t="s">
        <v>1201</v>
      </c>
      <c r="C17" s="108"/>
      <c r="D17" s="108"/>
      <c r="E17" s="116"/>
    </row>
    <row r="18" spans="2:5" ht="31.5" x14ac:dyDescent="0.25">
      <c r="B18" s="117"/>
      <c r="C18" s="109" t="s">
        <v>1202</v>
      </c>
      <c r="D18" s="109" t="s">
        <v>1203</v>
      </c>
      <c r="E18" s="118" t="s">
        <v>1204</v>
      </c>
    </row>
    <row r="19" spans="2:5" ht="31.5" customHeight="1" x14ac:dyDescent="0.25">
      <c r="B19" s="117"/>
      <c r="C19" s="109" t="s">
        <v>1205</v>
      </c>
      <c r="D19" s="109" t="s">
        <v>1206</v>
      </c>
      <c r="E19" s="118" t="s">
        <v>1207</v>
      </c>
    </row>
    <row r="20" spans="2:5" ht="31.5" customHeight="1" x14ac:dyDescent="0.25">
      <c r="B20" s="117"/>
      <c r="C20" s="109" t="s">
        <v>1208</v>
      </c>
      <c r="D20" s="109" t="s">
        <v>636</v>
      </c>
      <c r="E20" s="118" t="s">
        <v>1209</v>
      </c>
    </row>
    <row r="21" spans="2:5" ht="15.75" x14ac:dyDescent="0.25">
      <c r="B21" s="117"/>
      <c r="C21" s="109" t="s">
        <v>1210</v>
      </c>
      <c r="D21" s="109" t="s">
        <v>1211</v>
      </c>
      <c r="E21" s="118" t="s">
        <v>1212</v>
      </c>
    </row>
    <row r="22" spans="2:5" x14ac:dyDescent="0.25">
      <c r="B22" s="117"/>
      <c r="C22" s="108"/>
      <c r="D22" s="108"/>
      <c r="E22" s="116"/>
    </row>
    <row r="23" spans="2:5" ht="15.75" x14ac:dyDescent="0.25">
      <c r="B23" s="117"/>
      <c r="C23" s="109" t="s">
        <v>1213</v>
      </c>
      <c r="D23" s="109" t="s">
        <v>1214</v>
      </c>
      <c r="E23" s="118" t="s">
        <v>1215</v>
      </c>
    </row>
    <row r="24" spans="2:5" ht="47.25" customHeight="1" x14ac:dyDescent="0.25">
      <c r="B24" s="115" t="s">
        <v>1216</v>
      </c>
      <c r="C24" s="108"/>
      <c r="D24" s="108"/>
      <c r="E24" s="116"/>
    </row>
    <row r="25" spans="2:5" ht="47.25" customHeight="1" x14ac:dyDescent="0.25">
      <c r="B25" s="117"/>
      <c r="C25" s="109" t="s">
        <v>1217</v>
      </c>
      <c r="D25" s="108"/>
      <c r="E25" s="118" t="s">
        <v>1218</v>
      </c>
    </row>
    <row r="26" spans="2:5" ht="15.75" x14ac:dyDescent="0.25">
      <c r="B26" s="115" t="s">
        <v>1219</v>
      </c>
      <c r="C26" s="108"/>
      <c r="D26" s="108"/>
      <c r="E26" s="116"/>
    </row>
    <row r="27" spans="2:5" ht="31.5" customHeight="1" x14ac:dyDescent="0.25">
      <c r="B27" s="117"/>
      <c r="C27" s="109" t="s">
        <v>1220</v>
      </c>
      <c r="D27" s="109" t="s">
        <v>1221</v>
      </c>
      <c r="E27" s="118" t="s">
        <v>1222</v>
      </c>
    </row>
    <row r="28" spans="2:5" ht="31.5" customHeight="1" x14ac:dyDescent="0.25">
      <c r="B28" s="117"/>
      <c r="C28" s="109" t="s">
        <v>1223</v>
      </c>
      <c r="D28" s="109" t="s">
        <v>1224</v>
      </c>
      <c r="E28" s="118" t="s">
        <v>1225</v>
      </c>
    </row>
    <row r="29" spans="2:5" ht="31.5" x14ac:dyDescent="0.25">
      <c r="B29" s="117"/>
      <c r="C29" s="109" t="s">
        <v>1226</v>
      </c>
      <c r="D29" s="109" t="s">
        <v>1227</v>
      </c>
      <c r="E29" s="118" t="s">
        <v>1225</v>
      </c>
    </row>
    <row r="30" spans="2:5" ht="15.75" x14ac:dyDescent="0.25">
      <c r="B30" s="117"/>
      <c r="C30" s="109" t="s">
        <v>1228</v>
      </c>
      <c r="D30" s="109" t="s">
        <v>1229</v>
      </c>
      <c r="E30" s="118" t="s">
        <v>1230</v>
      </c>
    </row>
    <row r="31" spans="2:5" ht="15.75" x14ac:dyDescent="0.25">
      <c r="B31" s="117"/>
      <c r="C31" s="109" t="s">
        <v>1231</v>
      </c>
      <c r="D31" s="109" t="s">
        <v>1232</v>
      </c>
      <c r="E31" s="118" t="s">
        <v>1233</v>
      </c>
    </row>
    <row r="32" spans="2:5" ht="15.75" x14ac:dyDescent="0.25">
      <c r="B32" s="117"/>
      <c r="C32" s="109" t="s">
        <v>1234</v>
      </c>
      <c r="D32" s="109" t="s">
        <v>1235</v>
      </c>
      <c r="E32" s="118" t="s">
        <v>1236</v>
      </c>
    </row>
    <row r="33" spans="2:5" ht="15.75" x14ac:dyDescent="0.25">
      <c r="B33" s="117"/>
      <c r="C33" s="109" t="s">
        <v>1237</v>
      </c>
      <c r="D33" s="109" t="s">
        <v>1235</v>
      </c>
      <c r="E33" s="118" t="s">
        <v>1238</v>
      </c>
    </row>
    <row r="34" spans="2:5" ht="15.75" x14ac:dyDescent="0.25">
      <c r="B34" s="117"/>
      <c r="C34" s="109" t="s">
        <v>1239</v>
      </c>
      <c r="D34" s="109" t="s">
        <v>1240</v>
      </c>
      <c r="E34" s="118" t="s">
        <v>1238</v>
      </c>
    </row>
    <row r="35" spans="2:5" ht="31.5" x14ac:dyDescent="0.25">
      <c r="B35" s="117"/>
      <c r="C35" s="109" t="s">
        <v>1241</v>
      </c>
      <c r="D35" s="109" t="s">
        <v>1242</v>
      </c>
      <c r="E35" s="118" t="s">
        <v>1243</v>
      </c>
    </row>
    <row r="36" spans="2:5" ht="31.5" x14ac:dyDescent="0.25">
      <c r="B36" s="117"/>
      <c r="C36" s="109" t="s">
        <v>1244</v>
      </c>
      <c r="D36" s="109" t="s">
        <v>1242</v>
      </c>
      <c r="E36" s="118" t="s">
        <v>1245</v>
      </c>
    </row>
    <row r="37" spans="2:5" ht="47.25" x14ac:dyDescent="0.25">
      <c r="B37" s="117"/>
      <c r="C37" s="109" t="s">
        <v>1246</v>
      </c>
      <c r="D37" s="110" t="s">
        <v>1247</v>
      </c>
      <c r="E37" s="118" t="s">
        <v>1245</v>
      </c>
    </row>
    <row r="38" spans="2:5" ht="31.5" x14ac:dyDescent="0.25">
      <c r="B38" s="117"/>
      <c r="C38" s="109" t="s">
        <v>1248</v>
      </c>
      <c r="D38" s="109" t="s">
        <v>1249</v>
      </c>
      <c r="E38" s="118" t="s">
        <v>1250</v>
      </c>
    </row>
    <row r="39" spans="2:5" ht="15.75" x14ac:dyDescent="0.25">
      <c r="B39" s="117"/>
      <c r="C39" s="109" t="s">
        <v>1251</v>
      </c>
      <c r="D39" s="109" t="s">
        <v>1235</v>
      </c>
      <c r="E39" s="118" t="s">
        <v>1252</v>
      </c>
    </row>
    <row r="40" spans="2:5" ht="15.75" x14ac:dyDescent="0.25">
      <c r="B40" s="117"/>
      <c r="C40" s="109" t="s">
        <v>1253</v>
      </c>
      <c r="D40" s="109" t="s">
        <v>1254</v>
      </c>
      <c r="E40" s="118" t="s">
        <v>1255</v>
      </c>
    </row>
    <row r="41" spans="2:5" ht="15.75" x14ac:dyDescent="0.25">
      <c r="B41" s="115" t="s">
        <v>1256</v>
      </c>
      <c r="C41" s="108"/>
      <c r="D41" s="108"/>
      <c r="E41" s="116"/>
    </row>
    <row r="42" spans="2:5" ht="31.5" x14ac:dyDescent="0.25">
      <c r="B42" s="117"/>
      <c r="C42" s="109" t="s">
        <v>1257</v>
      </c>
      <c r="D42" s="109" t="s">
        <v>1186</v>
      </c>
      <c r="E42" s="118" t="s">
        <v>1258</v>
      </c>
    </row>
    <row r="43" spans="2:5" ht="31.5" x14ac:dyDescent="0.25">
      <c r="B43" s="117"/>
      <c r="C43" s="109" t="s">
        <v>1259</v>
      </c>
      <c r="D43" s="109" t="s">
        <v>1249</v>
      </c>
      <c r="E43" s="118" t="s">
        <v>1258</v>
      </c>
    </row>
    <row r="44" spans="2:5" ht="31.5" x14ac:dyDescent="0.25">
      <c r="B44" s="117"/>
      <c r="C44" s="109" t="s">
        <v>1260</v>
      </c>
      <c r="D44" s="109" t="s">
        <v>1180</v>
      </c>
      <c r="E44" s="118" t="s">
        <v>1261</v>
      </c>
    </row>
    <row r="45" spans="2:5" ht="15.75" x14ac:dyDescent="0.25">
      <c r="B45" s="117"/>
      <c r="C45" s="109" t="s">
        <v>1262</v>
      </c>
      <c r="D45" s="109" t="s">
        <v>1240</v>
      </c>
      <c r="E45" s="118" t="s">
        <v>1263</v>
      </c>
    </row>
    <row r="46" spans="2:5" ht="31.5" x14ac:dyDescent="0.25">
      <c r="B46" s="117"/>
      <c r="C46" s="109" t="s">
        <v>1264</v>
      </c>
      <c r="D46" s="109" t="s">
        <v>1240</v>
      </c>
      <c r="E46" s="118" t="s">
        <v>1265</v>
      </c>
    </row>
    <row r="47" spans="2:5" ht="15.75" x14ac:dyDescent="0.25">
      <c r="B47" s="117"/>
      <c r="C47" s="109" t="s">
        <v>1266</v>
      </c>
      <c r="D47" s="109" t="s">
        <v>1267</v>
      </c>
      <c r="E47" s="118" t="s">
        <v>1268</v>
      </c>
    </row>
    <row r="48" spans="2:5" ht="15.75" x14ac:dyDescent="0.25">
      <c r="B48" s="117"/>
      <c r="C48" s="109" t="s">
        <v>1269</v>
      </c>
      <c r="D48" s="109" t="s">
        <v>1270</v>
      </c>
      <c r="E48" s="118" t="s">
        <v>1271</v>
      </c>
    </row>
    <row r="49" spans="2:5" ht="15.75" x14ac:dyDescent="0.25">
      <c r="B49" s="117"/>
      <c r="C49" s="109" t="s">
        <v>1272</v>
      </c>
      <c r="D49" s="109" t="s">
        <v>1240</v>
      </c>
      <c r="E49" s="118" t="s">
        <v>1273</v>
      </c>
    </row>
    <row r="50" spans="2:5" ht="31.5" x14ac:dyDescent="0.25">
      <c r="B50" s="117"/>
      <c r="C50" s="109" t="s">
        <v>1274</v>
      </c>
      <c r="D50" s="109" t="s">
        <v>1275</v>
      </c>
      <c r="E50" s="118" t="s">
        <v>1276</v>
      </c>
    </row>
    <row r="51" spans="2:5" ht="31.5" x14ac:dyDescent="0.25">
      <c r="B51" s="117"/>
      <c r="C51" s="109" t="s">
        <v>1277</v>
      </c>
      <c r="D51" s="109" t="s">
        <v>1180</v>
      </c>
      <c r="E51" s="118" t="s">
        <v>1278</v>
      </c>
    </row>
    <row r="52" spans="2:5" ht="31.5" x14ac:dyDescent="0.25">
      <c r="B52" s="117"/>
      <c r="C52" s="109" t="s">
        <v>1279</v>
      </c>
      <c r="D52" s="109" t="s">
        <v>1280</v>
      </c>
      <c r="E52" s="118" t="s">
        <v>1281</v>
      </c>
    </row>
    <row r="53" spans="2:5" ht="31.5" x14ac:dyDescent="0.25">
      <c r="B53" s="117"/>
      <c r="C53" s="109" t="s">
        <v>1282</v>
      </c>
      <c r="D53" s="109" t="s">
        <v>1283</v>
      </c>
      <c r="E53" s="118" t="s">
        <v>1284</v>
      </c>
    </row>
    <row r="54" spans="2:5" ht="31.5" x14ac:dyDescent="0.25">
      <c r="B54" s="117"/>
      <c r="C54" s="109" t="s">
        <v>1285</v>
      </c>
      <c r="D54" s="109" t="s">
        <v>1283</v>
      </c>
      <c r="E54" s="118" t="s">
        <v>1284</v>
      </c>
    </row>
    <row r="55" spans="2:5" ht="15.75" x14ac:dyDescent="0.25">
      <c r="B55" s="117"/>
      <c r="C55" s="109" t="s">
        <v>1286</v>
      </c>
      <c r="D55" s="109" t="s">
        <v>1173</v>
      </c>
      <c r="E55" s="118" t="s">
        <v>1287</v>
      </c>
    </row>
    <row r="56" spans="2:5" ht="31.5" x14ac:dyDescent="0.25">
      <c r="B56" s="117"/>
      <c r="C56" s="109" t="s">
        <v>1288</v>
      </c>
      <c r="D56" s="109" t="s">
        <v>1289</v>
      </c>
      <c r="E56" s="118" t="s">
        <v>1290</v>
      </c>
    </row>
    <row r="57" spans="2:5" ht="31.5" x14ac:dyDescent="0.25">
      <c r="B57" s="117"/>
      <c r="C57" s="109" t="s">
        <v>1291</v>
      </c>
      <c r="D57" s="109" t="s">
        <v>1292</v>
      </c>
      <c r="E57" s="118" t="s">
        <v>1293</v>
      </c>
    </row>
    <row r="58" spans="2:5" ht="31.5" x14ac:dyDescent="0.25">
      <c r="B58" s="117"/>
      <c r="C58" s="109" t="s">
        <v>1294</v>
      </c>
      <c r="D58" s="109" t="s">
        <v>1242</v>
      </c>
      <c r="E58" s="118" t="s">
        <v>1295</v>
      </c>
    </row>
    <row r="59" spans="2:5" ht="31.5" x14ac:dyDescent="0.25">
      <c r="B59" s="117"/>
      <c r="C59" s="109" t="s">
        <v>1296</v>
      </c>
      <c r="D59" s="109" t="s">
        <v>1186</v>
      </c>
      <c r="E59" s="118" t="s">
        <v>1297</v>
      </c>
    </row>
    <row r="60" spans="2:5" ht="15.75" x14ac:dyDescent="0.25">
      <c r="B60" s="115" t="s">
        <v>1298</v>
      </c>
      <c r="C60" s="108"/>
      <c r="D60" s="108"/>
      <c r="E60" s="116"/>
    </row>
    <row r="61" spans="2:5" ht="15.75" x14ac:dyDescent="0.25">
      <c r="B61" s="117"/>
      <c r="C61" s="109" t="s">
        <v>1299</v>
      </c>
      <c r="D61" s="109" t="s">
        <v>1254</v>
      </c>
      <c r="E61" s="118" t="s">
        <v>1300</v>
      </c>
    </row>
    <row r="62" spans="2:5" ht="15.75" x14ac:dyDescent="0.25">
      <c r="B62" s="115" t="s">
        <v>1301</v>
      </c>
      <c r="C62" s="108"/>
      <c r="D62" s="108"/>
      <c r="E62" s="116"/>
    </row>
    <row r="63" spans="2:5" ht="31.5" x14ac:dyDescent="0.25">
      <c r="B63" s="117"/>
      <c r="C63" s="109" t="s">
        <v>1302</v>
      </c>
      <c r="D63" s="109" t="s">
        <v>1249</v>
      </c>
      <c r="E63" s="118" t="s">
        <v>1303</v>
      </c>
    </row>
    <row r="64" spans="2:5" ht="31.5" x14ac:dyDescent="0.25">
      <c r="B64" s="117"/>
      <c r="C64" s="109" t="s">
        <v>1304</v>
      </c>
      <c r="D64" s="109" t="s">
        <v>1305</v>
      </c>
      <c r="E64" s="119" t="s">
        <v>1303</v>
      </c>
    </row>
    <row r="65" spans="2:5" ht="32.25" thickBot="1" x14ac:dyDescent="0.3">
      <c r="B65" s="120"/>
      <c r="C65" s="121" t="s">
        <v>1306</v>
      </c>
      <c r="D65" s="121" t="s">
        <v>1307</v>
      </c>
      <c r="E65" s="122" t="s">
        <v>1308</v>
      </c>
    </row>
    <row r="66" spans="2:5" ht="16.5" thickTop="1" x14ac:dyDescent="0.25">
      <c r="B66" s="499"/>
      <c r="C66" s="500"/>
      <c r="D66" s="500"/>
      <c r="E66" s="500"/>
    </row>
    <row r="68" spans="2:5" s="1" customFormat="1" x14ac:dyDescent="0.25">
      <c r="B68" s="1" t="s">
        <v>2618</v>
      </c>
      <c r="C68" s="501" t="s">
        <v>2686</v>
      </c>
    </row>
    <row r="69" spans="2:5" ht="15.75" x14ac:dyDescent="0.25">
      <c r="B69" s="485" t="s">
        <v>2633</v>
      </c>
      <c r="C69" s="486" t="s">
        <v>2634</v>
      </c>
      <c r="D69" s="487" t="s">
        <v>2635</v>
      </c>
    </row>
    <row r="70" spans="2:5" ht="47.25" x14ac:dyDescent="0.25">
      <c r="B70" s="485" t="s">
        <v>2636</v>
      </c>
      <c r="C70" s="486" t="s">
        <v>2637</v>
      </c>
      <c r="D70" s="487" t="s">
        <v>2638</v>
      </c>
    </row>
    <row r="71" spans="2:5" ht="31.5" x14ac:dyDescent="0.25">
      <c r="B71" s="518" t="s">
        <v>2639</v>
      </c>
      <c r="C71" s="488" t="s">
        <v>2640</v>
      </c>
      <c r="D71" s="491" t="s">
        <v>2644</v>
      </c>
    </row>
    <row r="72" spans="2:5" ht="15.75" x14ac:dyDescent="0.25">
      <c r="B72" s="519"/>
      <c r="C72" s="489" t="s">
        <v>2641</v>
      </c>
      <c r="D72" s="492" t="s">
        <v>2645</v>
      </c>
    </row>
    <row r="73" spans="2:5" ht="31.5" x14ac:dyDescent="0.25">
      <c r="B73" s="519"/>
      <c r="C73" s="489" t="s">
        <v>2642</v>
      </c>
      <c r="D73" s="492" t="s">
        <v>1301</v>
      </c>
    </row>
    <row r="74" spans="2:5" ht="15.75" x14ac:dyDescent="0.25">
      <c r="B74" s="520"/>
      <c r="C74" s="490" t="s">
        <v>2643</v>
      </c>
      <c r="D74" s="493"/>
    </row>
    <row r="75" spans="2:5" ht="63" x14ac:dyDescent="0.25">
      <c r="B75" s="518" t="s">
        <v>2646</v>
      </c>
      <c r="C75" s="488" t="s">
        <v>2647</v>
      </c>
      <c r="D75" s="491" t="s">
        <v>2650</v>
      </c>
    </row>
    <row r="76" spans="2:5" ht="31.5" x14ac:dyDescent="0.25">
      <c r="B76" s="519"/>
      <c r="C76" s="489" t="s">
        <v>2648</v>
      </c>
      <c r="D76" s="492" t="s">
        <v>2651</v>
      </c>
    </row>
    <row r="77" spans="2:5" ht="31.5" x14ac:dyDescent="0.25">
      <c r="B77" s="519"/>
      <c r="C77" s="489" t="s">
        <v>2649</v>
      </c>
      <c r="D77" s="492" t="s">
        <v>2652</v>
      </c>
    </row>
    <row r="78" spans="2:5" ht="15.75" x14ac:dyDescent="0.25">
      <c r="B78" s="520"/>
      <c r="C78" s="493"/>
      <c r="D78" s="494" t="s">
        <v>2653</v>
      </c>
    </row>
    <row r="79" spans="2:5" ht="47.25" x14ac:dyDescent="0.25">
      <c r="B79" s="485" t="s">
        <v>2654</v>
      </c>
      <c r="C79" s="486" t="s">
        <v>2655</v>
      </c>
      <c r="D79" s="487" t="s">
        <v>2656</v>
      </c>
    </row>
    <row r="80" spans="2:5" ht="15.75" x14ac:dyDescent="0.25">
      <c r="B80" s="518" t="s">
        <v>2657</v>
      </c>
      <c r="C80" s="521" t="s">
        <v>2658</v>
      </c>
      <c r="D80" s="491" t="s">
        <v>2659</v>
      </c>
    </row>
    <row r="81" spans="2:4" ht="15.75" x14ac:dyDescent="0.25">
      <c r="B81" s="519"/>
      <c r="C81" s="522"/>
      <c r="D81" s="492" t="s">
        <v>2660</v>
      </c>
    </row>
    <row r="82" spans="2:4" ht="15.75" x14ac:dyDescent="0.25">
      <c r="B82" s="519"/>
      <c r="C82" s="522"/>
      <c r="D82" s="492" t="s">
        <v>2661</v>
      </c>
    </row>
    <row r="83" spans="2:4" ht="15.75" x14ac:dyDescent="0.25">
      <c r="B83" s="519"/>
      <c r="C83" s="522"/>
      <c r="D83" s="492" t="s">
        <v>2662</v>
      </c>
    </row>
    <row r="84" spans="2:4" ht="15.75" x14ac:dyDescent="0.25">
      <c r="B84" s="519"/>
      <c r="C84" s="522"/>
      <c r="D84" s="492" t="s">
        <v>2663</v>
      </c>
    </row>
    <row r="85" spans="2:4" ht="15.75" x14ac:dyDescent="0.25">
      <c r="B85" s="520"/>
      <c r="C85" s="523"/>
      <c r="D85" s="494" t="s">
        <v>2664</v>
      </c>
    </row>
    <row r="86" spans="2:4" ht="15.75" x14ac:dyDescent="0.25">
      <c r="B86" s="518" t="s">
        <v>2665</v>
      </c>
      <c r="C86" s="521" t="s">
        <v>2666</v>
      </c>
      <c r="D86" s="491" t="s">
        <v>2667</v>
      </c>
    </row>
    <row r="87" spans="2:4" ht="15.75" x14ac:dyDescent="0.25">
      <c r="B87" s="519"/>
      <c r="C87" s="522"/>
      <c r="D87" s="492" t="s">
        <v>2668</v>
      </c>
    </row>
    <row r="88" spans="2:4" ht="15.75" x14ac:dyDescent="0.25">
      <c r="B88" s="519"/>
      <c r="C88" s="522"/>
      <c r="D88" s="492" t="s">
        <v>2669</v>
      </c>
    </row>
    <row r="89" spans="2:4" ht="15.75" x14ac:dyDescent="0.25">
      <c r="B89" s="519"/>
      <c r="C89" s="522"/>
      <c r="D89" s="492" t="s">
        <v>2670</v>
      </c>
    </row>
    <row r="90" spans="2:4" ht="15.75" x14ac:dyDescent="0.25">
      <c r="B90" s="520"/>
      <c r="C90" s="523"/>
      <c r="D90" s="494" t="s">
        <v>2671</v>
      </c>
    </row>
    <row r="91" spans="2:4" ht="15.75" x14ac:dyDescent="0.25">
      <c r="B91" s="518" t="s">
        <v>2672</v>
      </c>
      <c r="C91" s="521" t="s">
        <v>2673</v>
      </c>
      <c r="D91" s="491" t="s">
        <v>2674</v>
      </c>
    </row>
    <row r="92" spans="2:4" ht="15.75" x14ac:dyDescent="0.25">
      <c r="B92" s="519"/>
      <c r="C92" s="522"/>
      <c r="D92" s="492" t="s">
        <v>2675</v>
      </c>
    </row>
    <row r="93" spans="2:4" ht="15.75" x14ac:dyDescent="0.25">
      <c r="B93" s="520"/>
      <c r="C93" s="523"/>
      <c r="D93" s="494" t="s">
        <v>2676</v>
      </c>
    </row>
    <row r="94" spans="2:4" ht="15.75" x14ac:dyDescent="0.25">
      <c r="B94" s="518" t="s">
        <v>2677</v>
      </c>
      <c r="C94" s="521" t="s">
        <v>2678</v>
      </c>
      <c r="D94" s="491" t="s">
        <v>2679</v>
      </c>
    </row>
    <row r="95" spans="2:4" ht="15.75" x14ac:dyDescent="0.25">
      <c r="B95" s="519"/>
      <c r="C95" s="522"/>
      <c r="D95" s="492" t="s">
        <v>2680</v>
      </c>
    </row>
    <row r="96" spans="2:4" ht="15.75" x14ac:dyDescent="0.25">
      <c r="B96" s="519"/>
      <c r="C96" s="522"/>
      <c r="D96" s="492" t="s">
        <v>2681</v>
      </c>
    </row>
    <row r="97" spans="2:4" ht="15.75" x14ac:dyDescent="0.25">
      <c r="B97" s="519"/>
      <c r="C97" s="522"/>
      <c r="D97" s="492" t="s">
        <v>2682</v>
      </c>
    </row>
    <row r="98" spans="2:4" ht="15.75" x14ac:dyDescent="0.25">
      <c r="B98" s="520"/>
      <c r="C98" s="523"/>
      <c r="D98" s="494" t="s">
        <v>2683</v>
      </c>
    </row>
    <row r="99" spans="2:4" ht="47.25" x14ac:dyDescent="0.25">
      <c r="B99" s="485" t="s">
        <v>2684</v>
      </c>
      <c r="C99" s="486" t="s">
        <v>2685</v>
      </c>
      <c r="D99" s="495"/>
    </row>
  </sheetData>
  <mergeCells count="10">
    <mergeCell ref="B91:B93"/>
    <mergeCell ref="C91:C93"/>
    <mergeCell ref="B94:B98"/>
    <mergeCell ref="C94:C98"/>
    <mergeCell ref="B71:B74"/>
    <mergeCell ref="B75:B78"/>
    <mergeCell ref="B80:B85"/>
    <mergeCell ref="C80:C85"/>
    <mergeCell ref="B86:B90"/>
    <mergeCell ref="C86:C90"/>
  </mergeCells>
  <hyperlinks>
    <hyperlink ref="C68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opLeftCell="A25" workbookViewId="0">
      <selection activeCell="L44" sqref="L44"/>
    </sheetView>
  </sheetViews>
  <sheetFormatPr defaultRowHeight="15" x14ac:dyDescent="0.25"/>
  <cols>
    <col min="1" max="1" width="12.85546875" customWidth="1"/>
    <col min="2" max="2" width="25.5703125" style="176" customWidth="1"/>
    <col min="3" max="3" width="19" style="173" customWidth="1"/>
    <col min="4" max="4" width="12.7109375" style="179" customWidth="1"/>
    <col min="5" max="5" width="28.5703125" style="181" customWidth="1"/>
  </cols>
  <sheetData>
    <row r="1" spans="2:5" s="1" customFormat="1" ht="19.5" customHeight="1" x14ac:dyDescent="0.25">
      <c r="B1" s="174" t="s">
        <v>0</v>
      </c>
      <c r="C1" s="139" t="s">
        <v>1637</v>
      </c>
      <c r="D1" s="178" t="s">
        <v>1636</v>
      </c>
      <c r="E1" s="180" t="s">
        <v>1638</v>
      </c>
    </row>
    <row r="2" spans="2:5" x14ac:dyDescent="0.25">
      <c r="B2" s="175" t="s">
        <v>1515</v>
      </c>
      <c r="C2" s="524" t="s">
        <v>1131</v>
      </c>
      <c r="D2" s="525" t="s">
        <v>1131</v>
      </c>
      <c r="E2" s="181" t="s">
        <v>1639</v>
      </c>
    </row>
    <row r="3" spans="2:5" x14ac:dyDescent="0.25">
      <c r="B3" s="175" t="s">
        <v>118</v>
      </c>
      <c r="C3" s="524"/>
      <c r="D3" s="525"/>
      <c r="E3" s="181" t="s">
        <v>1639</v>
      </c>
    </row>
    <row r="4" spans="2:5" x14ac:dyDescent="0.25">
      <c r="B4" s="175" t="s">
        <v>1581</v>
      </c>
      <c r="C4" s="524"/>
      <c r="D4" s="525"/>
      <c r="E4" s="181" t="s">
        <v>1639</v>
      </c>
    </row>
    <row r="5" spans="2:5" x14ac:dyDescent="0.25">
      <c r="B5" s="175" t="s">
        <v>524</v>
      </c>
      <c r="C5" s="524"/>
      <c r="D5" s="525"/>
      <c r="E5" s="181" t="s">
        <v>1639</v>
      </c>
    </row>
    <row r="6" spans="2:5" x14ac:dyDescent="0.25">
      <c r="B6" s="175" t="s">
        <v>1131</v>
      </c>
      <c r="C6" s="524"/>
      <c r="D6" s="525"/>
      <c r="E6" s="181" t="s">
        <v>1639</v>
      </c>
    </row>
    <row r="7" spans="2:5" x14ac:dyDescent="0.25">
      <c r="B7" s="175" t="s">
        <v>2240</v>
      </c>
      <c r="C7" s="309"/>
      <c r="D7" s="525"/>
      <c r="E7" s="181" t="s">
        <v>1639</v>
      </c>
    </row>
    <row r="8" spans="2:5" x14ac:dyDescent="0.25">
      <c r="B8" s="101" t="s">
        <v>552</v>
      </c>
      <c r="C8" s="526" t="s">
        <v>1590</v>
      </c>
      <c r="D8" s="525"/>
      <c r="E8" s="181" t="s">
        <v>1639</v>
      </c>
    </row>
    <row r="9" spans="2:5" x14ac:dyDescent="0.25">
      <c r="B9" s="101" t="s">
        <v>1066</v>
      </c>
      <c r="C9" s="526"/>
      <c r="D9" s="525"/>
      <c r="E9" s="181" t="s">
        <v>1639</v>
      </c>
    </row>
    <row r="10" spans="2:5" x14ac:dyDescent="0.25">
      <c r="B10" s="175" t="s">
        <v>1055</v>
      </c>
      <c r="C10" s="524" t="s">
        <v>1585</v>
      </c>
      <c r="D10" s="525" t="s">
        <v>1585</v>
      </c>
      <c r="E10" s="181" t="s">
        <v>1639</v>
      </c>
    </row>
    <row r="11" spans="2:5" x14ac:dyDescent="0.25">
      <c r="B11" s="175" t="s">
        <v>231</v>
      </c>
      <c r="C11" s="524"/>
      <c r="D11" s="525"/>
      <c r="E11" s="181" t="s">
        <v>1639</v>
      </c>
    </row>
    <row r="12" spans="2:5" x14ac:dyDescent="0.25">
      <c r="B12" s="175" t="s">
        <v>1546</v>
      </c>
      <c r="C12" s="524"/>
      <c r="D12" s="525"/>
      <c r="E12" s="181" t="s">
        <v>1639</v>
      </c>
    </row>
    <row r="13" spans="2:5" x14ac:dyDescent="0.25">
      <c r="B13" s="175" t="s">
        <v>1545</v>
      </c>
      <c r="C13" s="524"/>
      <c r="D13" s="525"/>
      <c r="E13" s="181" t="s">
        <v>1639</v>
      </c>
    </row>
    <row r="14" spans="2:5" x14ac:dyDescent="0.25">
      <c r="B14" s="175" t="s">
        <v>464</v>
      </c>
      <c r="C14" s="524"/>
      <c r="D14" s="525"/>
      <c r="E14" s="181" t="s">
        <v>1639</v>
      </c>
    </row>
    <row r="15" spans="2:5" x14ac:dyDescent="0.25">
      <c r="B15" s="175" t="s">
        <v>160</v>
      </c>
      <c r="C15" s="524"/>
      <c r="D15" s="525"/>
      <c r="E15" s="181" t="s">
        <v>1639</v>
      </c>
    </row>
    <row r="16" spans="2:5" x14ac:dyDescent="0.25">
      <c r="B16" s="175" t="s">
        <v>528</v>
      </c>
      <c r="C16" s="524"/>
      <c r="D16" s="525"/>
      <c r="E16" s="181" t="s">
        <v>1639</v>
      </c>
    </row>
    <row r="17" spans="2:5" x14ac:dyDescent="0.25">
      <c r="B17" s="175" t="s">
        <v>2446</v>
      </c>
      <c r="C17" s="524"/>
      <c r="D17" s="525"/>
      <c r="E17" s="181" t="s">
        <v>1639</v>
      </c>
    </row>
    <row r="18" spans="2:5" x14ac:dyDescent="0.25">
      <c r="B18" s="175" t="s">
        <v>1526</v>
      </c>
      <c r="C18" s="524"/>
      <c r="D18" s="525"/>
      <c r="E18" s="181" t="s">
        <v>1639</v>
      </c>
    </row>
    <row r="19" spans="2:5" x14ac:dyDescent="0.25">
      <c r="B19" s="175" t="s">
        <v>792</v>
      </c>
      <c r="C19" s="524"/>
      <c r="D19" s="525"/>
      <c r="E19" s="181" t="s">
        <v>1639</v>
      </c>
    </row>
    <row r="20" spans="2:5" x14ac:dyDescent="0.25">
      <c r="B20" s="175" t="s">
        <v>1640</v>
      </c>
      <c r="C20" s="524"/>
      <c r="D20" s="525"/>
      <c r="E20" s="181" t="s">
        <v>1639</v>
      </c>
    </row>
    <row r="21" spans="2:5" x14ac:dyDescent="0.25">
      <c r="B21" s="175" t="s">
        <v>117</v>
      </c>
      <c r="C21" s="524"/>
      <c r="D21" s="525"/>
      <c r="E21" s="181" t="s">
        <v>1639</v>
      </c>
    </row>
    <row r="22" spans="2:5" x14ac:dyDescent="0.25">
      <c r="B22" s="101" t="s">
        <v>1055</v>
      </c>
      <c r="C22" s="526" t="s">
        <v>132</v>
      </c>
      <c r="D22" s="525"/>
      <c r="E22" s="181" t="s">
        <v>1639</v>
      </c>
    </row>
    <row r="23" spans="2:5" x14ac:dyDescent="0.25">
      <c r="B23" s="101" t="s">
        <v>618</v>
      </c>
      <c r="C23" s="526"/>
      <c r="D23" s="525"/>
      <c r="E23" s="181" t="s">
        <v>1639</v>
      </c>
    </row>
    <row r="24" spans="2:5" x14ac:dyDescent="0.25">
      <c r="B24" s="101" t="s">
        <v>1547</v>
      </c>
      <c r="C24" s="526"/>
      <c r="D24" s="525"/>
      <c r="E24" s="181" t="s">
        <v>1639</v>
      </c>
    </row>
    <row r="25" spans="2:5" x14ac:dyDescent="0.25">
      <c r="B25" s="101" t="s">
        <v>1641</v>
      </c>
      <c r="C25" s="526"/>
      <c r="D25" s="525"/>
      <c r="E25" s="181" t="s">
        <v>1639</v>
      </c>
    </row>
    <row r="26" spans="2:5" x14ac:dyDescent="0.25">
      <c r="B26" s="101" t="s">
        <v>132</v>
      </c>
      <c r="C26" s="526"/>
      <c r="D26" s="525"/>
      <c r="E26" s="181" t="s">
        <v>1639</v>
      </c>
    </row>
    <row r="27" spans="2:5" x14ac:dyDescent="0.25">
      <c r="B27" s="101" t="s">
        <v>1642</v>
      </c>
      <c r="C27" s="526"/>
      <c r="D27" s="525"/>
      <c r="E27" s="181" t="s">
        <v>1639</v>
      </c>
    </row>
    <row r="28" spans="2:5" x14ac:dyDescent="0.25">
      <c r="B28" s="175" t="s">
        <v>115</v>
      </c>
      <c r="C28" s="524" t="s">
        <v>578</v>
      </c>
      <c r="D28" s="525" t="s">
        <v>578</v>
      </c>
      <c r="E28" s="181" t="s">
        <v>1639</v>
      </c>
    </row>
    <row r="29" spans="2:5" x14ac:dyDescent="0.25">
      <c r="B29" s="175" t="s">
        <v>1541</v>
      </c>
      <c r="C29" s="524"/>
      <c r="D29" s="525"/>
      <c r="E29" s="181" t="s">
        <v>1639</v>
      </c>
    </row>
    <row r="30" spans="2:5" x14ac:dyDescent="0.25">
      <c r="B30" s="175" t="s">
        <v>398</v>
      </c>
      <c r="C30" s="524"/>
      <c r="D30" s="525"/>
      <c r="E30" s="181" t="s">
        <v>1639</v>
      </c>
    </row>
    <row r="31" spans="2:5" x14ac:dyDescent="0.25">
      <c r="B31" s="175" t="s">
        <v>1537</v>
      </c>
      <c r="C31" s="524"/>
      <c r="D31" s="525"/>
      <c r="E31" s="181" t="s">
        <v>1639</v>
      </c>
    </row>
    <row r="32" spans="2:5" x14ac:dyDescent="0.25">
      <c r="B32" s="175" t="s">
        <v>1525</v>
      </c>
      <c r="C32" s="524"/>
      <c r="D32" s="525"/>
      <c r="E32" s="181" t="s">
        <v>1639</v>
      </c>
    </row>
    <row r="33" spans="2:5" x14ac:dyDescent="0.25">
      <c r="B33" s="175" t="s">
        <v>1518</v>
      </c>
      <c r="C33" s="524"/>
      <c r="D33" s="525"/>
      <c r="E33" s="181" t="s">
        <v>1639</v>
      </c>
    </row>
    <row r="34" spans="2:5" x14ac:dyDescent="0.25">
      <c r="B34" s="175" t="s">
        <v>1544</v>
      </c>
      <c r="C34" s="524"/>
      <c r="D34" s="525"/>
      <c r="E34" s="181" t="s">
        <v>1639</v>
      </c>
    </row>
    <row r="35" spans="2:5" x14ac:dyDescent="0.25">
      <c r="B35" s="175" t="s">
        <v>1548</v>
      </c>
      <c r="C35" s="524"/>
      <c r="D35" s="525"/>
      <c r="E35" s="181" t="s">
        <v>1639</v>
      </c>
    </row>
    <row r="36" spans="2:5" x14ac:dyDescent="0.25">
      <c r="B36" s="175" t="s">
        <v>1539</v>
      </c>
      <c r="C36" s="524"/>
      <c r="D36" s="525"/>
      <c r="E36" s="181" t="s">
        <v>1639</v>
      </c>
    </row>
    <row r="37" spans="2:5" x14ac:dyDescent="0.25">
      <c r="B37" s="175" t="s">
        <v>578</v>
      </c>
      <c r="C37" s="524"/>
      <c r="D37" s="525"/>
      <c r="E37" s="181" t="s">
        <v>1639</v>
      </c>
    </row>
    <row r="38" spans="2:5" x14ac:dyDescent="0.25">
      <c r="B38" s="175" t="s">
        <v>563</v>
      </c>
      <c r="C38" s="524"/>
      <c r="D38" s="525"/>
      <c r="E38" s="181" t="s">
        <v>1639</v>
      </c>
    </row>
    <row r="39" spans="2:5" x14ac:dyDescent="0.25">
      <c r="B39" s="175" t="s">
        <v>840</v>
      </c>
      <c r="C39" s="524"/>
      <c r="D39" s="525"/>
      <c r="E39" s="181" t="s">
        <v>1639</v>
      </c>
    </row>
    <row r="40" spans="2:5" x14ac:dyDescent="0.25">
      <c r="B40" s="175" t="s">
        <v>397</v>
      </c>
      <c r="C40" s="524"/>
      <c r="D40" s="525"/>
      <c r="E40" s="181" t="s">
        <v>1639</v>
      </c>
    </row>
    <row r="41" spans="2:5" x14ac:dyDescent="0.25">
      <c r="B41" s="175" t="s">
        <v>1538</v>
      </c>
      <c r="C41" s="524"/>
      <c r="D41" s="525"/>
      <c r="E41" s="181" t="s">
        <v>1639</v>
      </c>
    </row>
    <row r="42" spans="2:5" x14ac:dyDescent="0.25">
      <c r="B42" s="175" t="s">
        <v>1543</v>
      </c>
      <c r="C42" s="524"/>
      <c r="D42" s="525"/>
      <c r="E42" s="181" t="s">
        <v>1639</v>
      </c>
    </row>
    <row r="43" spans="2:5" x14ac:dyDescent="0.25">
      <c r="B43" s="175" t="s">
        <v>159</v>
      </c>
      <c r="C43" s="524"/>
      <c r="D43" s="525"/>
      <c r="E43" s="181" t="s">
        <v>1639</v>
      </c>
    </row>
    <row r="44" spans="2:5" x14ac:dyDescent="0.25">
      <c r="B44" s="175" t="s">
        <v>1536</v>
      </c>
      <c r="C44" s="524"/>
      <c r="D44" s="525"/>
      <c r="E44" s="181" t="s">
        <v>1639</v>
      </c>
    </row>
    <row r="45" spans="2:5" x14ac:dyDescent="0.25">
      <c r="B45" s="175" t="s">
        <v>1534</v>
      </c>
      <c r="C45" s="524"/>
      <c r="D45" s="525"/>
      <c r="E45" s="181" t="s">
        <v>1639</v>
      </c>
    </row>
    <row r="46" spans="2:5" x14ac:dyDescent="0.25">
      <c r="B46" s="175" t="s">
        <v>279</v>
      </c>
      <c r="C46" s="524"/>
      <c r="D46" s="525"/>
      <c r="E46" s="181" t="s">
        <v>1639</v>
      </c>
    </row>
    <row r="47" spans="2:5" x14ac:dyDescent="0.25">
      <c r="B47" s="175" t="s">
        <v>244</v>
      </c>
      <c r="C47" s="524"/>
      <c r="D47" s="525"/>
      <c r="E47" s="181" t="s">
        <v>1639</v>
      </c>
    </row>
    <row r="48" spans="2:5" x14ac:dyDescent="0.25">
      <c r="B48" s="175" t="s">
        <v>1514</v>
      </c>
      <c r="C48" s="524"/>
      <c r="D48" s="525"/>
      <c r="E48" s="181" t="s">
        <v>1639</v>
      </c>
    </row>
    <row r="49" spans="2:5" x14ac:dyDescent="0.25">
      <c r="B49" s="175" t="s">
        <v>2712</v>
      </c>
      <c r="C49" s="483" t="s">
        <v>2713</v>
      </c>
      <c r="D49" s="484"/>
    </row>
    <row r="50" spans="2:5" x14ac:dyDescent="0.25">
      <c r="B50" s="175"/>
      <c r="C50" s="312" t="s">
        <v>2272</v>
      </c>
      <c r="D50" s="313"/>
      <c r="E50" s="181" t="s">
        <v>2273</v>
      </c>
    </row>
    <row r="51" spans="2:5" x14ac:dyDescent="0.25">
      <c r="C51" s="182" t="s">
        <v>1589</v>
      </c>
      <c r="D51" s="525" t="s">
        <v>636</v>
      </c>
      <c r="E51" s="181" t="s">
        <v>1643</v>
      </c>
    </row>
    <row r="52" spans="2:5" x14ac:dyDescent="0.25">
      <c r="B52" s="177"/>
      <c r="C52" s="183" t="s">
        <v>1586</v>
      </c>
      <c r="D52" s="525"/>
      <c r="E52" s="181" t="s">
        <v>1644</v>
      </c>
    </row>
    <row r="53" spans="2:5" x14ac:dyDescent="0.25">
      <c r="C53" s="182" t="s">
        <v>1587</v>
      </c>
      <c r="D53" s="525"/>
      <c r="E53" s="181" t="s">
        <v>1645</v>
      </c>
    </row>
    <row r="54" spans="2:5" x14ac:dyDescent="0.25">
      <c r="C54" s="183" t="s">
        <v>1646</v>
      </c>
      <c r="D54" s="525"/>
      <c r="E54" s="181" t="s">
        <v>1647</v>
      </c>
    </row>
  </sheetData>
  <mergeCells count="9">
    <mergeCell ref="C28:C48"/>
    <mergeCell ref="D28:D48"/>
    <mergeCell ref="D51:D54"/>
    <mergeCell ref="C2:C6"/>
    <mergeCell ref="D2:D9"/>
    <mergeCell ref="C8:C9"/>
    <mergeCell ref="C10:C21"/>
    <mergeCell ref="D10:D27"/>
    <mergeCell ref="C22:C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30" sqref="D30"/>
    </sheetView>
  </sheetViews>
  <sheetFormatPr defaultRowHeight="15" x14ac:dyDescent="0.25"/>
  <cols>
    <col min="2" max="2" width="16.42578125" style="5" customWidth="1"/>
    <col min="3" max="3" width="27.140625" style="5" customWidth="1"/>
    <col min="4" max="4" width="35.5703125" style="5" customWidth="1"/>
    <col min="5" max="5" width="24" style="5" customWidth="1"/>
  </cols>
  <sheetData>
    <row r="1" spans="2:5" s="1" customFormat="1" ht="21" customHeight="1" x14ac:dyDescent="0.25">
      <c r="B1" s="16" t="s">
        <v>1648</v>
      </c>
      <c r="C1" s="16" t="s">
        <v>1637</v>
      </c>
      <c r="D1" s="16" t="s">
        <v>1636</v>
      </c>
      <c r="E1" s="16" t="s">
        <v>1638</v>
      </c>
    </row>
    <row r="2" spans="2:5" x14ac:dyDescent="0.25">
      <c r="B2" s="125" t="s">
        <v>133</v>
      </c>
      <c r="C2" s="527" t="s">
        <v>133</v>
      </c>
      <c r="D2" s="528" t="s">
        <v>1649</v>
      </c>
      <c r="E2" s="5" t="s">
        <v>1649</v>
      </c>
    </row>
    <row r="3" spans="2:5" x14ac:dyDescent="0.25">
      <c r="B3" s="125" t="s">
        <v>798</v>
      </c>
      <c r="C3" s="527"/>
      <c r="D3" s="528"/>
      <c r="E3" s="5" t="s">
        <v>1649</v>
      </c>
    </row>
    <row r="4" spans="2:5" x14ac:dyDescent="0.25">
      <c r="B4" s="125" t="s">
        <v>1650</v>
      </c>
      <c r="C4" s="527"/>
      <c r="D4" s="528"/>
      <c r="E4" s="5" t="s">
        <v>1649</v>
      </c>
    </row>
    <row r="5" spans="2:5" x14ac:dyDescent="0.25">
      <c r="B5" s="21" t="s">
        <v>159</v>
      </c>
      <c r="C5" s="147" t="s">
        <v>159</v>
      </c>
      <c r="D5" s="528"/>
      <c r="E5" s="5" t="s">
        <v>1649</v>
      </c>
    </row>
    <row r="6" spans="2:5" x14ac:dyDescent="0.25">
      <c r="B6" s="21"/>
      <c r="C6" s="147"/>
      <c r="D6" s="528"/>
      <c r="E6" s="5" t="s">
        <v>1649</v>
      </c>
    </row>
    <row r="7" spans="2:5" x14ac:dyDescent="0.25">
      <c r="B7" s="148" t="s">
        <v>117</v>
      </c>
      <c r="C7" s="149" t="s">
        <v>117</v>
      </c>
      <c r="D7" s="528"/>
      <c r="E7" s="5" t="s">
        <v>1649</v>
      </c>
    </row>
    <row r="8" spans="2:5" x14ac:dyDescent="0.25">
      <c r="B8" s="148"/>
      <c r="C8" s="148"/>
      <c r="D8" s="528"/>
      <c r="E8" s="5" t="s">
        <v>1649</v>
      </c>
    </row>
    <row r="9" spans="2:5" x14ac:dyDescent="0.25">
      <c r="B9" s="54" t="s">
        <v>221</v>
      </c>
      <c r="C9" s="529" t="s">
        <v>1651</v>
      </c>
      <c r="D9" s="528"/>
      <c r="E9" s="5" t="s">
        <v>1649</v>
      </c>
    </row>
    <row r="10" spans="2:5" x14ac:dyDescent="0.25">
      <c r="B10" s="54" t="s">
        <v>585</v>
      </c>
      <c r="C10" s="529"/>
      <c r="D10" s="528"/>
      <c r="E10" s="5" t="s">
        <v>1649</v>
      </c>
    </row>
    <row r="11" spans="2:5" x14ac:dyDescent="0.25">
      <c r="B11" s="54" t="s">
        <v>230</v>
      </c>
      <c r="C11" s="529"/>
      <c r="D11" s="528"/>
      <c r="E11" s="5" t="s">
        <v>1649</v>
      </c>
    </row>
    <row r="12" spans="2:5" x14ac:dyDescent="0.25">
      <c r="B12" s="150"/>
      <c r="C12" s="150" t="s">
        <v>686</v>
      </c>
      <c r="D12" s="530" t="s">
        <v>1652</v>
      </c>
      <c r="E12" s="5" t="s">
        <v>1653</v>
      </c>
    </row>
    <row r="13" spans="2:5" x14ac:dyDescent="0.25">
      <c r="B13" s="150"/>
      <c r="C13" s="150" t="s">
        <v>1654</v>
      </c>
      <c r="D13" s="530"/>
      <c r="E13" s="5" t="s">
        <v>1653</v>
      </c>
    </row>
    <row r="14" spans="2:5" x14ac:dyDescent="0.25">
      <c r="B14" s="150"/>
      <c r="C14" s="150" t="s">
        <v>1655</v>
      </c>
      <c r="D14" s="530"/>
      <c r="E14" s="5" t="s">
        <v>1653</v>
      </c>
    </row>
    <row r="15" spans="2:5" x14ac:dyDescent="0.25">
      <c r="B15" s="150"/>
      <c r="C15" s="150" t="s">
        <v>1656</v>
      </c>
      <c r="D15" s="530"/>
      <c r="E15" s="5" t="s">
        <v>1653</v>
      </c>
    </row>
    <row r="16" spans="2:5" x14ac:dyDescent="0.25">
      <c r="B16" s="150"/>
      <c r="C16" s="150" t="s">
        <v>1657</v>
      </c>
      <c r="D16" s="530" t="s">
        <v>1658</v>
      </c>
      <c r="E16" s="5" t="s">
        <v>1653</v>
      </c>
    </row>
    <row r="17" spans="2:5" x14ac:dyDescent="0.25">
      <c r="B17" s="150"/>
      <c r="C17" s="150" t="s">
        <v>1659</v>
      </c>
      <c r="D17" s="530"/>
      <c r="E17" s="5" t="s">
        <v>1653</v>
      </c>
    </row>
    <row r="18" spans="2:5" x14ac:dyDescent="0.25">
      <c r="B18" s="150"/>
      <c r="C18" s="150" t="s">
        <v>1660</v>
      </c>
      <c r="D18" s="530"/>
      <c r="E18" s="5" t="s">
        <v>1653</v>
      </c>
    </row>
  </sheetData>
  <mergeCells count="5">
    <mergeCell ref="C2:C4"/>
    <mergeCell ref="D2:D11"/>
    <mergeCell ref="C9:C11"/>
    <mergeCell ref="D12:D15"/>
    <mergeCell ref="D16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J24" sqref="J24"/>
    </sheetView>
  </sheetViews>
  <sheetFormatPr defaultRowHeight="15" x14ac:dyDescent="0.25"/>
  <cols>
    <col min="2" max="2" width="15.85546875" customWidth="1"/>
    <col min="3" max="3" width="35.42578125" customWidth="1"/>
  </cols>
  <sheetData>
    <row r="1" spans="2:3" s="1" customFormat="1" ht="28.5" customHeight="1" x14ac:dyDescent="0.25">
      <c r="B1" s="1" t="s">
        <v>1695</v>
      </c>
      <c r="C1" s="1" t="s">
        <v>1638</v>
      </c>
    </row>
    <row r="2" spans="2:3" x14ac:dyDescent="0.25">
      <c r="B2" t="s">
        <v>1693</v>
      </c>
      <c r="C2" t="s">
        <v>1696</v>
      </c>
    </row>
    <row r="3" spans="2:3" x14ac:dyDescent="0.25">
      <c r="B3" t="s">
        <v>1694</v>
      </c>
      <c r="C3" t="s">
        <v>1696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0" sqref="E20"/>
    </sheetView>
  </sheetViews>
  <sheetFormatPr defaultRowHeight="15" x14ac:dyDescent="0.25"/>
  <cols>
    <col min="1" max="1" width="9.140625" style="5"/>
    <col min="2" max="2" width="64.140625" style="5" customWidth="1"/>
    <col min="3" max="3" width="9.140625" style="5"/>
    <col min="4" max="4" width="10" style="5" customWidth="1"/>
    <col min="5" max="5" width="54.140625" style="5" customWidth="1"/>
    <col min="6" max="9" width="9.140625" style="5"/>
  </cols>
  <sheetData>
    <row r="1" spans="1:9" s="1" customFormat="1" x14ac:dyDescent="0.25">
      <c r="A1" s="6" t="s">
        <v>1422</v>
      </c>
      <c r="B1" s="6" t="s">
        <v>1423</v>
      </c>
      <c r="C1" s="6" t="s">
        <v>110</v>
      </c>
      <c r="D1" s="6" t="s">
        <v>1424</v>
      </c>
      <c r="E1" s="6" t="s">
        <v>41</v>
      </c>
      <c r="F1" s="6"/>
      <c r="G1" s="6"/>
      <c r="H1" s="6"/>
      <c r="I1" s="6"/>
    </row>
    <row r="2" spans="1:9" x14ac:dyDescent="0.25">
      <c r="A2" s="5">
        <v>1</v>
      </c>
      <c r="B2" s="5" t="s">
        <v>1445</v>
      </c>
      <c r="C2" s="5">
        <v>60</v>
      </c>
      <c r="D2" s="5" t="s">
        <v>1469</v>
      </c>
      <c r="E2" s="5" t="s">
        <v>1470</v>
      </c>
    </row>
    <row r="3" spans="1:9" x14ac:dyDescent="0.25">
      <c r="A3" s="5">
        <v>2</v>
      </c>
      <c r="B3" s="5" t="s">
        <v>1494</v>
      </c>
    </row>
    <row r="4" spans="1:9" x14ac:dyDescent="0.25">
      <c r="A4" s="5">
        <v>3</v>
      </c>
      <c r="B4" s="5" t="s">
        <v>2419</v>
      </c>
    </row>
    <row r="5" spans="1:9" x14ac:dyDescent="0.25">
      <c r="A5" s="5">
        <v>4</v>
      </c>
      <c r="B5" s="5" t="s">
        <v>2421</v>
      </c>
    </row>
    <row r="6" spans="1:9" x14ac:dyDescent="0.25">
      <c r="A6" s="5">
        <v>5</v>
      </c>
      <c r="B6" s="5" t="s">
        <v>2422</v>
      </c>
    </row>
    <row r="7" spans="1:9" x14ac:dyDescent="0.25">
      <c r="A7" s="5">
        <v>6</v>
      </c>
      <c r="B7" s="5" t="s">
        <v>2427</v>
      </c>
    </row>
    <row r="8" spans="1:9" x14ac:dyDescent="0.25">
      <c r="A8" s="5">
        <v>7</v>
      </c>
      <c r="B8" s="5" t="s">
        <v>2436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opLeftCell="A13" workbookViewId="0">
      <selection activeCell="B3" sqref="B3:D33"/>
    </sheetView>
  </sheetViews>
  <sheetFormatPr defaultRowHeight="15" x14ac:dyDescent="0.25"/>
  <cols>
    <col min="2" max="2" width="16.42578125" customWidth="1"/>
    <col min="3" max="3" width="72.85546875" customWidth="1"/>
    <col min="4" max="4" width="51.140625" customWidth="1"/>
  </cols>
  <sheetData>
    <row r="2" spans="2:4" x14ac:dyDescent="0.25">
      <c r="B2" s="496"/>
      <c r="C2" s="497"/>
      <c r="D2" s="498"/>
    </row>
    <row r="3" spans="2:4" ht="31.5" x14ac:dyDescent="0.25">
      <c r="B3" s="485" t="s">
        <v>2633</v>
      </c>
      <c r="C3" s="486" t="s">
        <v>2634</v>
      </c>
      <c r="D3" s="487" t="s">
        <v>2635</v>
      </c>
    </row>
    <row r="4" spans="2:4" ht="38.25" customHeight="1" x14ac:dyDescent="0.25">
      <c r="B4" s="485" t="s">
        <v>2636</v>
      </c>
      <c r="C4" s="486" t="s">
        <v>2637</v>
      </c>
      <c r="D4" s="487" t="s">
        <v>2638</v>
      </c>
    </row>
    <row r="5" spans="2:4" ht="29.25" customHeight="1" x14ac:dyDescent="0.25">
      <c r="B5" s="518" t="s">
        <v>2639</v>
      </c>
      <c r="C5" s="488" t="s">
        <v>2640</v>
      </c>
      <c r="D5" s="491" t="s">
        <v>2644</v>
      </c>
    </row>
    <row r="6" spans="2:4" ht="24" customHeight="1" x14ac:dyDescent="0.25">
      <c r="B6" s="519"/>
      <c r="C6" s="489" t="s">
        <v>2641</v>
      </c>
      <c r="D6" s="492" t="s">
        <v>2645</v>
      </c>
    </row>
    <row r="7" spans="2:4" ht="24" customHeight="1" x14ac:dyDescent="0.25">
      <c r="B7" s="519"/>
      <c r="C7" s="489" t="s">
        <v>2642</v>
      </c>
      <c r="D7" s="492" t="s">
        <v>1301</v>
      </c>
    </row>
    <row r="8" spans="2:4" ht="21.75" customHeight="1" x14ac:dyDescent="0.25">
      <c r="B8" s="520"/>
      <c r="C8" s="490" t="s">
        <v>2643</v>
      </c>
      <c r="D8" s="493"/>
    </row>
    <row r="9" spans="2:4" ht="27.75" customHeight="1" x14ac:dyDescent="0.25">
      <c r="B9" s="518" t="s">
        <v>2646</v>
      </c>
      <c r="C9" s="488" t="s">
        <v>2647</v>
      </c>
      <c r="D9" s="491" t="s">
        <v>2650</v>
      </c>
    </row>
    <row r="10" spans="2:4" ht="26.25" customHeight="1" x14ac:dyDescent="0.25">
      <c r="B10" s="519"/>
      <c r="C10" s="489" t="s">
        <v>2648</v>
      </c>
      <c r="D10" s="492" t="s">
        <v>2651</v>
      </c>
    </row>
    <row r="11" spans="2:4" ht="25.5" customHeight="1" x14ac:dyDescent="0.25">
      <c r="B11" s="519"/>
      <c r="C11" s="489" t="s">
        <v>2649</v>
      </c>
      <c r="D11" s="492" t="s">
        <v>2652</v>
      </c>
    </row>
    <row r="12" spans="2:4" ht="27" customHeight="1" x14ac:dyDescent="0.25">
      <c r="B12" s="520"/>
      <c r="C12" s="493"/>
      <c r="D12" s="494" t="s">
        <v>2653</v>
      </c>
    </row>
    <row r="13" spans="2:4" ht="35.25" customHeight="1" x14ac:dyDescent="0.25">
      <c r="B13" s="485" t="s">
        <v>2654</v>
      </c>
      <c r="C13" s="486" t="s">
        <v>2655</v>
      </c>
      <c r="D13" s="487" t="s">
        <v>2656</v>
      </c>
    </row>
    <row r="14" spans="2:4" ht="15.75" x14ac:dyDescent="0.25">
      <c r="B14" s="518" t="s">
        <v>2657</v>
      </c>
      <c r="C14" s="521" t="s">
        <v>2658</v>
      </c>
      <c r="D14" s="491" t="s">
        <v>2659</v>
      </c>
    </row>
    <row r="15" spans="2:4" ht="25.5" customHeight="1" x14ac:dyDescent="0.25">
      <c r="B15" s="519"/>
      <c r="C15" s="522"/>
      <c r="D15" s="492" t="s">
        <v>2660</v>
      </c>
    </row>
    <row r="16" spans="2:4" ht="22.5" customHeight="1" x14ac:dyDescent="0.25">
      <c r="B16" s="519"/>
      <c r="C16" s="522"/>
      <c r="D16" s="492" t="s">
        <v>2661</v>
      </c>
    </row>
    <row r="17" spans="2:4" ht="27.75" customHeight="1" x14ac:dyDescent="0.25">
      <c r="B17" s="519"/>
      <c r="C17" s="522"/>
      <c r="D17" s="492" t="s">
        <v>2662</v>
      </c>
    </row>
    <row r="18" spans="2:4" ht="24.75" customHeight="1" x14ac:dyDescent="0.25">
      <c r="B18" s="519"/>
      <c r="C18" s="522"/>
      <c r="D18" s="492" t="s">
        <v>2663</v>
      </c>
    </row>
    <row r="19" spans="2:4" ht="24" customHeight="1" x14ac:dyDescent="0.25">
      <c r="B19" s="520"/>
      <c r="C19" s="523"/>
      <c r="D19" s="494" t="s">
        <v>2664</v>
      </c>
    </row>
    <row r="20" spans="2:4" ht="27" customHeight="1" x14ac:dyDescent="0.25">
      <c r="B20" s="518" t="s">
        <v>2665</v>
      </c>
      <c r="C20" s="521" t="s">
        <v>2666</v>
      </c>
      <c r="D20" s="491" t="s">
        <v>2667</v>
      </c>
    </row>
    <row r="21" spans="2:4" ht="24.75" customHeight="1" x14ac:dyDescent="0.25">
      <c r="B21" s="519"/>
      <c r="C21" s="522"/>
      <c r="D21" s="492" t="s">
        <v>2668</v>
      </c>
    </row>
    <row r="22" spans="2:4" ht="27" customHeight="1" x14ac:dyDescent="0.25">
      <c r="B22" s="519"/>
      <c r="C22" s="522"/>
      <c r="D22" s="492" t="s">
        <v>2669</v>
      </c>
    </row>
    <row r="23" spans="2:4" ht="25.5" customHeight="1" x14ac:dyDescent="0.25">
      <c r="B23" s="519"/>
      <c r="C23" s="522"/>
      <c r="D23" s="492" t="s">
        <v>2670</v>
      </c>
    </row>
    <row r="24" spans="2:4" ht="27" customHeight="1" x14ac:dyDescent="0.25">
      <c r="B24" s="520"/>
      <c r="C24" s="523"/>
      <c r="D24" s="494" t="s">
        <v>2671</v>
      </c>
    </row>
    <row r="25" spans="2:4" ht="29.25" customHeight="1" x14ac:dyDescent="0.25">
      <c r="B25" s="518" t="s">
        <v>2672</v>
      </c>
      <c r="C25" s="521" t="s">
        <v>2673</v>
      </c>
      <c r="D25" s="491" t="s">
        <v>2674</v>
      </c>
    </row>
    <row r="26" spans="2:4" ht="28.5" customHeight="1" x14ac:dyDescent="0.25">
      <c r="B26" s="519"/>
      <c r="C26" s="522"/>
      <c r="D26" s="492" t="s">
        <v>2675</v>
      </c>
    </row>
    <row r="27" spans="2:4" ht="24.75" customHeight="1" x14ac:dyDescent="0.25">
      <c r="B27" s="520"/>
      <c r="C27" s="523"/>
      <c r="D27" s="494" t="s">
        <v>2676</v>
      </c>
    </row>
    <row r="28" spans="2:4" ht="26.25" customHeight="1" x14ac:dyDescent="0.25">
      <c r="B28" s="518" t="s">
        <v>2677</v>
      </c>
      <c r="C28" s="521" t="s">
        <v>2678</v>
      </c>
      <c r="D28" s="491" t="s">
        <v>2679</v>
      </c>
    </row>
    <row r="29" spans="2:4" ht="26.25" customHeight="1" x14ac:dyDescent="0.25">
      <c r="B29" s="519"/>
      <c r="C29" s="522"/>
      <c r="D29" s="492" t="s">
        <v>2680</v>
      </c>
    </row>
    <row r="30" spans="2:4" ht="27" customHeight="1" x14ac:dyDescent="0.25">
      <c r="B30" s="519"/>
      <c r="C30" s="522"/>
      <c r="D30" s="492" t="s">
        <v>2681</v>
      </c>
    </row>
    <row r="31" spans="2:4" ht="25.5" customHeight="1" x14ac:dyDescent="0.25">
      <c r="B31" s="519"/>
      <c r="C31" s="522"/>
      <c r="D31" s="492" t="s">
        <v>2682</v>
      </c>
    </row>
    <row r="32" spans="2:4" ht="26.25" customHeight="1" x14ac:dyDescent="0.25">
      <c r="B32" s="520"/>
      <c r="C32" s="523"/>
      <c r="D32" s="494" t="s">
        <v>2683</v>
      </c>
    </row>
    <row r="33" spans="2:4" ht="28.5" customHeight="1" x14ac:dyDescent="0.25">
      <c r="B33" s="485" t="s">
        <v>2684</v>
      </c>
      <c r="C33" s="486" t="s">
        <v>2685</v>
      </c>
      <c r="D33" s="495"/>
    </row>
  </sheetData>
  <mergeCells count="10">
    <mergeCell ref="B25:B27"/>
    <mergeCell ref="C25:C27"/>
    <mergeCell ref="B28:B32"/>
    <mergeCell ref="C28:C32"/>
    <mergeCell ref="B5:B8"/>
    <mergeCell ref="B9:B12"/>
    <mergeCell ref="B14:B19"/>
    <mergeCell ref="C14:C19"/>
    <mergeCell ref="B20:B24"/>
    <mergeCell ref="C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Explianation</vt:lpstr>
      <vt:lpstr>Units convertion</vt:lpstr>
      <vt:lpstr>RsUnits</vt:lpstr>
      <vt:lpstr>SoilClassfication</vt:lpstr>
      <vt:lpstr>CoverCropGroup</vt:lpstr>
      <vt:lpstr>GrainCropGroup</vt:lpstr>
      <vt:lpstr>SD&amp;SE</vt:lpstr>
      <vt:lpstr>ReadMe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2018-06-26T03:01:05Z</dcterms:modified>
</cp:coreProperties>
</file>