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00"/>
  </bookViews>
  <sheets>
    <sheet name="找货表" sheetId="1" r:id="rId1"/>
    <sheet name="瑜伽裤报价表" sheetId="5" r:id="rId2"/>
    <sheet name="upsell 报价表" sheetId="6" r:id="rId3"/>
    <sheet name="WpsReserved_CellImgList" sheetId="2" state="veryHidden" r:id="rId4"/>
  </sheets>
  <definedNames>
    <definedName name="_xlnm._FilterDatabase" localSheetId="1" hidden="1">瑜伽裤报价表!$A$1:$AA$23</definedName>
  </definedName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A4BD3F109B8A4DD4A8D45244ABED144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30370" y="1040765"/>
          <a:ext cx="5080000" cy="4480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263653A0E36D4C0FB78BD09D6FAC926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48150" y="2228850"/>
          <a:ext cx="4122420" cy="34963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EED33835843B4184ADA5590744B83D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24350" y="708025"/>
          <a:ext cx="2441575" cy="26930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2254CC3C63F441A98CB5824391EB29B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249650" y="790575"/>
          <a:ext cx="5829300" cy="818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6F8D6869ECB1446A88E51B6B61EEEB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316325" y="2190750"/>
          <a:ext cx="5962650" cy="793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A7F4DAEACFC54BB294A74DF016F6540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327765" y="876300"/>
          <a:ext cx="6286500" cy="431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36B72B4695BD4C819A91A3FDE75BD73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381000"/>
          <a:ext cx="5019675" cy="3067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2C095BCD75314F4BAC23BF2F25B9E06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825480" y="1320800"/>
          <a:ext cx="4381500" cy="5724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3CFAB6F5237C4DF7BE67A9D1595A25BD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010650" y="561975"/>
          <a:ext cx="5029200" cy="4105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2E2CEB3C9E324F598AFC37A9CB3B190D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206480" y="638175"/>
          <a:ext cx="5648325" cy="823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EFBB3D0E56094D60BB014792BFDB11E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642090" y="1511300"/>
          <a:ext cx="4543425" cy="5686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D7C58781E58F4F8784723921D5E68F9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1257300"/>
          <a:ext cx="5086350" cy="454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CD1CBA356CB042218CD512862527B59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839325" y="1444625"/>
          <a:ext cx="3629025" cy="5829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DA68D59686634BF3B5816FCB82A44CF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2133600"/>
          <a:ext cx="4467225" cy="2924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F53771620D524CFFBB66AA2E031BAB3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2362200"/>
          <a:ext cx="5362575" cy="6448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E1A3B4147C9E4741997E996A006D6F8D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2590800"/>
          <a:ext cx="6696075" cy="438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FDE761D6EFAE45D7AE56EF952ED7F4C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3687425" y="915035"/>
          <a:ext cx="6838950" cy="196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807ECB23B26C40F6A9D6CC5A7776D5F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162175" y="2305050"/>
          <a:ext cx="471805" cy="5702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FC0AA0C8559E4F88BF8DED5A10B74BE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657090" y="835660"/>
          <a:ext cx="3543935" cy="45580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A955D061FCFF4E2BB5F7B1F8EFD4A2C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954000" y="847725"/>
          <a:ext cx="6019800" cy="1581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EE4095801ACF43C8B7EFA7F43CC61D2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609465" y="1624330"/>
          <a:ext cx="3686175" cy="37350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69A5D4DB87BC41F2B024EF15375A0FE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3192125" y="1828800"/>
          <a:ext cx="6838950" cy="3343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0F618843B2E749B882AF9E98AC86A00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7183100" y="1619250"/>
          <a:ext cx="4991100" cy="5219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C9E67D01D0034ED88EC4B4362210D9AB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6097250" y="1781175"/>
          <a:ext cx="6191250" cy="6124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FFF2CFC0712C462187000E046790E04F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6173450" y="2470150"/>
          <a:ext cx="7534275" cy="7562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C1AE3128FF7B4AFCAA8E527475DC954B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762375" y="3545205"/>
          <a:ext cx="3159125" cy="3787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7BDC4BE2E3CC4D0A861E34E8DEEDECDB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5181600" y="3773805"/>
          <a:ext cx="3207385" cy="34105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D3D4EAF25E7D4AC5A90779C309A818A5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8507075" y="2108200"/>
          <a:ext cx="18288000" cy="2438400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41258</author>
    <author>Administrator</author>
  </authors>
  <commentList>
    <comment ref="I13" authorId="0">
      <text>
        <r>
          <rPr>
            <sz val="9"/>
            <rFont val="宋体"/>
            <charset val="134"/>
          </rPr>
          <t>一件代发8.5包邮</t>
        </r>
      </text>
    </comment>
    <comment ref="I1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3xl的重量</t>
        </r>
      </text>
    </comment>
    <comment ref="K1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包邮</t>
        </r>
      </text>
    </comment>
    <comment ref="K18" authorId="0">
      <text>
        <r>
          <rPr>
            <b/>
            <sz val="9"/>
            <rFont val="宋体"/>
            <charset val="134"/>
          </rPr>
          <t>10件运费不变</t>
        </r>
      </text>
    </comment>
    <comment ref="K19" authorId="0">
      <text>
        <r>
          <rPr>
            <b/>
            <sz val="9"/>
            <rFont val="宋体"/>
            <charset val="134"/>
          </rPr>
          <t>10件运费不变</t>
        </r>
      </text>
    </comment>
  </commentList>
</comments>
</file>

<file path=xl/comments2.xml><?xml version="1.0" encoding="utf-8"?>
<comments xmlns="http://schemas.openxmlformats.org/spreadsheetml/2006/main">
  <authors>
    <author>Microsoft</author>
  </authors>
  <commentList>
    <comment ref="N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万邦服装专线</t>
        </r>
      </text>
    </comment>
    <comment ref="O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云途服装专线</t>
        </r>
      </text>
    </comment>
    <comment ref="P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联邮通标准挂号普货</t>
        </r>
      </text>
    </comment>
    <comment ref="Q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万邦专线挂号普货</t>
        </r>
      </text>
    </comment>
    <comment ref="R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万邦服装专线</t>
        </r>
      </text>
    </comment>
    <comment ref="S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万邦服装专线</t>
        </r>
      </text>
    </comment>
    <comment ref="T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云途服装专线</t>
        </r>
      </text>
    </comment>
    <comment ref="U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联邮通标准挂号</t>
        </r>
      </text>
    </comment>
    <comment ref="V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万邦专线挂号普货</t>
        </r>
      </text>
    </comment>
    <comment ref="W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万邦服装专线</t>
        </r>
      </text>
    </comment>
    <comment ref="N2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万邦标准挂号普货</t>
        </r>
      </text>
    </comment>
  </commentList>
</comments>
</file>

<file path=xl/comments3.xml><?xml version="1.0" encoding="utf-8"?>
<comments xmlns="http://schemas.openxmlformats.org/spreadsheetml/2006/main">
  <authors>
    <author>Microsoft</author>
  </authors>
  <commentList>
    <comment ref="N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万邦服装专线</t>
        </r>
      </text>
    </comment>
    <comment ref="O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云途服装专线</t>
        </r>
      </text>
    </comment>
    <comment ref="P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联邮通标准挂号普货</t>
        </r>
      </text>
    </comment>
    <comment ref="Q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万邦专线挂号普货</t>
        </r>
      </text>
    </comment>
    <comment ref="R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万邦服装专线</t>
        </r>
      </text>
    </comment>
    <comment ref="S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万邦服装专线</t>
        </r>
      </text>
    </comment>
    <comment ref="T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云途服装专线</t>
        </r>
      </text>
    </comment>
    <comment ref="U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联邮通标准挂号</t>
        </r>
      </text>
    </comment>
    <comment ref="V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万邦专线挂号普货</t>
        </r>
      </text>
    </comment>
    <comment ref="W1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万邦服装专线</t>
        </r>
      </text>
    </comment>
    <comment ref="N2" authorId="0">
      <text>
        <r>
          <rPr>
            <b/>
            <sz val="9"/>
            <rFont val="宋体"/>
            <charset val="134"/>
          </rPr>
          <t>Microsoft:</t>
        </r>
        <r>
          <rPr>
            <sz val="9"/>
            <rFont val="宋体"/>
            <charset val="134"/>
          </rPr>
          <t xml:space="preserve">
万邦标准挂号普货</t>
        </r>
      </text>
    </comment>
  </commentList>
</comments>
</file>

<file path=xl/sharedStrings.xml><?xml version="1.0" encoding="utf-8"?>
<sst xmlns="http://schemas.openxmlformats.org/spreadsheetml/2006/main" count="257" uniqueCount="131">
  <si>
    <r>
      <rPr>
        <sz val="11"/>
        <color theme="1"/>
        <rFont val="宋体"/>
        <charset val="134"/>
      </rPr>
      <t>客户名</t>
    </r>
  </si>
  <si>
    <r>
      <rPr>
        <sz val="11"/>
        <color theme="1"/>
        <rFont val="宋体"/>
        <charset val="134"/>
      </rPr>
      <t>产品中文名字</t>
    </r>
  </si>
  <si>
    <r>
      <rPr>
        <sz val="11"/>
        <color theme="1"/>
        <rFont val="宋体"/>
        <charset val="134"/>
      </rPr>
      <t>产品英文名字</t>
    </r>
  </si>
  <si>
    <t>SKU</t>
  </si>
  <si>
    <r>
      <rPr>
        <b/>
        <sz val="11"/>
        <color theme="1"/>
        <rFont val="Calibri"/>
        <charset val="134"/>
      </rPr>
      <t>SKU</t>
    </r>
    <r>
      <rPr>
        <b/>
        <sz val="11"/>
        <color theme="1"/>
        <rFont val="宋体"/>
        <charset val="134"/>
      </rPr>
      <t>图片</t>
    </r>
    <r>
      <rPr>
        <b/>
        <sz val="11"/>
        <color theme="1"/>
        <rFont val="Calibri"/>
        <charset val="134"/>
      </rPr>
      <t>(</t>
    </r>
    <r>
      <rPr>
        <b/>
        <sz val="11"/>
        <color theme="1"/>
        <rFont val="宋体"/>
        <charset val="134"/>
      </rPr>
      <t>小图</t>
    </r>
    <r>
      <rPr>
        <b/>
        <sz val="11"/>
        <color theme="1"/>
        <rFont val="Calibri"/>
        <charset val="134"/>
      </rPr>
      <t>)</t>
    </r>
  </si>
  <si>
    <r>
      <rPr>
        <b/>
        <sz val="11"/>
        <color theme="1"/>
        <rFont val="宋体"/>
        <charset val="134"/>
      </rPr>
      <t>款式</t>
    </r>
  </si>
  <si>
    <r>
      <rPr>
        <b/>
        <sz val="11"/>
        <color theme="1"/>
        <rFont val="宋体"/>
        <charset val="134"/>
      </rPr>
      <t>材质</t>
    </r>
  </si>
  <si>
    <t>QTY</t>
  </si>
  <si>
    <r>
      <rPr>
        <b/>
        <sz val="11"/>
        <color theme="1"/>
        <rFont val="宋体"/>
        <charset val="134"/>
      </rPr>
      <t>重量（</t>
    </r>
    <r>
      <rPr>
        <b/>
        <sz val="11"/>
        <color theme="1"/>
        <rFont val="Calibri"/>
        <charset val="134"/>
      </rPr>
      <t>g)</t>
    </r>
  </si>
  <si>
    <t>EXW (RMB)</t>
  </si>
  <si>
    <t>Local (RMB)</t>
  </si>
  <si>
    <r>
      <rPr>
        <b/>
        <sz val="11"/>
        <color theme="1"/>
        <rFont val="宋体"/>
        <charset val="134"/>
      </rPr>
      <t>采购链接</t>
    </r>
  </si>
  <si>
    <r>
      <rPr>
        <b/>
        <sz val="11"/>
        <color theme="1"/>
        <rFont val="宋体"/>
        <charset val="134"/>
      </rPr>
      <t>客户链接</t>
    </r>
  </si>
  <si>
    <r>
      <rPr>
        <b/>
        <sz val="11"/>
        <color theme="1"/>
        <rFont val="宋体"/>
        <charset val="134"/>
      </rPr>
      <t>厂家链接</t>
    </r>
  </si>
  <si>
    <r>
      <rPr>
        <b/>
        <sz val="11"/>
        <color theme="1"/>
        <rFont val="宋体"/>
        <charset val="134"/>
      </rPr>
      <t>尺码表</t>
    </r>
  </si>
  <si>
    <r>
      <rPr>
        <b/>
        <sz val="11"/>
        <color theme="1"/>
        <rFont val="宋体"/>
        <charset val="134"/>
      </rPr>
      <t>备注</t>
    </r>
  </si>
  <si>
    <r>
      <rPr>
        <sz val="11"/>
        <color theme="1"/>
        <rFont val="宋体"/>
        <charset val="134"/>
      </rPr>
      <t>实际包装</t>
    </r>
  </si>
  <si>
    <t>LG-Le</t>
  </si>
  <si>
    <t>拼接方块积木</t>
  </si>
  <si>
    <t>Assemble blocks</t>
  </si>
  <si>
    <t>LAB-01</t>
  </si>
  <si>
    <r>
      <rPr>
        <sz val="11"/>
        <color theme="1"/>
        <rFont val="宋体"/>
        <charset val="134"/>
      </rPr>
      <t>岩浆森林【</t>
    </r>
    <r>
      <rPr>
        <sz val="11"/>
        <color theme="1"/>
        <rFont val="Calibri"/>
        <charset val="134"/>
      </rPr>
      <t>150pcs</t>
    </r>
    <r>
      <rPr>
        <sz val="11"/>
        <color theme="1"/>
        <rFont val="宋体"/>
        <charset val="134"/>
      </rPr>
      <t>】跨境品质</t>
    </r>
  </si>
  <si>
    <t>https://detail.1688.com/offer/945815791784.html?spm=a261y.7663282.3002526303362591.2.6e6c7b1a4rIdRF&amp;sk=order</t>
  </si>
  <si>
    <t xml:space="preserve">https://detail.1688.com/offer/1001041494527.html?spm=a26352.b28411319/2508.0.0 
</t>
  </si>
  <si>
    <r>
      <rPr>
        <sz val="12"/>
        <rFont val="宋体"/>
        <charset val="0"/>
      </rPr>
      <t>包装尺寸</t>
    </r>
    <r>
      <rPr>
        <sz val="12"/>
        <rFont val="Calibri"/>
        <charset val="0"/>
      </rPr>
      <t>32*20.8*2.5</t>
    </r>
  </si>
  <si>
    <r>
      <rPr>
        <sz val="11"/>
        <color theme="1"/>
        <rFont val="Calibri"/>
        <charset val="134"/>
      </rPr>
      <t>1.</t>
    </r>
    <r>
      <rPr>
        <sz val="11"/>
        <color theme="1"/>
        <rFont val="宋体"/>
        <charset val="134"/>
      </rPr>
      <t>实物图，包装图</t>
    </r>
    <r>
      <rPr>
        <sz val="11"/>
        <color theme="1"/>
        <rFont val="Calibri"/>
        <charset val="134"/>
      </rPr>
      <t xml:space="preserve">   2</t>
    </r>
    <r>
      <rPr>
        <sz val="11"/>
        <color theme="1"/>
        <rFont val="宋体"/>
        <charset val="134"/>
      </rPr>
      <t>，包装尺寸</t>
    </r>
    <r>
      <rPr>
        <sz val="11"/>
        <color theme="1"/>
        <rFont val="Calibri"/>
        <charset val="134"/>
      </rPr>
      <t xml:space="preserve">  4.MOQ1</t>
    </r>
    <r>
      <rPr>
        <sz val="11"/>
        <color theme="1"/>
        <rFont val="宋体"/>
        <charset val="134"/>
      </rPr>
      <t>跟</t>
    </r>
    <r>
      <rPr>
        <sz val="11"/>
        <color theme="1"/>
        <rFont val="Calibri"/>
        <charset val="134"/>
      </rPr>
      <t>MOQ10</t>
    </r>
    <r>
      <rPr>
        <sz val="11"/>
        <color theme="1"/>
        <rFont val="宋体"/>
        <charset val="134"/>
      </rPr>
      <t>的价格，运费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多少</t>
    </r>
  </si>
  <si>
    <t>待提供</t>
  </si>
  <si>
    <r>
      <rPr>
        <sz val="11"/>
        <color theme="1"/>
        <rFont val="宋体"/>
        <charset val="134"/>
      </rPr>
      <t>拼接方块积木</t>
    </r>
  </si>
  <si>
    <r>
      <rPr>
        <sz val="11"/>
        <color theme="1"/>
        <rFont val="Calibri"/>
        <charset val="134"/>
      </rPr>
      <t>LED</t>
    </r>
    <r>
      <rPr>
        <sz val="11"/>
        <color theme="1"/>
        <rFont val="宋体"/>
        <charset val="134"/>
      </rPr>
      <t>夜灯</t>
    </r>
  </si>
  <si>
    <t>LED Night light</t>
  </si>
  <si>
    <t>LAB-02</t>
  </si>
  <si>
    <t>我的世界火把灯【单色款】</t>
  </si>
  <si>
    <t>https://detail.1688.com/offer/924796329858.html?spm=a360q.8274423%2Fnew.goods.productimage</t>
  </si>
  <si>
    <r>
      <rPr>
        <sz val="11"/>
        <color theme="1"/>
        <rFont val="宋体"/>
        <charset val="134"/>
      </rPr>
      <t>包装尺寸</t>
    </r>
    <r>
      <rPr>
        <sz val="11"/>
        <color theme="1"/>
        <rFont val="Calibri"/>
        <charset val="134"/>
      </rPr>
      <t>30*8*8</t>
    </r>
  </si>
  <si>
    <r>
      <rPr>
        <sz val="11"/>
        <color theme="1"/>
        <rFont val="宋体"/>
        <charset val="134"/>
      </rPr>
      <t>客户链接没有灯的规格信息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带电</t>
    </r>
  </si>
  <si>
    <t>卡通玩偶</t>
  </si>
  <si>
    <t xml:space="preserve">cartoon  toy </t>
  </si>
  <si>
    <t>TOY-002</t>
  </si>
  <si>
    <t>我的世界一代</t>
  </si>
  <si>
    <t>https://detail.1688.com/offer/838070826844.html?spm=a261y.7663282.3002526303362591.2.401332bdEKMHWJ&amp;sk=order</t>
  </si>
  <si>
    <r>
      <rPr>
        <sz val="11"/>
        <color theme="1"/>
        <rFont val="Calibri"/>
        <charset val="134"/>
      </rPr>
      <t>1.</t>
    </r>
    <r>
      <rPr>
        <sz val="11"/>
        <color theme="1"/>
        <rFont val="宋体"/>
        <charset val="134"/>
      </rPr>
      <t>实物图，包装图</t>
    </r>
    <r>
      <rPr>
        <sz val="11"/>
        <color theme="1"/>
        <rFont val="Calibri"/>
        <charset val="134"/>
      </rPr>
      <t xml:space="preserve">   2.MOQ1</t>
    </r>
    <r>
      <rPr>
        <sz val="11"/>
        <color theme="1"/>
        <rFont val="宋体"/>
        <charset val="134"/>
      </rPr>
      <t>跟</t>
    </r>
    <r>
      <rPr>
        <sz val="11"/>
        <color theme="1"/>
        <rFont val="Calibri"/>
        <charset val="134"/>
      </rPr>
      <t>MOQ10</t>
    </r>
    <r>
      <rPr>
        <sz val="11"/>
        <color theme="1"/>
        <rFont val="宋体"/>
        <charset val="134"/>
      </rPr>
      <t>的价格，运费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多少</t>
    </r>
    <r>
      <rPr>
        <sz val="11"/>
        <color theme="1"/>
        <rFont val="Calibri"/>
        <charset val="134"/>
      </rPr>
      <t xml:space="preserve">  </t>
    </r>
  </si>
  <si>
    <r>
      <rPr>
        <sz val="11"/>
        <color theme="1"/>
        <rFont val="Calibri"/>
        <charset val="134"/>
      </rPr>
      <t>100</t>
    </r>
    <r>
      <rPr>
        <sz val="11"/>
        <color theme="1"/>
        <rFont val="宋体"/>
        <charset val="134"/>
      </rPr>
      <t>片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岩浆森林</t>
    </r>
  </si>
  <si>
    <r>
      <rPr>
        <sz val="11"/>
        <color theme="1"/>
        <rFont val="宋体"/>
        <charset val="134"/>
      </rPr>
      <t>尺寸：</t>
    </r>
    <r>
      <rPr>
        <sz val="11"/>
        <color theme="1"/>
        <rFont val="Calibri"/>
        <charset val="134"/>
      </rPr>
      <t>21*21*2.5</t>
    </r>
  </si>
  <si>
    <t>•</t>
  </si>
  <si>
    <t>枕头</t>
  </si>
  <si>
    <t>https://sienera.de/</t>
  </si>
  <si>
    <t>https://detail.1688.com/offer/848199047210.html?spm=a26352.b28411319/2508.0.0</t>
  </si>
  <si>
    <t>相似款-深灰色/套装
压缩尺寸41*16cm</t>
  </si>
  <si>
    <t>眼罩</t>
  </si>
  <si>
    <t>https://sienera.de/products/rosa-seidenmaske?variant=56691135250757</t>
  </si>
  <si>
    <t>https://detail.1688.com/offer/989777140315.html?spm=a26352.b28411319/2508.0.0</t>
  </si>
  <si>
    <t>单价十块以下</t>
  </si>
  <si>
    <t>仿真丝面料</t>
  </si>
  <si>
    <t>https://sienera.de/products/rosa-samthandschellen?variant=56691135349061</t>
  </si>
  <si>
    <t>https://detail.1688.com/offer/640686521301.html?spm=a26352.b28411319/2508.0.0</t>
  </si>
  <si>
    <t>https://sienera.de/products/flogger?variant=56691135447365</t>
  </si>
  <si>
    <t>https://detail.1688.com/offer/607496797412.html?spm=a26352.b28411319/2508.0.0</t>
  </si>
  <si>
    <t>https://sienera.de/products/ballgag?variant=56691135480133</t>
  </si>
  <si>
    <t>https://detail.1688.com/offer/841269232218.html?spm=a26352.b28411319/2508.0.0</t>
  </si>
  <si>
    <t>Yanis</t>
  </si>
  <si>
    <t>瑜伽裤</t>
  </si>
  <si>
    <t xml:space="preserve">yoga clothes </t>
  </si>
  <si>
    <t>YOG-001</t>
  </si>
  <si>
    <t>S-3XL</t>
  </si>
  <si>
    <t>https://detail.1688.com/offer/755189854367.html?spm=a360q.8274423%2Fnew.goods.productname</t>
  </si>
  <si>
    <t>https://detail.1688.com/offer/813889305440.html?kj_agent_plugin=aliprice&amp;fromkv=xytTrace:2132815517619490398882130e0f09&amp;token=60I4nWZQXCmF20k9t9kufB%2Fs8d2q%2FrpmCvTQbQNSGEgwn%2FpWqLDfQQUzWcq%2BuR8E</t>
  </si>
  <si>
    <r>
      <rPr>
        <sz val="11"/>
        <color theme="1"/>
        <rFont val="Calibri"/>
        <charset val="134"/>
      </rPr>
      <t>1.</t>
    </r>
    <r>
      <rPr>
        <sz val="11"/>
        <color theme="1"/>
        <rFont val="宋体"/>
        <charset val="134"/>
      </rPr>
      <t>楼下有实物</t>
    </r>
    <r>
      <rPr>
        <sz val="11"/>
        <color theme="1"/>
        <rFont val="Calibri"/>
        <charset val="134"/>
      </rPr>
      <t xml:space="preserve">         2.</t>
    </r>
    <r>
      <rPr>
        <sz val="11"/>
        <color theme="1"/>
        <rFont val="宋体"/>
        <charset val="134"/>
      </rPr>
      <t>链接上的颜色都有货</t>
    </r>
    <r>
      <rPr>
        <sz val="11"/>
        <color theme="1"/>
        <rFont val="Calibri"/>
        <charset val="134"/>
      </rPr>
      <t xml:space="preserve">                                    3.</t>
    </r>
    <r>
      <rPr>
        <sz val="11"/>
        <color theme="1"/>
        <rFont val="宋体"/>
        <charset val="134"/>
      </rPr>
      <t>尺码表如左图</t>
    </r>
    <r>
      <rPr>
        <sz val="11"/>
        <color theme="1"/>
        <rFont val="Calibri"/>
        <charset val="134"/>
      </rPr>
      <t xml:space="preserve">             4</t>
    </r>
    <r>
      <rPr>
        <sz val="11"/>
        <color theme="1"/>
        <rFont val="宋体"/>
        <charset val="134"/>
      </rPr>
      <t>单价都是一样，包邮</t>
    </r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</si>
  <si>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产品</t>
    </r>
    <r>
      <rPr>
        <sz val="11"/>
        <color theme="1"/>
        <rFont val="Calibri"/>
        <charset val="134"/>
      </rPr>
      <t>:                                                                                       1.</t>
    </r>
    <r>
      <rPr>
        <sz val="11"/>
        <color theme="1"/>
        <rFont val="宋体"/>
        <charset val="134"/>
      </rPr>
      <t>提供实物图跟包装图</t>
    </r>
    <r>
      <rPr>
        <sz val="11"/>
        <color theme="1"/>
        <rFont val="Calibri"/>
        <charset val="134"/>
      </rPr>
      <t xml:space="preserve"> 2.</t>
    </r>
    <r>
      <rPr>
        <sz val="11"/>
        <color theme="1"/>
        <rFont val="宋体"/>
        <charset val="134"/>
      </rPr>
      <t>提供颜色</t>
    </r>
    <r>
      <rPr>
        <sz val="11"/>
        <color theme="1"/>
        <rFont val="Calibri"/>
        <charset val="134"/>
      </rPr>
      <t xml:space="preserve"> 3.</t>
    </r>
    <r>
      <rPr>
        <sz val="11"/>
        <color theme="1"/>
        <rFont val="宋体"/>
        <charset val="134"/>
      </rPr>
      <t>根据客户网站尺寸图推荐合适尺寸对照</t>
    </r>
    <r>
      <rPr>
        <sz val="11"/>
        <color theme="1"/>
        <rFont val="Calibri"/>
        <charset val="134"/>
      </rPr>
      <t xml:space="preserve">    4.</t>
    </r>
    <r>
      <rPr>
        <sz val="11"/>
        <color theme="1"/>
        <rFont val="宋体"/>
        <charset val="134"/>
      </rPr>
      <t>提供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条和</t>
    </r>
    <r>
      <rPr>
        <sz val="11"/>
        <color theme="1"/>
        <rFont val="Calibri"/>
        <charset val="134"/>
      </rPr>
      <t>10</t>
    </r>
    <r>
      <rPr>
        <sz val="11"/>
        <color theme="1"/>
        <rFont val="宋体"/>
        <charset val="134"/>
      </rPr>
      <t>条的价格跟运费</t>
    </r>
  </si>
  <si>
    <r>
      <rPr>
        <sz val="11"/>
        <color rgb="FFFF0000"/>
        <rFont val="Calibri"/>
        <charset val="134"/>
      </rPr>
      <t xml:space="preserve">s-3xl </t>
    </r>
    <r>
      <rPr>
        <sz val="11"/>
        <color rgb="FFFF0000"/>
        <rFont val="宋体"/>
        <charset val="134"/>
      </rPr>
      <t>价格</t>
    </r>
    <r>
      <rPr>
        <sz val="11"/>
        <color rgb="FFFF0000"/>
        <rFont val="Calibri"/>
        <charset val="134"/>
      </rPr>
      <t>15</t>
    </r>
    <r>
      <rPr>
        <sz val="11"/>
        <color rgb="FFFF0000"/>
        <rFont val="宋体"/>
        <charset val="134"/>
      </rPr>
      <t>，</t>
    </r>
    <r>
      <rPr>
        <sz val="11"/>
        <color rgb="FFFF0000"/>
        <rFont val="Calibri"/>
        <charset val="134"/>
      </rPr>
      <t>4-5XL</t>
    </r>
    <r>
      <rPr>
        <sz val="11"/>
        <color rgb="FFFF0000"/>
        <rFont val="宋体"/>
        <charset val="134"/>
      </rPr>
      <t>价格</t>
    </r>
    <r>
      <rPr>
        <sz val="11"/>
        <color rgb="FFFF0000"/>
        <rFont val="Calibri"/>
        <charset val="134"/>
      </rPr>
      <t>16.1</t>
    </r>
    <r>
      <rPr>
        <sz val="11"/>
        <color rgb="FFFF0000"/>
        <rFont val="宋体"/>
        <charset val="134"/>
      </rPr>
      <t>，包邮</t>
    </r>
  </si>
  <si>
    <t>Le</t>
  </si>
  <si>
    <t>瑜伽短裤</t>
  </si>
  <si>
    <t>Yoga shorts</t>
  </si>
  <si>
    <t>ART-001</t>
  </si>
  <si>
    <t>https://detail.1688.com/offer/954071845402.html?spm=a360q.8274423%2Fnew.goods.productimage</t>
  </si>
  <si>
    <t>小高丽琼在卖的爆款</t>
  </si>
  <si>
    <t>仓库有实物</t>
  </si>
  <si>
    <t>连体塑身衣女</t>
  </si>
  <si>
    <t>Women's bodysuit</t>
  </si>
  <si>
    <t>ART-002</t>
  </si>
  <si>
    <r>
      <rPr>
        <sz val="11"/>
        <color theme="1"/>
        <rFont val="Calibri"/>
        <charset val="134"/>
      </rPr>
      <t>T</t>
    </r>
    <r>
      <rPr>
        <sz val="11"/>
        <color theme="1"/>
        <rFont val="宋体"/>
        <charset val="134"/>
      </rPr>
      <t>型裤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三角裤</t>
    </r>
  </si>
  <si>
    <t>https://detail.1688.com/offer/825368947200.html?spm=a360q.8274423%2Fnew.goods.productimage</t>
  </si>
  <si>
    <t>瑜伽手臂防晒护套</t>
  </si>
  <si>
    <t>Yoga Arm Sunscreen Cover</t>
  </si>
  <si>
    <t>ART-003</t>
  </si>
  <si>
    <t>https://detail.1688.com/offer/839714820723.html</t>
  </si>
  <si>
    <t>均码</t>
  </si>
  <si>
    <t>瑜伽裤包装袋定制</t>
  </si>
  <si>
    <t>Customized yoga pants packaging bags</t>
  </si>
  <si>
    <t>40*30cm</t>
  </si>
  <si>
    <t>/</t>
  </si>
  <si>
    <t>https://detail.1688.com/offer/836084369295.html?spm=a360q.8274423%2Fnew.goods.productimage</t>
  </si>
  <si>
    <r>
      <rPr>
        <sz val="11"/>
        <color theme="1"/>
        <rFont val="宋体"/>
        <charset val="134"/>
      </rPr>
      <t>参考小高客户的包装袋尺寸</t>
    </r>
    <r>
      <rPr>
        <sz val="11"/>
        <color theme="1"/>
        <rFont val="Calibri"/>
        <charset val="134"/>
      </rPr>
      <t>40*30cm</t>
    </r>
    <r>
      <rPr>
        <sz val="11"/>
        <color theme="1"/>
        <rFont val="宋体"/>
        <charset val="134"/>
      </rPr>
      <t>双面磨砂或者双面透明，单面单色印刷</t>
    </r>
    <r>
      <rPr>
        <sz val="11"/>
        <color theme="1"/>
        <rFont val="Calibri"/>
        <charset val="134"/>
      </rPr>
      <t>logo</t>
    </r>
    <r>
      <rPr>
        <sz val="11"/>
        <color theme="1"/>
        <rFont val="宋体"/>
        <charset val="134"/>
      </rPr>
      <t>，后面用厂家现有的警示语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交期</t>
    </r>
    <r>
      <rPr>
        <sz val="11"/>
        <color theme="1"/>
        <rFont val="Calibri"/>
        <charset val="134"/>
      </rPr>
      <t>7-10</t>
    </r>
    <r>
      <rPr>
        <sz val="11"/>
        <color theme="1"/>
        <rFont val="宋体"/>
        <charset val="134"/>
      </rPr>
      <t>天</t>
    </r>
  </si>
  <si>
    <t>30 patches</t>
  </si>
  <si>
    <t>ART-004</t>
  </si>
  <si>
    <t>https://detail.1688.com/offer/985311607246.html</t>
  </si>
  <si>
    <t xml:space="preserve">1.实物图，包装图   3.  MOQ1跟MOQ10的价格,运费分别是多少   </t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</si>
  <si>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包</t>
    </r>
    <r>
      <rPr>
        <sz val="11"/>
        <color theme="1"/>
        <rFont val="Calibri"/>
        <charset val="134"/>
      </rPr>
      <t>30</t>
    </r>
    <r>
      <rPr>
        <sz val="11"/>
        <color theme="1"/>
        <rFont val="宋体"/>
        <charset val="134"/>
      </rPr>
      <t>贴</t>
    </r>
  </si>
  <si>
    <t>15*10cm</t>
  </si>
  <si>
    <t>产品中文名字</t>
  </si>
  <si>
    <t>产品英文名字</t>
  </si>
  <si>
    <t xml:space="preserve">SKU </t>
  </si>
  <si>
    <t>Picture</t>
  </si>
  <si>
    <t>MOQ</t>
  </si>
  <si>
    <t>Size</t>
  </si>
  <si>
    <r>
      <rPr>
        <b/>
        <sz val="11"/>
        <rFont val="宋体"/>
        <charset val="134"/>
      </rPr>
      <t>单价</t>
    </r>
  </si>
  <si>
    <r>
      <rPr>
        <b/>
        <sz val="11"/>
        <rFont val="宋体"/>
        <charset val="134"/>
      </rPr>
      <t>运费</t>
    </r>
  </si>
  <si>
    <r>
      <rPr>
        <b/>
        <sz val="11"/>
        <rFont val="宋体"/>
        <charset val="134"/>
      </rPr>
      <t>计算运费</t>
    </r>
  </si>
  <si>
    <r>
      <rPr>
        <b/>
        <sz val="11"/>
        <rFont val="宋体"/>
        <charset val="134"/>
      </rPr>
      <t>重量</t>
    </r>
  </si>
  <si>
    <r>
      <rPr>
        <b/>
        <sz val="11"/>
        <rFont val="宋体"/>
        <charset val="134"/>
      </rPr>
      <t>计费重量</t>
    </r>
  </si>
  <si>
    <t>Item cost</t>
  </si>
  <si>
    <t>Ship to FR(6-11 working days )</t>
  </si>
  <si>
    <t>Ship to BE (6-10 working days )</t>
  </si>
  <si>
    <t>Ship to CH (8-10 working days )</t>
  </si>
  <si>
    <t>Ship to LU(8-12 working days )</t>
  </si>
  <si>
    <t>Ship to IT (8-12 working days )</t>
  </si>
  <si>
    <t>Total to FR</t>
  </si>
  <si>
    <t>Total to BE</t>
  </si>
  <si>
    <t>Total to CH</t>
  </si>
  <si>
    <t>Total to LU</t>
  </si>
  <si>
    <t>Total to IT</t>
  </si>
  <si>
    <t>link</t>
  </si>
  <si>
    <r>
      <rPr>
        <b/>
        <sz val="11"/>
        <rFont val="宋体"/>
        <charset val="134"/>
      </rPr>
      <t>采购连接</t>
    </r>
  </si>
  <si>
    <r>
      <rPr>
        <b/>
        <sz val="11"/>
        <rFont val="宋体"/>
        <charset val="134"/>
      </rPr>
      <t>备注</t>
    </r>
  </si>
  <si>
    <t>YOG-002</t>
  </si>
  <si>
    <t>4-5XL</t>
  </si>
  <si>
    <t>S-2XL</t>
  </si>
  <si>
    <r>
      <rPr>
        <sz val="11"/>
        <color theme="1"/>
        <rFont val="宋体"/>
        <charset val="134"/>
      </rPr>
      <t>瑜伽手臂防晒护套</t>
    </r>
  </si>
  <si>
    <r>
      <rPr>
        <sz val="11"/>
        <color theme="1"/>
        <rFont val="宋体"/>
        <charset val="134"/>
      </rPr>
      <t>身体护理贴片</t>
    </r>
    <r>
      <rPr>
        <sz val="11"/>
        <color theme="1"/>
        <rFont val="Calibri"/>
        <charset val="134"/>
      </rPr>
      <t xml:space="preserve"> </t>
    </r>
  </si>
  <si>
    <t>Body care patches</t>
  </si>
  <si>
    <t>1 pack of 30 patches</t>
  </si>
  <si>
    <t xml:space="preserve">Legging with package </t>
  </si>
</sst>
</file>

<file path=xl/styles.xml><?xml version="1.0" encoding="utf-8"?>
<styleSheet xmlns="http://schemas.openxmlformats.org/spreadsheetml/2006/main">
  <numFmts count="7">
    <numFmt numFmtId="176" formatCode="&quot;$&quot;#,##0.00;\-&quot;$&quot;#,##0.00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_ ;_ * \-#,##0_ ;_ * &quot;-&quot;_ ;_ @_ "/>
    <numFmt numFmtId="180" formatCode="_ * #,##0.00_ ;_ * \-#,##0.00_ ;_ * &quot;-&quot;??_ ;_ @_ "/>
    <numFmt numFmtId="181" formatCode="0_);\(0\)"/>
    <numFmt numFmtId="182" formatCode="&quot;US$&quot;#,##0.00;\-&quot;US$&quot;#,##0.00"/>
  </numFmts>
  <fonts count="4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2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</font>
    <font>
      <sz val="12"/>
      <color rgb="FF5A75E0"/>
      <name val="PingFangSC-Regular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b/>
      <sz val="12"/>
      <color rgb="FF222222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Calibri"/>
      <charset val="134"/>
    </font>
    <font>
      <sz val="12"/>
      <name val="Calibri"/>
      <charset val="134"/>
    </font>
    <font>
      <b/>
      <sz val="12"/>
      <color rgb="FF222222"/>
      <name val="Segoe UI"/>
      <charset val="134"/>
    </font>
    <font>
      <u/>
      <sz val="11"/>
      <color rgb="FF800080"/>
      <name val="宋体"/>
      <charset val="0"/>
      <scheme val="minor"/>
    </font>
    <font>
      <sz val="12"/>
      <name val="宋体"/>
      <charset val="0"/>
    </font>
    <font>
      <u/>
      <sz val="11"/>
      <color rgb="FF0000FF"/>
      <name val="Calibri"/>
      <charset val="0"/>
    </font>
    <font>
      <u/>
      <sz val="11"/>
      <color rgb="FF800080"/>
      <name val="Calibri"/>
      <charset val="0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Calibri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134"/>
    </font>
    <font>
      <sz val="12"/>
      <name val="Calibri"/>
      <charset val="0"/>
    </font>
    <font>
      <sz val="11"/>
      <color rgb="FFFF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2" fillId="9" borderId="9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9" borderId="13" applyNumberFormat="0" applyFon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34" fillId="13" borderId="9" applyNumberFormat="0" applyAlignment="0" applyProtection="0">
      <alignment vertical="center"/>
    </xf>
    <xf numFmtId="0" fontId="35" fillId="31" borderId="15" applyNumberForma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181" fontId="6" fillId="0" borderId="1" xfId="0" applyNumberFormat="1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6" fontId="3" fillId="6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9" fillId="2" borderId="0" xfId="0" applyFont="1" applyFill="1">
      <alignment vertical="center"/>
    </xf>
    <xf numFmtId="0" fontId="0" fillId="0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81" fontId="6" fillId="0" borderId="0" xfId="0" applyNumberFormat="1" applyFont="1" applyAlignment="1">
      <alignment horizontal="center" vertical="center" wrapText="1"/>
    </xf>
    <xf numFmtId="182" fontId="6" fillId="0" borderId="0" xfId="0" applyNumberFormat="1" applyFont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81" fontId="10" fillId="0" borderId="1" xfId="0" applyNumberFormat="1" applyFont="1" applyFill="1" applyBorder="1" applyAlignment="1">
      <alignment horizontal="center" vertical="center" wrapText="1"/>
    </xf>
    <xf numFmtId="181" fontId="6" fillId="0" borderId="4" xfId="0" applyNumberFormat="1" applyFont="1" applyBorder="1" applyAlignment="1">
      <alignment horizontal="center" vertical="center" wrapText="1"/>
    </xf>
    <xf numFmtId="181" fontId="6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81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4" xfId="10" applyFont="1" applyBorder="1" applyAlignment="1">
      <alignment horizontal="center" vertical="center" wrapText="1"/>
    </xf>
    <xf numFmtId="182" fontId="6" fillId="0" borderId="1" xfId="0" applyNumberFormat="1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4" xfId="10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6" fillId="0" borderId="4" xfId="0" applyNumberFormat="1" applyFont="1" applyBorder="1" applyAlignment="1">
      <alignment horizontal="center" vertical="center" wrapText="1"/>
    </xf>
    <xf numFmtId="0" fontId="13" fillId="0" borderId="1" xfId="10" applyFont="1" applyBorder="1" applyAlignment="1">
      <alignment horizontal="center" vertical="center" wrapText="1"/>
    </xf>
    <xf numFmtId="0" fontId="16" fillId="0" borderId="1" xfId="1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16" fillId="0" borderId="1" xfId="10" applyFont="1" applyBorder="1" applyAlignment="1">
      <alignment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6" fillId="0" borderId="2" xfId="0" applyNumberFormat="1" applyFont="1" applyBorder="1" applyAlignment="1">
      <alignment horizontal="center" vertical="center" wrapText="1"/>
    </xf>
    <xf numFmtId="0" fontId="18" fillId="0" borderId="1" xfId="10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5.png"/><Relationship Id="rId8" Type="http://schemas.openxmlformats.org/officeDocument/2006/relationships/image" Target="media/image14.png"/><Relationship Id="rId7" Type="http://schemas.openxmlformats.org/officeDocument/2006/relationships/image" Target="media/image13.png"/><Relationship Id="rId6" Type="http://schemas.openxmlformats.org/officeDocument/2006/relationships/image" Target="media/image12.png"/><Relationship Id="rId5" Type="http://schemas.openxmlformats.org/officeDocument/2006/relationships/image" Target="media/image11.png"/><Relationship Id="rId4" Type="http://schemas.openxmlformats.org/officeDocument/2006/relationships/image" Target="media/image10.png"/><Relationship Id="rId3" Type="http://schemas.openxmlformats.org/officeDocument/2006/relationships/image" Target="media/image9.png"/><Relationship Id="rId28" Type="http://schemas.openxmlformats.org/officeDocument/2006/relationships/image" Target="media/image33.png"/><Relationship Id="rId27" Type="http://schemas.openxmlformats.org/officeDocument/2006/relationships/image" Target="media/image32.png"/><Relationship Id="rId26" Type="http://schemas.openxmlformats.org/officeDocument/2006/relationships/image" Target="media/image31.png"/><Relationship Id="rId25" Type="http://schemas.openxmlformats.org/officeDocument/2006/relationships/image" Target="media/image30.png"/><Relationship Id="rId24" Type="http://schemas.openxmlformats.org/officeDocument/2006/relationships/image" Target="media/image29.png"/><Relationship Id="rId23" Type="http://schemas.openxmlformats.org/officeDocument/2006/relationships/image" Target="media/image28.png"/><Relationship Id="rId22" Type="http://schemas.openxmlformats.org/officeDocument/2006/relationships/image" Target="media/image27.png"/><Relationship Id="rId21" Type="http://schemas.openxmlformats.org/officeDocument/2006/relationships/image" Target="media/image26.png"/><Relationship Id="rId20" Type="http://schemas.openxmlformats.org/officeDocument/2006/relationships/image" Target="media/image25.png"/><Relationship Id="rId2" Type="http://schemas.openxmlformats.org/officeDocument/2006/relationships/image" Target="media/image8.png"/><Relationship Id="rId19" Type="http://schemas.openxmlformats.org/officeDocument/2006/relationships/image" Target="media/image24.png"/><Relationship Id="rId18" Type="http://schemas.openxmlformats.org/officeDocument/2006/relationships/image" Target="media/image3.png"/><Relationship Id="rId17" Type="http://schemas.openxmlformats.org/officeDocument/2006/relationships/image" Target="media/image23.png"/><Relationship Id="rId16" Type="http://schemas.openxmlformats.org/officeDocument/2006/relationships/image" Target="media/image22.png"/><Relationship Id="rId15" Type="http://schemas.openxmlformats.org/officeDocument/2006/relationships/image" Target="media/image21.png"/><Relationship Id="rId14" Type="http://schemas.openxmlformats.org/officeDocument/2006/relationships/image" Target="media/image20.png"/><Relationship Id="rId13" Type="http://schemas.openxmlformats.org/officeDocument/2006/relationships/image" Target="media/image19.png"/><Relationship Id="rId12" Type="http://schemas.openxmlformats.org/officeDocument/2006/relationships/image" Target="media/image18.png"/><Relationship Id="rId11" Type="http://schemas.openxmlformats.org/officeDocument/2006/relationships/image" Target="media/image17.png"/><Relationship Id="rId10" Type="http://schemas.openxmlformats.org/officeDocument/2006/relationships/image" Target="media/image16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0/cellImage" Target="cellimag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203200</xdr:colOff>
      <xdr:row>1</xdr:row>
      <xdr:rowOff>203200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16705" y="6477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203200</xdr:colOff>
      <xdr:row>1</xdr:row>
      <xdr:rowOff>203200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4116705" y="6477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203200</xdr:colOff>
      <xdr:row>1</xdr:row>
      <xdr:rowOff>203200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4116705" y="6477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133350</xdr:colOff>
      <xdr:row>2</xdr:row>
      <xdr:rowOff>82550</xdr:rowOff>
    </xdr:from>
    <xdr:to>
      <xdr:col>4</xdr:col>
      <xdr:colOff>913765</xdr:colOff>
      <xdr:row>2</xdr:row>
      <xdr:rowOff>767715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50055" y="1568450"/>
          <a:ext cx="780415" cy="685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123825</xdr:colOff>
      <xdr:row>15</xdr:row>
      <xdr:rowOff>412750</xdr:rowOff>
    </xdr:from>
    <xdr:to>
      <xdr:col>18</xdr:col>
      <xdr:colOff>532765</xdr:colOff>
      <xdr:row>15</xdr:row>
      <xdr:rowOff>1299210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649825" y="9378950"/>
          <a:ext cx="1238250" cy="88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200025</xdr:colOff>
      <xdr:row>15</xdr:row>
      <xdr:rowOff>335915</xdr:rowOff>
    </xdr:from>
    <xdr:to>
      <xdr:col>4</xdr:col>
      <xdr:colOff>923925</xdr:colOff>
      <xdr:row>15</xdr:row>
      <xdr:rowOff>1210310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16730" y="9302115"/>
          <a:ext cx="723900" cy="874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200025</xdr:colOff>
      <xdr:row>18</xdr:row>
      <xdr:rowOff>107315</xdr:rowOff>
    </xdr:from>
    <xdr:to>
      <xdr:col>4</xdr:col>
      <xdr:colOff>904875</xdr:colOff>
      <xdr:row>18</xdr:row>
      <xdr:rowOff>838200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16730" y="12210415"/>
          <a:ext cx="704850" cy="73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280035</xdr:colOff>
      <xdr:row>20</xdr:row>
      <xdr:rowOff>60960</xdr:rowOff>
    </xdr:from>
    <xdr:to>
      <xdr:col>4</xdr:col>
      <xdr:colOff>679450</xdr:colOff>
      <xdr:row>20</xdr:row>
      <xdr:rowOff>481965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96740" y="14132560"/>
          <a:ext cx="399415" cy="421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180340</xdr:colOff>
      <xdr:row>20</xdr:row>
      <xdr:rowOff>145415</xdr:rowOff>
    </xdr:from>
    <xdr:to>
      <xdr:col>4</xdr:col>
      <xdr:colOff>953135</xdr:colOff>
      <xdr:row>20</xdr:row>
      <xdr:rowOff>902970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97045" y="14217015"/>
          <a:ext cx="772795" cy="7575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156210</xdr:colOff>
      <xdr:row>18</xdr:row>
      <xdr:rowOff>166370</xdr:rowOff>
    </xdr:from>
    <xdr:to>
      <xdr:col>3</xdr:col>
      <xdr:colOff>880110</xdr:colOff>
      <xdr:row>20</xdr:row>
      <xdr:rowOff>232410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3610" y="7024370"/>
          <a:ext cx="723900" cy="751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142875</xdr:colOff>
      <xdr:row>22</xdr:row>
      <xdr:rowOff>38100</xdr:rowOff>
    </xdr:from>
    <xdr:to>
      <xdr:col>3</xdr:col>
      <xdr:colOff>942975</xdr:colOff>
      <xdr:row>23</xdr:row>
      <xdr:rowOff>215900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00275" y="8267700"/>
          <a:ext cx="800100" cy="52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156210</xdr:colOff>
      <xdr:row>18</xdr:row>
      <xdr:rowOff>166370</xdr:rowOff>
    </xdr:from>
    <xdr:to>
      <xdr:col>3</xdr:col>
      <xdr:colOff>577850</xdr:colOff>
      <xdr:row>21</xdr:row>
      <xdr:rowOff>33020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6035" y="3785870"/>
          <a:ext cx="421640" cy="43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142875</xdr:colOff>
      <xdr:row>22</xdr:row>
      <xdr:rowOff>38100</xdr:rowOff>
    </xdr:from>
    <xdr:to>
      <xdr:col>4</xdr:col>
      <xdr:colOff>257175</xdr:colOff>
      <xdr:row>24</xdr:row>
      <xdr:rowOff>177800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52700" y="4419600"/>
          <a:ext cx="800100" cy="52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1688.com/offer/755189854367.html?spm=a360q.8274423%2Fnew.goods.productname" TargetMode="External"/><Relationship Id="rId8" Type="http://schemas.openxmlformats.org/officeDocument/2006/relationships/hyperlink" Target="https://detail.1688.com/offer/989777140315.html?spm=a26352.b28411319/2508.0.0" TargetMode="External"/><Relationship Id="rId7" Type="http://schemas.openxmlformats.org/officeDocument/2006/relationships/hyperlink" Target="https://detail.1688.com/offer/848199047210.html?spm=a26352.b28411319/2508.0.0" TargetMode="External"/><Relationship Id="rId6" Type="http://schemas.openxmlformats.org/officeDocument/2006/relationships/hyperlink" Target="https://detail.1688.com/offer/838070826844.html?spm=a261y.7663282.3002526303362591.2.401332bdEKMHWJ&amp;sk=order" TargetMode="External"/><Relationship Id="rId5" Type="http://schemas.openxmlformats.org/officeDocument/2006/relationships/hyperlink" Target="https://detail.1688.com/offer/945815791784.html?spm=a261y.7663282.3002526303362591.2.6e6c7b1a4rIdRF&amp;sk=order" TargetMode="External"/><Relationship Id="rId4" Type="http://schemas.openxmlformats.org/officeDocument/2006/relationships/hyperlink" Target="https://detail.1688.com/offer/1001041494527.html?spm=a26352.b28411319/2508.0.0 &#10;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3" Type="http://schemas.openxmlformats.org/officeDocument/2006/relationships/hyperlink" Target="https://detail.1688.com/offer/985311607246.html" TargetMode="External"/><Relationship Id="rId12" Type="http://schemas.openxmlformats.org/officeDocument/2006/relationships/hyperlink" Target="https://detail.1688.com/offer/839714820723.html" TargetMode="External"/><Relationship Id="rId11" Type="http://schemas.openxmlformats.org/officeDocument/2006/relationships/hyperlink" Target="https://detail.1688.com/offer/825368947200.html?spm=a360q.8274423%2Fnew.goods.productimage" TargetMode="External"/><Relationship Id="rId10" Type="http://schemas.openxmlformats.org/officeDocument/2006/relationships/hyperlink" Target="https://detail.1688.com/offer/954071845402.html?spm=a360q.8274423%2Fnew.goods.productimage" TargetMode="Externa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topLeftCell="C16" workbookViewId="0">
      <selection activeCell="D16" sqref="D16"/>
    </sheetView>
  </sheetViews>
  <sheetFormatPr defaultColWidth="10.8833333333333" defaultRowHeight="40" customHeight="1"/>
  <cols>
    <col min="1" max="1" width="10.8833333333333" style="44" customWidth="1"/>
    <col min="2" max="2" width="16" style="44" customWidth="1"/>
    <col min="3" max="3" width="16.2583333333333" style="44" customWidth="1"/>
    <col min="4" max="4" width="10.8833333333333" style="44" customWidth="1"/>
    <col min="5" max="5" width="15.1333333333333" style="44" customWidth="1"/>
    <col min="6" max="7" width="10.8833333333333" style="44" customWidth="1"/>
    <col min="8" max="8" width="10.8833333333333" style="46" customWidth="1"/>
    <col min="9" max="13" width="10.8833333333333" style="44" customWidth="1"/>
    <col min="14" max="14" width="19.7583333333333" style="47" customWidth="1"/>
    <col min="15" max="15" width="13.6333333333333" style="47" customWidth="1"/>
    <col min="16" max="16" width="29.5" style="44" customWidth="1"/>
    <col min="17" max="16384" width="10.8833333333333" style="44" customWidth="1"/>
  </cols>
  <sheetData>
    <row r="1" s="44" customFormat="1" ht="51" customHeight="1" spans="1:18">
      <c r="A1" s="8" t="s">
        <v>0</v>
      </c>
      <c r="B1" s="8" t="s">
        <v>1</v>
      </c>
      <c r="C1" s="8" t="s">
        <v>2</v>
      </c>
      <c r="D1" s="8" t="s">
        <v>3</v>
      </c>
      <c r="E1" s="48" t="s">
        <v>4</v>
      </c>
      <c r="F1" s="48" t="s">
        <v>5</v>
      </c>
      <c r="G1" s="48" t="s">
        <v>6</v>
      </c>
      <c r="H1" s="49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  <c r="Q1" s="79" t="s">
        <v>16</v>
      </c>
      <c r="R1" s="79"/>
    </row>
    <row r="2" ht="66" customHeight="1" spans="1:17">
      <c r="A2" s="18" t="s">
        <v>17</v>
      </c>
      <c r="B2" s="16" t="s">
        <v>18</v>
      </c>
      <c r="C2" s="18" t="s">
        <v>19</v>
      </c>
      <c r="D2" s="18" t="s">
        <v>20</v>
      </c>
      <c r="E2" s="18" t="str">
        <f>_xlfn.DISPIMG("ID_A4BD3F109B8A4DD4A8D45244ABED144C",1)</f>
        <v>=DISPIMG("ID_A4BD3F109B8A4DD4A8D45244ABED144C",1)</v>
      </c>
      <c r="F2" s="16" t="s">
        <v>21</v>
      </c>
      <c r="G2" s="18"/>
      <c r="H2" s="50">
        <v>1</v>
      </c>
      <c r="I2" s="18">
        <v>620</v>
      </c>
      <c r="J2" s="18">
        <v>62.1</v>
      </c>
      <c r="K2" s="18">
        <v>0</v>
      </c>
      <c r="L2" s="64" t="s">
        <v>22</v>
      </c>
      <c r="M2" s="8" t="s">
        <v>23</v>
      </c>
      <c r="N2" s="65"/>
      <c r="O2" s="66" t="s">
        <v>24</v>
      </c>
      <c r="P2" s="8" t="s">
        <v>25</v>
      </c>
      <c r="Q2" s="54" t="s">
        <v>26</v>
      </c>
    </row>
    <row r="3" ht="69" customHeight="1" spans="1:16">
      <c r="A3" s="18" t="s">
        <v>17</v>
      </c>
      <c r="B3" s="18" t="s">
        <v>27</v>
      </c>
      <c r="C3" s="18" t="s">
        <v>19</v>
      </c>
      <c r="D3" s="18" t="s">
        <v>20</v>
      </c>
      <c r="E3" s="18"/>
      <c r="F3" s="18"/>
      <c r="G3" s="18"/>
      <c r="H3" s="50">
        <v>10</v>
      </c>
      <c r="I3" s="18">
        <v>620</v>
      </c>
      <c r="J3" s="18">
        <v>57</v>
      </c>
      <c r="K3" s="18">
        <v>0</v>
      </c>
      <c r="L3" s="67"/>
      <c r="M3" s="8"/>
      <c r="N3" s="65"/>
      <c r="O3" s="65"/>
      <c r="P3" s="8"/>
    </row>
    <row r="4" s="45" customFormat="1" ht="50" customHeight="1" spans="1:17">
      <c r="A4" s="18" t="s">
        <v>17</v>
      </c>
      <c r="B4" s="19" t="s">
        <v>28</v>
      </c>
      <c r="C4" s="18" t="s">
        <v>29</v>
      </c>
      <c r="D4" s="19" t="s">
        <v>30</v>
      </c>
      <c r="E4" s="15" t="str">
        <f>_xlfn.DISPIMG("ID_EED33835843B4184ADA5590744B83D90",1)</f>
        <v>=DISPIMG("ID_EED33835843B4184ADA5590744B83D90",1)</v>
      </c>
      <c r="F4" s="16" t="s">
        <v>31</v>
      </c>
      <c r="G4" s="19"/>
      <c r="H4" s="51">
        <v>1</v>
      </c>
      <c r="I4" s="19">
        <v>260</v>
      </c>
      <c r="J4" s="19">
        <v>15.5</v>
      </c>
      <c r="K4" s="19">
        <v>3</v>
      </c>
      <c r="L4" s="67" t="s">
        <v>32</v>
      </c>
      <c r="M4" s="8" t="s">
        <v>23</v>
      </c>
      <c r="N4" s="65"/>
      <c r="O4" s="68" t="s">
        <v>33</v>
      </c>
      <c r="P4" s="57" t="s">
        <v>34</v>
      </c>
      <c r="Q4" s="45" t="str">
        <f>_xlfn.DISPIMG("ID_2254CC3C63F441A98CB5824391EB29B3",1)</f>
        <v>=DISPIMG("ID_2254CC3C63F441A98CB5824391EB29B3",1)</v>
      </c>
    </row>
    <row r="5" s="45" customFormat="1" ht="50" customHeight="1" spans="1:16">
      <c r="A5" s="18" t="s">
        <v>17</v>
      </c>
      <c r="B5" s="19" t="s">
        <v>28</v>
      </c>
      <c r="C5" s="18" t="s">
        <v>29</v>
      </c>
      <c r="D5" s="19" t="s">
        <v>30</v>
      </c>
      <c r="E5" s="15" t="str">
        <f>_xlfn.DISPIMG("ID_EED33835843B4184ADA5590744B83D90",1)</f>
        <v>=DISPIMG("ID_EED33835843B4184ADA5590744B83D90",1)</v>
      </c>
      <c r="F5" s="19"/>
      <c r="G5" s="19"/>
      <c r="H5" s="51">
        <v>10</v>
      </c>
      <c r="I5" s="19">
        <v>260</v>
      </c>
      <c r="J5" s="19">
        <v>15.5</v>
      </c>
      <c r="K5" s="19">
        <v>7.5</v>
      </c>
      <c r="L5" s="67"/>
      <c r="M5" s="8"/>
      <c r="N5" s="65"/>
      <c r="O5" s="69"/>
      <c r="P5" s="8"/>
    </row>
    <row r="6" s="45" customFormat="1" ht="50" customHeight="1" spans="1:17">
      <c r="A6" s="18" t="s">
        <v>17</v>
      </c>
      <c r="B6" s="52" t="s">
        <v>35</v>
      </c>
      <c r="C6" s="8" t="s">
        <v>36</v>
      </c>
      <c r="D6" s="11" t="s">
        <v>37</v>
      </c>
      <c r="E6" s="10" t="str">
        <f>_xlfn.DISPIMG("ID_263653A0E36D4C0FB78BD09D6FAC9269",1)</f>
        <v>=DISPIMG("ID_263653A0E36D4C0FB78BD09D6FAC9269",1)</v>
      </c>
      <c r="F6" s="52" t="s">
        <v>38</v>
      </c>
      <c r="G6" s="11"/>
      <c r="H6" s="53">
        <v>1</v>
      </c>
      <c r="I6" s="11">
        <v>50</v>
      </c>
      <c r="J6" s="11">
        <v>2.1</v>
      </c>
      <c r="K6" s="11">
        <v>3</v>
      </c>
      <c r="L6" s="70" t="s">
        <v>39</v>
      </c>
      <c r="M6" s="8"/>
      <c r="N6" s="65"/>
      <c r="O6" s="65"/>
      <c r="P6" s="8" t="s">
        <v>40</v>
      </c>
      <c r="Q6" s="45" t="str">
        <f>_xlfn.DISPIMG("ID_6F8D6869ECB1446A88E51B6B61EEEB73",1)</f>
        <v>=DISPIMG("ID_6F8D6869ECB1446A88E51B6B61EEEB73",1)</v>
      </c>
    </row>
    <row r="7" s="45" customFormat="1" ht="50" customHeight="1" spans="1:16">
      <c r="A7" s="11"/>
      <c r="B7" s="52" t="s">
        <v>35</v>
      </c>
      <c r="C7" s="8" t="s">
        <v>36</v>
      </c>
      <c r="D7" s="11" t="s">
        <v>37</v>
      </c>
      <c r="E7" s="19"/>
      <c r="F7" s="11"/>
      <c r="G7" s="11"/>
      <c r="H7" s="53">
        <v>10</v>
      </c>
      <c r="I7" s="11">
        <v>50</v>
      </c>
      <c r="J7" s="11">
        <v>2.1</v>
      </c>
      <c r="K7" s="11">
        <v>3</v>
      </c>
      <c r="L7" s="71"/>
      <c r="M7" s="8"/>
      <c r="N7" s="65"/>
      <c r="O7" s="65"/>
      <c r="P7" s="8"/>
    </row>
    <row r="8" customHeight="1" spans="6:16">
      <c r="F8" s="44" t="s">
        <v>41</v>
      </c>
      <c r="H8" s="46">
        <v>1</v>
      </c>
      <c r="I8" s="44">
        <v>435</v>
      </c>
      <c r="J8" s="44">
        <v>41.4</v>
      </c>
      <c r="K8" s="44">
        <v>0</v>
      </c>
      <c r="P8" s="54" t="s">
        <v>42</v>
      </c>
    </row>
    <row r="9" customHeight="1" spans="6:11">
      <c r="F9" s="44" t="s">
        <v>43</v>
      </c>
      <c r="H9" s="46">
        <v>10</v>
      </c>
      <c r="I9" s="44">
        <v>435</v>
      </c>
      <c r="J9" s="44">
        <v>38.5</v>
      </c>
      <c r="K9" s="44">
        <v>0</v>
      </c>
    </row>
    <row r="10" customHeight="1" spans="6:6">
      <c r="F10" s="44" t="s">
        <v>43</v>
      </c>
    </row>
    <row r="11" customHeight="1" spans="1:18">
      <c r="A11" s="18" t="s">
        <v>17</v>
      </c>
      <c r="B11" s="54" t="s">
        <v>44</v>
      </c>
      <c r="E11" s="11" t="str">
        <f>_xlfn.DISPIMG("ID_36B72B4695BD4C819A91A3FDE75BD734",1)</f>
        <v>=DISPIMG("ID_36B72B4695BD4C819A91A3FDE75BD734",1)</v>
      </c>
      <c r="H11" s="55">
        <v>1</v>
      </c>
      <c r="I11" s="55">
        <v>43</v>
      </c>
      <c r="J11" s="55">
        <v>3</v>
      </c>
      <c r="K11" s="55">
        <v>1640</v>
      </c>
      <c r="L11" s="8" t="s">
        <v>45</v>
      </c>
      <c r="M11" s="70" t="s">
        <v>46</v>
      </c>
      <c r="N11" s="72" t="s">
        <v>47</v>
      </c>
      <c r="O11" s="72" t="str">
        <f>_xlfn.DISPIMG("ID_3CFAB6F5237C4DF7BE67A9D1595A25BD",1)</f>
        <v>=DISPIMG("ID_3CFAB6F5237C4DF7BE67A9D1595A25BD",1)</v>
      </c>
      <c r="P11" s="73" t="str">
        <f>_xlfn.DISPIMG("ID_A7F4DAEACFC54BB294A74DF016F6540E",1)</f>
        <v>=DISPIMG("ID_A7F4DAEACFC54BB294A74DF016F6540E",1)</v>
      </c>
      <c r="Q11" s="73" t="str">
        <f>_xlfn.DISPIMG("ID_2E2CEB3C9E324F598AFC37A9CB3B190D",1)</f>
        <v>=DISPIMG("ID_2E2CEB3C9E324F598AFC37A9CB3B190D",1)</v>
      </c>
      <c r="R11" s="73"/>
    </row>
    <row r="12" customHeight="1" spans="1:18">
      <c r="A12" s="18" t="s">
        <v>17</v>
      </c>
      <c r="B12" s="54" t="s">
        <v>48</v>
      </c>
      <c r="E12" s="11" t="str">
        <f>_xlfn.DISPIMG("ID_D7C58781E58F4F8784723921D5E68F9F",1)</f>
        <v>=DISPIMG("ID_D7C58781E58F4F8784723921D5E68F9F",1)</v>
      </c>
      <c r="H12" s="55">
        <v>1</v>
      </c>
      <c r="I12" s="55">
        <v>1.98</v>
      </c>
      <c r="J12" s="55">
        <v>6</v>
      </c>
      <c r="K12" s="55">
        <v>20</v>
      </c>
      <c r="L12" s="8" t="s">
        <v>49</v>
      </c>
      <c r="M12" s="70" t="s">
        <v>50</v>
      </c>
      <c r="N12" s="72" t="s">
        <v>51</v>
      </c>
      <c r="O12" s="72" t="s">
        <v>52</v>
      </c>
      <c r="P12" s="73" t="str">
        <f>_xlfn.DISPIMG("ID_CD1CBA356CB042218CD512862527B598",1)</f>
        <v>=DISPIMG("ID_CD1CBA356CB042218CD512862527B598",1)</v>
      </c>
      <c r="Q12" s="73" t="str">
        <f>_xlfn.DISPIMG("ID_2C095BCD75314F4BAC23BF2F25B9E069",1)</f>
        <v>=DISPIMG("ID_2C095BCD75314F4BAC23BF2F25B9E069",1)</v>
      </c>
      <c r="R12" s="73" t="str">
        <f>_xlfn.DISPIMG("ID_EFBB3D0E56094D60BB014792BFDB11E1",1)</f>
        <v>=DISPIMG("ID_EFBB3D0E56094D60BB014792BFDB11E1",1)</v>
      </c>
    </row>
    <row r="13" customHeight="1" spans="1:18">
      <c r="A13" s="18" t="s">
        <v>17</v>
      </c>
      <c r="E13" s="56" t="str">
        <f>_xlfn.DISPIMG("ID_DA68D59686634BF3B5816FCB82A44CF0",1)</f>
        <v>=DISPIMG("ID_DA68D59686634BF3B5816FCB82A44CF0",1)</v>
      </c>
      <c r="H13" s="55">
        <v>1</v>
      </c>
      <c r="I13" s="55">
        <v>4.28</v>
      </c>
      <c r="J13" s="55">
        <v>4</v>
      </c>
      <c r="K13" s="55">
        <v>60</v>
      </c>
      <c r="L13" s="55" t="s">
        <v>53</v>
      </c>
      <c r="M13" s="55" t="s">
        <v>54</v>
      </c>
      <c r="N13" s="55"/>
      <c r="O13" s="55"/>
      <c r="P13" s="73"/>
      <c r="Q13" s="73"/>
      <c r="R13" s="73"/>
    </row>
    <row r="14" customHeight="1" spans="1:18">
      <c r="A14" s="18" t="s">
        <v>17</v>
      </c>
      <c r="E14" s="56" t="str">
        <f>_xlfn.DISPIMG("ID_F53771620D524CFFBB66AA2E031BAB35",1)</f>
        <v>=DISPIMG("ID_F53771620D524CFFBB66AA2E031BAB35",1)</v>
      </c>
      <c r="H14" s="55">
        <v>1</v>
      </c>
      <c r="I14" s="55">
        <v>3.3</v>
      </c>
      <c r="J14" s="55">
        <v>3</v>
      </c>
      <c r="K14" s="55">
        <v>60</v>
      </c>
      <c r="L14" s="55" t="s">
        <v>55</v>
      </c>
      <c r="M14" s="55" t="s">
        <v>56</v>
      </c>
      <c r="N14" s="55"/>
      <c r="O14" s="55"/>
      <c r="P14" s="73"/>
      <c r="Q14" s="73"/>
      <c r="R14" s="73"/>
    </row>
    <row r="15" customHeight="1" spans="1:18">
      <c r="A15" s="18" t="s">
        <v>17</v>
      </c>
      <c r="E15" s="56" t="str">
        <f>_xlfn.DISPIMG("ID_E1A3B4147C9E4741997E996A006D6F8D",1)</f>
        <v>=DISPIMG("ID_E1A3B4147C9E4741997E996A006D6F8D",1)</v>
      </c>
      <c r="H15" s="55">
        <v>1</v>
      </c>
      <c r="I15" s="55">
        <v>1.4</v>
      </c>
      <c r="J15" s="55">
        <v>2</v>
      </c>
      <c r="K15" s="55">
        <v>40</v>
      </c>
      <c r="L15" s="55" t="s">
        <v>57</v>
      </c>
      <c r="M15" s="55" t="s">
        <v>58</v>
      </c>
      <c r="N15" s="55"/>
      <c r="O15" s="55"/>
      <c r="P15" s="73"/>
      <c r="Q15" s="73"/>
      <c r="R15" s="73"/>
    </row>
    <row r="16" s="44" customFormat="1" ht="110" customHeight="1" spans="1:20">
      <c r="A16" s="8" t="s">
        <v>59</v>
      </c>
      <c r="B16" s="57" t="s">
        <v>60</v>
      </c>
      <c r="C16" s="58" t="s">
        <v>61</v>
      </c>
      <c r="D16" s="8" t="s">
        <v>62</v>
      </c>
      <c r="E16" s="8"/>
      <c r="F16" s="8" t="s">
        <v>63</v>
      </c>
      <c r="G16" s="57"/>
      <c r="H16" s="59">
        <v>1</v>
      </c>
      <c r="I16" s="8">
        <v>300</v>
      </c>
      <c r="J16" s="8">
        <v>15.5</v>
      </c>
      <c r="K16" s="8">
        <v>0</v>
      </c>
      <c r="L16" s="70" t="s">
        <v>64</v>
      </c>
      <c r="M16" s="8" t="s">
        <v>65</v>
      </c>
      <c r="N16" s="65"/>
      <c r="O16" s="74" t="str">
        <f>_xlfn.DISPIMG("ID_FDE761D6EFAE45D7AE56EF952ED7F4C8",1)</f>
        <v>=DISPIMG("ID_FDE761D6EFAE45D7AE56EF952ED7F4C8",1)</v>
      </c>
      <c r="P16" s="74" t="s">
        <v>66</v>
      </c>
      <c r="Q16" s="8" t="s">
        <v>67</v>
      </c>
      <c r="R16" s="8"/>
      <c r="S16" s="8"/>
      <c r="T16" s="80" t="s">
        <v>68</v>
      </c>
    </row>
    <row r="17" s="44" customFormat="1" ht="66" customHeight="1" spans="1:17">
      <c r="A17" s="8" t="s">
        <v>69</v>
      </c>
      <c r="B17" s="57" t="s">
        <v>70</v>
      </c>
      <c r="C17" s="60" t="s">
        <v>71</v>
      </c>
      <c r="D17" s="8" t="s">
        <v>72</v>
      </c>
      <c r="E17" s="61" t="str">
        <f>_xlfn.DISPIMG("ID_FC0AA0C8559E4F88BF8DED5A10B74BE8",1)</f>
        <v>=DISPIMG("ID_FC0AA0C8559E4F88BF8DED5A10B74BE8",1)</v>
      </c>
      <c r="F17" s="8"/>
      <c r="G17" s="8"/>
      <c r="H17" s="21">
        <v>1</v>
      </c>
      <c r="I17" s="8">
        <v>250</v>
      </c>
      <c r="J17" s="8">
        <v>13</v>
      </c>
      <c r="K17" s="8">
        <v>0</v>
      </c>
      <c r="L17" s="70" t="s">
        <v>73</v>
      </c>
      <c r="M17" s="75"/>
      <c r="N17" s="65"/>
      <c r="O17" s="74" t="str">
        <f>_xlfn.DISPIMG("ID_A955D061FCFF4E2BB5F7B1F8EFD4A2C5",1)</f>
        <v>=DISPIMG("ID_A955D061FCFF4E2BB5F7B1F8EFD4A2C5",1)</v>
      </c>
      <c r="P17" s="6" t="s">
        <v>74</v>
      </c>
      <c r="Q17" s="54" t="s">
        <v>75</v>
      </c>
    </row>
    <row r="18" s="44" customFormat="1" ht="71" customHeight="1" spans="1:18">
      <c r="A18" s="8" t="s">
        <v>69</v>
      </c>
      <c r="B18" s="62" t="s">
        <v>76</v>
      </c>
      <c r="C18" s="8" t="s">
        <v>77</v>
      </c>
      <c r="D18" s="8" t="s">
        <v>78</v>
      </c>
      <c r="E18" s="8" t="str">
        <f>_xlfn.DISPIMG("ID_EE4095801ACF43C8B7EFA7F43CC61D27",1)</f>
        <v>=DISPIMG("ID_EE4095801ACF43C8B7EFA7F43CC61D27",1)</v>
      </c>
      <c r="F18" s="8" t="s">
        <v>79</v>
      </c>
      <c r="G18" s="8"/>
      <c r="H18" s="21">
        <v>1</v>
      </c>
      <c r="I18" s="8">
        <v>110</v>
      </c>
      <c r="J18" s="8">
        <v>35</v>
      </c>
      <c r="K18" s="8">
        <v>3.5</v>
      </c>
      <c r="L18" s="70" t="s">
        <v>80</v>
      </c>
      <c r="M18" s="8"/>
      <c r="N18" s="65"/>
      <c r="O18" s="74" t="str">
        <f>_xlfn.DISPIMG("ID_69A5D4DB87BC41F2B024EF15375A0FE2",1)</f>
        <v>=DISPIMG("ID_69A5D4DB87BC41F2B024EF15375A0FE2",1)</v>
      </c>
      <c r="P18" s="12"/>
      <c r="Q18" s="44" t="str">
        <f>_xlfn.DISPIMG("ID_C9E67D01D0034ED88EC4B4362210D9AB",1)</f>
        <v>=DISPIMG("ID_C9E67D01D0034ED88EC4B4362210D9AB",1)</v>
      </c>
      <c r="R18" s="44" t="str">
        <f>_xlfn.DISPIMG("ID_0F618843B2E749B882AF9E98AC86A003",1)</f>
        <v>=DISPIMG("ID_0F618843B2E749B882AF9E98AC86A003",1)</v>
      </c>
    </row>
    <row r="19" s="44" customFormat="1" ht="71" customHeight="1" spans="1:17">
      <c r="A19" s="8" t="s">
        <v>69</v>
      </c>
      <c r="B19" s="57" t="s">
        <v>81</v>
      </c>
      <c r="C19" s="8" t="s">
        <v>82</v>
      </c>
      <c r="D19" s="8" t="s">
        <v>83</v>
      </c>
      <c r="E19" s="8"/>
      <c r="F19" s="8"/>
      <c r="G19" s="8"/>
      <c r="H19" s="21">
        <v>1</v>
      </c>
      <c r="I19" s="8">
        <v>25</v>
      </c>
      <c r="J19" s="8">
        <v>2.52</v>
      </c>
      <c r="K19" s="8">
        <v>2</v>
      </c>
      <c r="L19" s="70" t="s">
        <v>84</v>
      </c>
      <c r="M19" s="8"/>
      <c r="N19" s="65"/>
      <c r="O19" s="76" t="s">
        <v>85</v>
      </c>
      <c r="P19" s="16"/>
      <c r="Q19" s="44" t="str">
        <f>_xlfn.DISPIMG("ID_FFF2CFC0712C462187000E046790E04F",1)</f>
        <v>=DISPIMG("ID_FFF2CFC0712C462187000E046790E04F",1)</v>
      </c>
    </row>
    <row r="20" s="44" customFormat="1" ht="84" customHeight="1" spans="1:16">
      <c r="A20" s="8" t="s">
        <v>69</v>
      </c>
      <c r="B20" s="57" t="s">
        <v>86</v>
      </c>
      <c r="C20" s="8" t="s">
        <v>87</v>
      </c>
      <c r="D20" s="8" t="str">
        <f>_xlfn.DISPIMG("ID_C1AE3128FF7B4AFCAA8E527475DC954B",1)</f>
        <v>=DISPIMG("ID_C1AE3128FF7B4AFCAA8E527475DC954B",1)</v>
      </c>
      <c r="E20" s="8" t="str">
        <f>_xlfn.DISPIMG("ID_7BDC4BE2E3CC4D0A861E34E8DEEDECDB",1)</f>
        <v>=DISPIMG("ID_7BDC4BE2E3CC4D0A861E34E8DEEDECDB",1)</v>
      </c>
      <c r="F20" s="8" t="s">
        <v>88</v>
      </c>
      <c r="G20" s="8"/>
      <c r="H20" s="21">
        <v>1000</v>
      </c>
      <c r="I20" s="8" t="s">
        <v>89</v>
      </c>
      <c r="J20" s="8">
        <v>450</v>
      </c>
      <c r="K20" s="8">
        <v>0</v>
      </c>
      <c r="L20" s="8" t="s">
        <v>90</v>
      </c>
      <c r="M20" s="8"/>
      <c r="N20" s="65"/>
      <c r="O20" s="65"/>
      <c r="P20" s="16" t="s">
        <v>91</v>
      </c>
    </row>
    <row r="21" s="45" customFormat="1" ht="115" customHeight="1" spans="1:18">
      <c r="A21" s="11" t="s">
        <v>69</v>
      </c>
      <c r="B21" s="63" t="s">
        <v>92</v>
      </c>
      <c r="C21" s="60"/>
      <c r="D21" s="11" t="s">
        <v>93</v>
      </c>
      <c r="E21" s="38"/>
      <c r="F21" s="11"/>
      <c r="G21" s="11"/>
      <c r="H21" s="53">
        <v>1</v>
      </c>
      <c r="I21" s="11">
        <v>8</v>
      </c>
      <c r="J21" s="11">
        <v>2.5</v>
      </c>
      <c r="K21" s="11">
        <v>6</v>
      </c>
      <c r="L21" s="70" t="s">
        <v>94</v>
      </c>
      <c r="M21" s="71" t="s">
        <v>89</v>
      </c>
      <c r="N21" s="77" t="s">
        <v>89</v>
      </c>
      <c r="O21" s="6" t="s">
        <v>95</v>
      </c>
      <c r="P21" s="10" t="s">
        <v>96</v>
      </c>
      <c r="Q21" s="10" t="s">
        <v>97</v>
      </c>
      <c r="R21" s="10" t="str">
        <f>_xlfn.DISPIMG("ID_D3D4EAF25E7D4AC5A90779C309A818A5",1)</f>
        <v>=DISPIMG("ID_D3D4EAF25E7D4AC5A90779C309A818A5",1)</v>
      </c>
    </row>
    <row r="22" s="45" customFormat="1" ht="75" customHeight="1" spans="3:18">
      <c r="C22" s="11"/>
      <c r="D22" s="11"/>
      <c r="E22" s="11"/>
      <c r="F22" s="11"/>
      <c r="G22" s="11"/>
      <c r="H22" s="53">
        <v>10</v>
      </c>
      <c r="I22" s="11">
        <v>8</v>
      </c>
      <c r="J22" s="11">
        <v>2.5</v>
      </c>
      <c r="K22" s="11">
        <v>6</v>
      </c>
      <c r="L22" s="78"/>
      <c r="M22" s="71"/>
      <c r="N22" s="69"/>
      <c r="O22" s="16"/>
      <c r="P22" s="19"/>
      <c r="Q22" s="19"/>
      <c r="R22" s="19"/>
    </row>
  </sheetData>
  <sheetProtection formatCells="0" formatColumns="0" formatRows="0" insertRows="0" insertColumns="0" insertHyperlinks="0" deleteColumns="0" deleteRows="0" sort="0" autoFilter="0" pivotTables="0"/>
  <mergeCells count="18">
    <mergeCell ref="Q1:R1"/>
    <mergeCell ref="E6:E7"/>
    <mergeCell ref="L2:L3"/>
    <mergeCell ref="L4:L5"/>
    <mergeCell ref="L6:L7"/>
    <mergeCell ref="L21:L22"/>
    <mergeCell ref="M2:M3"/>
    <mergeCell ref="M4:M5"/>
    <mergeCell ref="M21:M22"/>
    <mergeCell ref="N21:N22"/>
    <mergeCell ref="O4:O5"/>
    <mergeCell ref="O21:O22"/>
    <mergeCell ref="P2:P3"/>
    <mergeCell ref="P4:P5"/>
    <mergeCell ref="P17:P19"/>
    <mergeCell ref="P21:P22"/>
    <mergeCell ref="Q21:Q22"/>
    <mergeCell ref="R21:R22"/>
  </mergeCells>
  <hyperlinks>
    <hyperlink ref="M2" r:id="rId4" display="https://detail.1688.com/offer/1001041494527.html?spm=a26352.b28411319/2508.0.0 &#10;" tooltip="https://detail.1688.com/offer/1001041494527.html?spm=a26352.b28411319/2508.0.0 &#10;"/>
    <hyperlink ref="L2" r:id="rId5" display="https://detail.1688.com/offer/945815791784.html?spm=a261y.7663282.3002526303362591.2.6e6c7b1a4rIdRF&amp;sk=order" tooltip="https://detail.1688.com/offer/945815791784.html?spm=a261y.7663282.3002526303362591.2.6e6c7b1a4rIdRF&amp;sk=order"/>
    <hyperlink ref="M4" r:id="rId4" display="https://detail.1688.com/offer/1001041494527.html?spm=a26352.b28411319/2508.0.0 &#10;" tooltip="https://detail.1688.com/offer/1001041494527.html?spm=a26352.b28411319/2508.0.0 &#10;"/>
    <hyperlink ref="L6" r:id="rId6" display="https://detail.1688.com/offer/838070826844.html?spm=a261y.7663282.3002526303362591.2.401332bdEKMHWJ&amp;sk=order"/>
    <hyperlink ref="M11" r:id="rId7" display="https://detail.1688.com/offer/848199047210.html?spm=a26352.b28411319/2508.0.0"/>
    <hyperlink ref="M12" r:id="rId8" display="https://detail.1688.com/offer/989777140315.html?spm=a26352.b28411319/2508.0.0"/>
    <hyperlink ref="L16" r:id="rId9" display="https://detail.1688.com/offer/755189854367.html?spm=a360q.8274423%2Fnew.goods.productname" tooltip="https://detail.1688.com/offer/755189854367.html?spm=a360q.8274423%2Fnew.goods.productname"/>
    <hyperlink ref="L17" r:id="rId10" display="https://detail.1688.com/offer/954071845402.html?spm=a360q.8274423%2Fnew.goods.productimage" tooltip="https://detail.1688.com/offer/954071845402.html?spm=a360q.8274423%2Fnew.goods.productimage"/>
    <hyperlink ref="L18" r:id="rId11" display="https://detail.1688.com/offer/825368947200.html?spm=a360q.8274423%2Fnew.goods.productimage" tooltip="https://detail.1688.com/offer/825368947200.html?spm=a360q.8274423%2Fnew.goods.productimage"/>
    <hyperlink ref="L19" r:id="rId12" display="https://detail.1688.com/offer/839714820723.html" tooltip="https://detail.1688.com/offer/839714820723.html"/>
    <hyperlink ref="L21" r:id="rId13" display="https://detail.1688.com/offer/985311607246.html"/>
  </hyperlink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0"/>
  <sheetViews>
    <sheetView zoomScale="70" zoomScaleNormal="70" workbookViewId="0">
      <selection activeCell="C6" sqref="C6"/>
    </sheetView>
  </sheetViews>
  <sheetFormatPr defaultColWidth="9" defaultRowHeight="13.5"/>
  <cols>
    <col min="4" max="4" width="15.5" customWidth="1"/>
    <col min="5" max="5" width="11" customWidth="1"/>
    <col min="8" max="11" width="9" hidden="1" customWidth="1"/>
    <col min="12" max="12" width="9" style="42" hidden="1" customWidth="1"/>
    <col min="13" max="13" width="13.9" customWidth="1"/>
    <col min="14" max="14" width="13.75" customWidth="1"/>
    <col min="15" max="15" width="15.6333333333333" customWidth="1"/>
    <col min="16" max="16" width="13.6333333333333" customWidth="1"/>
    <col min="17" max="18" width="12.6333333333333"/>
    <col min="19" max="21" width="9" customWidth="1"/>
    <col min="22" max="24" width="9.38333333333333" customWidth="1"/>
  </cols>
  <sheetData>
    <row r="1" ht="30" customHeight="1" spans="1:27">
      <c r="A1" s="2" t="s">
        <v>98</v>
      </c>
      <c r="B1" s="2" t="s">
        <v>99</v>
      </c>
      <c r="C1" s="2" t="s">
        <v>100</v>
      </c>
      <c r="D1" s="3" t="s">
        <v>101</v>
      </c>
      <c r="E1" s="3" t="s">
        <v>102</v>
      </c>
      <c r="F1" s="3" t="s">
        <v>103</v>
      </c>
      <c r="G1" s="4" t="s">
        <v>7</v>
      </c>
      <c r="H1" s="5" t="s">
        <v>104</v>
      </c>
      <c r="I1" s="5" t="s">
        <v>105</v>
      </c>
      <c r="J1" s="5" t="s">
        <v>106</v>
      </c>
      <c r="K1" s="5" t="s">
        <v>107</v>
      </c>
      <c r="L1" s="32" t="s">
        <v>108</v>
      </c>
      <c r="M1" s="33" t="s">
        <v>109</v>
      </c>
      <c r="N1" s="34" t="s">
        <v>110</v>
      </c>
      <c r="O1" s="33" t="s">
        <v>111</v>
      </c>
      <c r="P1" s="35" t="s">
        <v>112</v>
      </c>
      <c r="Q1" s="33" t="s">
        <v>113</v>
      </c>
      <c r="R1" s="34" t="s">
        <v>114</v>
      </c>
      <c r="S1" s="34" t="s">
        <v>115</v>
      </c>
      <c r="T1" s="35" t="s">
        <v>116</v>
      </c>
      <c r="U1" s="35" t="s">
        <v>117</v>
      </c>
      <c r="V1" s="35" t="s">
        <v>118</v>
      </c>
      <c r="W1" s="34" t="s">
        <v>119</v>
      </c>
      <c r="X1" s="4" t="s">
        <v>120</v>
      </c>
      <c r="Y1" s="40" t="s">
        <v>121</v>
      </c>
      <c r="Z1" s="40" t="s">
        <v>122</v>
      </c>
      <c r="AA1" s="40"/>
    </row>
    <row r="2" ht="30" customHeight="1" spans="1:25">
      <c r="A2" s="6" t="s">
        <v>60</v>
      </c>
      <c r="B2" s="7" t="s">
        <v>61</v>
      </c>
      <c r="C2" s="8" t="s">
        <v>62</v>
      </c>
      <c r="D2" s="9" t="str">
        <f>_xlfn.DISPIMG("ID_807ECB23B26C40F6A9D6CC5A7776D5FE",1)</f>
        <v>=DISPIMG("ID_807ECB23B26C40F6A9D6CC5A7776D5FE",1)</v>
      </c>
      <c r="E2" s="10">
        <v>50</v>
      </c>
      <c r="F2" s="10" t="s">
        <v>63</v>
      </c>
      <c r="G2" s="11">
        <v>1</v>
      </c>
      <c r="H2" s="11">
        <f>15*G2</f>
        <v>15</v>
      </c>
      <c r="I2" s="11">
        <f>0*G2</f>
        <v>0</v>
      </c>
      <c r="J2" s="11">
        <f>0*G2</f>
        <v>0</v>
      </c>
      <c r="K2" s="11">
        <f>250*G2</f>
        <v>250</v>
      </c>
      <c r="L2" s="36">
        <f>K2+20</f>
        <v>270</v>
      </c>
      <c r="M2" s="37">
        <f>(H2+J2)/6.5/0.98/0.95</f>
        <v>2.47872428323556</v>
      </c>
      <c r="N2" s="37">
        <f>(L2*0.048+20)/6.5/0.98/0.95+0.2</f>
        <v>5.64658349169627</v>
      </c>
      <c r="O2" s="37">
        <f>(L2*0.066+21)/6.5/0.98/0.95+0.2</f>
        <v>6.61493844501363</v>
      </c>
      <c r="P2" s="37">
        <f>(L2*0.111+18)/6.5/0.98/0.95+0.2</f>
        <v>8.12696025778733</v>
      </c>
      <c r="Q2" s="37">
        <f>(L2*0.067+30)/6.5/0.98/0.95+0.2</f>
        <v>8.14679005205321</v>
      </c>
      <c r="R2" s="37">
        <f>(L2*0.047+25)/6.5/0.98/0.95+0.2</f>
        <v>6.42820788234322</v>
      </c>
      <c r="S2" s="37">
        <f>M2+N2</f>
        <v>8.12530777493184</v>
      </c>
      <c r="T2" s="37">
        <f>M2+O2</f>
        <v>9.09366272824919</v>
      </c>
      <c r="U2" s="37">
        <f>M2+P2</f>
        <v>10.6056845410229</v>
      </c>
      <c r="V2" s="37">
        <f t="shared" ref="V2:V11" si="0">M2+Q2</f>
        <v>10.6255143352888</v>
      </c>
      <c r="W2" s="37">
        <f>M2+R2</f>
        <v>8.90693216557878</v>
      </c>
      <c r="X2" s="38"/>
      <c r="Y2" s="38"/>
    </row>
    <row r="3" ht="30" customHeight="1" spans="1:27">
      <c r="A3" s="12"/>
      <c r="B3" s="13"/>
      <c r="C3" s="8" t="s">
        <v>62</v>
      </c>
      <c r="D3" s="14"/>
      <c r="E3" s="15"/>
      <c r="F3" s="15"/>
      <c r="G3" s="11">
        <v>2</v>
      </c>
      <c r="H3" s="11">
        <f t="shared" ref="H3:H8" si="1">15*G3</f>
        <v>30</v>
      </c>
      <c r="I3" s="11">
        <f t="shared" ref="I3:I13" si="2">0*G3</f>
        <v>0</v>
      </c>
      <c r="J3" s="11">
        <f t="shared" ref="J3:J13" si="3">0*G3</f>
        <v>0</v>
      </c>
      <c r="K3" s="11">
        <f t="shared" ref="K3:K8" si="4">250*G3</f>
        <v>500</v>
      </c>
      <c r="L3" s="36">
        <f>K3+20</f>
        <v>520</v>
      </c>
      <c r="M3" s="37">
        <f t="shared" ref="M3:M10" si="5">(H3+J3)/6.5/0.98/0.95</f>
        <v>4.95744856647112</v>
      </c>
      <c r="N3" s="37">
        <f t="shared" ref="N3:N8" si="6">(L3*0.047+21)/6.5/0.98/0.95+0.2</f>
        <v>7.70888209534826</v>
      </c>
      <c r="O3" s="37">
        <f>(L3*0.066+21)/6.5/0.98/0.95+0.2</f>
        <v>9.34153515657275</v>
      </c>
      <c r="P3" s="37">
        <f t="shared" ref="P3:P8" si="7">(L3*0.095+18)/6.5/0.98/0.95+0.2</f>
        <v>11.3377344460051</v>
      </c>
      <c r="Q3" s="37">
        <f t="shared" ref="Q3:Q8" si="8">(L3*0.062+28)/6.5/0.98/0.95+0.2</f>
        <v>10.154556721474</v>
      </c>
      <c r="R3" s="37">
        <f t="shared" ref="R3:R8" si="9">(L3*0.047+24)/6.5/0.98/0.95+0.2</f>
        <v>8.20462695199537</v>
      </c>
      <c r="S3" s="37">
        <f t="shared" ref="S3:S25" si="10">M3+N3</f>
        <v>12.6663306618194</v>
      </c>
      <c r="T3" s="37">
        <f t="shared" ref="T3:T25" si="11">M3+O3</f>
        <v>14.2989837230439</v>
      </c>
      <c r="U3" s="37">
        <f t="shared" ref="U3:U8" si="12">M3+P3</f>
        <v>16.2951830124762</v>
      </c>
      <c r="V3" s="37">
        <f t="shared" si="0"/>
        <v>15.1120052879451</v>
      </c>
      <c r="W3" s="37">
        <f t="shared" ref="W3:W8" si="13">M3+R3</f>
        <v>13.1620755184665</v>
      </c>
      <c r="X3" s="38"/>
      <c r="Y3" s="38"/>
      <c r="AA3" s="41"/>
    </row>
    <row r="4" ht="30" customHeight="1" spans="1:27">
      <c r="A4" s="12"/>
      <c r="B4" s="13"/>
      <c r="C4" s="8" t="s">
        <v>62</v>
      </c>
      <c r="D4" s="14"/>
      <c r="E4" s="15"/>
      <c r="F4" s="15"/>
      <c r="G4" s="11">
        <v>3</v>
      </c>
      <c r="H4" s="11">
        <f t="shared" si="1"/>
        <v>45</v>
      </c>
      <c r="I4" s="11">
        <f t="shared" si="2"/>
        <v>0</v>
      </c>
      <c r="J4" s="11">
        <f t="shared" si="3"/>
        <v>0</v>
      </c>
      <c r="K4" s="11">
        <f t="shared" si="4"/>
        <v>750</v>
      </c>
      <c r="L4" s="36">
        <f>K4+20</f>
        <v>770</v>
      </c>
      <c r="M4" s="37">
        <f t="shared" si="5"/>
        <v>7.43617284970669</v>
      </c>
      <c r="N4" s="37">
        <f t="shared" si="6"/>
        <v>9.65054945054945</v>
      </c>
      <c r="O4" s="37">
        <f t="shared" ref="O3:O8" si="14">(L4*0.066+21)/6.5/0.98/0.95+0.2</f>
        <v>12.0681318681319</v>
      </c>
      <c r="P4" s="37">
        <f t="shared" si="7"/>
        <v>15.2623812277948</v>
      </c>
      <c r="Q4" s="37">
        <f t="shared" si="8"/>
        <v>12.7159051474841</v>
      </c>
      <c r="R4" s="37">
        <f t="shared" si="9"/>
        <v>10.1462943071966</v>
      </c>
      <c r="S4" s="37">
        <f t="shared" si="10"/>
        <v>17.0867223002561</v>
      </c>
      <c r="T4" s="37">
        <f t="shared" si="11"/>
        <v>19.5043047178386</v>
      </c>
      <c r="U4" s="37">
        <f t="shared" si="12"/>
        <v>22.6985540775014</v>
      </c>
      <c r="V4" s="37">
        <f t="shared" si="0"/>
        <v>20.1520779971908</v>
      </c>
      <c r="W4" s="37">
        <f t="shared" si="13"/>
        <v>17.5824671569032</v>
      </c>
      <c r="X4" s="38"/>
      <c r="Y4" s="38"/>
      <c r="AA4" s="1"/>
    </row>
    <row r="5" ht="30" customHeight="1" spans="1:25">
      <c r="A5" s="12"/>
      <c r="B5" s="13"/>
      <c r="C5" s="8" t="s">
        <v>62</v>
      </c>
      <c r="D5" s="14"/>
      <c r="E5" s="15"/>
      <c r="F5" s="15"/>
      <c r="G5" s="11">
        <v>4</v>
      </c>
      <c r="H5" s="11">
        <f t="shared" si="1"/>
        <v>60</v>
      </c>
      <c r="I5" s="11">
        <f t="shared" si="2"/>
        <v>0</v>
      </c>
      <c r="J5" s="11">
        <f t="shared" si="3"/>
        <v>0</v>
      </c>
      <c r="K5" s="11">
        <f t="shared" si="4"/>
        <v>1000</v>
      </c>
      <c r="L5" s="36">
        <f>K5+20</f>
        <v>1020</v>
      </c>
      <c r="M5" s="37">
        <f t="shared" si="5"/>
        <v>9.91489713294225</v>
      </c>
      <c r="N5" s="37">
        <f t="shared" si="6"/>
        <v>11.5922168057506</v>
      </c>
      <c r="O5" s="37">
        <f t="shared" si="14"/>
        <v>14.794728579691</v>
      </c>
      <c r="P5" s="37">
        <f t="shared" si="7"/>
        <v>19.1870280095844</v>
      </c>
      <c r="Q5" s="37">
        <f t="shared" si="8"/>
        <v>15.2772535734942</v>
      </c>
      <c r="R5" s="37">
        <f t="shared" si="9"/>
        <v>12.0879616623978</v>
      </c>
      <c r="S5" s="37">
        <f t="shared" si="10"/>
        <v>21.5071139386929</v>
      </c>
      <c r="T5" s="37">
        <f t="shared" si="11"/>
        <v>24.7096257126332</v>
      </c>
      <c r="U5" s="37">
        <f t="shared" si="12"/>
        <v>29.1019251425266</v>
      </c>
      <c r="V5" s="37">
        <f t="shared" si="0"/>
        <v>25.1921507064364</v>
      </c>
      <c r="W5" s="37">
        <f t="shared" si="13"/>
        <v>22.00285879534</v>
      </c>
      <c r="X5" s="38"/>
      <c r="Y5" s="38"/>
    </row>
    <row r="6" ht="30" customHeight="1" spans="1:25">
      <c r="A6" s="12"/>
      <c r="B6" s="13"/>
      <c r="C6" s="8" t="s">
        <v>62</v>
      </c>
      <c r="D6" s="14"/>
      <c r="E6" s="15"/>
      <c r="F6" s="15"/>
      <c r="G6" s="11">
        <v>5</v>
      </c>
      <c r="H6" s="11">
        <f t="shared" si="1"/>
        <v>75</v>
      </c>
      <c r="I6" s="11">
        <f t="shared" si="2"/>
        <v>0</v>
      </c>
      <c r="J6" s="11">
        <f t="shared" si="3"/>
        <v>0</v>
      </c>
      <c r="K6" s="11">
        <f t="shared" si="4"/>
        <v>1250</v>
      </c>
      <c r="L6" s="36">
        <f>K6+20</f>
        <v>1270</v>
      </c>
      <c r="M6" s="37">
        <f t="shared" si="5"/>
        <v>12.3936214161778</v>
      </c>
      <c r="N6" s="37">
        <f t="shared" si="6"/>
        <v>13.5338841609518</v>
      </c>
      <c r="O6" s="37">
        <f t="shared" si="14"/>
        <v>17.5213252912501</v>
      </c>
      <c r="P6" s="37">
        <f t="shared" si="7"/>
        <v>23.111674791374</v>
      </c>
      <c r="Q6" s="37">
        <f t="shared" si="8"/>
        <v>17.8386019995043</v>
      </c>
      <c r="R6" s="37">
        <f t="shared" si="9"/>
        <v>14.0296290175989</v>
      </c>
      <c r="S6" s="37">
        <f t="shared" si="10"/>
        <v>25.9275055771296</v>
      </c>
      <c r="T6" s="37">
        <f t="shared" si="11"/>
        <v>29.9149467074279</v>
      </c>
      <c r="U6" s="37">
        <f t="shared" si="12"/>
        <v>35.5052962075519</v>
      </c>
      <c r="V6" s="37">
        <f t="shared" si="0"/>
        <v>30.2322234156821</v>
      </c>
      <c r="W6" s="37">
        <f t="shared" si="13"/>
        <v>26.4232504337768</v>
      </c>
      <c r="X6" s="38"/>
      <c r="Y6" s="38"/>
    </row>
    <row r="7" ht="30" customHeight="1" spans="1:25">
      <c r="A7" s="12"/>
      <c r="B7" s="13"/>
      <c r="C7" s="8" t="s">
        <v>62</v>
      </c>
      <c r="D7" s="14"/>
      <c r="E7" s="15"/>
      <c r="F7" s="15"/>
      <c r="G7" s="11">
        <v>6</v>
      </c>
      <c r="H7" s="11">
        <f t="shared" si="1"/>
        <v>90</v>
      </c>
      <c r="I7" s="11">
        <f t="shared" si="2"/>
        <v>0</v>
      </c>
      <c r="J7" s="11">
        <f t="shared" si="3"/>
        <v>0</v>
      </c>
      <c r="K7" s="11">
        <f t="shared" si="4"/>
        <v>1500</v>
      </c>
      <c r="L7" s="36">
        <f>K7+120</f>
        <v>1620</v>
      </c>
      <c r="M7" s="37">
        <f t="shared" si="5"/>
        <v>14.8723456994134</v>
      </c>
      <c r="N7" s="37">
        <f t="shared" si="6"/>
        <v>16.2522184582335</v>
      </c>
      <c r="O7" s="37">
        <f t="shared" si="14"/>
        <v>21.3385606874329</v>
      </c>
      <c r="P7" s="37">
        <f t="shared" si="7"/>
        <v>28.6061802858795</v>
      </c>
      <c r="Q7" s="37">
        <f t="shared" si="8"/>
        <v>21.4244897959184</v>
      </c>
      <c r="R7" s="37">
        <f t="shared" si="9"/>
        <v>16.7479633148806</v>
      </c>
      <c r="S7" s="37">
        <f t="shared" si="10"/>
        <v>31.1245641576469</v>
      </c>
      <c r="T7" s="37">
        <f t="shared" si="11"/>
        <v>36.2109063868462</v>
      </c>
      <c r="U7" s="37">
        <f t="shared" si="12"/>
        <v>43.4785259852929</v>
      </c>
      <c r="V7" s="37">
        <f t="shared" si="0"/>
        <v>36.2968354953317</v>
      </c>
      <c r="W7" s="37">
        <f t="shared" si="13"/>
        <v>31.620309014294</v>
      </c>
      <c r="X7" s="38"/>
      <c r="Y7" s="38"/>
    </row>
    <row r="8" ht="30" customHeight="1" spans="1:25">
      <c r="A8" s="12"/>
      <c r="B8" s="13"/>
      <c r="C8" s="8" t="s">
        <v>62</v>
      </c>
      <c r="D8" s="14"/>
      <c r="E8" s="15"/>
      <c r="F8" s="15"/>
      <c r="G8" s="11">
        <v>7</v>
      </c>
      <c r="H8" s="11">
        <f t="shared" si="1"/>
        <v>105</v>
      </c>
      <c r="I8" s="11">
        <f t="shared" si="2"/>
        <v>0</v>
      </c>
      <c r="J8" s="11">
        <f t="shared" si="3"/>
        <v>0</v>
      </c>
      <c r="K8" s="11">
        <f t="shared" si="4"/>
        <v>1750</v>
      </c>
      <c r="L8" s="36">
        <f>K8+130</f>
        <v>1880</v>
      </c>
      <c r="M8" s="37">
        <f t="shared" si="5"/>
        <v>17.3510699826489</v>
      </c>
      <c r="N8" s="37">
        <f t="shared" si="6"/>
        <v>18.2715525076427</v>
      </c>
      <c r="O8" s="37">
        <f t="shared" si="14"/>
        <v>24.1742212674544</v>
      </c>
      <c r="P8" s="37">
        <f t="shared" si="7"/>
        <v>32.6878129389408</v>
      </c>
      <c r="Q8" s="37">
        <f t="shared" si="8"/>
        <v>24.0882921589689</v>
      </c>
      <c r="R8" s="37">
        <f t="shared" si="9"/>
        <v>18.7672973642898</v>
      </c>
      <c r="S8" s="37">
        <f t="shared" si="10"/>
        <v>35.6226224902917</v>
      </c>
      <c r="T8" s="37">
        <f t="shared" si="11"/>
        <v>41.5252912501033</v>
      </c>
      <c r="U8" s="37">
        <f t="shared" si="12"/>
        <v>50.0388829215897</v>
      </c>
      <c r="V8" s="37">
        <f t="shared" si="0"/>
        <v>41.4393621416178</v>
      </c>
      <c r="W8" s="37">
        <f t="shared" si="13"/>
        <v>36.1183673469388</v>
      </c>
      <c r="X8" s="38"/>
      <c r="Y8" s="38"/>
    </row>
    <row r="9" ht="30" customHeight="1" spans="1:25">
      <c r="A9" s="12"/>
      <c r="B9" s="13"/>
      <c r="C9" s="8" t="s">
        <v>123</v>
      </c>
      <c r="D9" s="14"/>
      <c r="E9" s="10">
        <v>50</v>
      </c>
      <c r="F9" s="10" t="s">
        <v>124</v>
      </c>
      <c r="G9" s="11">
        <v>1</v>
      </c>
      <c r="H9" s="11">
        <f>16.1*G9</f>
        <v>16.1</v>
      </c>
      <c r="I9" s="11">
        <f t="shared" si="2"/>
        <v>0</v>
      </c>
      <c r="J9" s="11">
        <f t="shared" si="3"/>
        <v>0</v>
      </c>
      <c r="K9" s="11">
        <f>320*G9</f>
        <v>320</v>
      </c>
      <c r="L9" s="36">
        <f>K9+30</f>
        <v>350</v>
      </c>
      <c r="M9" s="37">
        <f t="shared" si="5"/>
        <v>2.6604973973395</v>
      </c>
      <c r="N9" s="37">
        <f>(L9*0.052+20)/6.5/0.95/0.95</f>
        <v>6.51182612401449</v>
      </c>
      <c r="O9" s="37">
        <f t="shared" ref="O9:O14" si="15">(L9*0.066+21)/6.5/0.95/0.95</f>
        <v>7.51757937353505</v>
      </c>
      <c r="P9" s="37">
        <f>(L9*0.116+18)/6.5/0.95/0.95</f>
        <v>9.98934583422118</v>
      </c>
      <c r="Q9" s="37">
        <f>(L9*0.062+28)/6.5/0.95/0.95</f>
        <v>8.47219262731728</v>
      </c>
      <c r="R9" s="37">
        <f>(L9*0.047+25)/6.5/0.95/0.95</f>
        <v>7.06584274451311</v>
      </c>
      <c r="S9" s="37">
        <f t="shared" si="10"/>
        <v>9.17232352135399</v>
      </c>
      <c r="T9" s="37">
        <f t="shared" si="11"/>
        <v>10.1780767708746</v>
      </c>
      <c r="U9" s="37">
        <f t="shared" ref="U3:U25" si="16">M9+P9</f>
        <v>12.6498432315607</v>
      </c>
      <c r="V9" s="37">
        <f t="shared" si="0"/>
        <v>11.1326900246568</v>
      </c>
      <c r="W9" s="37">
        <f t="shared" ref="W3:W25" si="17">M9+R9</f>
        <v>9.72634014185261</v>
      </c>
      <c r="X9" s="38"/>
      <c r="Y9" s="38"/>
    </row>
    <row r="10" ht="30" customHeight="1" spans="1:25">
      <c r="A10" s="16"/>
      <c r="B10" s="17"/>
      <c r="C10" s="8" t="s">
        <v>123</v>
      </c>
      <c r="D10" s="18"/>
      <c r="E10" s="19"/>
      <c r="F10" s="19"/>
      <c r="G10" s="11">
        <v>2</v>
      </c>
      <c r="H10" s="11">
        <f>16.1*G10</f>
        <v>32.2</v>
      </c>
      <c r="I10" s="11">
        <f t="shared" si="2"/>
        <v>0</v>
      </c>
      <c r="J10" s="11">
        <f t="shared" si="3"/>
        <v>0</v>
      </c>
      <c r="K10" s="11">
        <f>320*G10</f>
        <v>640</v>
      </c>
      <c r="L10" s="36">
        <f>K10+45</f>
        <v>685</v>
      </c>
      <c r="M10" s="37">
        <f t="shared" si="5"/>
        <v>5.32099479467901</v>
      </c>
      <c r="N10" s="37">
        <f>(L10*0.051+21)/6.5/0.95/0.95</f>
        <v>9.53505220541232</v>
      </c>
      <c r="O10" s="37">
        <f t="shared" si="15"/>
        <v>11.2865970594502</v>
      </c>
      <c r="P10" s="37">
        <f>(L10*0.1+18)/6.5/0.95/0.95</f>
        <v>14.7453654378862</v>
      </c>
      <c r="Q10" s="37">
        <f>(L10*0.062+28)/6.5/0.95/0.95</f>
        <v>12.0127849989346</v>
      </c>
      <c r="R10" s="37">
        <f>(L10*0.047+24)/6.5/0.95/0.95</f>
        <v>9.57937353505221</v>
      </c>
      <c r="S10" s="37">
        <f t="shared" si="10"/>
        <v>14.8560470000913</v>
      </c>
      <c r="T10" s="37">
        <f t="shared" si="11"/>
        <v>16.6075918541293</v>
      </c>
      <c r="U10" s="37">
        <f t="shared" si="16"/>
        <v>20.0663602325652</v>
      </c>
      <c r="V10" s="37">
        <f t="shared" si="0"/>
        <v>17.3337797936136</v>
      </c>
      <c r="W10" s="37">
        <f t="shared" si="17"/>
        <v>14.9003683297312</v>
      </c>
      <c r="X10" s="38"/>
      <c r="Y10" s="38"/>
    </row>
    <row r="11" ht="30" customHeight="1" spans="1:23">
      <c r="A11" s="6" t="s">
        <v>70</v>
      </c>
      <c r="B11" s="20" t="s">
        <v>71</v>
      </c>
      <c r="C11" s="8" t="s">
        <v>72</v>
      </c>
      <c r="D11" s="9" t="str">
        <f>_xlfn.DISPIMG("ID_FC0AA0C8559E4F88BF8DED5A10B74BE8",1)</f>
        <v>=DISPIMG("ID_FC0AA0C8559E4F88BF8DED5A10B74BE8",1)</v>
      </c>
      <c r="E11" s="10">
        <v>10</v>
      </c>
      <c r="F11" s="10" t="s">
        <v>125</v>
      </c>
      <c r="G11" s="21">
        <v>1</v>
      </c>
      <c r="H11" s="8">
        <f>13*G11</f>
        <v>13</v>
      </c>
      <c r="I11" s="8">
        <f t="shared" si="2"/>
        <v>0</v>
      </c>
      <c r="J11" s="8">
        <f t="shared" si="3"/>
        <v>0</v>
      </c>
      <c r="K11" s="11">
        <f>250*G11</f>
        <v>250</v>
      </c>
      <c r="L11" s="36">
        <f>K11+25</f>
        <v>275</v>
      </c>
      <c r="M11" s="37">
        <f>(H11+J11)/6.5/0.95/0.95</f>
        <v>2.21606648199446</v>
      </c>
      <c r="N11" s="37">
        <f>(L11*0.048+20)/6.5/0.95/0.95</f>
        <v>5.65949286170893</v>
      </c>
      <c r="O11" s="37">
        <f t="shared" si="15"/>
        <v>6.67376944385255</v>
      </c>
      <c r="P11" s="37">
        <f>(L11*0.111+18)/6.5/0.95/0.95</f>
        <v>8.27189431067548</v>
      </c>
      <c r="Q11" s="37">
        <f>(L11*0.067+30)/6.5/0.95/0.95</f>
        <v>8.25484764542936</v>
      </c>
      <c r="R11" s="37">
        <f>(L11*0.047+25)/6.5/0.95/0.95</f>
        <v>6.46494779458768</v>
      </c>
      <c r="S11" s="37">
        <f t="shared" si="10"/>
        <v>7.87555934370339</v>
      </c>
      <c r="T11" s="37">
        <f t="shared" si="11"/>
        <v>8.88983592584701</v>
      </c>
      <c r="U11" s="37">
        <f t="shared" si="16"/>
        <v>10.4879607926699</v>
      </c>
      <c r="V11" s="37">
        <f t="shared" si="0"/>
        <v>10.4709141274238</v>
      </c>
      <c r="W11" s="37">
        <f t="shared" si="17"/>
        <v>8.68101427658214</v>
      </c>
    </row>
    <row r="12" ht="30" customHeight="1" spans="1:23">
      <c r="A12" s="12"/>
      <c r="B12" s="22"/>
      <c r="C12" s="8" t="s">
        <v>72</v>
      </c>
      <c r="D12" s="14"/>
      <c r="E12" s="15"/>
      <c r="F12" s="15"/>
      <c r="G12" s="11">
        <v>2</v>
      </c>
      <c r="H12" s="8">
        <f>13*G12</f>
        <v>26</v>
      </c>
      <c r="I12" s="8">
        <f t="shared" si="2"/>
        <v>0</v>
      </c>
      <c r="J12" s="8">
        <f t="shared" si="3"/>
        <v>0</v>
      </c>
      <c r="K12" s="11">
        <f>250*G12</f>
        <v>500</v>
      </c>
      <c r="L12" s="36">
        <f>K12+35</f>
        <v>535</v>
      </c>
      <c r="M12" s="37">
        <f t="shared" ref="M3:M25" si="18">(H12+J12)/6.5/0.95/0.95</f>
        <v>4.43213296398892</v>
      </c>
      <c r="N12" s="37">
        <f>(L12*0.047+21)/6.5/0.95/0.95</f>
        <v>7.86618367781803</v>
      </c>
      <c r="O12" s="37">
        <f t="shared" si="15"/>
        <v>9.59897720008524</v>
      </c>
      <c r="P12" s="37">
        <f>(L12*0.095+18)/6.5/0.95/0.95</f>
        <v>11.7323673556361</v>
      </c>
      <c r="Q12" s="37">
        <f>(L12*0.062+28)/6.5/0.95/0.95</f>
        <v>10.4274451310462</v>
      </c>
      <c r="R12" s="37">
        <f>(L12*0.047+24)/6.5/0.95/0.95</f>
        <v>8.37758363520136</v>
      </c>
      <c r="S12" s="37">
        <f t="shared" si="10"/>
        <v>12.2983166418069</v>
      </c>
      <c r="T12" s="37">
        <f t="shared" si="11"/>
        <v>14.0311101640742</v>
      </c>
      <c r="U12" s="37">
        <f t="shared" si="16"/>
        <v>16.164500319625</v>
      </c>
      <c r="V12" s="37">
        <f t="shared" ref="V12:V25" si="19">M12+Q12</f>
        <v>14.8595780950352</v>
      </c>
      <c r="W12" s="37">
        <f t="shared" si="17"/>
        <v>12.8097165991903</v>
      </c>
    </row>
    <row r="13" ht="30" customHeight="1" spans="1:23">
      <c r="A13" s="12"/>
      <c r="B13" s="22"/>
      <c r="C13" s="8" t="s">
        <v>72</v>
      </c>
      <c r="D13" s="14"/>
      <c r="E13" s="15"/>
      <c r="F13" s="15"/>
      <c r="G13" s="11">
        <v>3</v>
      </c>
      <c r="H13" s="8">
        <f>13*G13</f>
        <v>39</v>
      </c>
      <c r="I13" s="8">
        <f t="shared" si="2"/>
        <v>0</v>
      </c>
      <c r="J13" s="8">
        <f t="shared" si="3"/>
        <v>0</v>
      </c>
      <c r="K13" s="11">
        <f>250*G13</f>
        <v>750</v>
      </c>
      <c r="L13" s="36">
        <f>K13+50</f>
        <v>800</v>
      </c>
      <c r="M13" s="37">
        <f t="shared" si="18"/>
        <v>6.64819944598338</v>
      </c>
      <c r="N13" s="37">
        <f>(L13*0.047+21)/6.5/0.95/0.95</f>
        <v>9.98934583422118</v>
      </c>
      <c r="O13" s="37">
        <f t="shared" si="15"/>
        <v>12.5804389516301</v>
      </c>
      <c r="P13" s="37">
        <f>(L13*0.095+18)/6.5/0.95/0.95</f>
        <v>16.0238653313446</v>
      </c>
      <c r="Q13" s="37">
        <f>(L13*0.062+28)/6.5/0.95/0.95</f>
        <v>13.2282122309823</v>
      </c>
      <c r="R13" s="37">
        <f>(L13*0.047+24)/6.5/0.95/0.95</f>
        <v>10.5007457916045</v>
      </c>
      <c r="S13" s="37">
        <f t="shared" si="10"/>
        <v>16.6375452802046</v>
      </c>
      <c r="T13" s="37">
        <f t="shared" si="11"/>
        <v>19.2286383976135</v>
      </c>
      <c r="U13" s="37">
        <f t="shared" si="16"/>
        <v>22.6720647773279</v>
      </c>
      <c r="V13" s="37">
        <f t="shared" si="19"/>
        <v>19.8764116769657</v>
      </c>
      <c r="W13" s="37">
        <f t="shared" si="17"/>
        <v>17.1489452375879</v>
      </c>
    </row>
    <row r="14" ht="30" customHeight="1" spans="1:23">
      <c r="A14" s="16"/>
      <c r="B14" s="23"/>
      <c r="C14" s="8" t="s">
        <v>72</v>
      </c>
      <c r="D14" s="14"/>
      <c r="E14" s="15"/>
      <c r="F14" s="19"/>
      <c r="G14" s="11">
        <v>4</v>
      </c>
      <c r="H14" s="8">
        <f>13*G14</f>
        <v>52</v>
      </c>
      <c r="I14" s="11"/>
      <c r="J14" s="11"/>
      <c r="K14" s="11">
        <f>250*G14</f>
        <v>1000</v>
      </c>
      <c r="L14" s="36">
        <f>K14+65</f>
        <v>1065</v>
      </c>
      <c r="M14" s="37">
        <f t="shared" si="18"/>
        <v>8.86426592797784</v>
      </c>
      <c r="N14" s="37">
        <f>(L14*0.047+21)/6.5/0.95/0.95</f>
        <v>12.1125079906243</v>
      </c>
      <c r="O14" s="37">
        <f t="shared" si="15"/>
        <v>15.5619007031749</v>
      </c>
      <c r="P14" s="37">
        <f>(L14*0.095+18)/6.5/0.95/0.95</f>
        <v>20.3153633070531</v>
      </c>
      <c r="Q14" s="37">
        <f>(L14*0.062+28)/6.5/0.95/0.95</f>
        <v>16.0289793309184</v>
      </c>
      <c r="R14" s="37">
        <f>(L14*0.047+24)/6.5/0.95/0.95</f>
        <v>12.6239079480077</v>
      </c>
      <c r="S14" s="37">
        <f t="shared" si="10"/>
        <v>20.9767739186022</v>
      </c>
      <c r="T14" s="37">
        <f t="shared" si="11"/>
        <v>24.4261666311528</v>
      </c>
      <c r="U14" s="37">
        <f t="shared" si="16"/>
        <v>29.1796292350309</v>
      </c>
      <c r="V14" s="37">
        <f t="shared" si="19"/>
        <v>24.8932452588962</v>
      </c>
      <c r="W14" s="37">
        <f t="shared" si="17"/>
        <v>21.4881738759855</v>
      </c>
    </row>
    <row r="15" ht="30" customHeight="1" spans="1:23">
      <c r="A15" s="24" t="s">
        <v>76</v>
      </c>
      <c r="B15" s="9" t="s">
        <v>77</v>
      </c>
      <c r="C15" s="8" t="s">
        <v>78</v>
      </c>
      <c r="D15" s="9" t="str">
        <f>_xlfn.DISPIMG("ID_EE4095801ACF43C8B7EFA7F43CC61D27",1)</f>
        <v>=DISPIMG("ID_EE4095801ACF43C8B7EFA7F43CC61D27",1)</v>
      </c>
      <c r="E15" s="10">
        <v>10</v>
      </c>
      <c r="F15" s="10" t="s">
        <v>125</v>
      </c>
      <c r="G15" s="11">
        <v>1</v>
      </c>
      <c r="H15" s="11">
        <f>35*G15</f>
        <v>35</v>
      </c>
      <c r="I15" s="11">
        <v>3.5</v>
      </c>
      <c r="J15" s="11">
        <f>0.35*G15</f>
        <v>0.35</v>
      </c>
      <c r="K15" s="11">
        <f>110*G15</f>
        <v>110</v>
      </c>
      <c r="L15" s="36">
        <f>K15+20</f>
        <v>130</v>
      </c>
      <c r="M15" s="37">
        <f t="shared" si="18"/>
        <v>6.02599616450032</v>
      </c>
      <c r="N15" s="37">
        <f>(L15*0.048+20)/6.5/0.95/0.95</f>
        <v>4.47304496057959</v>
      </c>
      <c r="O15" s="37">
        <f>(L15*0.071+23)/6.5/0.95/0.95</f>
        <v>5.49414020882165</v>
      </c>
      <c r="P15" s="37">
        <f>(L15*0.124+22)/6.5/0.95/0.95</f>
        <v>6.4981887918176</v>
      </c>
      <c r="Q15" s="37">
        <f>(L15*0.067+30)/6.5/0.95/0.95</f>
        <v>6.59876411676966</v>
      </c>
      <c r="R15" s="37">
        <f>(L15*0.047+25)/6.5/0.95/0.95</f>
        <v>5.3032175580652</v>
      </c>
      <c r="S15" s="37">
        <f t="shared" si="10"/>
        <v>10.4990411250799</v>
      </c>
      <c r="T15" s="37">
        <f t="shared" si="11"/>
        <v>11.520136373322</v>
      </c>
      <c r="U15" s="37">
        <f t="shared" si="16"/>
        <v>12.5241849563179</v>
      </c>
      <c r="V15" s="37">
        <f t="shared" si="19"/>
        <v>12.62476028127</v>
      </c>
      <c r="W15" s="37">
        <f t="shared" si="17"/>
        <v>11.3292137225655</v>
      </c>
    </row>
    <row r="16" ht="30" customHeight="1" spans="1:23">
      <c r="A16" s="25"/>
      <c r="B16" s="14"/>
      <c r="C16" s="8" t="s">
        <v>78</v>
      </c>
      <c r="D16" s="14"/>
      <c r="E16" s="15"/>
      <c r="F16" s="15"/>
      <c r="G16" s="11">
        <v>2</v>
      </c>
      <c r="H16" s="11">
        <f>35*G16</f>
        <v>70</v>
      </c>
      <c r="I16" s="11"/>
      <c r="J16" s="11">
        <f>0.35*G16</f>
        <v>0.7</v>
      </c>
      <c r="K16" s="11">
        <f>110*G16</f>
        <v>220</v>
      </c>
      <c r="L16" s="36">
        <f>K16+35</f>
        <v>255</v>
      </c>
      <c r="M16" s="37">
        <f t="shared" si="18"/>
        <v>12.0519923290006</v>
      </c>
      <c r="N16" s="37">
        <f>(L16*0.048+20)/6.5/0.95/0.95</f>
        <v>5.49584487534626</v>
      </c>
      <c r="O16" s="37">
        <f>(L16*0.066+21)/6.5/0.95/0.95</f>
        <v>6.44875346260388</v>
      </c>
      <c r="P16" s="37">
        <f>(L16*0.111+18)/6.5/0.95/0.95</f>
        <v>7.89345834221181</v>
      </c>
      <c r="Q16" s="37">
        <f>(L16*0.067+30)/6.5/0.95/0.95</f>
        <v>8.02642233113147</v>
      </c>
      <c r="R16" s="37">
        <f>(L16*0.047+25)/6.5/0.95/0.95</f>
        <v>6.30470914127424</v>
      </c>
      <c r="S16" s="37">
        <f t="shared" si="10"/>
        <v>17.5478372043469</v>
      </c>
      <c r="T16" s="37">
        <f t="shared" si="11"/>
        <v>18.5007457916045</v>
      </c>
      <c r="U16" s="37">
        <f t="shared" si="16"/>
        <v>19.9454506712124</v>
      </c>
      <c r="V16" s="37">
        <f t="shared" si="19"/>
        <v>20.0784146601321</v>
      </c>
      <c r="W16" s="37">
        <f t="shared" si="17"/>
        <v>18.3567014702748</v>
      </c>
    </row>
    <row r="17" ht="30" customHeight="1" spans="1:23">
      <c r="A17" s="25"/>
      <c r="B17" s="14"/>
      <c r="C17" s="8" t="s">
        <v>78</v>
      </c>
      <c r="D17" s="14"/>
      <c r="E17" s="15"/>
      <c r="F17" s="15"/>
      <c r="G17" s="11">
        <v>3</v>
      </c>
      <c r="H17" s="11">
        <f>35*G17</f>
        <v>105</v>
      </c>
      <c r="I17" s="11"/>
      <c r="J17" s="11">
        <f>0.35*G17</f>
        <v>1.05</v>
      </c>
      <c r="K17" s="11">
        <f>110*G17</f>
        <v>330</v>
      </c>
      <c r="L17" s="36">
        <f>K17+50</f>
        <v>380</v>
      </c>
      <c r="M17" s="37">
        <f t="shared" si="18"/>
        <v>18.077988493501</v>
      </c>
      <c r="N17" s="37">
        <f>(L17*0.048+20)/6.5/0.95/0.95</f>
        <v>6.51864479011294</v>
      </c>
      <c r="O17" s="37">
        <f>(L17*0.066+21)/6.5/0.95/0.95</f>
        <v>7.85510334540805</v>
      </c>
      <c r="P17" s="37">
        <f>(L17*0.111+18)/6.5/0.95/0.95</f>
        <v>10.2586831451097</v>
      </c>
      <c r="Q17" s="37">
        <f>(L17*0.062+28)/6.5/0.95/0.95</f>
        <v>8.78926060089495</v>
      </c>
      <c r="R17" s="37">
        <f>(L17*0.047+25)/6.5/0.95/0.95</f>
        <v>7.30620072448327</v>
      </c>
      <c r="S17" s="37">
        <f t="shared" si="10"/>
        <v>24.5966332836139</v>
      </c>
      <c r="T17" s="37">
        <f t="shared" si="11"/>
        <v>25.9330918389091</v>
      </c>
      <c r="U17" s="37">
        <f t="shared" si="16"/>
        <v>28.3366716386107</v>
      </c>
      <c r="V17" s="37">
        <f t="shared" si="19"/>
        <v>26.867249094396</v>
      </c>
      <c r="W17" s="37">
        <f t="shared" si="17"/>
        <v>25.3841892179843</v>
      </c>
    </row>
    <row r="18" ht="30" customHeight="1" spans="1:23">
      <c r="A18" s="25"/>
      <c r="B18" s="14"/>
      <c r="C18" s="8" t="s">
        <v>78</v>
      </c>
      <c r="D18" s="14"/>
      <c r="E18" s="15"/>
      <c r="F18" s="19"/>
      <c r="G18" s="11">
        <v>4</v>
      </c>
      <c r="H18" s="11">
        <f>35*G18</f>
        <v>140</v>
      </c>
      <c r="I18" s="11"/>
      <c r="J18" s="11">
        <f>0.35*G18</f>
        <v>1.4</v>
      </c>
      <c r="K18" s="11">
        <f>110*G18</f>
        <v>440</v>
      </c>
      <c r="L18" s="36">
        <f>K18+65</f>
        <v>505</v>
      </c>
      <c r="M18" s="37">
        <f t="shared" si="18"/>
        <v>24.1039846580013</v>
      </c>
      <c r="N18" s="37">
        <f>(L18*0.047+21)/6.5/0.95/0.95</f>
        <v>7.62582569784786</v>
      </c>
      <c r="O18" s="37">
        <f>(L18*0.066+21)/6.5/0.95/0.95</f>
        <v>9.26145322821223</v>
      </c>
      <c r="P18" s="37">
        <f>(L18*0.095+18)/6.5/0.95/0.95</f>
        <v>11.2465373961219</v>
      </c>
      <c r="Q18" s="37">
        <f>(L18*0.062+28)/6.5/0.95/0.95</f>
        <v>10.1103771574686</v>
      </c>
      <c r="R18" s="37">
        <f>(L18*0.047+24)/6.5/0.95/0.95</f>
        <v>8.1372256552312</v>
      </c>
      <c r="S18" s="37">
        <f t="shared" si="10"/>
        <v>31.7298103558492</v>
      </c>
      <c r="T18" s="37">
        <f t="shared" si="11"/>
        <v>33.3654378862135</v>
      </c>
      <c r="U18" s="37">
        <f t="shared" si="16"/>
        <v>35.3505220541232</v>
      </c>
      <c r="V18" s="37">
        <f t="shared" si="19"/>
        <v>34.2143618154699</v>
      </c>
      <c r="W18" s="37">
        <f t="shared" si="17"/>
        <v>32.2412103132325</v>
      </c>
    </row>
    <row r="19" ht="30" customHeight="1" spans="1:23">
      <c r="A19" s="9" t="s">
        <v>126</v>
      </c>
      <c r="B19" s="9" t="s">
        <v>82</v>
      </c>
      <c r="C19" s="8" t="s">
        <v>83</v>
      </c>
      <c r="D19" s="10"/>
      <c r="E19" s="26">
        <v>10</v>
      </c>
      <c r="F19" s="10"/>
      <c r="G19" s="21">
        <v>1</v>
      </c>
      <c r="H19" s="8">
        <f>2.52*G19</f>
        <v>2.52</v>
      </c>
      <c r="I19" s="11">
        <f>2*G19</f>
        <v>2</v>
      </c>
      <c r="J19" s="8">
        <f>0.2*G19</f>
        <v>0.2</v>
      </c>
      <c r="K19" s="11">
        <f>25*G19</f>
        <v>25</v>
      </c>
      <c r="L19" s="36">
        <f>K19+10</f>
        <v>35</v>
      </c>
      <c r="M19" s="37">
        <f t="shared" si="18"/>
        <v>0.463669294694226</v>
      </c>
      <c r="N19" s="37">
        <f t="shared" ref="N19:N25" si="20">(L19*0.048+20)/6.5/0.95/0.95</f>
        <v>3.69571702535691</v>
      </c>
      <c r="O19" s="37">
        <f>(L19*0.071+23)/6.5/0.95/0.95</f>
        <v>4.34434263797145</v>
      </c>
      <c r="P19" s="37">
        <f>(L19*0.124+22)/6.5/0.95/0.95</f>
        <v>4.4900916258257</v>
      </c>
      <c r="Q19" s="37">
        <f>(L19*0.067+30)/6.5/0.95/0.95</f>
        <v>5.51374387385468</v>
      </c>
      <c r="R19" s="37">
        <f>(L19*0.047+25)/6.5/0.95/0.95</f>
        <v>4.54208395482634</v>
      </c>
      <c r="S19" s="37">
        <f t="shared" si="10"/>
        <v>4.15938632005114</v>
      </c>
      <c r="T19" s="37">
        <f t="shared" si="11"/>
        <v>4.80801193266567</v>
      </c>
      <c r="U19" s="37">
        <f t="shared" si="16"/>
        <v>4.95376092051992</v>
      </c>
      <c r="V19" s="37">
        <f t="shared" si="19"/>
        <v>5.97741316854891</v>
      </c>
      <c r="W19" s="37">
        <f t="shared" si="17"/>
        <v>5.00575324952056</v>
      </c>
    </row>
    <row r="20" ht="24" customHeight="1" spans="1:23">
      <c r="A20" s="14"/>
      <c r="B20" s="14"/>
      <c r="C20" s="8" t="s">
        <v>83</v>
      </c>
      <c r="D20" s="15"/>
      <c r="E20" s="27"/>
      <c r="F20" s="15"/>
      <c r="G20" s="11">
        <v>2</v>
      </c>
      <c r="H20" s="8">
        <f>2.52*G20</f>
        <v>5.04</v>
      </c>
      <c r="I20" s="11">
        <f>2*G20</f>
        <v>4</v>
      </c>
      <c r="J20" s="8">
        <f>0.2*G20</f>
        <v>0.4</v>
      </c>
      <c r="K20" s="11">
        <f>25*G20</f>
        <v>50</v>
      </c>
      <c r="L20" s="36">
        <f>K20+15</f>
        <v>65</v>
      </c>
      <c r="M20" s="37">
        <f t="shared" si="18"/>
        <v>0.927338589388451</v>
      </c>
      <c r="N20" s="37">
        <f t="shared" si="20"/>
        <v>3.94118900490092</v>
      </c>
      <c r="O20" s="37">
        <f t="shared" ref="O20:O25" si="21">(L20*0.071+23)/6.5/0.95/0.95</f>
        <v>4.70743660771362</v>
      </c>
      <c r="P20" s="37">
        <f>(L20*0.124+22)/6.5/0.95/0.95</f>
        <v>5.12422757298104</v>
      </c>
      <c r="Q20" s="37">
        <f t="shared" ref="Q20:Q25" si="22">(L20*0.067+30)/6.5/0.95/0.95</f>
        <v>5.85638184530151</v>
      </c>
      <c r="R20" s="37">
        <f>(L20*0.047+25)/6.5/0.95/0.95</f>
        <v>4.78244193479651</v>
      </c>
      <c r="S20" s="37">
        <f t="shared" si="10"/>
        <v>4.86852759428937</v>
      </c>
      <c r="T20" s="37">
        <f t="shared" si="11"/>
        <v>5.63477519710207</v>
      </c>
      <c r="U20" s="37">
        <f t="shared" si="16"/>
        <v>6.05156616236949</v>
      </c>
      <c r="V20" s="37">
        <f t="shared" si="19"/>
        <v>6.78372043468996</v>
      </c>
      <c r="W20" s="37">
        <f t="shared" si="17"/>
        <v>5.70978052418496</v>
      </c>
    </row>
    <row r="21" ht="27" customHeight="1" spans="1:23">
      <c r="A21" s="14"/>
      <c r="B21" s="14"/>
      <c r="C21" s="8" t="s">
        <v>83</v>
      </c>
      <c r="D21" s="15"/>
      <c r="E21" s="27"/>
      <c r="F21" s="15"/>
      <c r="G21" s="11">
        <v>3</v>
      </c>
      <c r="H21" s="8">
        <f>2.52*G21</f>
        <v>7.56</v>
      </c>
      <c r="I21" s="11"/>
      <c r="J21" s="8"/>
      <c r="K21" s="11">
        <f>25*G21</f>
        <v>75</v>
      </c>
      <c r="L21" s="36">
        <f>K21+20</f>
        <v>95</v>
      </c>
      <c r="M21" s="37">
        <f t="shared" si="18"/>
        <v>1.28872789260601</v>
      </c>
      <c r="N21" s="37">
        <f t="shared" si="20"/>
        <v>4.18666098444492</v>
      </c>
      <c r="O21" s="37">
        <f t="shared" si="21"/>
        <v>5.07053057745578</v>
      </c>
      <c r="P21" s="37">
        <f>(L21*0.124+22)/6.5/0.95/0.95</f>
        <v>5.75836352013637</v>
      </c>
      <c r="Q21" s="37">
        <f t="shared" si="22"/>
        <v>6.19901981674835</v>
      </c>
      <c r="R21" s="37">
        <f>(L21*0.047+25)/6.5/0.95/0.95</f>
        <v>5.02279991476667</v>
      </c>
      <c r="S21" s="37">
        <f t="shared" si="10"/>
        <v>5.47538887705093</v>
      </c>
      <c r="T21" s="37">
        <f t="shared" si="11"/>
        <v>6.35925847006179</v>
      </c>
      <c r="U21" s="37">
        <f t="shared" si="16"/>
        <v>7.04709141274238</v>
      </c>
      <c r="V21" s="37">
        <f t="shared" si="19"/>
        <v>7.48774770935436</v>
      </c>
      <c r="W21" s="37">
        <f t="shared" si="17"/>
        <v>6.31152780737268</v>
      </c>
    </row>
    <row r="22" ht="27" customHeight="1" spans="1:23">
      <c r="A22" s="14"/>
      <c r="B22" s="14"/>
      <c r="C22" s="8" t="s">
        <v>83</v>
      </c>
      <c r="D22" s="15"/>
      <c r="E22" s="27"/>
      <c r="F22" s="15"/>
      <c r="G22" s="10">
        <v>4</v>
      </c>
      <c r="H22" s="8">
        <f>2.52*G22</f>
        <v>10.08</v>
      </c>
      <c r="I22" s="10"/>
      <c r="J22" s="9"/>
      <c r="K22" s="11">
        <f>25*G22</f>
        <v>100</v>
      </c>
      <c r="L22" s="36">
        <f>K22+20</f>
        <v>120</v>
      </c>
      <c r="M22" s="37">
        <f t="shared" si="18"/>
        <v>1.71830385680801</v>
      </c>
      <c r="N22" s="37">
        <f t="shared" si="20"/>
        <v>4.39122096739825</v>
      </c>
      <c r="O22" s="37">
        <f t="shared" si="21"/>
        <v>5.37310888557426</v>
      </c>
      <c r="P22" s="37">
        <f>(L22*0.124+22)/6.5/0.95/0.95</f>
        <v>6.28681014276582</v>
      </c>
      <c r="Q22" s="37">
        <f t="shared" si="22"/>
        <v>6.48455145962071</v>
      </c>
      <c r="R22" s="37">
        <f t="shared" ref="R20:R25" si="23">(L22*0.047+25)/6.5/0.95/0.95</f>
        <v>5.22309823140848</v>
      </c>
      <c r="S22" s="37">
        <f t="shared" si="10"/>
        <v>6.10952482420626</v>
      </c>
      <c r="T22" s="37">
        <f t="shared" si="11"/>
        <v>7.09141274238227</v>
      </c>
      <c r="U22" s="37">
        <f t="shared" si="16"/>
        <v>8.00511399957383</v>
      </c>
      <c r="V22" s="37">
        <f t="shared" si="19"/>
        <v>8.20285531642872</v>
      </c>
      <c r="W22" s="37">
        <f t="shared" si="17"/>
        <v>6.94140208821649</v>
      </c>
    </row>
    <row r="23" s="38" customFormat="1" ht="27" customHeight="1" spans="1:23">
      <c r="A23" s="9" t="s">
        <v>127</v>
      </c>
      <c r="B23" s="9" t="s">
        <v>128</v>
      </c>
      <c r="C23" s="11" t="s">
        <v>93</v>
      </c>
      <c r="D23" s="10"/>
      <c r="E23" s="10">
        <v>10</v>
      </c>
      <c r="F23" s="9" t="s">
        <v>129</v>
      </c>
      <c r="G23" s="11">
        <v>1</v>
      </c>
      <c r="H23" s="11">
        <f>2.5*G23</f>
        <v>2.5</v>
      </c>
      <c r="I23" s="11">
        <v>6</v>
      </c>
      <c r="J23" s="11">
        <f>0.6*G23</f>
        <v>0.6</v>
      </c>
      <c r="K23" s="11">
        <f>8*G23</f>
        <v>8</v>
      </c>
      <c r="L23" s="36">
        <f>K23+10</f>
        <v>18</v>
      </c>
      <c r="M23" s="37">
        <f t="shared" si="18"/>
        <v>0.528446622629448</v>
      </c>
      <c r="N23" s="37">
        <f t="shared" si="20"/>
        <v>3.55661623694865</v>
      </c>
      <c r="O23" s="37">
        <f t="shared" si="21"/>
        <v>4.13858938845088</v>
      </c>
      <c r="P23" s="37">
        <f t="shared" ref="P20:P25" si="24">(L23*0.129+22)/6.5/0.95/0.95</f>
        <v>4.14608992115917</v>
      </c>
      <c r="Q23" s="37">
        <f t="shared" si="22"/>
        <v>5.31958235670147</v>
      </c>
      <c r="R23" s="37">
        <f t="shared" si="23"/>
        <v>4.40588109950991</v>
      </c>
      <c r="S23" s="37">
        <f t="shared" si="10"/>
        <v>4.0850628595781</v>
      </c>
      <c r="T23" s="37">
        <f t="shared" si="11"/>
        <v>4.66703601108033</v>
      </c>
      <c r="U23" s="37">
        <f t="shared" si="16"/>
        <v>4.67453654378862</v>
      </c>
      <c r="V23" s="37">
        <f t="shared" si="19"/>
        <v>5.84802897933092</v>
      </c>
      <c r="W23" s="37">
        <f t="shared" si="17"/>
        <v>4.93432772213936</v>
      </c>
    </row>
    <row r="24" s="38" customFormat="1" ht="22" customHeight="1" spans="1:23">
      <c r="A24" s="14"/>
      <c r="B24" s="14"/>
      <c r="C24" s="11" t="s">
        <v>93</v>
      </c>
      <c r="D24" s="15"/>
      <c r="E24" s="15"/>
      <c r="F24" s="14"/>
      <c r="G24" s="11">
        <v>2</v>
      </c>
      <c r="H24" s="11">
        <f>2.5*G24</f>
        <v>5</v>
      </c>
      <c r="J24" s="11">
        <f>0.6*G24</f>
        <v>1.2</v>
      </c>
      <c r="K24" s="11">
        <f>8*G24</f>
        <v>16</v>
      </c>
      <c r="L24" s="36">
        <f>K24+15</f>
        <v>31</v>
      </c>
      <c r="M24" s="37">
        <f t="shared" si="18"/>
        <v>1.0568932452589</v>
      </c>
      <c r="N24" s="37">
        <f t="shared" si="20"/>
        <v>3.66298742808438</v>
      </c>
      <c r="O24" s="37">
        <f t="shared" si="21"/>
        <v>4.29593010867249</v>
      </c>
      <c r="P24" s="37">
        <f t="shared" si="24"/>
        <v>4.43196249733646</v>
      </c>
      <c r="Q24" s="37">
        <f t="shared" si="22"/>
        <v>5.4680588109951</v>
      </c>
      <c r="R24" s="37">
        <f t="shared" si="23"/>
        <v>4.51003622416365</v>
      </c>
      <c r="S24" s="37">
        <f t="shared" si="10"/>
        <v>4.71988067334328</v>
      </c>
      <c r="T24" s="37">
        <f t="shared" si="11"/>
        <v>5.35282335393139</v>
      </c>
      <c r="U24" s="37">
        <f t="shared" si="16"/>
        <v>5.48885574259536</v>
      </c>
      <c r="V24" s="37">
        <f t="shared" si="19"/>
        <v>6.524952056254</v>
      </c>
      <c r="W24" s="37">
        <f t="shared" si="17"/>
        <v>5.56692946942255</v>
      </c>
    </row>
    <row r="25" s="38" customFormat="1" ht="19" customHeight="1" spans="1:23">
      <c r="A25" s="18"/>
      <c r="B25" s="18"/>
      <c r="C25" s="11" t="s">
        <v>93</v>
      </c>
      <c r="D25" s="19"/>
      <c r="E25" s="19"/>
      <c r="F25" s="18"/>
      <c r="G25" s="11">
        <v>3</v>
      </c>
      <c r="H25" s="11">
        <f>2.5*G25</f>
        <v>7.5</v>
      </c>
      <c r="J25" s="11">
        <f>0.6*G25</f>
        <v>1.8</v>
      </c>
      <c r="K25" s="11">
        <f>8*G25</f>
        <v>24</v>
      </c>
      <c r="L25" s="36">
        <f>K25+15</f>
        <v>39</v>
      </c>
      <c r="M25" s="37">
        <f t="shared" si="18"/>
        <v>1.58533986788834</v>
      </c>
      <c r="N25" s="37">
        <f t="shared" si="20"/>
        <v>3.72844662262945</v>
      </c>
      <c r="O25" s="37">
        <f t="shared" si="21"/>
        <v>4.3927551672704</v>
      </c>
      <c r="P25" s="37">
        <f t="shared" si="24"/>
        <v>4.60788408267633</v>
      </c>
      <c r="Q25" s="37">
        <f t="shared" si="22"/>
        <v>5.55942893671426</v>
      </c>
      <c r="R25" s="37">
        <f t="shared" si="23"/>
        <v>4.57413168548903</v>
      </c>
      <c r="S25" s="37">
        <f t="shared" si="10"/>
        <v>5.31378649051779</v>
      </c>
      <c r="T25" s="37">
        <f t="shared" si="11"/>
        <v>5.97809503515874</v>
      </c>
      <c r="U25" s="37">
        <f t="shared" si="16"/>
        <v>6.19322395056467</v>
      </c>
      <c r="V25" s="37">
        <f t="shared" si="19"/>
        <v>7.1447688046026</v>
      </c>
      <c r="W25" s="37">
        <f t="shared" si="17"/>
        <v>6.15947155337737</v>
      </c>
    </row>
    <row r="26" ht="49" customHeight="1" spans="2:13">
      <c r="B26" s="28" t="s">
        <v>130</v>
      </c>
      <c r="C26" s="29" t="s">
        <v>123</v>
      </c>
      <c r="D26" s="30"/>
      <c r="E26" s="31">
        <v>10000</v>
      </c>
      <c r="F26" s="30"/>
      <c r="G26" s="31">
        <v>1</v>
      </c>
      <c r="H26" s="31">
        <v>15</v>
      </c>
      <c r="I26" s="31">
        <v>0</v>
      </c>
      <c r="J26" s="31">
        <v>0</v>
      </c>
      <c r="K26" s="31">
        <v>0</v>
      </c>
      <c r="L26" s="30"/>
      <c r="M26" s="39">
        <f>(H26+I26)/6.5/0.95/0.95</f>
        <v>2.55699978691668</v>
      </c>
    </row>
    <row r="30" ht="15" spans="15:15">
      <c r="O30" s="43"/>
    </row>
  </sheetData>
  <sheetProtection formatCells="0" formatColumns="0" formatRows="0" insertRows="0" insertColumns="0" insertHyperlinks="0" deleteColumns="0" deleteRows="0" sort="0" autoFilter="0" pivotTables="0"/>
  <mergeCells count="28">
    <mergeCell ref="Z1:AA1"/>
    <mergeCell ref="A2:A10"/>
    <mergeCell ref="A11:A14"/>
    <mergeCell ref="A15:A18"/>
    <mergeCell ref="A19:A22"/>
    <mergeCell ref="A23:A25"/>
    <mergeCell ref="B2:B10"/>
    <mergeCell ref="B11:B14"/>
    <mergeCell ref="B15:B18"/>
    <mergeCell ref="B19:B22"/>
    <mergeCell ref="B23:B25"/>
    <mergeCell ref="D2:D10"/>
    <mergeCell ref="D11:D14"/>
    <mergeCell ref="D15:D18"/>
    <mergeCell ref="D19:D22"/>
    <mergeCell ref="D23:D25"/>
    <mergeCell ref="E2:E6"/>
    <mergeCell ref="E9:E10"/>
    <mergeCell ref="E11:E14"/>
    <mergeCell ref="E15:E18"/>
    <mergeCell ref="E19:E22"/>
    <mergeCell ref="E23:E25"/>
    <mergeCell ref="F2:F6"/>
    <mergeCell ref="F9:F10"/>
    <mergeCell ref="F11:F14"/>
    <mergeCell ref="F15:F18"/>
    <mergeCell ref="F19:F22"/>
    <mergeCell ref="F23:F25"/>
  </mergeCells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6"/>
  <sheetViews>
    <sheetView workbookViewId="0">
      <selection activeCell="M31" sqref="M31"/>
    </sheetView>
  </sheetViews>
  <sheetFormatPr defaultColWidth="8.89166666666667" defaultRowHeight="13.5"/>
  <cols>
    <col min="1" max="1" width="9"/>
    <col min="2" max="2" width="11.625" customWidth="1"/>
    <col min="3" max="3" width="11" customWidth="1"/>
    <col min="4" max="5" width="9"/>
    <col min="6" max="7" width="9" customWidth="1"/>
    <col min="8" max="9" width="9" hidden="1" customWidth="1"/>
    <col min="10" max="10" width="9" style="1" hidden="1" customWidth="1"/>
    <col min="11" max="11" width="10.8833333333333" hidden="1" customWidth="1"/>
    <col min="12" max="12" width="13.75" hidden="1" customWidth="1"/>
    <col min="13" max="13" width="15.6333333333333" customWidth="1"/>
    <col min="14" max="14" width="13.6333333333333" customWidth="1"/>
    <col min="15" max="16" width="13.9333333333333"/>
    <col min="17" max="17" width="14" customWidth="1"/>
    <col min="18" max="18" width="16.75" customWidth="1"/>
    <col min="19" max="19" width="9" customWidth="1"/>
    <col min="20" max="21" width="9.38333333333333" customWidth="1"/>
  </cols>
  <sheetData>
    <row r="1" ht="30" spans="1:27">
      <c r="A1" s="2" t="s">
        <v>98</v>
      </c>
      <c r="B1" s="2" t="s">
        <v>99</v>
      </c>
      <c r="C1" s="2" t="s">
        <v>100</v>
      </c>
      <c r="D1" s="3" t="s">
        <v>101</v>
      </c>
      <c r="E1" s="3" t="s">
        <v>102</v>
      </c>
      <c r="F1" s="3" t="s">
        <v>103</v>
      </c>
      <c r="G1" s="4" t="s">
        <v>7</v>
      </c>
      <c r="H1" s="5" t="s">
        <v>104</v>
      </c>
      <c r="I1" s="5" t="s">
        <v>105</v>
      </c>
      <c r="J1" s="5" t="s">
        <v>106</v>
      </c>
      <c r="K1" s="5" t="s">
        <v>107</v>
      </c>
      <c r="L1" s="32" t="s">
        <v>108</v>
      </c>
      <c r="M1" s="33" t="s">
        <v>109</v>
      </c>
      <c r="N1" s="34" t="s">
        <v>110</v>
      </c>
      <c r="O1" s="33" t="s">
        <v>111</v>
      </c>
      <c r="P1" s="35" t="s">
        <v>112</v>
      </c>
      <c r="Q1" s="33" t="s">
        <v>113</v>
      </c>
      <c r="R1" s="34" t="s">
        <v>114</v>
      </c>
      <c r="S1" s="34" t="s">
        <v>115</v>
      </c>
      <c r="T1" s="35" t="s">
        <v>116</v>
      </c>
      <c r="U1" s="35" t="s">
        <v>117</v>
      </c>
      <c r="V1" s="35" t="s">
        <v>118</v>
      </c>
      <c r="W1" s="34" t="s">
        <v>119</v>
      </c>
      <c r="X1" s="4" t="s">
        <v>120</v>
      </c>
      <c r="Y1" s="40" t="s">
        <v>121</v>
      </c>
      <c r="Z1" s="40" t="s">
        <v>122</v>
      </c>
      <c r="AA1" s="40"/>
    </row>
    <row r="2" ht="15" spans="1:25">
      <c r="A2" s="6" t="s">
        <v>60</v>
      </c>
      <c r="B2" s="7" t="s">
        <v>61</v>
      </c>
      <c r="C2" s="8" t="s">
        <v>62</v>
      </c>
      <c r="D2" s="9" t="str">
        <f>_xlfn.DISPIMG("ID_807ECB23B26C40F6A9D6CC5A7776D5FE",1)</f>
        <v>=DISPIMG("ID_807ECB23B26C40F6A9D6CC5A7776D5FE",1)</v>
      </c>
      <c r="E2" s="10">
        <v>50</v>
      </c>
      <c r="F2" s="10" t="s">
        <v>63</v>
      </c>
      <c r="G2" s="11">
        <v>1</v>
      </c>
      <c r="H2" s="11">
        <f t="shared" ref="H2:H8" si="0">15*G2</f>
        <v>15</v>
      </c>
      <c r="I2" s="11">
        <f t="shared" ref="I2:I13" si="1">0*G2</f>
        <v>0</v>
      </c>
      <c r="J2" s="11">
        <f t="shared" ref="J2:J13" si="2">0*G2</f>
        <v>0</v>
      </c>
      <c r="K2" s="11">
        <f t="shared" ref="K2:K8" si="3">250*G2</f>
        <v>250</v>
      </c>
      <c r="L2" s="36">
        <f t="shared" ref="L2:L6" si="4">K2+20</f>
        <v>270</v>
      </c>
      <c r="M2" s="37">
        <f t="shared" ref="M2:M10" si="5">(H2+J2)/6.5/0.98/0.95</f>
        <v>2.47872428323556</v>
      </c>
      <c r="N2" s="37">
        <f>(L2*0.048)/6.5/0.98/0.95</f>
        <v>2.14161778071553</v>
      </c>
      <c r="O2" s="37">
        <f t="shared" ref="O2:O8" si="6">(L2*0.066+0)/6.5/0.98/0.95+0</f>
        <v>2.94472444848385</v>
      </c>
      <c r="P2" s="37">
        <f>(L2*0.111+0)/6.5/0.98/0.95+0</f>
        <v>4.95249111790465</v>
      </c>
      <c r="Q2" s="37">
        <f>(L2*0.067+0)/6.5/0.98/0.95+0</f>
        <v>2.98934148558209</v>
      </c>
      <c r="R2" s="37">
        <f t="shared" ref="R2:R8" si="7">(L2*0.047+0)/6.5/0.98/0.95+0</f>
        <v>2.09700074361728</v>
      </c>
      <c r="S2" s="37">
        <f t="shared" ref="S2:S25" si="8">M2+N2</f>
        <v>4.62034206395109</v>
      </c>
      <c r="T2" s="37">
        <f t="shared" ref="T2:T25" si="9">M2+O2</f>
        <v>5.42344873171941</v>
      </c>
      <c r="U2" s="37">
        <f t="shared" ref="U2:U25" si="10">M2+P2</f>
        <v>7.43121540114021</v>
      </c>
      <c r="V2" s="37">
        <f t="shared" ref="V2:V25" si="11">M2+Q2</f>
        <v>5.46806576881765</v>
      </c>
      <c r="W2" s="37">
        <f t="shared" ref="W2:W25" si="12">M2+R2</f>
        <v>4.57572502685285</v>
      </c>
      <c r="X2" s="38"/>
      <c r="Y2" s="38"/>
    </row>
    <row r="3" ht="15" spans="1:27">
      <c r="A3" s="12"/>
      <c r="B3" s="13"/>
      <c r="C3" s="8" t="s">
        <v>62</v>
      </c>
      <c r="D3" s="14"/>
      <c r="E3" s="15"/>
      <c r="F3" s="15"/>
      <c r="G3" s="11">
        <v>2</v>
      </c>
      <c r="H3" s="11">
        <f t="shared" si="0"/>
        <v>30</v>
      </c>
      <c r="I3" s="11">
        <f t="shared" si="1"/>
        <v>0</v>
      </c>
      <c r="J3" s="11">
        <f t="shared" si="2"/>
        <v>0</v>
      </c>
      <c r="K3" s="11">
        <f t="shared" si="3"/>
        <v>500</v>
      </c>
      <c r="L3" s="36">
        <f t="shared" si="4"/>
        <v>520</v>
      </c>
      <c r="M3" s="37">
        <f t="shared" si="5"/>
        <v>4.95744856647112</v>
      </c>
      <c r="N3" s="37">
        <f t="shared" ref="N3:N8" si="13">(L3*0.047)/6.5/0.98/0.95</f>
        <v>4.03866809881848</v>
      </c>
      <c r="O3" s="37">
        <f t="shared" si="6"/>
        <v>5.67132116004297</v>
      </c>
      <c r="P3" s="37">
        <f t="shared" ref="P3:P8" si="14">(L3*0.095+0)/6.5/0.98/0.95+0</f>
        <v>8.16326530612245</v>
      </c>
      <c r="Q3" s="37">
        <f t="shared" ref="Q3:Q8" si="15">(L3*0.062+0)/6.5/0.98/0.95+0</f>
        <v>5.32760472610097</v>
      </c>
      <c r="R3" s="37">
        <f t="shared" si="7"/>
        <v>4.03866809881848</v>
      </c>
      <c r="S3" s="37">
        <f t="shared" si="8"/>
        <v>8.9961166652896</v>
      </c>
      <c r="T3" s="37">
        <f t="shared" si="9"/>
        <v>10.6287697265141</v>
      </c>
      <c r="U3" s="37">
        <f t="shared" si="10"/>
        <v>13.1207138725936</v>
      </c>
      <c r="V3" s="37">
        <f t="shared" si="11"/>
        <v>10.2850532925721</v>
      </c>
      <c r="W3" s="37">
        <f t="shared" si="12"/>
        <v>8.9961166652896</v>
      </c>
      <c r="X3" s="38"/>
      <c r="Y3" s="38"/>
      <c r="AA3" s="41"/>
    </row>
    <row r="4" ht="15" spans="1:27">
      <c r="A4" s="12"/>
      <c r="B4" s="13"/>
      <c r="C4" s="8" t="s">
        <v>62</v>
      </c>
      <c r="D4" s="14"/>
      <c r="E4" s="15"/>
      <c r="F4" s="15"/>
      <c r="G4" s="11">
        <v>3</v>
      </c>
      <c r="H4" s="11">
        <f t="shared" si="0"/>
        <v>45</v>
      </c>
      <c r="I4" s="11">
        <f t="shared" si="1"/>
        <v>0</v>
      </c>
      <c r="J4" s="11">
        <f t="shared" si="2"/>
        <v>0</v>
      </c>
      <c r="K4" s="11">
        <f t="shared" si="3"/>
        <v>750</v>
      </c>
      <c r="L4" s="36">
        <f t="shared" si="4"/>
        <v>770</v>
      </c>
      <c r="M4" s="37">
        <f t="shared" si="5"/>
        <v>7.43617284970669</v>
      </c>
      <c r="N4" s="37">
        <f t="shared" si="13"/>
        <v>5.98033545401966</v>
      </c>
      <c r="O4" s="37">
        <f t="shared" si="6"/>
        <v>8.39791787160208</v>
      </c>
      <c r="P4" s="37">
        <f t="shared" si="14"/>
        <v>12.0879120879121</v>
      </c>
      <c r="Q4" s="37">
        <f t="shared" si="15"/>
        <v>7.88895315211105</v>
      </c>
      <c r="R4" s="37">
        <f t="shared" si="7"/>
        <v>5.98033545401966</v>
      </c>
      <c r="S4" s="37">
        <f t="shared" si="8"/>
        <v>13.4165083037263</v>
      </c>
      <c r="T4" s="37">
        <f t="shared" si="9"/>
        <v>15.8340907213088</v>
      </c>
      <c r="U4" s="37">
        <f t="shared" si="10"/>
        <v>19.5240849376188</v>
      </c>
      <c r="V4" s="37">
        <f t="shared" si="11"/>
        <v>15.3251260018177</v>
      </c>
      <c r="W4" s="37">
        <f t="shared" si="12"/>
        <v>13.4165083037263</v>
      </c>
      <c r="X4" s="38"/>
      <c r="Y4" s="38"/>
      <c r="AA4" s="1"/>
    </row>
    <row r="5" ht="15" spans="1:25">
      <c r="A5" s="12"/>
      <c r="B5" s="13"/>
      <c r="C5" s="8" t="s">
        <v>62</v>
      </c>
      <c r="D5" s="14"/>
      <c r="E5" s="15"/>
      <c r="F5" s="15"/>
      <c r="G5" s="11">
        <v>4</v>
      </c>
      <c r="H5" s="11">
        <f t="shared" si="0"/>
        <v>60</v>
      </c>
      <c r="I5" s="11">
        <f t="shared" si="1"/>
        <v>0</v>
      </c>
      <c r="J5" s="11">
        <f t="shared" si="2"/>
        <v>0</v>
      </c>
      <c r="K5" s="11">
        <f t="shared" si="3"/>
        <v>1000</v>
      </c>
      <c r="L5" s="36">
        <f t="shared" si="4"/>
        <v>1020</v>
      </c>
      <c r="M5" s="37">
        <f t="shared" si="5"/>
        <v>9.91489713294225</v>
      </c>
      <c r="N5" s="37">
        <f t="shared" si="13"/>
        <v>7.92200280922085</v>
      </c>
      <c r="O5" s="37">
        <f t="shared" si="6"/>
        <v>11.1245145831612</v>
      </c>
      <c r="P5" s="37">
        <f t="shared" si="14"/>
        <v>16.0125588697017</v>
      </c>
      <c r="Q5" s="37">
        <f t="shared" si="15"/>
        <v>10.4503015781211</v>
      </c>
      <c r="R5" s="37">
        <f t="shared" si="7"/>
        <v>7.92200280922085</v>
      </c>
      <c r="S5" s="37">
        <f t="shared" si="8"/>
        <v>17.8368999421631</v>
      </c>
      <c r="T5" s="37">
        <f t="shared" si="9"/>
        <v>21.0394117161035</v>
      </c>
      <c r="U5" s="37">
        <f t="shared" si="10"/>
        <v>25.927456002644</v>
      </c>
      <c r="V5" s="37">
        <f t="shared" si="11"/>
        <v>20.3651987110634</v>
      </c>
      <c r="W5" s="37">
        <f t="shared" si="12"/>
        <v>17.8368999421631</v>
      </c>
      <c r="X5" s="38"/>
      <c r="Y5" s="38"/>
    </row>
    <row r="6" ht="15" spans="1:25">
      <c r="A6" s="12"/>
      <c r="B6" s="13"/>
      <c r="C6" s="8" t="s">
        <v>62</v>
      </c>
      <c r="D6" s="14"/>
      <c r="E6" s="15"/>
      <c r="F6" s="15"/>
      <c r="G6" s="11">
        <v>5</v>
      </c>
      <c r="H6" s="11">
        <f t="shared" si="0"/>
        <v>75</v>
      </c>
      <c r="I6" s="11">
        <f t="shared" si="1"/>
        <v>0</v>
      </c>
      <c r="J6" s="11">
        <f t="shared" si="2"/>
        <v>0</v>
      </c>
      <c r="K6" s="11">
        <f t="shared" si="3"/>
        <v>1250</v>
      </c>
      <c r="L6" s="36">
        <f t="shared" si="4"/>
        <v>1270</v>
      </c>
      <c r="M6" s="37">
        <f t="shared" si="5"/>
        <v>12.3936214161778</v>
      </c>
      <c r="N6" s="37">
        <f t="shared" si="13"/>
        <v>9.86367016442204</v>
      </c>
      <c r="O6" s="37">
        <f t="shared" si="6"/>
        <v>13.8511112947203</v>
      </c>
      <c r="P6" s="37">
        <f t="shared" si="14"/>
        <v>19.9372056514914</v>
      </c>
      <c r="Q6" s="37">
        <f t="shared" si="15"/>
        <v>13.0116500041312</v>
      </c>
      <c r="R6" s="37">
        <f t="shared" si="7"/>
        <v>9.86367016442204</v>
      </c>
      <c r="S6" s="37">
        <f t="shared" si="8"/>
        <v>22.2572915805999</v>
      </c>
      <c r="T6" s="37">
        <f t="shared" si="9"/>
        <v>26.2447327108981</v>
      </c>
      <c r="U6" s="37">
        <f t="shared" si="10"/>
        <v>32.3308270676692</v>
      </c>
      <c r="V6" s="37">
        <f t="shared" si="11"/>
        <v>25.405271420309</v>
      </c>
      <c r="W6" s="37">
        <f t="shared" si="12"/>
        <v>22.2572915805999</v>
      </c>
      <c r="X6" s="38"/>
      <c r="Y6" s="38"/>
    </row>
    <row r="7" ht="15" spans="1:25">
      <c r="A7" s="12"/>
      <c r="B7" s="13"/>
      <c r="C7" s="8" t="s">
        <v>62</v>
      </c>
      <c r="D7" s="14"/>
      <c r="E7" s="15"/>
      <c r="F7" s="15"/>
      <c r="G7" s="11">
        <v>6</v>
      </c>
      <c r="H7" s="11">
        <f t="shared" si="0"/>
        <v>90</v>
      </c>
      <c r="I7" s="11">
        <f t="shared" si="1"/>
        <v>0</v>
      </c>
      <c r="J7" s="11">
        <f t="shared" si="2"/>
        <v>0</v>
      </c>
      <c r="K7" s="11">
        <f t="shared" si="3"/>
        <v>1500</v>
      </c>
      <c r="L7" s="36">
        <f>K7+120</f>
        <v>1620</v>
      </c>
      <c r="M7" s="37">
        <f t="shared" si="5"/>
        <v>14.8723456994134</v>
      </c>
      <c r="N7" s="37">
        <f t="shared" si="13"/>
        <v>12.5820044617037</v>
      </c>
      <c r="O7" s="37">
        <f t="shared" si="6"/>
        <v>17.6683466909031</v>
      </c>
      <c r="P7" s="37">
        <f t="shared" si="14"/>
        <v>25.4317111459969</v>
      </c>
      <c r="Q7" s="37">
        <f t="shared" si="15"/>
        <v>16.5975378005453</v>
      </c>
      <c r="R7" s="37">
        <f t="shared" si="7"/>
        <v>12.5820044617037</v>
      </c>
      <c r="S7" s="37">
        <f t="shared" si="8"/>
        <v>27.4543501611171</v>
      </c>
      <c r="T7" s="37">
        <f t="shared" si="9"/>
        <v>32.5406923903165</v>
      </c>
      <c r="U7" s="37">
        <f t="shared" si="10"/>
        <v>40.3040568454102</v>
      </c>
      <c r="V7" s="37">
        <f t="shared" si="11"/>
        <v>31.4698834999587</v>
      </c>
      <c r="W7" s="37">
        <f t="shared" si="12"/>
        <v>27.4543501611171</v>
      </c>
      <c r="X7" s="38"/>
      <c r="Y7" s="38"/>
    </row>
    <row r="8" ht="15" spans="1:25">
      <c r="A8" s="12"/>
      <c r="B8" s="13"/>
      <c r="C8" s="8" t="s">
        <v>62</v>
      </c>
      <c r="D8" s="14"/>
      <c r="E8" s="15"/>
      <c r="F8" s="15"/>
      <c r="G8" s="11">
        <v>7</v>
      </c>
      <c r="H8" s="11">
        <f t="shared" si="0"/>
        <v>105</v>
      </c>
      <c r="I8" s="11">
        <f t="shared" si="1"/>
        <v>0</v>
      </c>
      <c r="J8" s="11">
        <f t="shared" si="2"/>
        <v>0</v>
      </c>
      <c r="K8" s="11">
        <f t="shared" si="3"/>
        <v>1750</v>
      </c>
      <c r="L8" s="36">
        <f>K8+130</f>
        <v>1880</v>
      </c>
      <c r="M8" s="37">
        <f t="shared" si="5"/>
        <v>17.3510699826489</v>
      </c>
      <c r="N8" s="37">
        <f t="shared" si="13"/>
        <v>14.6013385111129</v>
      </c>
      <c r="O8" s="37">
        <f t="shared" si="6"/>
        <v>20.5040072709246</v>
      </c>
      <c r="P8" s="37">
        <f t="shared" si="14"/>
        <v>29.5133437990581</v>
      </c>
      <c r="Q8" s="37">
        <f t="shared" si="15"/>
        <v>19.2613401635958</v>
      </c>
      <c r="R8" s="37">
        <f t="shared" si="7"/>
        <v>14.6013385111129</v>
      </c>
      <c r="S8" s="37">
        <f t="shared" si="8"/>
        <v>31.9524084937619</v>
      </c>
      <c r="T8" s="37">
        <f t="shared" si="9"/>
        <v>37.8550772535735</v>
      </c>
      <c r="U8" s="37">
        <f t="shared" si="10"/>
        <v>46.864413781707</v>
      </c>
      <c r="V8" s="37">
        <f t="shared" si="11"/>
        <v>36.6124101462447</v>
      </c>
      <c r="W8" s="37">
        <f t="shared" si="12"/>
        <v>31.9524084937619</v>
      </c>
      <c r="X8" s="38"/>
      <c r="Y8" s="38"/>
    </row>
    <row r="9" ht="15" spans="1:25">
      <c r="A9" s="12"/>
      <c r="B9" s="13"/>
      <c r="C9" s="8" t="s">
        <v>123</v>
      </c>
      <c r="D9" s="14"/>
      <c r="E9" s="10">
        <v>50</v>
      </c>
      <c r="F9" s="10" t="s">
        <v>124</v>
      </c>
      <c r="G9" s="11">
        <v>1</v>
      </c>
      <c r="H9" s="11">
        <f>16.1*G9</f>
        <v>16.1</v>
      </c>
      <c r="I9" s="11">
        <f t="shared" si="1"/>
        <v>0</v>
      </c>
      <c r="J9" s="11">
        <f t="shared" si="2"/>
        <v>0</v>
      </c>
      <c r="K9" s="11">
        <f>320*G9</f>
        <v>320</v>
      </c>
      <c r="L9" s="36">
        <f>K9+30</f>
        <v>350</v>
      </c>
      <c r="M9" s="37">
        <f t="shared" si="5"/>
        <v>2.6604973973395</v>
      </c>
      <c r="N9" s="37">
        <f>(L9*0.052)/6.5/0.95/0.95</f>
        <v>3.10249307479224</v>
      </c>
      <c r="O9" s="37">
        <f t="shared" ref="O9:O14" si="16">(L9*0.066+0)/6.5/0.95/0.95</f>
        <v>3.93777967185169</v>
      </c>
      <c r="P9" s="37">
        <f>(L9*0.116+0)/6.5/0.95/0.95</f>
        <v>6.92094608992116</v>
      </c>
      <c r="Q9" s="37">
        <f>(L9*0.062+0)/6.5/0.95/0.95</f>
        <v>3.69912635840614</v>
      </c>
      <c r="R9" s="37">
        <f t="shared" ref="R9:R25" si="17">(L9*0.047+0)/6.5/0.95/0.95</f>
        <v>2.8041764329853</v>
      </c>
      <c r="S9" s="37">
        <f t="shared" si="8"/>
        <v>5.76299047213175</v>
      </c>
      <c r="T9" s="37">
        <f t="shared" si="9"/>
        <v>6.59827706919119</v>
      </c>
      <c r="U9" s="37">
        <f t="shared" si="10"/>
        <v>9.58144348726066</v>
      </c>
      <c r="V9" s="37">
        <f t="shared" si="11"/>
        <v>6.35962375574564</v>
      </c>
      <c r="W9" s="37">
        <f t="shared" si="12"/>
        <v>5.4646738303248</v>
      </c>
      <c r="X9" s="38"/>
      <c r="Y9" s="38"/>
    </row>
    <row r="10" ht="15" spans="1:25">
      <c r="A10" s="16"/>
      <c r="B10" s="17"/>
      <c r="C10" s="8" t="s">
        <v>123</v>
      </c>
      <c r="D10" s="18"/>
      <c r="E10" s="19"/>
      <c r="F10" s="19"/>
      <c r="G10" s="11">
        <v>2</v>
      </c>
      <c r="H10" s="11">
        <f>16.1*G10</f>
        <v>32.2</v>
      </c>
      <c r="I10" s="11">
        <f t="shared" si="1"/>
        <v>0</v>
      </c>
      <c r="J10" s="11">
        <f t="shared" si="2"/>
        <v>0</v>
      </c>
      <c r="K10" s="11">
        <f>320*G10</f>
        <v>640</v>
      </c>
      <c r="L10" s="36">
        <f>K10+45</f>
        <v>685</v>
      </c>
      <c r="M10" s="37">
        <f t="shared" si="5"/>
        <v>5.32099479467901</v>
      </c>
      <c r="N10" s="37">
        <f>(L10*0.051)/6.5/0.95/0.95</f>
        <v>5.95525250372896</v>
      </c>
      <c r="O10" s="37">
        <f t="shared" si="16"/>
        <v>7.70679735776689</v>
      </c>
      <c r="P10" s="37">
        <f>(L10*0.1+0)/6.5/0.95/0.95</f>
        <v>11.6769656935862</v>
      </c>
      <c r="Q10" s="37">
        <f>(L10*0.062+0)/6.5/0.95/0.95</f>
        <v>7.23971873002344</v>
      </c>
      <c r="R10" s="37">
        <f t="shared" si="17"/>
        <v>5.48817387598551</v>
      </c>
      <c r="S10" s="37">
        <f t="shared" si="8"/>
        <v>11.276247298408</v>
      </c>
      <c r="T10" s="37">
        <f t="shared" si="9"/>
        <v>13.0277921524459</v>
      </c>
      <c r="U10" s="37">
        <f t="shared" si="10"/>
        <v>16.9979604882652</v>
      </c>
      <c r="V10" s="37">
        <f t="shared" si="11"/>
        <v>12.5607135247024</v>
      </c>
      <c r="W10" s="37">
        <f t="shared" si="12"/>
        <v>10.8091686706645</v>
      </c>
      <c r="X10" s="38"/>
      <c r="Y10" s="38"/>
    </row>
    <row r="11" ht="15" spans="1:23">
      <c r="A11" s="6" t="s">
        <v>70</v>
      </c>
      <c r="B11" s="20" t="s">
        <v>71</v>
      </c>
      <c r="C11" s="8" t="s">
        <v>72</v>
      </c>
      <c r="D11" s="9" t="str">
        <f>_xlfn.DISPIMG("ID_FC0AA0C8559E4F88BF8DED5A10B74BE8",1)</f>
        <v>=DISPIMG("ID_FC0AA0C8559E4F88BF8DED5A10B74BE8",1)</v>
      </c>
      <c r="E11" s="10">
        <v>10</v>
      </c>
      <c r="F11" s="10" t="s">
        <v>125</v>
      </c>
      <c r="G11" s="21">
        <v>1</v>
      </c>
      <c r="H11" s="8">
        <f t="shared" ref="H11:H14" si="18">13*G11</f>
        <v>13</v>
      </c>
      <c r="I11" s="8">
        <f t="shared" si="1"/>
        <v>0</v>
      </c>
      <c r="J11" s="8">
        <f t="shared" si="2"/>
        <v>0</v>
      </c>
      <c r="K11" s="11">
        <f t="shared" ref="K11:K14" si="19">250*G11</f>
        <v>250</v>
      </c>
      <c r="L11" s="36">
        <f>K11+25</f>
        <v>275</v>
      </c>
      <c r="M11" s="37">
        <f t="shared" ref="M11:M25" si="20">(H11+J11)/6.5/0.95/0.95</f>
        <v>2.21606648199446</v>
      </c>
      <c r="N11" s="37">
        <f>(L11*0.048)/6.5/0.95/0.95</f>
        <v>2.25015981248668</v>
      </c>
      <c r="O11" s="37">
        <f t="shared" si="16"/>
        <v>3.09396974216919</v>
      </c>
      <c r="P11" s="37">
        <f>(L11*0.111+0)/6.5/0.95/0.95</f>
        <v>5.20349456637545</v>
      </c>
      <c r="Q11" s="37">
        <f>(L11*0.067+0)/6.5/0.95/0.95</f>
        <v>3.14084807159599</v>
      </c>
      <c r="R11" s="37">
        <f t="shared" si="17"/>
        <v>2.20328148305988</v>
      </c>
      <c r="S11" s="37">
        <f t="shared" si="8"/>
        <v>4.46622629448114</v>
      </c>
      <c r="T11" s="37">
        <f t="shared" si="9"/>
        <v>5.31003622416365</v>
      </c>
      <c r="U11" s="37">
        <f t="shared" si="10"/>
        <v>7.41956104836991</v>
      </c>
      <c r="V11" s="37">
        <f t="shared" si="11"/>
        <v>5.35691455359045</v>
      </c>
      <c r="W11" s="37">
        <f t="shared" si="12"/>
        <v>4.41934796505434</v>
      </c>
    </row>
    <row r="12" ht="15" spans="1:23">
      <c r="A12" s="12"/>
      <c r="B12" s="22"/>
      <c r="C12" s="8" t="s">
        <v>72</v>
      </c>
      <c r="D12" s="14"/>
      <c r="E12" s="15"/>
      <c r="F12" s="15"/>
      <c r="G12" s="11">
        <v>2</v>
      </c>
      <c r="H12" s="8">
        <f t="shared" si="18"/>
        <v>26</v>
      </c>
      <c r="I12" s="8">
        <f t="shared" si="1"/>
        <v>0</v>
      </c>
      <c r="J12" s="8">
        <f t="shared" si="2"/>
        <v>0</v>
      </c>
      <c r="K12" s="11">
        <f t="shared" si="19"/>
        <v>500</v>
      </c>
      <c r="L12" s="36">
        <f>K12+35</f>
        <v>535</v>
      </c>
      <c r="M12" s="37">
        <f t="shared" si="20"/>
        <v>4.43213296398892</v>
      </c>
      <c r="N12" s="37">
        <f>(L12*0.047)/6.5/0.95/0.95</f>
        <v>4.28638397613467</v>
      </c>
      <c r="O12" s="37">
        <f t="shared" si="16"/>
        <v>6.01917749840188</v>
      </c>
      <c r="P12" s="37">
        <f>(L12*0.095+0)/6.5/0.95/0.95</f>
        <v>8.66396761133603</v>
      </c>
      <c r="Q12" s="37">
        <f>(L12*0.062+0)/6.5/0.95/0.95</f>
        <v>5.6543788621351</v>
      </c>
      <c r="R12" s="37">
        <f t="shared" si="17"/>
        <v>4.28638397613467</v>
      </c>
      <c r="S12" s="37">
        <f t="shared" si="8"/>
        <v>8.71851694012359</v>
      </c>
      <c r="T12" s="37">
        <f t="shared" si="9"/>
        <v>10.4513104623908</v>
      </c>
      <c r="U12" s="37">
        <f t="shared" si="10"/>
        <v>13.096100575325</v>
      </c>
      <c r="V12" s="37">
        <f t="shared" si="11"/>
        <v>10.086511826124</v>
      </c>
      <c r="W12" s="37">
        <f t="shared" si="12"/>
        <v>8.71851694012359</v>
      </c>
    </row>
    <row r="13" ht="15" spans="1:23">
      <c r="A13" s="12"/>
      <c r="B13" s="22"/>
      <c r="C13" s="8" t="s">
        <v>72</v>
      </c>
      <c r="D13" s="14"/>
      <c r="E13" s="15"/>
      <c r="F13" s="15"/>
      <c r="G13" s="11">
        <v>3</v>
      </c>
      <c r="H13" s="8">
        <f t="shared" si="18"/>
        <v>39</v>
      </c>
      <c r="I13" s="8">
        <f t="shared" si="1"/>
        <v>0</v>
      </c>
      <c r="J13" s="8">
        <f t="shared" si="2"/>
        <v>0</v>
      </c>
      <c r="K13" s="11">
        <f t="shared" si="19"/>
        <v>750</v>
      </c>
      <c r="L13" s="36">
        <f>K13+50</f>
        <v>800</v>
      </c>
      <c r="M13" s="37">
        <f t="shared" si="20"/>
        <v>6.64819944598338</v>
      </c>
      <c r="N13" s="37">
        <f>(L13*0.047)/6.5/0.95/0.95</f>
        <v>6.40954613253782</v>
      </c>
      <c r="O13" s="37">
        <f t="shared" si="16"/>
        <v>9.00063924994673</v>
      </c>
      <c r="P13" s="37">
        <f>(L13*0.095+0)/6.5/0.95/0.95</f>
        <v>12.9554655870445</v>
      </c>
      <c r="Q13" s="37">
        <f>(L13*0.062+0)/6.5/0.95/0.95</f>
        <v>8.45514596207117</v>
      </c>
      <c r="R13" s="37">
        <f t="shared" si="17"/>
        <v>6.40954613253782</v>
      </c>
      <c r="S13" s="37">
        <f t="shared" si="8"/>
        <v>13.0577455785212</v>
      </c>
      <c r="T13" s="37">
        <f t="shared" si="9"/>
        <v>15.6488386959301</v>
      </c>
      <c r="U13" s="37">
        <f t="shared" si="10"/>
        <v>19.6036650330279</v>
      </c>
      <c r="V13" s="37">
        <f t="shared" si="11"/>
        <v>15.1033454080546</v>
      </c>
      <c r="W13" s="37">
        <f t="shared" si="12"/>
        <v>13.0577455785212</v>
      </c>
    </row>
    <row r="14" ht="15" spans="1:23">
      <c r="A14" s="16"/>
      <c r="B14" s="23"/>
      <c r="C14" s="8" t="s">
        <v>72</v>
      </c>
      <c r="D14" s="14"/>
      <c r="E14" s="15"/>
      <c r="F14" s="19"/>
      <c r="G14" s="11">
        <v>4</v>
      </c>
      <c r="H14" s="8">
        <f t="shared" si="18"/>
        <v>52</v>
      </c>
      <c r="I14" s="11"/>
      <c r="J14" s="11"/>
      <c r="K14" s="11">
        <f t="shared" si="19"/>
        <v>1000</v>
      </c>
      <c r="L14" s="36">
        <f>K14+65</f>
        <v>1065</v>
      </c>
      <c r="M14" s="37">
        <f t="shared" si="20"/>
        <v>8.86426592797784</v>
      </c>
      <c r="N14" s="37">
        <f>(L14*0.047)/6.5/0.95/0.95</f>
        <v>8.53270828894098</v>
      </c>
      <c r="O14" s="37">
        <f t="shared" si="16"/>
        <v>11.9821010014916</v>
      </c>
      <c r="P14" s="37">
        <f>(L14*0.095+0)/6.5/0.95/0.95</f>
        <v>17.246963562753</v>
      </c>
      <c r="Q14" s="37">
        <f>(L14*0.062+0)/6.5/0.95/0.95</f>
        <v>11.2559130620072</v>
      </c>
      <c r="R14" s="37">
        <f t="shared" si="17"/>
        <v>8.53270828894098</v>
      </c>
      <c r="S14" s="37">
        <f t="shared" si="8"/>
        <v>17.3969742169188</v>
      </c>
      <c r="T14" s="37">
        <f t="shared" si="9"/>
        <v>20.8463669294694</v>
      </c>
      <c r="U14" s="37">
        <f t="shared" si="10"/>
        <v>26.1112294907309</v>
      </c>
      <c r="V14" s="37">
        <f t="shared" si="11"/>
        <v>20.1201789899851</v>
      </c>
      <c r="W14" s="37">
        <f t="shared" si="12"/>
        <v>17.3969742169188</v>
      </c>
    </row>
    <row r="15" ht="15" spans="1:23">
      <c r="A15" s="24" t="s">
        <v>76</v>
      </c>
      <c r="B15" s="9" t="s">
        <v>77</v>
      </c>
      <c r="C15" s="8" t="s">
        <v>78</v>
      </c>
      <c r="D15" s="9" t="str">
        <f>_xlfn.DISPIMG("ID_EE4095801ACF43C8B7EFA7F43CC61D27",1)</f>
        <v>=DISPIMG("ID_EE4095801ACF43C8B7EFA7F43CC61D27",1)</v>
      </c>
      <c r="E15" s="10">
        <v>10</v>
      </c>
      <c r="F15" s="10" t="s">
        <v>125</v>
      </c>
      <c r="G15" s="11">
        <v>1</v>
      </c>
      <c r="H15" s="11">
        <f t="shared" ref="H15:H18" si="21">35*G15</f>
        <v>35</v>
      </c>
      <c r="I15" s="11">
        <v>3.5</v>
      </c>
      <c r="J15" s="11">
        <f t="shared" ref="J15:J18" si="22">0.35*G15</f>
        <v>0.35</v>
      </c>
      <c r="K15" s="11">
        <f t="shared" ref="K15:K18" si="23">110*G15</f>
        <v>110</v>
      </c>
      <c r="L15" s="36">
        <f>K15+20</f>
        <v>130</v>
      </c>
      <c r="M15" s="37">
        <f t="shared" si="20"/>
        <v>6.02599616450032</v>
      </c>
      <c r="N15" s="37">
        <f>(L15*0.048)/6.5/0.95/0.95</f>
        <v>1.06371191135734</v>
      </c>
      <c r="O15" s="37">
        <f>(L15*0.071+0)/6.5/0.95/0.95</f>
        <v>1.57340720221607</v>
      </c>
      <c r="P15" s="37">
        <f>(L15*0.124+0)/6.5/0.95/0.95</f>
        <v>2.74792243767313</v>
      </c>
      <c r="Q15" s="37">
        <f>(L15*0.067+0)/6.5/0.95/0.95</f>
        <v>1.48476454293629</v>
      </c>
      <c r="R15" s="37">
        <f t="shared" si="17"/>
        <v>1.0415512465374</v>
      </c>
      <c r="S15" s="37">
        <f t="shared" si="8"/>
        <v>7.08970807585766</v>
      </c>
      <c r="T15" s="37">
        <f t="shared" si="9"/>
        <v>7.59940336671639</v>
      </c>
      <c r="U15" s="37">
        <f t="shared" si="10"/>
        <v>8.77391860217345</v>
      </c>
      <c r="V15" s="37">
        <f t="shared" si="11"/>
        <v>7.51076070743661</v>
      </c>
      <c r="W15" s="37">
        <f t="shared" si="12"/>
        <v>7.06754741103772</v>
      </c>
    </row>
    <row r="16" ht="15" spans="1:23">
      <c r="A16" s="25"/>
      <c r="B16" s="14"/>
      <c r="C16" s="8" t="s">
        <v>78</v>
      </c>
      <c r="D16" s="14"/>
      <c r="E16" s="15"/>
      <c r="F16" s="15"/>
      <c r="G16" s="11">
        <v>2</v>
      </c>
      <c r="H16" s="11">
        <f t="shared" si="21"/>
        <v>70</v>
      </c>
      <c r="I16" s="11"/>
      <c r="J16" s="11">
        <f t="shared" si="22"/>
        <v>0.7</v>
      </c>
      <c r="K16" s="11">
        <f t="shared" si="23"/>
        <v>220</v>
      </c>
      <c r="L16" s="36">
        <f>K16+35</f>
        <v>255</v>
      </c>
      <c r="M16" s="37">
        <f t="shared" si="20"/>
        <v>12.0519923290006</v>
      </c>
      <c r="N16" s="37">
        <f>(L16*0.048)/6.5/0.95/0.95</f>
        <v>2.08651182612401</v>
      </c>
      <c r="O16" s="37">
        <f>(L16*0.066+0)/6.5/0.95/0.95</f>
        <v>2.86895376092052</v>
      </c>
      <c r="P16" s="37">
        <f>(L16*0.111+0)/6.5/0.95/0.95</f>
        <v>4.82505859791178</v>
      </c>
      <c r="Q16" s="37">
        <f>(L16*0.067+0)/6.5/0.95/0.95</f>
        <v>2.9124227572981</v>
      </c>
      <c r="R16" s="37">
        <f t="shared" si="17"/>
        <v>2.04304282974643</v>
      </c>
      <c r="S16" s="37">
        <f t="shared" si="8"/>
        <v>14.1385041551247</v>
      </c>
      <c r="T16" s="37">
        <f t="shared" si="9"/>
        <v>14.9209460899211</v>
      </c>
      <c r="U16" s="37">
        <f t="shared" si="10"/>
        <v>16.8770509269124</v>
      </c>
      <c r="V16" s="37">
        <f t="shared" si="11"/>
        <v>14.9644150862987</v>
      </c>
      <c r="W16" s="37">
        <f t="shared" si="12"/>
        <v>14.0950351587471</v>
      </c>
    </row>
    <row r="17" ht="15" spans="1:23">
      <c r="A17" s="25"/>
      <c r="B17" s="14"/>
      <c r="C17" s="8" t="s">
        <v>78</v>
      </c>
      <c r="D17" s="14"/>
      <c r="E17" s="15"/>
      <c r="F17" s="15"/>
      <c r="G17" s="11">
        <v>3</v>
      </c>
      <c r="H17" s="11">
        <f t="shared" si="21"/>
        <v>105</v>
      </c>
      <c r="I17" s="11"/>
      <c r="J17" s="11">
        <f t="shared" si="22"/>
        <v>1.05</v>
      </c>
      <c r="K17" s="11">
        <f t="shared" si="23"/>
        <v>330</v>
      </c>
      <c r="L17" s="36">
        <f>K17+50</f>
        <v>380</v>
      </c>
      <c r="M17" s="37">
        <f t="shared" si="20"/>
        <v>18.077988493501</v>
      </c>
      <c r="N17" s="37">
        <f>(L17*0.048)/6.5/0.95/0.95</f>
        <v>3.10931174089069</v>
      </c>
      <c r="O17" s="37">
        <f>(L17*0.066+0)/6.5/0.95/0.95</f>
        <v>4.2753036437247</v>
      </c>
      <c r="P17" s="37">
        <f>(L17*0.111+0)/6.5/0.95/0.95</f>
        <v>7.19028340080972</v>
      </c>
      <c r="Q17" s="37">
        <f>(L17*0.062+0)/6.5/0.95/0.95</f>
        <v>4.01619433198381</v>
      </c>
      <c r="R17" s="37">
        <f t="shared" si="17"/>
        <v>3.04453441295547</v>
      </c>
      <c r="S17" s="37">
        <f t="shared" si="8"/>
        <v>21.1873002343916</v>
      </c>
      <c r="T17" s="37">
        <f t="shared" si="9"/>
        <v>22.3532921372257</v>
      </c>
      <c r="U17" s="37">
        <f t="shared" si="10"/>
        <v>25.2682718943107</v>
      </c>
      <c r="V17" s="37">
        <f t="shared" si="11"/>
        <v>22.0941828254848</v>
      </c>
      <c r="W17" s="37">
        <f t="shared" si="12"/>
        <v>21.1225229064564</v>
      </c>
    </row>
    <row r="18" ht="15" spans="1:23">
      <c r="A18" s="25"/>
      <c r="B18" s="14"/>
      <c r="C18" s="8" t="s">
        <v>78</v>
      </c>
      <c r="D18" s="14"/>
      <c r="E18" s="15"/>
      <c r="F18" s="19"/>
      <c r="G18" s="11">
        <v>4</v>
      </c>
      <c r="H18" s="11">
        <f t="shared" si="21"/>
        <v>140</v>
      </c>
      <c r="I18" s="11"/>
      <c r="J18" s="11">
        <f t="shared" si="22"/>
        <v>1.4</v>
      </c>
      <c r="K18" s="11">
        <f t="shared" si="23"/>
        <v>440</v>
      </c>
      <c r="L18" s="36">
        <f>K18+65</f>
        <v>505</v>
      </c>
      <c r="M18" s="37">
        <f t="shared" si="20"/>
        <v>24.1039846580013</v>
      </c>
      <c r="N18" s="37">
        <f>(L18*0.047)/6.5/0.95/0.95</f>
        <v>4.0460259961645</v>
      </c>
      <c r="O18" s="37">
        <f>(L18*0.066+0)/6.5/0.95/0.95</f>
        <v>5.68165352652887</v>
      </c>
      <c r="P18" s="37">
        <f>(L18*0.095+0)/6.5/0.95/0.95</f>
        <v>8.17813765182186</v>
      </c>
      <c r="Q18" s="37">
        <f>(L18*0.062+0)/6.5/0.95/0.95</f>
        <v>5.33731088855743</v>
      </c>
      <c r="R18" s="37">
        <f t="shared" si="17"/>
        <v>4.0460259961645</v>
      </c>
      <c r="S18" s="37">
        <f t="shared" si="8"/>
        <v>28.1500106541658</v>
      </c>
      <c r="T18" s="37">
        <f t="shared" si="9"/>
        <v>29.7856381845302</v>
      </c>
      <c r="U18" s="37">
        <f t="shared" si="10"/>
        <v>32.2821223098231</v>
      </c>
      <c r="V18" s="37">
        <f t="shared" si="11"/>
        <v>29.4412955465587</v>
      </c>
      <c r="W18" s="37">
        <f t="shared" si="12"/>
        <v>28.1500106541658</v>
      </c>
    </row>
    <row r="19" ht="15" spans="1:23">
      <c r="A19" s="9" t="s">
        <v>126</v>
      </c>
      <c r="B19" s="9" t="s">
        <v>82</v>
      </c>
      <c r="C19" s="8" t="s">
        <v>83</v>
      </c>
      <c r="D19" s="10"/>
      <c r="E19" s="26">
        <v>10</v>
      </c>
      <c r="F19" s="10"/>
      <c r="G19" s="21">
        <v>1</v>
      </c>
      <c r="H19" s="8">
        <f t="shared" ref="H19:H22" si="24">2.52*G19</f>
        <v>2.52</v>
      </c>
      <c r="I19" s="11">
        <f>2*G19</f>
        <v>2</v>
      </c>
      <c r="J19" s="8">
        <f>0.2*G19</f>
        <v>0.2</v>
      </c>
      <c r="K19" s="11">
        <f t="shared" ref="K19:K22" si="25">25*G19</f>
        <v>25</v>
      </c>
      <c r="L19" s="36">
        <f>K19+10</f>
        <v>35</v>
      </c>
      <c r="M19" s="37">
        <f t="shared" si="20"/>
        <v>0.463669294694226</v>
      </c>
      <c r="N19" s="37">
        <f t="shared" ref="N19:N25" si="26">(L19*0.048)/6.5/0.95/0.95</f>
        <v>0.286383976134669</v>
      </c>
      <c r="O19" s="37">
        <f t="shared" ref="O19:O25" si="27">(L19*0.071+0)/6.5/0.95/0.95</f>
        <v>0.423609631365864</v>
      </c>
      <c r="P19" s="37">
        <f>(L19*0.124+0)/6.5/0.95/0.95</f>
        <v>0.739825271681227</v>
      </c>
      <c r="Q19" s="37">
        <f t="shared" ref="Q19:Q25" si="28">(L19*0.067+0)/6.5/0.95/0.95</f>
        <v>0.399744300021308</v>
      </c>
      <c r="R19" s="37">
        <f t="shared" si="17"/>
        <v>0.28041764329853</v>
      </c>
      <c r="S19" s="37">
        <f t="shared" si="8"/>
        <v>0.750053270828894</v>
      </c>
      <c r="T19" s="37">
        <f t="shared" si="9"/>
        <v>0.88727892606009</v>
      </c>
      <c r="U19" s="37">
        <f t="shared" si="10"/>
        <v>1.20349456637545</v>
      </c>
      <c r="V19" s="37">
        <f t="shared" si="11"/>
        <v>0.863413594715534</v>
      </c>
      <c r="W19" s="37">
        <f t="shared" si="12"/>
        <v>0.744086937992755</v>
      </c>
    </row>
    <row r="20" ht="15" spans="1:23">
      <c r="A20" s="14"/>
      <c r="B20" s="14"/>
      <c r="C20" s="8" t="s">
        <v>83</v>
      </c>
      <c r="D20" s="15"/>
      <c r="E20" s="27"/>
      <c r="F20" s="15"/>
      <c r="G20" s="11">
        <v>2</v>
      </c>
      <c r="H20" s="8">
        <f t="shared" si="24"/>
        <v>5.04</v>
      </c>
      <c r="I20" s="11">
        <f>2*G20</f>
        <v>4</v>
      </c>
      <c r="J20" s="8">
        <f>0.2*G20</f>
        <v>0.4</v>
      </c>
      <c r="K20" s="11">
        <f t="shared" si="25"/>
        <v>50</v>
      </c>
      <c r="L20" s="36">
        <f t="shared" ref="L20:L25" si="29">K20+15</f>
        <v>65</v>
      </c>
      <c r="M20" s="37">
        <f t="shared" si="20"/>
        <v>0.927338589388451</v>
      </c>
      <c r="N20" s="37">
        <f t="shared" si="26"/>
        <v>0.53185595567867</v>
      </c>
      <c r="O20" s="37">
        <f t="shared" si="27"/>
        <v>0.786703601108033</v>
      </c>
      <c r="P20" s="37">
        <f>(L20*0.124+0)/6.5/0.95/0.95</f>
        <v>1.37396121883657</v>
      </c>
      <c r="Q20" s="37">
        <f t="shared" si="28"/>
        <v>0.742382271468144</v>
      </c>
      <c r="R20" s="37">
        <f t="shared" si="17"/>
        <v>0.520775623268698</v>
      </c>
      <c r="S20" s="37">
        <f t="shared" si="8"/>
        <v>1.45919454506712</v>
      </c>
      <c r="T20" s="37">
        <f t="shared" si="9"/>
        <v>1.71404219049648</v>
      </c>
      <c r="U20" s="37">
        <f t="shared" si="10"/>
        <v>2.30129980822502</v>
      </c>
      <c r="V20" s="37">
        <f t="shared" si="11"/>
        <v>1.6697208608566</v>
      </c>
      <c r="W20" s="37">
        <f t="shared" si="12"/>
        <v>1.44811421265715</v>
      </c>
    </row>
    <row r="21" ht="15" spans="1:23">
      <c r="A21" s="14"/>
      <c r="B21" s="14"/>
      <c r="C21" s="8" t="s">
        <v>83</v>
      </c>
      <c r="D21" s="15"/>
      <c r="E21" s="27"/>
      <c r="F21" s="15"/>
      <c r="G21" s="11">
        <v>3</v>
      </c>
      <c r="H21" s="8">
        <f t="shared" si="24"/>
        <v>7.56</v>
      </c>
      <c r="I21" s="11"/>
      <c r="J21" s="8"/>
      <c r="K21" s="11">
        <f t="shared" si="25"/>
        <v>75</v>
      </c>
      <c r="L21" s="36">
        <f>K21+20</f>
        <v>95</v>
      </c>
      <c r="M21" s="37">
        <f t="shared" si="20"/>
        <v>1.28872789260601</v>
      </c>
      <c r="N21" s="37">
        <f t="shared" si="26"/>
        <v>0.777327935222672</v>
      </c>
      <c r="O21" s="37">
        <f t="shared" si="27"/>
        <v>1.1497975708502</v>
      </c>
      <c r="P21" s="37">
        <f>(L21*0.124+0)/6.5/0.95/0.95</f>
        <v>2.0080971659919</v>
      </c>
      <c r="Q21" s="37">
        <f t="shared" si="28"/>
        <v>1.08502024291498</v>
      </c>
      <c r="R21" s="37">
        <f t="shared" si="17"/>
        <v>0.761133603238866</v>
      </c>
      <c r="S21" s="37">
        <f t="shared" si="8"/>
        <v>2.06605582782868</v>
      </c>
      <c r="T21" s="37">
        <f t="shared" si="9"/>
        <v>2.43852546345621</v>
      </c>
      <c r="U21" s="37">
        <f t="shared" si="10"/>
        <v>3.29682505859791</v>
      </c>
      <c r="V21" s="37">
        <f t="shared" si="11"/>
        <v>2.37374813552099</v>
      </c>
      <c r="W21" s="37">
        <f t="shared" si="12"/>
        <v>2.04986149584488</v>
      </c>
    </row>
    <row r="22" ht="15" spans="1:23">
      <c r="A22" s="14"/>
      <c r="B22" s="14"/>
      <c r="C22" s="8" t="s">
        <v>83</v>
      </c>
      <c r="D22" s="15"/>
      <c r="E22" s="27"/>
      <c r="F22" s="15"/>
      <c r="G22" s="10">
        <v>4</v>
      </c>
      <c r="H22" s="8">
        <f t="shared" si="24"/>
        <v>10.08</v>
      </c>
      <c r="I22" s="10"/>
      <c r="J22" s="9"/>
      <c r="K22" s="11">
        <f t="shared" si="25"/>
        <v>100</v>
      </c>
      <c r="L22" s="36">
        <f>K22+20</f>
        <v>120</v>
      </c>
      <c r="M22" s="37">
        <f t="shared" si="20"/>
        <v>1.71830385680801</v>
      </c>
      <c r="N22" s="37">
        <f t="shared" si="26"/>
        <v>0.981887918176007</v>
      </c>
      <c r="O22" s="37">
        <f t="shared" si="27"/>
        <v>1.45237587896868</v>
      </c>
      <c r="P22" s="37">
        <f>(L22*0.124+0)/6.5/0.95/0.95</f>
        <v>2.53654378862135</v>
      </c>
      <c r="Q22" s="37">
        <f t="shared" si="28"/>
        <v>1.37055188578734</v>
      </c>
      <c r="R22" s="37">
        <f t="shared" si="17"/>
        <v>0.961431919880673</v>
      </c>
      <c r="S22" s="37">
        <f t="shared" si="8"/>
        <v>2.70019177498402</v>
      </c>
      <c r="T22" s="37">
        <f t="shared" si="9"/>
        <v>3.17067973577669</v>
      </c>
      <c r="U22" s="37">
        <f t="shared" si="10"/>
        <v>4.25484764542936</v>
      </c>
      <c r="V22" s="37">
        <f t="shared" si="11"/>
        <v>3.08885574259535</v>
      </c>
      <c r="W22" s="37">
        <f t="shared" si="12"/>
        <v>2.67973577668869</v>
      </c>
    </row>
    <row r="23" ht="15" spans="1:27">
      <c r="A23" s="9" t="s">
        <v>127</v>
      </c>
      <c r="B23" s="9" t="s">
        <v>128</v>
      </c>
      <c r="C23" s="11" t="s">
        <v>93</v>
      </c>
      <c r="D23" s="10"/>
      <c r="E23" s="10">
        <v>10</v>
      </c>
      <c r="F23" s="9" t="s">
        <v>129</v>
      </c>
      <c r="G23" s="11">
        <v>1</v>
      </c>
      <c r="H23" s="11">
        <f t="shared" ref="H23:H25" si="30">2.5*G23</f>
        <v>2.5</v>
      </c>
      <c r="I23" s="11">
        <v>6</v>
      </c>
      <c r="J23" s="11">
        <f t="shared" ref="J23:J25" si="31">0.6*G23</f>
        <v>0.6</v>
      </c>
      <c r="K23" s="11">
        <f t="shared" ref="K23:K25" si="32">8*G23</f>
        <v>8</v>
      </c>
      <c r="L23" s="36">
        <f>K23+10</f>
        <v>18</v>
      </c>
      <c r="M23" s="37">
        <f t="shared" si="20"/>
        <v>0.528446622629448</v>
      </c>
      <c r="N23" s="37">
        <f t="shared" si="26"/>
        <v>0.147283187726401</v>
      </c>
      <c r="O23" s="37">
        <f t="shared" si="27"/>
        <v>0.217856381845301</v>
      </c>
      <c r="P23" s="37">
        <f>(L23*0.129+0)/6.5/0.95/0.95</f>
        <v>0.395823567014703</v>
      </c>
      <c r="Q23" s="37">
        <f t="shared" si="28"/>
        <v>0.205582782868101</v>
      </c>
      <c r="R23" s="37">
        <f t="shared" si="17"/>
        <v>0.144214787982101</v>
      </c>
      <c r="S23" s="37">
        <f t="shared" si="8"/>
        <v>0.675729810355849</v>
      </c>
      <c r="T23" s="37">
        <f t="shared" si="9"/>
        <v>0.746303004474749</v>
      </c>
      <c r="U23" s="37">
        <f t="shared" si="10"/>
        <v>0.924270189644151</v>
      </c>
      <c r="V23" s="37">
        <f t="shared" si="11"/>
        <v>0.73402940549755</v>
      </c>
      <c r="W23" s="37">
        <f t="shared" si="12"/>
        <v>0.672661410611549</v>
      </c>
      <c r="X23" s="38"/>
      <c r="Y23" s="38"/>
      <c r="Z23" s="38"/>
      <c r="AA23" s="38"/>
    </row>
    <row r="24" ht="15" spans="1:27">
      <c r="A24" s="14"/>
      <c r="B24" s="14"/>
      <c r="C24" s="11" t="s">
        <v>93</v>
      </c>
      <c r="D24" s="15"/>
      <c r="E24" s="15"/>
      <c r="F24" s="14"/>
      <c r="G24" s="11">
        <v>2</v>
      </c>
      <c r="H24" s="11">
        <f t="shared" si="30"/>
        <v>5</v>
      </c>
      <c r="I24" s="38"/>
      <c r="J24" s="11">
        <f t="shared" si="31"/>
        <v>1.2</v>
      </c>
      <c r="K24" s="11">
        <f t="shared" si="32"/>
        <v>16</v>
      </c>
      <c r="L24" s="36">
        <f t="shared" si="29"/>
        <v>31</v>
      </c>
      <c r="M24" s="37">
        <f t="shared" si="20"/>
        <v>1.0568932452589</v>
      </c>
      <c r="N24" s="37">
        <f t="shared" si="26"/>
        <v>0.253654378862135</v>
      </c>
      <c r="O24" s="37">
        <f t="shared" si="27"/>
        <v>0.375197102066908</v>
      </c>
      <c r="P24" s="37">
        <f>(L24*0.129+0)/6.5/0.95/0.95</f>
        <v>0.681696143191988</v>
      </c>
      <c r="Q24" s="37">
        <f t="shared" si="28"/>
        <v>0.35405923716173</v>
      </c>
      <c r="R24" s="37">
        <f t="shared" si="17"/>
        <v>0.248369912635841</v>
      </c>
      <c r="S24" s="37">
        <f t="shared" si="8"/>
        <v>1.31054762412103</v>
      </c>
      <c r="T24" s="37">
        <f t="shared" si="9"/>
        <v>1.43209034732581</v>
      </c>
      <c r="U24" s="37">
        <f t="shared" si="10"/>
        <v>1.73858938845088</v>
      </c>
      <c r="V24" s="37">
        <f t="shared" si="11"/>
        <v>1.41095248242063</v>
      </c>
      <c r="W24" s="37">
        <f t="shared" si="12"/>
        <v>1.30526315789474</v>
      </c>
      <c r="X24" s="38"/>
      <c r="Y24" s="38"/>
      <c r="Z24" s="38"/>
      <c r="AA24" s="38"/>
    </row>
    <row r="25" ht="15" spans="1:27">
      <c r="A25" s="18"/>
      <c r="B25" s="18"/>
      <c r="C25" s="11" t="s">
        <v>93</v>
      </c>
      <c r="D25" s="19"/>
      <c r="E25" s="19"/>
      <c r="F25" s="18"/>
      <c r="G25" s="11">
        <v>3</v>
      </c>
      <c r="H25" s="11">
        <f t="shared" si="30"/>
        <v>7.5</v>
      </c>
      <c r="I25" s="38"/>
      <c r="J25" s="11">
        <f t="shared" si="31"/>
        <v>1.8</v>
      </c>
      <c r="K25" s="11">
        <f t="shared" si="32"/>
        <v>24</v>
      </c>
      <c r="L25" s="36">
        <f t="shared" si="29"/>
        <v>39</v>
      </c>
      <c r="M25" s="37">
        <f t="shared" si="20"/>
        <v>1.58533986788834</v>
      </c>
      <c r="N25" s="37">
        <f t="shared" si="26"/>
        <v>0.319113573407202</v>
      </c>
      <c r="O25" s="37">
        <f t="shared" si="27"/>
        <v>0.47202216066482</v>
      </c>
      <c r="P25" s="37">
        <f>(L25*0.129+0)/6.5/0.95/0.95</f>
        <v>0.857617728531856</v>
      </c>
      <c r="Q25" s="37">
        <f t="shared" si="28"/>
        <v>0.445429362880887</v>
      </c>
      <c r="R25" s="37">
        <f t="shared" si="17"/>
        <v>0.312465373961219</v>
      </c>
      <c r="S25" s="37">
        <f t="shared" si="8"/>
        <v>1.90445344129555</v>
      </c>
      <c r="T25" s="37">
        <f t="shared" si="9"/>
        <v>2.05736202855316</v>
      </c>
      <c r="U25" s="37">
        <f t="shared" si="10"/>
        <v>2.4429575964202</v>
      </c>
      <c r="V25" s="37">
        <f t="shared" si="11"/>
        <v>2.03076923076923</v>
      </c>
      <c r="W25" s="37">
        <f t="shared" si="12"/>
        <v>1.89780524184956</v>
      </c>
      <c r="X25" s="38"/>
      <c r="Y25" s="38"/>
      <c r="Z25" s="38"/>
      <c r="AA25" s="38"/>
    </row>
    <row r="26" ht="30" spans="2:13">
      <c r="B26" s="28" t="s">
        <v>130</v>
      </c>
      <c r="C26" s="29" t="s">
        <v>123</v>
      </c>
      <c r="D26" s="30"/>
      <c r="E26" s="31">
        <v>10000</v>
      </c>
      <c r="F26" s="30"/>
      <c r="G26" s="31">
        <v>1</v>
      </c>
      <c r="H26" s="31">
        <v>15</v>
      </c>
      <c r="I26" s="31">
        <v>0</v>
      </c>
      <c r="J26" s="31">
        <v>0</v>
      </c>
      <c r="K26" s="31">
        <v>0</v>
      </c>
      <c r="L26" s="30"/>
      <c r="M26" s="39">
        <f>(H26+I26)/6.5/0.95/0.95</f>
        <v>2.55699978691668</v>
      </c>
    </row>
  </sheetData>
  <mergeCells count="28">
    <mergeCell ref="Z1:AA1"/>
    <mergeCell ref="A2:A10"/>
    <mergeCell ref="A11:A14"/>
    <mergeCell ref="A15:A18"/>
    <mergeCell ref="A19:A22"/>
    <mergeCell ref="A23:A25"/>
    <mergeCell ref="B2:B10"/>
    <mergeCell ref="B11:B14"/>
    <mergeCell ref="B15:B18"/>
    <mergeCell ref="B19:B22"/>
    <mergeCell ref="B23:B25"/>
    <mergeCell ref="D2:D10"/>
    <mergeCell ref="D11:D14"/>
    <mergeCell ref="D15:D18"/>
    <mergeCell ref="D19:D22"/>
    <mergeCell ref="D23:D25"/>
    <mergeCell ref="E2:E6"/>
    <mergeCell ref="E9:E10"/>
    <mergeCell ref="E11:E14"/>
    <mergeCell ref="E15:E18"/>
    <mergeCell ref="E19:E22"/>
    <mergeCell ref="E23:E25"/>
    <mergeCell ref="F2:F6"/>
    <mergeCell ref="F9:F10"/>
    <mergeCell ref="F11:F14"/>
    <mergeCell ref="F15:F18"/>
    <mergeCell ref="F19:F22"/>
    <mergeCell ref="F23:F25"/>
  </mergeCells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��N�N�N�S8.5S���v͑ϑS��N��N�~nf'�N��N�~nf'�N��N�~nf'�S��N�N�N�S8.5S��WWN��N�~nf'�N��N�~nf'�N��N�~nf'�N��N�~nf'�N��N�~nf'�N��N�~nf'��[7b	�ُ*N�g4Y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WWO_wpscloud_20241015111419-8bcb730b6c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找货表</vt:lpstr>
      <vt:lpstr>瑜伽裤报价表</vt:lpstr>
      <vt:lpstr>upsell 报价表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郭海毅</cp:lastModifiedBy>
  <dcterms:created xsi:type="dcterms:W3CDTF">2025-06-24T19:52:00Z</dcterms:created>
  <dcterms:modified xsi:type="dcterms:W3CDTF">2026-01-27T02:12:27Z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9EF6646B0F724CECA86CBBE0F8DDE7FC_13</vt:lpwstr>
  </property>
  <property fmtid="{D5CDD505-2E9C-101B-9397-08002B2CF9AE}" pid="3" name="KSOProductBuildVer">
    <vt:lpwstr>2052-11.8.2.10154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