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cthva-my.sharepoint.com/personal/hajar_talhaoui_hva_nl/Documents/"/>
    </mc:Choice>
  </mc:AlternateContent>
  <xr:revisionPtr revIDLastSave="69" documentId="8_{89A05934-8C7E-E04E-9703-69BD0F26A889}" xr6:coauthVersionLast="47" xr6:coauthVersionMax="47" xr10:uidLastSave="{06BDF480-E87D-6C4C-BA75-BB6C879651B9}"/>
  <bookViews>
    <workbookView xWindow="11940" yWindow="740" windowWidth="15700" windowHeight="16660" activeTab="2" xr2:uid="{F0B73364-4B9E-C84D-958C-6388CAF83ED1}"/>
  </bookViews>
  <sheets>
    <sheet name="Verdeling per sector" sheetId="2" r:id="rId1"/>
    <sheet name="Verdeling per bedrijfsgrootte" sheetId="6" r:id="rId2"/>
    <sheet name="Blad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F3" i="5" l="1"/>
  <c r="F2" i="5"/>
  <c r="D16" i="5"/>
  <c r="D14" i="5"/>
  <c r="E14" i="5" s="1"/>
  <c r="D37" i="5"/>
  <c r="E37" i="5" s="1"/>
  <c r="D36" i="5"/>
  <c r="E36" i="5" s="1"/>
  <c r="D10" i="5"/>
  <c r="D9" i="5"/>
  <c r="D13" i="5"/>
  <c r="E13" i="5" s="1"/>
  <c r="D12" i="5"/>
  <c r="D11" i="5"/>
  <c r="D8" i="5"/>
  <c r="D7" i="5"/>
  <c r="D6" i="5"/>
  <c r="E6" i="5" s="1"/>
  <c r="D32" i="5"/>
  <c r="D29" i="5" s="1"/>
  <c r="D39" i="5"/>
  <c r="D38" i="5" s="1"/>
  <c r="D15" i="5"/>
  <c r="E15" i="5" s="1"/>
  <c r="D4" i="5"/>
  <c r="F37" i="5" l="1"/>
  <c r="F14" i="5"/>
  <c r="E38" i="5"/>
  <c r="F38" i="5"/>
  <c r="E29" i="5"/>
  <c r="F29" i="5"/>
  <c r="D19" i="5"/>
  <c r="F19" i="5" s="1"/>
  <c r="D30" i="5"/>
  <c r="D35" i="5"/>
  <c r="D20" i="5"/>
  <c r="E20" i="5" s="1"/>
  <c r="F36" i="5"/>
  <c r="D23" i="5"/>
  <c r="E23" i="5" s="1"/>
  <c r="D25" i="5"/>
  <c r="F25" i="5" s="1"/>
  <c r="D31" i="5"/>
  <c r="D26" i="5"/>
  <c r="D18" i="5"/>
  <c r="E18" i="5" s="1"/>
  <c r="D27" i="5"/>
  <c r="D34" i="5"/>
  <c r="D21" i="5"/>
  <c r="F21" i="5" s="1"/>
  <c r="D28" i="5"/>
  <c r="D24" i="5"/>
  <c r="E24" i="5" s="1"/>
  <c r="D22" i="5"/>
  <c r="F22" i="5" s="1"/>
  <c r="F15" i="5"/>
  <c r="F24" i="5"/>
  <c r="F12" i="5"/>
  <c r="F13" i="5"/>
  <c r="F7" i="5"/>
  <c r="F8" i="5"/>
  <c r="F9" i="5"/>
  <c r="F10" i="5"/>
  <c r="F11" i="5"/>
  <c r="F6" i="5"/>
  <c r="E11" i="5"/>
  <c r="E3" i="5"/>
  <c r="E7" i="5"/>
  <c r="E8" i="5"/>
  <c r="E9" i="5"/>
  <c r="E10" i="5"/>
  <c r="E12" i="5"/>
  <c r="E25" i="5" l="1"/>
  <c r="F20" i="5"/>
  <c r="E22" i="5"/>
  <c r="E21" i="5"/>
  <c r="F23" i="5"/>
  <c r="E19" i="5"/>
  <c r="E26" i="5"/>
  <c r="F26" i="5"/>
  <c r="E27" i="5"/>
  <c r="F27" i="5"/>
  <c r="E35" i="5"/>
  <c r="F35" i="5"/>
  <c r="F30" i="5"/>
  <c r="E30" i="5"/>
  <c r="F34" i="5"/>
  <c r="E34" i="5"/>
  <c r="F18" i="5"/>
  <c r="E31" i="5"/>
  <c r="F31" i="5"/>
  <c r="E28" i="5"/>
  <c r="F28" i="5"/>
  <c r="F4" i="5"/>
  <c r="E4" i="5"/>
</calcChain>
</file>

<file path=xl/sharedStrings.xml><?xml version="1.0" encoding="utf-8"?>
<sst xmlns="http://schemas.openxmlformats.org/spreadsheetml/2006/main" count="280" uniqueCount="129">
  <si>
    <t>Sector</t>
  </si>
  <si>
    <t>Bedrijfsauto</t>
  </si>
  <si>
    <t>B</t>
  </si>
  <si>
    <t>N</t>
  </si>
  <si>
    <t>D</t>
  </si>
  <si>
    <t>E</t>
  </si>
  <si>
    <t>Personenauto</t>
  </si>
  <si>
    <t>BE</t>
  </si>
  <si>
    <t>aantal</t>
  </si>
  <si>
    <t>Voertuigsoort</t>
  </si>
  <si>
    <t>Brandstof</t>
  </si>
  <si>
    <t>Extern oplaadbaar</t>
  </si>
  <si>
    <t xml:space="preserve">Postcode	</t>
  </si>
  <si>
    <t>Apollo Verhuizingen</t>
  </si>
  <si>
    <t>CWS Hygiene Amsterdam</t>
  </si>
  <si>
    <t>Skynet Worldwide Express</t>
  </si>
  <si>
    <t>Jansen Houtimport B.V.</t>
  </si>
  <si>
    <t>Brocacef</t>
  </si>
  <si>
    <t>Anker Amsterdam Spirits</t>
  </si>
  <si>
    <t>Advion</t>
  </si>
  <si>
    <t>AP Logistics</t>
  </si>
  <si>
    <t>Peeters Global Logistics</t>
  </si>
  <si>
    <t>Nipparts</t>
  </si>
  <si>
    <t>Hulshoff Projectverhuizingen</t>
  </si>
  <si>
    <t>Bedrijf</t>
  </si>
  <si>
    <t>Bestelauto's</t>
  </si>
  <si>
    <t>Sligro Amsterdam</t>
  </si>
  <si>
    <t>Handel</t>
  </si>
  <si>
    <t>Wentzel B.V.</t>
  </si>
  <si>
    <t>Bilal Chicken Centre B.V.</t>
  </si>
  <si>
    <t>Swapfiets Amsterdam</t>
  </si>
  <si>
    <t>Amsterdam Warehouse Company / Amsterdam Freight Co.</t>
  </si>
  <si>
    <t>Social Database</t>
  </si>
  <si>
    <t>AES International</t>
  </si>
  <si>
    <t>Decorum Kantoormeubelen</t>
  </si>
  <si>
    <t>Desko Kantoormeubelen</t>
  </si>
  <si>
    <t>Race Planet Amsterdam</t>
  </si>
  <si>
    <t>Scania Amsterdam</t>
  </si>
  <si>
    <t>PostNL Crossdock Amsterdam – Bornhout 5</t>
  </si>
  <si>
    <t>PostNL SCB Amsterdam – Australiëhavenweg 100</t>
  </si>
  <si>
    <t>Euromaster Amsterdam</t>
  </si>
  <si>
    <t>Anamet Europe</t>
  </si>
  <si>
    <t>Gezamenlijke brandweer Amsterdam</t>
  </si>
  <si>
    <t>Shell tankstation</t>
  </si>
  <si>
    <t>Truckwash 1 Amsterdam</t>
  </si>
  <si>
    <t>IGT Europe Gaming</t>
  </si>
  <si>
    <t>Industrie</t>
  </si>
  <si>
    <t>Dronk</t>
  </si>
  <si>
    <t>Vervoer</t>
  </si>
  <si>
    <t xml:space="preserve">Gemiddelde km/dag per sector per bestelbusje </t>
  </si>
  <si>
    <t>aantal KWh per Km in winter</t>
  </si>
  <si>
    <t>aantal KWh per Km in zomer</t>
  </si>
  <si>
    <t xml:space="preserve">Type Bestelbusje </t>
  </si>
  <si>
    <t>Mercedes-Benz Sprinter</t>
  </si>
  <si>
    <t>Renault Master ZE</t>
  </si>
  <si>
    <t>Middelgrote</t>
  </si>
  <si>
    <t>Grote</t>
  </si>
  <si>
    <t>Compacte</t>
  </si>
  <si>
    <t xml:space="preserve">Middelgrote </t>
  </si>
  <si>
    <t>Nissan NV200</t>
  </si>
  <si>
    <t>Opel Movano-e</t>
  </si>
  <si>
    <t>Ford Transit</t>
  </si>
  <si>
    <t>Renault Master</t>
  </si>
  <si>
    <t>Volkswagen e-Crafter</t>
  </si>
  <si>
    <t>Renault Trafic</t>
  </si>
  <si>
    <t xml:space="preserve">Merk Bestelbusje </t>
  </si>
  <si>
    <t>Laadtijd</t>
  </si>
  <si>
    <t>aantal auto's laden overdag</t>
  </si>
  <si>
    <t>aantal auto's laden nacht's</t>
  </si>
  <si>
    <t xml:space="preserve">Overige </t>
  </si>
  <si>
    <t>Industrie (8,3%)</t>
  </si>
  <si>
    <t>Handel (20,4%)</t>
  </si>
  <si>
    <t>Overige Dienstverlening (24,1%)</t>
  </si>
  <si>
    <t>Vervoer en Opslag (25%)</t>
  </si>
  <si>
    <t xml:space="preserve">totaal </t>
  </si>
  <si>
    <t>Type Bedrijf</t>
  </si>
  <si>
    <t>meer dan 100 werknemers</t>
  </si>
  <si>
    <t>10 tot 100 werknemers</t>
  </si>
  <si>
    <t>1 tot 10 werknemers</t>
  </si>
  <si>
    <t xml:space="preserve"> 10 tot 100 werknemers</t>
  </si>
  <si>
    <t xml:space="preserve">industrie </t>
  </si>
  <si>
    <t xml:space="preserve"> meer dan 100 werknemers</t>
  </si>
  <si>
    <t>10 tot 100 werknemer</t>
  </si>
  <si>
    <t>1 tot 10 werknemer</t>
  </si>
  <si>
    <t xml:space="preserve">Totaal bestelauto's </t>
  </si>
  <si>
    <t>Benodigde KWh in winter per dag</t>
  </si>
  <si>
    <t>Benodigde KWh in zomer per dag</t>
  </si>
  <si>
    <t>Hnaderl</t>
  </si>
  <si>
    <t>van 19:00 tot 5:00</t>
  </si>
  <si>
    <t xml:space="preserve">Industrie </t>
  </si>
  <si>
    <t>Bedrijfsbestelauto's</t>
  </si>
  <si>
    <t>Gemiddeld jaarkilometrage</t>
  </si>
  <si>
    <t>km</t>
  </si>
  <si>
    <t>C Industrie</t>
  </si>
  <si>
    <t>Totaal</t>
  </si>
  <si>
    <t>82 129</t>
  </si>
  <si>
    <t>Bedrijfsgrootte: 0 tot 10 werkzame pers.</t>
  </si>
  <si>
    <t>41 772</t>
  </si>
  <si>
    <t>17 155</t>
  </si>
  <si>
    <t>Bedrijfsgrootte: 10 tot 100 werkz. pers.</t>
  </si>
  <si>
    <t>27 027</t>
  </si>
  <si>
    <t>22 127</t>
  </si>
  <si>
    <t>Bedrijfsgrootte: &gt;= 100 werkzame pers.</t>
  </si>
  <si>
    <t>13 330</t>
  </si>
  <si>
    <t>20 504</t>
  </si>
  <si>
    <t>G Handel</t>
  </si>
  <si>
    <t>201 441</t>
  </si>
  <si>
    <t>128 620</t>
  </si>
  <si>
    <t>16 386</t>
  </si>
  <si>
    <t>43 499</t>
  </si>
  <si>
    <t>22 536</t>
  </si>
  <si>
    <t>29 322</t>
  </si>
  <si>
    <t>24 362</t>
  </si>
  <si>
    <t>H Vervoer en opslag</t>
  </si>
  <si>
    <t>56 403</t>
  </si>
  <si>
    <t>30 763</t>
  </si>
  <si>
    <t>29 798</t>
  </si>
  <si>
    <t>15 208</t>
  </si>
  <si>
    <t>32 785</t>
  </si>
  <si>
    <t>10 432</t>
  </si>
  <si>
    <t>23 790</t>
  </si>
  <si>
    <t>S Overige dienstverlening</t>
  </si>
  <si>
    <t>15 896</t>
  </si>
  <si>
    <t>12 498</t>
  </si>
  <si>
    <t>16 484</t>
  </si>
  <si>
    <t>1 731</t>
  </si>
  <si>
    <t>24 155</t>
  </si>
  <si>
    <t>1 667</t>
  </si>
  <si>
    <t>26 987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</si>
</sst>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4"/>
      <color rgb="FF000000"/>
      <name val="-webkit-standard"/>
    </font>
    <font>
      <sz val="12"/>
      <color theme="1"/>
      <name val="Helvetica"/>
      <family val="2"/>
    </font>
    <font>
      <sz val="10"/>
      <color theme="1"/>
      <name val="FontAwesome"/>
    </font>
    <font>
      <b/>
      <sz val="12"/>
      <color theme="1"/>
      <name val="Helvetica"/>
      <family val="2"/>
    </font>
    <font>
      <sz val="12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3" borderId="0" xfId="0" applyFont="1" applyFill="1"/>
    <xf numFmtId="0" fontId="2" fillId="3" borderId="0" xfId="0" applyFont="1" applyFill="1"/>
    <xf numFmtId="0" fontId="0" fillId="3" borderId="0" xfId="0" applyFill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4" fontId="4" fillId="0" borderId="0" xfId="0" applyNumberFormat="1" applyFont="1"/>
    <xf numFmtId="1" fontId="5" fillId="0" borderId="0" xfId="0" applyNumberFormat="1" applyFont="1"/>
    <xf numFmtId="9" fontId="0" fillId="0" borderId="0" xfId="2" applyFont="1"/>
    <xf numFmtId="1" fontId="4" fillId="0" borderId="0" xfId="0" applyNumberFormat="1" applyFont="1"/>
    <xf numFmtId="165" fontId="0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5" xfId="2" applyFont="1" applyBorder="1"/>
    <xf numFmtId="0" fontId="0" fillId="0" borderId="6" xfId="0" applyBorder="1"/>
    <xf numFmtId="9" fontId="0" fillId="0" borderId="7" xfId="2" applyFont="1" applyBorder="1"/>
    <xf numFmtId="9" fontId="0" fillId="0" borderId="3" xfId="2" applyFont="1" applyBorder="1"/>
    <xf numFmtId="0" fontId="0" fillId="0" borderId="7" xfId="0" applyBorder="1"/>
    <xf numFmtId="0" fontId="0" fillId="0" borderId="5" xfId="0" applyBorder="1"/>
    <xf numFmtId="0" fontId="10" fillId="0" borderId="0" xfId="0" applyFont="1"/>
    <xf numFmtId="0" fontId="8" fillId="0" borderId="2" xfId="0" applyFont="1" applyBorder="1"/>
    <xf numFmtId="0" fontId="9" fillId="0" borderId="3" xfId="0" applyFont="1" applyBorder="1"/>
    <xf numFmtId="0" fontId="9" fillId="0" borderId="5" xfId="0" applyFont="1" applyBorder="1"/>
    <xf numFmtId="0" fontId="7" fillId="0" borderId="4" xfId="0" applyFont="1" applyBorder="1"/>
    <xf numFmtId="0" fontId="10" fillId="0" borderId="5" xfId="0" applyFont="1" applyBorder="1"/>
    <xf numFmtId="0" fontId="7" fillId="0" borderId="6" xfId="0" applyFont="1" applyBorder="1"/>
    <xf numFmtId="0" fontId="10" fillId="0" borderId="7" xfId="0" applyFont="1" applyBorder="1"/>
    <xf numFmtId="0" fontId="9" fillId="0" borderId="8" xfId="0" applyFont="1" applyBorder="1"/>
    <xf numFmtId="0" fontId="9" fillId="0" borderId="1" xfId="0" applyFont="1" applyBorder="1"/>
    <xf numFmtId="0" fontId="7" fillId="0" borderId="1" xfId="0" applyFont="1" applyBorder="1"/>
    <xf numFmtId="0" fontId="10" fillId="0" borderId="1" xfId="0" applyFont="1" applyBorder="1"/>
    <xf numFmtId="0" fontId="10" fillId="0" borderId="9" xfId="0" applyFont="1" applyBorder="1"/>
    <xf numFmtId="0" fontId="9" fillId="0" borderId="4" xfId="0" applyFont="1" applyBorder="1"/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2E3EB-8057-C74F-A933-47CADA391077}">
  <dimension ref="A1:F39"/>
  <sheetViews>
    <sheetView topLeftCell="A19" zoomScale="142" workbookViewId="0">
      <selection activeCell="D38" sqref="D38"/>
    </sheetView>
  </sheetViews>
  <sheetFormatPr baseColWidth="10" defaultRowHeight="16"/>
  <cols>
    <col min="1" max="1" width="53.1640625" customWidth="1"/>
    <col min="2" max="2" width="22.1640625" customWidth="1"/>
    <col min="4" max="4" width="26.1640625" customWidth="1"/>
  </cols>
  <sheetData>
    <row r="1" spans="1:6">
      <c r="A1" s="2" t="s">
        <v>12</v>
      </c>
      <c r="B1" t="s">
        <v>9</v>
      </c>
      <c r="C1" t="s">
        <v>10</v>
      </c>
      <c r="D1" t="s">
        <v>11</v>
      </c>
      <c r="E1" t="s">
        <v>8</v>
      </c>
    </row>
    <row r="2" spans="1:6">
      <c r="A2" s="5">
        <v>1043</v>
      </c>
      <c r="B2" s="6" t="s">
        <v>1</v>
      </c>
      <c r="C2" s="6" t="s">
        <v>2</v>
      </c>
      <c r="D2" s="6" t="s">
        <v>3</v>
      </c>
      <c r="E2" s="6">
        <v>17</v>
      </c>
      <c r="F2" s="7"/>
    </row>
    <row r="3" spans="1:6">
      <c r="A3" s="5">
        <v>1043</v>
      </c>
      <c r="B3" s="6" t="s">
        <v>1</v>
      </c>
      <c r="C3" s="6" t="s">
        <v>4</v>
      </c>
      <c r="D3" s="6" t="s">
        <v>3</v>
      </c>
      <c r="E3" s="6">
        <v>408</v>
      </c>
      <c r="F3" s="7"/>
    </row>
    <row r="4" spans="1:6">
      <c r="A4" s="8">
        <v>1043</v>
      </c>
      <c r="B4" s="9" t="s">
        <v>1</v>
      </c>
      <c r="C4" s="9" t="s">
        <v>5</v>
      </c>
      <c r="D4" s="9" t="s">
        <v>3</v>
      </c>
      <c r="E4" s="9">
        <v>41</v>
      </c>
      <c r="F4" s="10"/>
    </row>
    <row r="5" spans="1:6">
      <c r="A5" s="1">
        <v>1043</v>
      </c>
      <c r="B5" s="2" t="s">
        <v>6</v>
      </c>
      <c r="C5" s="2" t="s">
        <v>2</v>
      </c>
      <c r="D5" s="2" t="s">
        <v>3</v>
      </c>
      <c r="E5" s="2">
        <v>879</v>
      </c>
    </row>
    <row r="6" spans="1:6">
      <c r="A6" s="1">
        <v>1043</v>
      </c>
      <c r="B6" s="2" t="s">
        <v>6</v>
      </c>
      <c r="C6" s="2" t="s">
        <v>7</v>
      </c>
      <c r="D6" s="2" t="s">
        <v>3</v>
      </c>
      <c r="E6" s="2">
        <v>398</v>
      </c>
    </row>
    <row r="7" spans="1:6">
      <c r="A7" s="1">
        <v>1043</v>
      </c>
      <c r="B7" s="2" t="s">
        <v>6</v>
      </c>
      <c r="C7" s="2" t="s">
        <v>4</v>
      </c>
      <c r="D7" s="2" t="s">
        <v>3</v>
      </c>
      <c r="E7" s="2">
        <v>104</v>
      </c>
    </row>
    <row r="8" spans="1:6">
      <c r="A8" s="1">
        <v>1043</v>
      </c>
      <c r="B8" s="2" t="s">
        <v>6</v>
      </c>
      <c r="C8" s="2" t="s">
        <v>5</v>
      </c>
      <c r="D8" s="2" t="s">
        <v>3</v>
      </c>
      <c r="E8" s="2">
        <v>548</v>
      </c>
    </row>
    <row r="9" spans="1:6">
      <c r="A9" s="5">
        <v>1044</v>
      </c>
      <c r="B9" s="6" t="s">
        <v>1</v>
      </c>
      <c r="C9" s="6" t="s">
        <v>4</v>
      </c>
      <c r="D9" s="6" t="s">
        <v>3</v>
      </c>
      <c r="E9" s="6">
        <v>133</v>
      </c>
      <c r="F9" s="7"/>
    </row>
    <row r="10" spans="1:6">
      <c r="A10" s="1">
        <v>1044</v>
      </c>
      <c r="B10" s="2" t="s">
        <v>6</v>
      </c>
      <c r="C10" s="2" t="s">
        <v>2</v>
      </c>
      <c r="D10" s="2" t="s">
        <v>3</v>
      </c>
      <c r="E10" s="2">
        <v>12</v>
      </c>
    </row>
    <row r="11" spans="1:6" ht="17" thickBot="1"/>
    <row r="12" spans="1:6">
      <c r="A12" s="20" t="s">
        <v>80</v>
      </c>
      <c r="B12" s="21"/>
    </row>
    <row r="13" spans="1:6">
      <c r="A13" s="22" t="s">
        <v>83</v>
      </c>
      <c r="B13" s="23">
        <v>0.5</v>
      </c>
    </row>
    <row r="14" spans="1:6">
      <c r="A14" s="22" t="s">
        <v>82</v>
      </c>
      <c r="B14" s="23">
        <v>0.3</v>
      </c>
    </row>
    <row r="15" spans="1:6" ht="17" thickBot="1">
      <c r="A15" s="24" t="s">
        <v>81</v>
      </c>
      <c r="B15" s="25">
        <v>0.2</v>
      </c>
    </row>
    <row r="16" spans="1:6">
      <c r="A16" s="22" t="s">
        <v>48</v>
      </c>
      <c r="B16" s="23"/>
    </row>
    <row r="17" spans="1:2">
      <c r="A17" s="22" t="s">
        <v>83</v>
      </c>
      <c r="B17" s="23">
        <v>0.54</v>
      </c>
    </row>
    <row r="18" spans="1:2">
      <c r="A18" s="22" t="s">
        <v>82</v>
      </c>
      <c r="B18" s="23">
        <v>0.27</v>
      </c>
    </row>
    <row r="19" spans="1:2" ht="17" thickBot="1">
      <c r="A19" s="22" t="s">
        <v>81</v>
      </c>
      <c r="B19" s="23">
        <v>0.19</v>
      </c>
    </row>
    <row r="20" spans="1:2">
      <c r="A20" s="20" t="s">
        <v>27</v>
      </c>
      <c r="B20" s="26"/>
    </row>
    <row r="21" spans="1:2">
      <c r="A21" s="22" t="s">
        <v>83</v>
      </c>
      <c r="B21" s="23">
        <v>0.4</v>
      </c>
    </row>
    <row r="22" spans="1:2">
      <c r="A22" s="22" t="s">
        <v>82</v>
      </c>
      <c r="B22" s="23">
        <v>0.2</v>
      </c>
    </row>
    <row r="23" spans="1:2" ht="17" thickBot="1">
      <c r="A23" s="24" t="s">
        <v>81</v>
      </c>
      <c r="B23" s="25">
        <v>8.3000000000000004E-2</v>
      </c>
    </row>
    <row r="24" spans="1:2">
      <c r="A24" s="22" t="s">
        <v>69</v>
      </c>
      <c r="B24" s="23"/>
    </row>
    <row r="25" spans="1:2">
      <c r="A25" s="22" t="s">
        <v>83</v>
      </c>
      <c r="B25" s="23">
        <v>0.5</v>
      </c>
    </row>
    <row r="26" spans="1:2">
      <c r="A26" s="22" t="s">
        <v>82</v>
      </c>
      <c r="B26" s="23">
        <v>0.3</v>
      </c>
    </row>
    <row r="27" spans="1:2" ht="17" thickBot="1">
      <c r="A27" s="24" t="s">
        <v>81</v>
      </c>
      <c r="B27" s="25">
        <v>0.1</v>
      </c>
    </row>
    <row r="29" spans="1:2" ht="17" thickBot="1"/>
    <row r="30" spans="1:2">
      <c r="A30" s="20" t="s">
        <v>49</v>
      </c>
      <c r="B30" s="21"/>
    </row>
    <row r="31" spans="1:2">
      <c r="A31" s="22" t="s">
        <v>48</v>
      </c>
      <c r="B31" s="28">
        <v>113.6</v>
      </c>
    </row>
    <row r="32" spans="1:2">
      <c r="A32" s="22" t="s">
        <v>27</v>
      </c>
      <c r="B32" s="28">
        <v>67.3</v>
      </c>
    </row>
    <row r="33" spans="1:2">
      <c r="A33" s="22" t="s">
        <v>46</v>
      </c>
      <c r="B33" s="28">
        <v>53.4</v>
      </c>
    </row>
    <row r="34" spans="1:2" ht="17" thickBot="1">
      <c r="A34" s="24" t="s">
        <v>69</v>
      </c>
      <c r="B34" s="27"/>
    </row>
    <row r="37" spans="1:2" ht="17" thickBot="1"/>
    <row r="38" spans="1:2">
      <c r="A38" s="20" t="s">
        <v>50</v>
      </c>
      <c r="B38" s="21">
        <v>0.26900000000000002</v>
      </c>
    </row>
    <row r="39" spans="1:2" ht="17" thickBot="1">
      <c r="A39" s="24" t="s">
        <v>51</v>
      </c>
      <c r="B39" s="27">
        <v>0.2152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6F63-F7D3-5444-A337-C82B0B65D791}">
  <dimension ref="A1:D21"/>
  <sheetViews>
    <sheetView workbookViewId="0">
      <selection activeCell="A16" sqref="A16"/>
    </sheetView>
  </sheetViews>
  <sheetFormatPr baseColWidth="10" defaultRowHeight="16"/>
  <cols>
    <col min="1" max="1" width="46" customWidth="1"/>
    <col min="2" max="2" width="21.83203125" customWidth="1"/>
    <col min="3" max="3" width="33.33203125" customWidth="1"/>
  </cols>
  <sheetData>
    <row r="1" spans="1:4" ht="17" thickBot="1"/>
    <row r="2" spans="1:4">
      <c r="A2" s="30"/>
      <c r="B2" s="37" t="s">
        <v>90</v>
      </c>
      <c r="C2" s="31" t="s">
        <v>91</v>
      </c>
    </row>
    <row r="3" spans="1:4">
      <c r="A3" s="22"/>
      <c r="B3" s="38" t="s">
        <v>8</v>
      </c>
      <c r="C3" s="32" t="s">
        <v>92</v>
      </c>
    </row>
    <row r="4" spans="1:4">
      <c r="A4" s="42" t="s">
        <v>93</v>
      </c>
      <c r="B4" s="39" t="s">
        <v>94</v>
      </c>
      <c r="C4" s="34" t="s">
        <v>95</v>
      </c>
    </row>
    <row r="5" spans="1:4">
      <c r="A5" s="33" t="s">
        <v>96</v>
      </c>
      <c r="B5" s="40" t="s">
        <v>97</v>
      </c>
      <c r="C5" s="34" t="s">
        <v>98</v>
      </c>
    </row>
    <row r="6" spans="1:4">
      <c r="A6" s="33" t="s">
        <v>99</v>
      </c>
      <c r="B6" s="40" t="s">
        <v>100</v>
      </c>
      <c r="C6" s="34" t="s">
        <v>101</v>
      </c>
    </row>
    <row r="7" spans="1:4">
      <c r="A7" s="33" t="s">
        <v>102</v>
      </c>
      <c r="B7" s="40" t="s">
        <v>103</v>
      </c>
      <c r="C7" s="34" t="s">
        <v>104</v>
      </c>
    </row>
    <row r="8" spans="1:4">
      <c r="A8" s="42" t="s">
        <v>105</v>
      </c>
      <c r="B8" s="39" t="s">
        <v>94</v>
      </c>
      <c r="C8" s="34" t="s">
        <v>106</v>
      </c>
    </row>
    <row r="9" spans="1:4">
      <c r="A9" s="33" t="s">
        <v>96</v>
      </c>
      <c r="B9" s="40" t="s">
        <v>107</v>
      </c>
      <c r="C9" s="34" t="s">
        <v>108</v>
      </c>
      <c r="D9" s="29"/>
    </row>
    <row r="10" spans="1:4">
      <c r="A10" s="33" t="s">
        <v>99</v>
      </c>
      <c r="B10" s="40" t="s">
        <v>109</v>
      </c>
      <c r="C10" s="34" t="s">
        <v>110</v>
      </c>
    </row>
    <row r="11" spans="1:4">
      <c r="A11" s="33" t="s">
        <v>102</v>
      </c>
      <c r="B11" s="40" t="s">
        <v>111</v>
      </c>
      <c r="C11" s="34" t="s">
        <v>112</v>
      </c>
    </row>
    <row r="12" spans="1:4">
      <c r="A12" s="42" t="s">
        <v>113</v>
      </c>
      <c r="B12" s="39" t="s">
        <v>94</v>
      </c>
      <c r="C12" s="34" t="s">
        <v>114</v>
      </c>
    </row>
    <row r="13" spans="1:4">
      <c r="A13" s="33" t="s">
        <v>96</v>
      </c>
      <c r="B13" s="40" t="s">
        <v>115</v>
      </c>
      <c r="C13" s="34" t="s">
        <v>116</v>
      </c>
      <c r="D13" s="29"/>
    </row>
    <row r="14" spans="1:4">
      <c r="A14" s="33" t="s">
        <v>99</v>
      </c>
      <c r="B14" s="40" t="s">
        <v>117</v>
      </c>
      <c r="C14" s="34" t="s">
        <v>118</v>
      </c>
    </row>
    <row r="15" spans="1:4">
      <c r="A15" s="33" t="s">
        <v>102</v>
      </c>
      <c r="B15" s="40" t="s">
        <v>119</v>
      </c>
      <c r="C15" s="34" t="s">
        <v>120</v>
      </c>
    </row>
    <row r="16" spans="1:4">
      <c r="A16" s="42" t="s">
        <v>121</v>
      </c>
      <c r="B16" s="39" t="s">
        <v>94</v>
      </c>
      <c r="C16" s="34" t="s">
        <v>122</v>
      </c>
    </row>
    <row r="17" spans="1:4">
      <c r="A17" s="33" t="s">
        <v>96</v>
      </c>
      <c r="B17" s="40" t="s">
        <v>123</v>
      </c>
      <c r="C17" s="34" t="s">
        <v>124</v>
      </c>
      <c r="D17" s="29"/>
    </row>
    <row r="18" spans="1:4">
      <c r="A18" s="33" t="s">
        <v>99</v>
      </c>
      <c r="B18" s="40" t="s">
        <v>125</v>
      </c>
      <c r="C18" s="34" t="s">
        <v>126</v>
      </c>
    </row>
    <row r="19" spans="1:4" ht="17" thickBot="1">
      <c r="A19" s="35" t="s">
        <v>102</v>
      </c>
      <c r="B19" s="41" t="s">
        <v>127</v>
      </c>
      <c r="C19" s="36" t="s">
        <v>128</v>
      </c>
    </row>
    <row r="21" spans="1:4">
      <c r="D21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01397-FDD3-DC44-B1A7-7901901FA9FB}">
  <dimension ref="A1:S88"/>
  <sheetViews>
    <sheetView tabSelected="1" workbookViewId="0">
      <selection activeCell="C6" sqref="C6"/>
    </sheetView>
  </sheetViews>
  <sheetFormatPr baseColWidth="10" defaultRowHeight="16"/>
  <cols>
    <col min="1" max="1" width="28.83203125" customWidth="1"/>
    <col min="2" max="2" width="50.5" customWidth="1"/>
    <col min="3" max="3" width="23" customWidth="1"/>
    <col min="4" max="4" width="28.5" customWidth="1"/>
    <col min="5" max="5" width="24.1640625" customWidth="1"/>
    <col min="6" max="6" width="22.6640625" customWidth="1"/>
    <col min="7" max="7" width="21.5" customWidth="1"/>
    <col min="8" max="8" width="25" customWidth="1"/>
    <col min="9" max="9" width="17.33203125" customWidth="1"/>
    <col min="10" max="10" width="24.6640625" customWidth="1"/>
    <col min="11" max="11" width="30.5" customWidth="1"/>
    <col min="14" max="14" width="19.1640625" customWidth="1"/>
    <col min="18" max="18" width="29.5" customWidth="1"/>
  </cols>
  <sheetData>
    <row r="1" spans="1:11" ht="22" customHeight="1">
      <c r="A1" s="3" t="s">
        <v>0</v>
      </c>
      <c r="B1" s="3" t="s">
        <v>24</v>
      </c>
      <c r="C1" s="3" t="s">
        <v>75</v>
      </c>
      <c r="D1" s="3" t="s">
        <v>25</v>
      </c>
      <c r="E1" s="3" t="s">
        <v>85</v>
      </c>
      <c r="F1" s="3" t="s">
        <v>86</v>
      </c>
      <c r="G1" s="3" t="s">
        <v>52</v>
      </c>
      <c r="H1" s="3" t="s">
        <v>65</v>
      </c>
      <c r="I1" s="3" t="s">
        <v>66</v>
      </c>
      <c r="J1" s="3" t="s">
        <v>67</v>
      </c>
      <c r="K1" s="3" t="s">
        <v>68</v>
      </c>
    </row>
    <row r="2" spans="1:11" ht="24" customHeight="1">
      <c r="A2" s="3" t="s">
        <v>70</v>
      </c>
      <c r="B2" s="4" t="s">
        <v>41</v>
      </c>
      <c r="C2" s="4" t="s">
        <v>76</v>
      </c>
      <c r="D2" s="16">
        <v>45</v>
      </c>
      <c r="E2" s="12">
        <f>0.269*53.4*D2</f>
        <v>646.40700000000004</v>
      </c>
      <c r="F2" s="12">
        <f>0.2152*53.4*D2</f>
        <v>517.12560000000008</v>
      </c>
      <c r="G2" t="s">
        <v>56</v>
      </c>
      <c r="H2" s="14" t="s">
        <v>60</v>
      </c>
      <c r="I2" s="14">
        <v>5</v>
      </c>
    </row>
    <row r="3" spans="1:11" ht="18">
      <c r="A3" s="3" t="s">
        <v>70</v>
      </c>
      <c r="B3" s="4" t="s">
        <v>45</v>
      </c>
      <c r="C3" s="4" t="s">
        <v>76</v>
      </c>
      <c r="D3" s="16">
        <v>45</v>
      </c>
      <c r="E3" s="12">
        <f t="shared" ref="E3" si="0">0.269*53.4*D3</f>
        <v>646.40700000000004</v>
      </c>
      <c r="F3" s="12">
        <f>0.2152*53.4*D3</f>
        <v>517.12560000000008</v>
      </c>
      <c r="G3" t="s">
        <v>57</v>
      </c>
      <c r="H3" s="11" t="s">
        <v>59</v>
      </c>
      <c r="I3">
        <v>7.5</v>
      </c>
    </row>
    <row r="4" spans="1:11">
      <c r="A4" s="4"/>
      <c r="B4" s="4" t="s">
        <v>74</v>
      </c>
      <c r="C4" s="4"/>
      <c r="D4" s="16">
        <f>1083*0.083</f>
        <v>89.88900000000001</v>
      </c>
      <c r="E4" s="15">
        <f>SUM(E2:E3)</f>
        <v>1292.8140000000001</v>
      </c>
      <c r="F4" s="15">
        <f>SUM(F2:F3)</f>
        <v>1034.2512000000002</v>
      </c>
    </row>
    <row r="5" spans="1:11">
      <c r="A5" s="4"/>
      <c r="B5" s="4"/>
      <c r="C5" s="4"/>
      <c r="E5" s="12"/>
      <c r="F5" s="12"/>
    </row>
    <row r="6" spans="1:11">
      <c r="A6" s="3" t="s">
        <v>73</v>
      </c>
      <c r="B6" s="4" t="s">
        <v>20</v>
      </c>
      <c r="C6" s="4" t="s">
        <v>77</v>
      </c>
      <c r="D6" s="16">
        <f>'Verdeling per sector'!B18*$D$16*0.09</f>
        <v>6.5792250000000001</v>
      </c>
      <c r="E6" s="12">
        <f>0.269*113.6*D6</f>
        <v>201.05058923999999</v>
      </c>
      <c r="F6" s="12">
        <f>0.2152*113.6*D6</f>
        <v>160.84047139199998</v>
      </c>
      <c r="G6" t="s">
        <v>55</v>
      </c>
      <c r="H6" t="s">
        <v>53</v>
      </c>
      <c r="I6">
        <v>6.5</v>
      </c>
    </row>
    <row r="7" spans="1:11">
      <c r="A7" s="3" t="s">
        <v>73</v>
      </c>
      <c r="B7" s="4" t="s">
        <v>31</v>
      </c>
      <c r="C7" s="4" t="s">
        <v>77</v>
      </c>
      <c r="D7" s="16">
        <f>'Verdeling per sector'!B18*$D$16*0.09</f>
        <v>6.5792250000000001</v>
      </c>
      <c r="E7" s="12">
        <f>0.269*113.6*D7</f>
        <v>201.05058923999999</v>
      </c>
      <c r="F7" s="12">
        <f t="shared" ref="F7:F11" si="1">0.2152*113.6*D7</f>
        <v>160.84047139199998</v>
      </c>
      <c r="G7" t="s">
        <v>55</v>
      </c>
      <c r="H7" t="s">
        <v>53</v>
      </c>
      <c r="I7">
        <v>6.5</v>
      </c>
    </row>
    <row r="8" spans="1:11">
      <c r="A8" s="3" t="s">
        <v>73</v>
      </c>
      <c r="B8" s="4" t="s">
        <v>21</v>
      </c>
      <c r="C8" s="4" t="s">
        <v>77</v>
      </c>
      <c r="D8" s="16">
        <f>'Verdeling per sector'!B18*$D$16*0.09</f>
        <v>6.5792250000000001</v>
      </c>
      <c r="E8" s="12">
        <f t="shared" ref="E8:E12" si="2">0.269*113.6*D8</f>
        <v>201.05058923999999</v>
      </c>
      <c r="F8" s="12">
        <f t="shared" si="1"/>
        <v>160.84047139199998</v>
      </c>
      <c r="G8" t="s">
        <v>55</v>
      </c>
      <c r="H8" t="s">
        <v>53</v>
      </c>
      <c r="I8">
        <v>6.5</v>
      </c>
    </row>
    <row r="9" spans="1:11">
      <c r="A9" s="3" t="s">
        <v>73</v>
      </c>
      <c r="B9" s="4" t="s">
        <v>38</v>
      </c>
      <c r="C9" s="4" t="s">
        <v>76</v>
      </c>
      <c r="D9" s="16">
        <f>'Verdeling per sector'!B19*$D$16*0.26</f>
        <v>13.375050000000002</v>
      </c>
      <c r="E9" s="12">
        <f t="shared" si="2"/>
        <v>408.72012792000004</v>
      </c>
      <c r="F9" s="12">
        <f t="shared" si="1"/>
        <v>326.97610233600005</v>
      </c>
      <c r="G9" t="s">
        <v>58</v>
      </c>
      <c r="H9" t="s">
        <v>53</v>
      </c>
      <c r="I9">
        <v>6.5</v>
      </c>
    </row>
    <row r="10" spans="1:11">
      <c r="A10" s="3" t="s">
        <v>73</v>
      </c>
      <c r="B10" s="4" t="s">
        <v>39</v>
      </c>
      <c r="C10" s="4" t="s">
        <v>76</v>
      </c>
      <c r="D10" s="16">
        <f>'Verdeling per sector'!B19*$D$16*0.26</f>
        <v>13.375050000000002</v>
      </c>
      <c r="E10" s="12">
        <f t="shared" si="2"/>
        <v>408.72012792000004</v>
      </c>
      <c r="F10" s="12">
        <f t="shared" si="1"/>
        <v>326.97610233600005</v>
      </c>
      <c r="G10" t="s">
        <v>58</v>
      </c>
      <c r="H10" t="s">
        <v>53</v>
      </c>
      <c r="I10">
        <v>6.5</v>
      </c>
    </row>
    <row r="11" spans="1:11">
      <c r="A11" s="3" t="s">
        <v>73</v>
      </c>
      <c r="B11" s="4" t="s">
        <v>13</v>
      </c>
      <c r="C11" s="4" t="s">
        <v>77</v>
      </c>
      <c r="D11" s="16">
        <f>'Verdeling per sector'!B18*$D$16*0.09</f>
        <v>6.5792250000000001</v>
      </c>
      <c r="E11" s="12">
        <f>0.269*113.6*D11</f>
        <v>201.05058923999999</v>
      </c>
      <c r="F11" s="12">
        <f t="shared" si="1"/>
        <v>160.84047139199998</v>
      </c>
      <c r="G11" t="s">
        <v>56</v>
      </c>
      <c r="H11" t="s">
        <v>54</v>
      </c>
      <c r="I11">
        <v>6</v>
      </c>
    </row>
    <row r="12" spans="1:11">
      <c r="A12" s="3" t="s">
        <v>73</v>
      </c>
      <c r="B12" s="4" t="s">
        <v>22</v>
      </c>
      <c r="C12" s="4" t="s">
        <v>77</v>
      </c>
      <c r="D12" s="16">
        <f>'Verdeling per sector'!B18*$D$16*0.09</f>
        <v>6.5792250000000001</v>
      </c>
      <c r="E12" s="12">
        <f t="shared" si="2"/>
        <v>201.05058923999999</v>
      </c>
      <c r="F12" s="12">
        <f>0.2152*113.6*D12</f>
        <v>160.84047139199998</v>
      </c>
      <c r="G12" t="s">
        <v>55</v>
      </c>
      <c r="H12" t="s">
        <v>53</v>
      </c>
      <c r="I12">
        <v>6.5</v>
      </c>
    </row>
    <row r="13" spans="1:11">
      <c r="A13" s="3" t="s">
        <v>73</v>
      </c>
      <c r="B13" s="4" t="s">
        <v>15</v>
      </c>
      <c r="C13" s="4" t="s">
        <v>77</v>
      </c>
      <c r="D13" s="16">
        <f>'Verdeling per sector'!B18*$D$16*0.09</f>
        <v>6.5792250000000001</v>
      </c>
      <c r="E13" s="12">
        <f>0.269*113.6*D13</f>
        <v>201.05058923999999</v>
      </c>
      <c r="F13" s="12">
        <f>0.2152*113.6*D13</f>
        <v>160.84047139199998</v>
      </c>
      <c r="G13" t="s">
        <v>55</v>
      </c>
      <c r="H13" t="s">
        <v>53</v>
      </c>
      <c r="I13">
        <v>6.5</v>
      </c>
    </row>
    <row r="14" spans="1:11">
      <c r="A14" s="3" t="s">
        <v>73</v>
      </c>
      <c r="B14" s="4" t="s">
        <v>23</v>
      </c>
      <c r="C14" s="4" t="s">
        <v>77</v>
      </c>
      <c r="D14" s="16">
        <f>'Verdeling per sector'!B18*$D$16*0.09</f>
        <v>6.5792250000000001</v>
      </c>
      <c r="E14" s="12">
        <f t="shared" ref="E14:E15" si="3">0.269*113.6*D14</f>
        <v>201.05058923999999</v>
      </c>
      <c r="F14" s="12">
        <f>0.2152*113.6*D14</f>
        <v>160.84047139199998</v>
      </c>
      <c r="G14" t="s">
        <v>55</v>
      </c>
      <c r="H14" t="s">
        <v>53</v>
      </c>
      <c r="I14">
        <v>6.5</v>
      </c>
    </row>
    <row r="15" spans="1:11" ht="18">
      <c r="A15" s="3" t="s">
        <v>73</v>
      </c>
      <c r="B15" s="4" t="s">
        <v>44</v>
      </c>
      <c r="C15" s="4" t="s">
        <v>78</v>
      </c>
      <c r="D15" s="16">
        <f>'Verdeling per sector'!B17*$D$16</f>
        <v>146.20500000000001</v>
      </c>
      <c r="E15" s="12">
        <f t="shared" si="3"/>
        <v>4467.7908720000005</v>
      </c>
      <c r="F15" s="12">
        <f>0.2152*113.6*D15</f>
        <v>3574.2326976000004</v>
      </c>
      <c r="G15" t="s">
        <v>56</v>
      </c>
      <c r="H15" s="11" t="s">
        <v>62</v>
      </c>
      <c r="I15" s="3">
        <v>6</v>
      </c>
    </row>
    <row r="16" spans="1:11">
      <c r="B16" s="4" t="s">
        <v>84</v>
      </c>
      <c r="C16" s="4"/>
      <c r="D16" s="13">
        <f>1083*0.25</f>
        <v>270.75</v>
      </c>
      <c r="E16" s="12"/>
    </row>
    <row r="17" spans="1:19">
      <c r="D17" s="13"/>
    </row>
    <row r="18" spans="1:19">
      <c r="A18" s="3" t="s">
        <v>71</v>
      </c>
      <c r="B18" s="4" t="s">
        <v>26</v>
      </c>
      <c r="C18" s="4" t="s">
        <v>76</v>
      </c>
      <c r="D18" s="16">
        <f>$D$32 *'Verdeling per sector'!B23*(1/6)</f>
        <v>3.0562259999999997</v>
      </c>
      <c r="E18" s="12">
        <f>0.269*67.3*D18</f>
        <v>55.328998636199991</v>
      </c>
      <c r="F18" s="12">
        <f>0.2152*67.3*D18</f>
        <v>44.263198908959993</v>
      </c>
      <c r="G18" t="s">
        <v>56</v>
      </c>
      <c r="H18" t="s">
        <v>63</v>
      </c>
      <c r="I18">
        <v>7</v>
      </c>
    </row>
    <row r="19" spans="1:19">
      <c r="A19" s="3" t="s">
        <v>71</v>
      </c>
      <c r="B19" s="4" t="s">
        <v>16</v>
      </c>
      <c r="C19" s="4" t="s">
        <v>77</v>
      </c>
      <c r="D19" s="16">
        <f>$D$32 *'Verdeling per sector'!B22*(1/11)</f>
        <v>4.0169454545454544</v>
      </c>
      <c r="E19" s="12">
        <f>0.269*67.3*D19</f>
        <v>72.721575425454546</v>
      </c>
      <c r="F19" s="12">
        <f t="shared" ref="F19:F23" si="4">0.2152*67.3*D19</f>
        <v>58.177260340363638</v>
      </c>
      <c r="G19" t="s">
        <v>56</v>
      </c>
      <c r="H19" t="s">
        <v>61</v>
      </c>
      <c r="I19" s="19">
        <v>9</v>
      </c>
      <c r="S19" s="17"/>
    </row>
    <row r="20" spans="1:19">
      <c r="A20" s="3" t="s">
        <v>71</v>
      </c>
      <c r="B20" s="4" t="s">
        <v>28</v>
      </c>
      <c r="C20" s="4" t="s">
        <v>77</v>
      </c>
      <c r="D20" s="16">
        <f>$D$32 *'Verdeling per sector'!B22*(1/11)</f>
        <v>4.0169454545454544</v>
      </c>
      <c r="E20" s="12">
        <f t="shared" ref="E20:E30" si="5">0.269*67.3*D20</f>
        <v>72.721575425454546</v>
      </c>
      <c r="F20" s="12">
        <f t="shared" si="4"/>
        <v>58.177260340363638</v>
      </c>
      <c r="G20" t="s">
        <v>55</v>
      </c>
      <c r="H20" t="s">
        <v>53</v>
      </c>
      <c r="I20">
        <v>6.5</v>
      </c>
      <c r="S20" s="17"/>
    </row>
    <row r="21" spans="1:19">
      <c r="A21" s="3" t="s">
        <v>71</v>
      </c>
      <c r="B21" s="4" t="s">
        <v>30</v>
      </c>
      <c r="C21" s="4" t="s">
        <v>76</v>
      </c>
      <c r="D21" s="16">
        <f>$D$32 *'Verdeling per sector'!B23*(1/6)</f>
        <v>3.0562259999999997</v>
      </c>
      <c r="E21" s="12">
        <f t="shared" si="5"/>
        <v>55.328998636199991</v>
      </c>
      <c r="F21" s="12">
        <f t="shared" si="4"/>
        <v>44.263198908959993</v>
      </c>
      <c r="G21" t="s">
        <v>55</v>
      </c>
      <c r="H21" t="s">
        <v>64</v>
      </c>
    </row>
    <row r="22" spans="1:19">
      <c r="A22" s="3" t="s">
        <v>71</v>
      </c>
      <c r="B22" s="4" t="s">
        <v>17</v>
      </c>
      <c r="C22" s="4" t="s">
        <v>76</v>
      </c>
      <c r="D22" s="16">
        <f>$D$32 *'Verdeling per sector'!B23*(1/6)</f>
        <v>3.0562259999999997</v>
      </c>
      <c r="E22" s="12">
        <f t="shared" si="5"/>
        <v>55.328998636199991</v>
      </c>
      <c r="F22" s="12">
        <f t="shared" si="4"/>
        <v>44.263198908959993</v>
      </c>
      <c r="G22" t="s">
        <v>55</v>
      </c>
      <c r="H22" t="s">
        <v>61</v>
      </c>
      <c r="I22" s="19">
        <v>9</v>
      </c>
    </row>
    <row r="23" spans="1:19">
      <c r="A23" s="3" t="s">
        <v>71</v>
      </c>
      <c r="B23" s="4" t="s">
        <v>18</v>
      </c>
      <c r="C23" s="4" t="s">
        <v>77</v>
      </c>
      <c r="D23" s="16">
        <f>$D$32 *'Verdeling per sector'!B22*(1/11)</f>
        <v>4.0169454545454544</v>
      </c>
      <c r="E23" s="12">
        <f t="shared" si="5"/>
        <v>72.721575425454546</v>
      </c>
      <c r="F23" s="12">
        <f t="shared" si="4"/>
        <v>58.177260340363638</v>
      </c>
      <c r="G23" t="s">
        <v>55</v>
      </c>
      <c r="H23" t="s">
        <v>53</v>
      </c>
      <c r="I23">
        <v>6.5</v>
      </c>
    </row>
    <row r="24" spans="1:19" ht="18">
      <c r="A24" s="3" t="s">
        <v>71</v>
      </c>
      <c r="B24" s="4" t="s">
        <v>34</v>
      </c>
      <c r="C24" s="4" t="s">
        <v>77</v>
      </c>
      <c r="D24" s="16">
        <f>$D$32 *'Verdeling per sector'!B22*(1/11)</f>
        <v>4.0169454545454544</v>
      </c>
      <c r="E24" s="12">
        <f t="shared" si="5"/>
        <v>72.721575425454546</v>
      </c>
      <c r="F24" s="12">
        <f>0.2152*67.3*D24</f>
        <v>58.177260340363638</v>
      </c>
      <c r="G24" t="s">
        <v>56</v>
      </c>
      <c r="H24" s="11" t="s">
        <v>62</v>
      </c>
      <c r="I24">
        <v>6</v>
      </c>
    </row>
    <row r="25" spans="1:19" ht="18">
      <c r="A25" s="3" t="s">
        <v>71</v>
      </c>
      <c r="B25" s="4" t="s">
        <v>35</v>
      </c>
      <c r="C25" s="4" t="s">
        <v>77</v>
      </c>
      <c r="D25" s="16">
        <f>$D$32 *'Verdeling per sector'!B22*(1/11)</f>
        <v>4.0169454545454544</v>
      </c>
      <c r="E25" s="12">
        <f t="shared" si="5"/>
        <v>72.721575425454546</v>
      </c>
      <c r="F25" s="12">
        <f>0.2152*67.3*D25</f>
        <v>58.177260340363638</v>
      </c>
      <c r="G25" t="s">
        <v>55</v>
      </c>
      <c r="H25" s="11" t="s">
        <v>53</v>
      </c>
      <c r="I25">
        <v>6.5</v>
      </c>
    </row>
    <row r="26" spans="1:19">
      <c r="A26" s="3" t="s">
        <v>71</v>
      </c>
      <c r="B26" s="4" t="s">
        <v>29</v>
      </c>
      <c r="C26" s="4" t="s">
        <v>77</v>
      </c>
      <c r="D26" s="16">
        <f>$D$32 *'Verdeling per sector'!B22*(1/11)</f>
        <v>4.0169454545454544</v>
      </c>
      <c r="E26" s="12">
        <f>0.269*67.3*D26</f>
        <v>72.721575425454546</v>
      </c>
      <c r="F26" s="12">
        <f t="shared" ref="F26:F29" si="6">0.2152*67.3*D26</f>
        <v>58.177260340363638</v>
      </c>
      <c r="G26" t="s">
        <v>55</v>
      </c>
      <c r="H26" t="s">
        <v>53</v>
      </c>
      <c r="I26">
        <v>6.5</v>
      </c>
    </row>
    <row r="27" spans="1:19">
      <c r="A27" s="3" t="s">
        <v>71</v>
      </c>
      <c r="B27" s="4" t="s">
        <v>19</v>
      </c>
      <c r="C27" s="4" t="s">
        <v>77</v>
      </c>
      <c r="D27" s="16">
        <f>$D$32 *'Verdeling per sector'!B22*(1/11)</f>
        <v>4.0169454545454544</v>
      </c>
      <c r="E27" s="12">
        <f t="shared" si="5"/>
        <v>72.721575425454546</v>
      </c>
      <c r="F27" s="12">
        <f t="shared" si="6"/>
        <v>58.177260340363638</v>
      </c>
      <c r="G27" t="s">
        <v>55</v>
      </c>
      <c r="H27" t="s">
        <v>53</v>
      </c>
      <c r="I27">
        <v>6.5</v>
      </c>
    </row>
    <row r="28" spans="1:19">
      <c r="A28" s="3" t="s">
        <v>71</v>
      </c>
      <c r="B28" s="4" t="s">
        <v>37</v>
      </c>
      <c r="C28" s="4" t="s">
        <v>76</v>
      </c>
      <c r="D28" s="16">
        <f>$D$32 *'Verdeling per sector'!B22*(1/11)</f>
        <v>4.0169454545454544</v>
      </c>
      <c r="E28" s="12">
        <f t="shared" si="5"/>
        <v>72.721575425454546</v>
      </c>
      <c r="F28" s="12">
        <f t="shared" si="6"/>
        <v>58.177260340363638</v>
      </c>
      <c r="G28" t="s">
        <v>55</v>
      </c>
      <c r="H28" t="s">
        <v>53</v>
      </c>
      <c r="I28">
        <v>6.5</v>
      </c>
    </row>
    <row r="29" spans="1:19">
      <c r="A29" s="3" t="s">
        <v>71</v>
      </c>
      <c r="B29" s="4" t="s">
        <v>40</v>
      </c>
      <c r="C29" s="4" t="s">
        <v>77</v>
      </c>
      <c r="D29" s="16">
        <f>$D$32 *'Verdeling per sector'!B22*(1/11)</f>
        <v>4.0169454545454544</v>
      </c>
      <c r="E29" s="12">
        <f t="shared" si="5"/>
        <v>72.721575425454546</v>
      </c>
      <c r="F29" s="12">
        <f t="shared" si="6"/>
        <v>58.177260340363638</v>
      </c>
      <c r="G29" t="s">
        <v>55</v>
      </c>
      <c r="H29" t="s">
        <v>53</v>
      </c>
      <c r="I29">
        <v>6.5</v>
      </c>
    </row>
    <row r="30" spans="1:19" ht="18">
      <c r="A30" s="3" t="s">
        <v>71</v>
      </c>
      <c r="B30" s="4" t="s">
        <v>43</v>
      </c>
      <c r="C30" s="4" t="s">
        <v>77</v>
      </c>
      <c r="D30" s="16">
        <f>$D$32 *'Verdeling per sector'!B22*(1/11)</f>
        <v>4.0169454545454544</v>
      </c>
      <c r="E30" s="12">
        <f t="shared" si="5"/>
        <v>72.721575425454546</v>
      </c>
      <c r="F30" s="12">
        <f>0.2152*67.3*D30</f>
        <v>58.177260340363638</v>
      </c>
      <c r="G30" t="s">
        <v>57</v>
      </c>
      <c r="H30" s="11" t="s">
        <v>59</v>
      </c>
      <c r="I30">
        <v>7.5</v>
      </c>
    </row>
    <row r="31" spans="1:19">
      <c r="A31" s="3" t="s">
        <v>71</v>
      </c>
      <c r="B31" s="4" t="s">
        <v>47</v>
      </c>
      <c r="C31" s="4" t="s">
        <v>78</v>
      </c>
      <c r="D31" s="16">
        <f>$D$32 *'Verdeling per sector'!B21</f>
        <v>88.372799999999998</v>
      </c>
      <c r="E31" s="12">
        <f>0.269*67.3*D31</f>
        <v>1599.8746593599999</v>
      </c>
      <c r="F31" s="12">
        <f>0.2152*67.3*D31</f>
        <v>1279.8997274880001</v>
      </c>
      <c r="G31" t="s">
        <v>55</v>
      </c>
      <c r="H31" t="s">
        <v>53</v>
      </c>
      <c r="I31">
        <v>6.5</v>
      </c>
    </row>
    <row r="32" spans="1:19">
      <c r="B32" s="4" t="s">
        <v>84</v>
      </c>
      <c r="C32" s="4"/>
      <c r="D32" s="13">
        <f>1083*0.204</f>
        <v>220.93199999999999</v>
      </c>
      <c r="E32" s="13"/>
    </row>
    <row r="33" spans="1:9">
      <c r="D33" s="13"/>
    </row>
    <row r="34" spans="1:9" ht="18">
      <c r="A34" s="3" t="s">
        <v>72</v>
      </c>
      <c r="B34" s="4" t="s">
        <v>32</v>
      </c>
      <c r="C34" s="4" t="s">
        <v>78</v>
      </c>
      <c r="D34" s="16">
        <f>D39*'Verdeling per sector'!B25</f>
        <v>130.50149999999999</v>
      </c>
      <c r="E34" s="12">
        <f>0.269*54.5*D34</f>
        <v>1913.21724075</v>
      </c>
      <c r="F34" s="12">
        <f>0.2152*54.5*D34</f>
        <v>1530.5737925999999</v>
      </c>
      <c r="G34" t="s">
        <v>57</v>
      </c>
      <c r="H34" s="11" t="s">
        <v>59</v>
      </c>
      <c r="I34">
        <v>7.5</v>
      </c>
    </row>
    <row r="35" spans="1:9" ht="18">
      <c r="A35" s="3" t="s">
        <v>72</v>
      </c>
      <c r="B35" s="4" t="s">
        <v>33</v>
      </c>
      <c r="C35" s="4" t="s">
        <v>79</v>
      </c>
      <c r="D35" s="16">
        <f>D39*'Verdeling per sector'!B26*0.19</f>
        <v>14.877171000000001</v>
      </c>
      <c r="E35" s="12">
        <f>0.269*54.5*D35</f>
        <v>218.10676544550003</v>
      </c>
      <c r="F35" s="12">
        <f>0.2152*54.5*D35</f>
        <v>174.48541235640002</v>
      </c>
      <c r="G35" t="s">
        <v>57</v>
      </c>
      <c r="H35" s="11" t="s">
        <v>59</v>
      </c>
      <c r="I35">
        <v>7.5</v>
      </c>
    </row>
    <row r="36" spans="1:9" ht="18">
      <c r="A36" s="3" t="s">
        <v>72</v>
      </c>
      <c r="B36" s="4" t="s">
        <v>42</v>
      </c>
      <c r="C36" s="4" t="s">
        <v>79</v>
      </c>
      <c r="D36" s="16">
        <f>D39*'Verdeling per sector'!B26*0.19</f>
        <v>14.877171000000001</v>
      </c>
      <c r="E36" s="12">
        <f>0.269*45.8*D36</f>
        <v>183.28972215420001</v>
      </c>
      <c r="F36" s="12">
        <f>0.2152*45.8*D36</f>
        <v>146.63177772335999</v>
      </c>
      <c r="G36" t="s">
        <v>57</v>
      </c>
      <c r="H36" s="11" t="s">
        <v>59</v>
      </c>
      <c r="I36">
        <v>7.5</v>
      </c>
    </row>
    <row r="37" spans="1:9" ht="18">
      <c r="A37" s="3" t="s">
        <v>72</v>
      </c>
      <c r="B37" s="4" t="s">
        <v>36</v>
      </c>
      <c r="C37" s="4" t="s">
        <v>79</v>
      </c>
      <c r="D37" s="16">
        <f>D39*'Verdeling per sector'!B26*0.19</f>
        <v>14.877171000000001</v>
      </c>
      <c r="E37" s="12">
        <f>0.269*54.5*D37</f>
        <v>218.10676544550003</v>
      </c>
      <c r="F37" s="12">
        <f>0.2152*54.5*D37</f>
        <v>174.48541235640002</v>
      </c>
      <c r="G37" t="s">
        <v>55</v>
      </c>
      <c r="H37" s="11" t="s">
        <v>61</v>
      </c>
      <c r="I37" s="19">
        <v>9</v>
      </c>
    </row>
    <row r="38" spans="1:9" ht="18">
      <c r="A38" s="3" t="s">
        <v>72</v>
      </c>
      <c r="B38" s="4" t="s">
        <v>14</v>
      </c>
      <c r="C38" s="4" t="s">
        <v>76</v>
      </c>
      <c r="D38" s="13">
        <f>D39*'Verdeling per sector'!B27</f>
        <v>26.100300000000001</v>
      </c>
      <c r="E38" s="12">
        <f>0.269*57.8*D38</f>
        <v>405.81268446000001</v>
      </c>
      <c r="F38" s="12">
        <f>0.2151*57.8*D38</f>
        <v>324.49928783399997</v>
      </c>
      <c r="G38" t="s">
        <v>55</v>
      </c>
      <c r="H38" s="11" t="s">
        <v>61</v>
      </c>
      <c r="I38" s="19">
        <v>9</v>
      </c>
    </row>
    <row r="39" spans="1:9">
      <c r="A39" s="4"/>
      <c r="B39" s="4" t="s">
        <v>84</v>
      </c>
      <c r="C39" s="4"/>
      <c r="D39" s="18">
        <f>1083*0.241</f>
        <v>261.00299999999999</v>
      </c>
      <c r="E39" s="12"/>
      <c r="F39" s="12"/>
    </row>
    <row r="40" spans="1:9">
      <c r="B40" s="4"/>
      <c r="C40" s="4"/>
      <c r="D40" s="13"/>
    </row>
    <row r="41" spans="1:9">
      <c r="B41" s="4"/>
      <c r="C41" s="4"/>
    </row>
    <row r="42" spans="1:9">
      <c r="B42" s="4"/>
      <c r="C42" s="4"/>
    </row>
    <row r="43" spans="1:9">
      <c r="B43" s="4"/>
      <c r="C43" s="4"/>
    </row>
    <row r="44" spans="1:9">
      <c r="B44" s="4"/>
      <c r="C44" s="4"/>
    </row>
    <row r="45" spans="1:9">
      <c r="B45" s="4"/>
      <c r="C45" s="4"/>
    </row>
    <row r="46" spans="1:9">
      <c r="B46" s="4"/>
      <c r="C46" s="4"/>
    </row>
    <row r="47" spans="1:9">
      <c r="B47" s="4"/>
      <c r="C47" s="4"/>
    </row>
    <row r="48" spans="1:9">
      <c r="B48" s="4"/>
      <c r="C48" s="4"/>
    </row>
    <row r="49" spans="2:4">
      <c r="B49" s="4"/>
      <c r="C49" s="4"/>
    </row>
    <row r="50" spans="2:4">
      <c r="B50" s="4"/>
      <c r="C50" s="4"/>
    </row>
    <row r="51" spans="2:4">
      <c r="B51" s="4"/>
      <c r="C51" s="4"/>
    </row>
    <row r="52" spans="2:4">
      <c r="B52" s="4"/>
      <c r="C52" s="4" t="s">
        <v>87</v>
      </c>
      <c r="D52" t="s">
        <v>88</v>
      </c>
    </row>
    <row r="53" spans="2:4">
      <c r="B53" s="4"/>
      <c r="C53" s="4" t="s">
        <v>89</v>
      </c>
    </row>
    <row r="54" spans="2:4">
      <c r="B54" s="4"/>
      <c r="C54" s="4"/>
    </row>
    <row r="55" spans="2:4">
      <c r="B55" s="4"/>
      <c r="C55" s="4"/>
    </row>
    <row r="56" spans="2:4">
      <c r="B56" s="4"/>
      <c r="C56" s="4"/>
    </row>
    <row r="57" spans="2:4">
      <c r="B57" s="4"/>
      <c r="C57" s="4"/>
    </row>
    <row r="58" spans="2:4">
      <c r="B58" s="4"/>
      <c r="C58" s="4"/>
    </row>
    <row r="59" spans="2:4">
      <c r="B59" s="4"/>
      <c r="C59" s="4"/>
    </row>
    <row r="60" spans="2:4">
      <c r="B60" s="4"/>
      <c r="C60" s="4"/>
    </row>
    <row r="61" spans="2:4">
      <c r="B61" s="4"/>
      <c r="C61" s="4"/>
    </row>
    <row r="62" spans="2:4">
      <c r="B62" s="4"/>
      <c r="C62" s="4"/>
    </row>
    <row r="63" spans="2:4">
      <c r="B63" s="4"/>
      <c r="C63" s="4"/>
    </row>
    <row r="64" spans="2:4">
      <c r="B64" s="4"/>
      <c r="C64" s="4"/>
    </row>
    <row r="65" spans="2:3">
      <c r="B65" s="4"/>
      <c r="C65" s="4"/>
    </row>
    <row r="66" spans="2:3">
      <c r="B66" s="4"/>
      <c r="C66" s="4"/>
    </row>
    <row r="67" spans="2:3">
      <c r="B67" s="4"/>
      <c r="C67" s="4"/>
    </row>
    <row r="68" spans="2:3">
      <c r="B68" s="4"/>
      <c r="C68" s="4"/>
    </row>
    <row r="69" spans="2:3">
      <c r="B69" s="4"/>
      <c r="C69" s="4"/>
    </row>
    <row r="70" spans="2:3">
      <c r="B70" s="4"/>
      <c r="C70" s="4"/>
    </row>
    <row r="71" spans="2:3">
      <c r="B71" s="4"/>
      <c r="C71" s="4"/>
    </row>
    <row r="72" spans="2:3">
      <c r="B72" s="4"/>
      <c r="C72" s="4"/>
    </row>
    <row r="73" spans="2:3">
      <c r="B73" s="4"/>
      <c r="C73" s="4"/>
    </row>
    <row r="74" spans="2:3">
      <c r="B74" s="4"/>
      <c r="C74" s="4"/>
    </row>
    <row r="75" spans="2:3">
      <c r="B75" s="4"/>
      <c r="C75" s="4"/>
    </row>
    <row r="76" spans="2:3">
      <c r="B76" s="4"/>
      <c r="C76" s="4"/>
    </row>
    <row r="77" spans="2:3">
      <c r="B77" s="4"/>
      <c r="C77" s="4"/>
    </row>
    <row r="78" spans="2:3">
      <c r="B78" s="4"/>
      <c r="C78" s="4"/>
    </row>
    <row r="79" spans="2:3">
      <c r="B79" s="4"/>
    </row>
    <row r="80" spans="2:3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Verdeling per sector</vt:lpstr>
      <vt:lpstr>Verdeling per bedrijfsgrootte</vt:lpstr>
      <vt:lpstr>Blad5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Hajar Talhaoui</dc:creator>
  <cp:lastModifiedBy>Hajar Talhaoui</cp:lastModifiedBy>
  <dcterms:created xsi:type="dcterms:W3CDTF">2024-10-14T12:17:22Z</dcterms:created>
  <dcterms:modified xsi:type="dcterms:W3CDTF">2024-10-16T07:16:11Z</dcterms:modified>
</cp:coreProperties>
</file>