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epos\immdrepo\Project\3501\Furkan\Flyback\"/>
    </mc:Choice>
  </mc:AlternateContent>
  <bookViews>
    <workbookView xWindow="0" yWindow="0" windowWidth="11520" windowHeight="7335" tabRatio="497" firstSheet="1" activeTab="1"/>
  </bookViews>
  <sheets>
    <sheet name="Introduction" sheetId="1" r:id="rId1"/>
    <sheet name="Design Inputs" sheetId="2" r:id="rId2"/>
    <sheet name="Calculations" sheetId="3" r:id="rId3"/>
    <sheet name="Schematic" sheetId="5" r:id="rId4"/>
    <sheet name="Lookup" sheetId="4" state="hidden" r:id="rId5"/>
  </sheets>
  <definedNames>
    <definedName name="C_f1">Lookup!$K$17</definedName>
    <definedName name="C_f2">Lookup!$K$24</definedName>
    <definedName name="c_s1">Lookup!$J$6</definedName>
    <definedName name="C_s2">Lookup!$J$19</definedName>
    <definedName name="Cfb">Calculations!$F$15</definedName>
    <definedName name="Cfb_actual">'Design Inputs'!$D$39</definedName>
    <definedName name="Cfb_target">'Design Inputs'!$C$39</definedName>
    <definedName name="Cin">Calculations!$B$21</definedName>
    <definedName name="Cin_actual">'Design Inputs'!$H$6</definedName>
    <definedName name="Cin_target">'Design Inputs'!$G$6</definedName>
    <definedName name="Ciss">Calculations!$B$56</definedName>
    <definedName name="Ciss_actual">'Design Inputs'!$H$15</definedName>
    <definedName name="Ciss_target">'Design Inputs'!$G$15</definedName>
    <definedName name="Coss">Calculations!$B$55</definedName>
    <definedName name="Coss_actual">'Design Inputs'!$H$14</definedName>
    <definedName name="Coss_target">'Design Inputs'!$G$14</definedName>
    <definedName name="Cout">Calculations!$F$33</definedName>
    <definedName name="Cout_actual">'Design Inputs'!$H$21</definedName>
    <definedName name="Cout_Iripple_actual">'Design Inputs'!$H$19</definedName>
    <definedName name="Cout_Iripple_target">'Design Inputs'!$G$19</definedName>
    <definedName name="Cout_target">'Design Inputs'!$G$21</definedName>
    <definedName name="Csnub">Calculations!$F$46</definedName>
    <definedName name="Cvdd_bulk">Calculations!$B$60</definedName>
    <definedName name="Cvgg">Calculations!$F$7</definedName>
    <definedName name="Dbias">Calculations!$B$59</definedName>
    <definedName name="Ddrv">Calculations!$F$4</definedName>
    <definedName name="Dgate_avg">Calculations!$F$9</definedName>
    <definedName name="E12_f">Lookup!$F$21</definedName>
    <definedName name="E12_s">Lookup!$E$10</definedName>
    <definedName name="E24_f">Lookup!$F$46</definedName>
    <definedName name="E24_s">Lookup!$E$23</definedName>
    <definedName name="E48_f">Lookup!$F$95</definedName>
    <definedName name="E48_s">Lookup!$E$48</definedName>
    <definedName name="E6_f">Lookup!$F$8</definedName>
    <definedName name="E6_s">Lookup!$E$3</definedName>
    <definedName name="E96_f">Lookup!$H$98</definedName>
    <definedName name="E96_s">Lookup!$G$3</definedName>
    <definedName name="eff">Calculations!$B$7</definedName>
    <definedName name="ESR_actual">'Design Inputs'!$H$20</definedName>
    <definedName name="ESR_target">'Design Inputs'!$G$20</definedName>
    <definedName name="ESRtotal">Calculations!$F$36</definedName>
    <definedName name="FAULT">'Design Inputs'!$C$19</definedName>
    <definedName name="fline">'Design Inputs'!$C$9</definedName>
    <definedName name="fmax">Calculations!$B$35</definedName>
    <definedName name="fswmax">Calculations!$B$12</definedName>
    <definedName name="fswmin">Calculations!$B$13</definedName>
    <definedName name="Icin">Calculations!$B$24</definedName>
    <definedName name="Icout">Calculations!$F$35</definedName>
    <definedName name="Idrain">Calculations!$B$53</definedName>
    <definedName name="Idrain_rms">Calculations!$B$54</definedName>
    <definedName name="Idrv">Calculations!$B$36</definedName>
    <definedName name="Idrv_initial">'Design Inputs'!$L$14</definedName>
    <definedName name="Ifuse">Calculations!$B$16</definedName>
    <definedName name="Iin_avg">Calculations!$B$11</definedName>
    <definedName name="Iin_peak">Calculations!$B$10</definedName>
    <definedName name="Iin_rms">Calculations!$B$9</definedName>
    <definedName name="Iinpeak">Calculations!$B$10</definedName>
    <definedName name="input">'Design Inputs'!$K$23</definedName>
    <definedName name="Iout">'Design Inputs'!$C$14</definedName>
    <definedName name="Ipeak_sec">Calculations!$B$38</definedName>
    <definedName name="Iprms">Calculations!$B$37</definedName>
    <definedName name="Isrms">Calculations!$B$39</definedName>
    <definedName name="Lleak">Calculations!$B$31</definedName>
    <definedName name="Lleak_actual">'Design Inputs'!$H$10</definedName>
    <definedName name="Lleak_target">'Design Inputs'!$G$10</definedName>
    <definedName name="LO">'Design Inputs'!#REF!</definedName>
    <definedName name="Lp">Calculations!$B$29</definedName>
    <definedName name="Lp_1">'Design Inputs'!$L$18</definedName>
    <definedName name="Lp_actual">'Design Inputs'!$H$9</definedName>
    <definedName name="Lp_initial">'Design Inputs'!$L$13</definedName>
    <definedName name="Lp_initial2">'Design Inputs'!$L$16</definedName>
    <definedName name="LP_initial2A">'Design Inputs'!$L$15</definedName>
    <definedName name="Lp_initial3">'Design Inputs'!$L$19</definedName>
    <definedName name="Lp_target">'Design Inputs'!$G$9</definedName>
    <definedName name="Npb">Calculations!$B$30</definedName>
    <definedName name="Npb_actual">'Design Inputs'!$H$11</definedName>
    <definedName name="Npb_target">'Design Inputs'!$G$11</definedName>
    <definedName name="Nps">Calculations!$B$27</definedName>
    <definedName name="Nps_actual">'Design Inputs'!$H$8</definedName>
    <definedName name="Nps_target">'Design Inputs'!$G$8</definedName>
    <definedName name="Pin">Calculations!$B$8</definedName>
    <definedName name="Pout">Calculations!$B$6</definedName>
    <definedName name="PowerLimitThreshold">Calculations!$B$47</definedName>
    <definedName name="_xlnm.Print_Area" localSheetId="1">'Design Inputs'!$B$1:$J$24</definedName>
    <definedName name="Rcl">Calculations!$B$43</definedName>
    <definedName name="Rcl_actual">'Design Inputs'!$D$38</definedName>
    <definedName name="Rcl_target">'Design Inputs'!$C$38</definedName>
    <definedName name="Rfb">Calculations!$F$16</definedName>
    <definedName name="Rmot">Calculations!$F$19</definedName>
    <definedName name="Rmot_actual">'Design Inputs'!$D$40</definedName>
    <definedName name="Rmot_target">'Design Inputs'!$C$40</definedName>
    <definedName name="Rsnub1">Calculations!$F$47</definedName>
    <definedName name="Rsnub2">Calculations!$F$49</definedName>
    <definedName name="Rstart">Calculations!$F$11</definedName>
    <definedName name="Rzcd1">Calculations!$F$23</definedName>
    <definedName name="Rzcd2">Calculations!$F$24</definedName>
    <definedName name="SD_R">'Design Inputs'!#REF!</definedName>
    <definedName name="tdemag">Calculations!$B$33</definedName>
    <definedName name="Tinput_ripple">Calculations!#REF!</definedName>
    <definedName name="tmot">Calculations!$F$20</definedName>
    <definedName name="ton">Calculations!$B$32</definedName>
    <definedName name="ton_initial">'Design Inputs'!$L$12</definedName>
    <definedName name="ton_initial2">'Design Inputs'!$L$17</definedName>
    <definedName name="tres">Calculations!$B$34</definedName>
    <definedName name="Vbias">Calculations!$B$40</definedName>
    <definedName name="Vbrownout">'Design Inputs'!$C$10</definedName>
    <definedName name="Vbulk_min">Calculations!$B$23</definedName>
    <definedName name="Vclamp">Calculations!$F$45</definedName>
    <definedName name="VDDzener">Calculations!$B$61</definedName>
    <definedName name="VDout">Calculations!$F$28</definedName>
    <definedName name="Vdropout">'Design Inputs'!#REF!</definedName>
    <definedName name="Vdsrating">Calculations!$B$52</definedName>
    <definedName name="Vdsrating_actual">'Design Inputs'!$H$13</definedName>
    <definedName name="Vdsrating_target">'Design Inputs'!$G$13</definedName>
    <definedName name="Vflyback">Calculations!$B$28</definedName>
    <definedName name="Vholdup">'Design Inputs'!#REF!</definedName>
    <definedName name="Vin_max">Calculations!$B$5</definedName>
    <definedName name="Vin_min">Calculations!$B$4</definedName>
    <definedName name="Vinput_ripple">Calculations!$B$22</definedName>
    <definedName name="Vmax">'Design Inputs'!$C$8</definedName>
    <definedName name="Vmin">'Design Inputs'!$C$7</definedName>
    <definedName name="Vout">'Design Inputs'!$C$13</definedName>
    <definedName name="Vovp">'Design Inputs'!$C$15</definedName>
    <definedName name="Vovp_actual">Calculations!$F$25</definedName>
    <definedName name="Vripple_target">'Design Inputs'!$C$16</definedName>
    <definedName name="Vzener">Calculations!$F$40</definedName>
  </definedNames>
  <calcPr calcId="162913"/>
</workbook>
</file>

<file path=xl/calcChain.xml><?xml version="1.0" encoding="utf-8"?>
<calcChain xmlns="http://schemas.openxmlformats.org/spreadsheetml/2006/main">
  <c r="B12" i="3" l="1"/>
  <c r="B5" i="3"/>
  <c r="D82" i="5" s="1"/>
  <c r="B4" i="3"/>
  <c r="O16" i="4" s="1"/>
  <c r="O17" i="4" s="1"/>
  <c r="S51" i="4"/>
  <c r="S40" i="4"/>
  <c r="S29" i="4"/>
  <c r="O51" i="4"/>
  <c r="O40" i="4"/>
  <c r="O29" i="4"/>
  <c r="O18" i="4"/>
  <c r="B6" i="3"/>
  <c r="B7" i="3"/>
  <c r="F40" i="3"/>
  <c r="F41" i="3" s="1"/>
  <c r="B60" i="3"/>
  <c r="C41" i="5" s="1"/>
  <c r="B56" i="3"/>
  <c r="F9" i="3" s="1"/>
  <c r="C35" i="5"/>
  <c r="D19" i="2"/>
  <c r="F34" i="3"/>
  <c r="B13" i="3"/>
  <c r="F16" i="3" s="1"/>
  <c r="C75" i="5" s="1"/>
  <c r="F32" i="2"/>
  <c r="B21" i="2"/>
  <c r="O19" i="4" l="1"/>
  <c r="B20" i="3"/>
  <c r="D36" i="5" s="1"/>
  <c r="C57" i="5"/>
  <c r="B8" i="3"/>
  <c r="B9" i="3" s="1"/>
  <c r="B10" i="3" s="1"/>
  <c r="B11" i="3" s="1"/>
  <c r="F7" i="3"/>
  <c r="C43" i="5" s="1"/>
  <c r="F12" i="3"/>
  <c r="B17" i="3"/>
  <c r="F42" i="3"/>
  <c r="C78" i="5"/>
  <c r="O20" i="4" l="1"/>
  <c r="B22" i="2" s="1"/>
  <c r="D33" i="5"/>
  <c r="C33" i="5"/>
  <c r="O23" i="4" l="1"/>
  <c r="O21" i="4" s="1"/>
  <c r="O26" i="4" s="1"/>
  <c r="O27" i="4" s="1"/>
  <c r="O28" i="4" s="1"/>
  <c r="O30" i="4" s="1"/>
  <c r="O31" i="4" s="1"/>
  <c r="O33" i="4" s="1"/>
  <c r="O22" i="4"/>
  <c r="J6" i="2"/>
  <c r="S26" i="4"/>
  <c r="S27" i="4" s="1"/>
  <c r="S28" i="4" s="1"/>
  <c r="S30" i="4" s="1"/>
  <c r="S31" i="4" s="1"/>
  <c r="O34" i="4" l="1"/>
  <c r="O32" i="4" s="1"/>
  <c r="O37" i="4" s="1"/>
  <c r="O38" i="4" s="1"/>
  <c r="O39" i="4" s="1"/>
  <c r="O41" i="4" s="1"/>
  <c r="O42" i="4" s="1"/>
  <c r="O45" i="4" s="1"/>
  <c r="S33" i="4"/>
  <c r="S34" i="4"/>
  <c r="S32" i="4" s="1"/>
  <c r="S37" i="4" s="1"/>
  <c r="S38" i="4" s="1"/>
  <c r="S39" i="4" s="1"/>
  <c r="S41" i="4" s="1"/>
  <c r="S42" i="4" s="1"/>
  <c r="O44" i="4" l="1"/>
  <c r="O43" i="4"/>
  <c r="O48" i="4" s="1"/>
  <c r="O49" i="4" s="1"/>
  <c r="O50" i="4" s="1"/>
  <c r="O52" i="4" s="1"/>
  <c r="O53" i="4" s="1"/>
  <c r="O55" i="4" s="1"/>
  <c r="S44" i="4"/>
  <c r="S45" i="4"/>
  <c r="S43" i="4" s="1"/>
  <c r="S48" i="4" s="1"/>
  <c r="S49" i="4" s="1"/>
  <c r="S50" i="4" s="1"/>
  <c r="S52" i="4" s="1"/>
  <c r="S53" i="4" s="1"/>
  <c r="O56" i="4" l="1"/>
  <c r="O54" i="4" s="1"/>
  <c r="O58" i="4" s="1"/>
  <c r="S55" i="4"/>
  <c r="S56" i="4"/>
  <c r="S54" i="4" s="1"/>
  <c r="S58" i="4" s="1"/>
  <c r="G6" i="2" l="1"/>
  <c r="B21" i="3" s="1"/>
  <c r="C36" i="5" s="1"/>
  <c r="B23" i="3"/>
  <c r="F11" i="3" s="1"/>
  <c r="C81" i="5" s="1"/>
  <c r="I8" i="2" l="1"/>
  <c r="B24" i="3"/>
  <c r="D37" i="5" s="1"/>
  <c r="B22" i="3"/>
  <c r="B23" i="2" s="1"/>
  <c r="G8" i="2"/>
  <c r="B27" i="3" s="1"/>
  <c r="B28" i="3" s="1"/>
  <c r="G13" i="2"/>
  <c r="B52" i="3" s="1"/>
  <c r="C55" i="5" s="1"/>
  <c r="B16" i="3" l="1"/>
  <c r="C34" i="5" s="1"/>
  <c r="C58" i="5"/>
  <c r="F45" i="3"/>
  <c r="F28" i="3"/>
  <c r="C51" i="5" s="1"/>
  <c r="C62" i="5"/>
  <c r="G11" i="2"/>
  <c r="B30" i="3" s="1"/>
  <c r="F23" i="3" s="1"/>
  <c r="F24" i="3" s="1"/>
  <c r="C90" i="5" s="1"/>
  <c r="L12" i="2"/>
  <c r="L13" i="2" s="1"/>
  <c r="L14" i="2" s="1"/>
  <c r="L15" i="2" l="1"/>
  <c r="L16" i="2" s="1"/>
  <c r="C6" i="4" s="1"/>
  <c r="C7" i="4" s="1"/>
  <c r="B43" i="3" s="1"/>
  <c r="B36" i="3" s="1"/>
  <c r="C63" i="5"/>
  <c r="C89" i="5"/>
  <c r="B40" i="3"/>
  <c r="B61" i="3" s="1"/>
  <c r="C54" i="5" s="1"/>
  <c r="F25" i="3"/>
  <c r="C73" i="5" l="1"/>
  <c r="B53" i="3"/>
  <c r="C59" i="5" s="1"/>
  <c r="B59" i="3"/>
  <c r="C44" i="5" s="1"/>
  <c r="B44" i="3"/>
  <c r="B46" i="3"/>
  <c r="L17" i="2"/>
  <c r="G16" i="2"/>
  <c r="B45" i="3"/>
  <c r="C64" i="5"/>
  <c r="B38" i="3"/>
  <c r="L18" i="2" l="1"/>
  <c r="L19" i="2" s="1"/>
  <c r="G9" i="2" s="1"/>
  <c r="G20" i="2"/>
  <c r="F36" i="3" s="1"/>
  <c r="C66" i="5"/>
  <c r="F30" i="3"/>
  <c r="C53" i="5" s="1"/>
  <c r="J12" i="2" l="1"/>
  <c r="B29" i="3"/>
  <c r="G10" i="2" l="1"/>
  <c r="B31" i="3" s="1"/>
  <c r="G14" i="2"/>
  <c r="B55" i="3" s="1"/>
  <c r="B34" i="3" s="1"/>
  <c r="C61" i="5"/>
  <c r="B47" i="3"/>
  <c r="B24" i="2" s="1"/>
  <c r="B48" i="3"/>
  <c r="B49" i="3"/>
  <c r="G21" i="2"/>
  <c r="F53" i="3"/>
  <c r="B33" i="3"/>
  <c r="B39" i="3" s="1"/>
  <c r="F55" i="3"/>
  <c r="F35" i="3"/>
  <c r="B32" i="3"/>
  <c r="L20" i="2"/>
  <c r="C8" i="4"/>
  <c r="C9" i="4" s="1"/>
  <c r="F19" i="3" s="1"/>
  <c r="G19" i="2"/>
  <c r="D39" i="5" s="1"/>
  <c r="C79" i="5" l="1"/>
  <c r="F20" i="3"/>
  <c r="C67" i="5"/>
  <c r="F29" i="3"/>
  <c r="C52" i="5" s="1"/>
  <c r="C38" i="5"/>
  <c r="F33" i="3"/>
  <c r="F37" i="3" s="1"/>
  <c r="B37" i="3"/>
  <c r="B35" i="3"/>
  <c r="C12" i="4"/>
  <c r="C13" i="4" s="1"/>
  <c r="F49" i="3" s="1"/>
  <c r="C87" i="5" s="1"/>
  <c r="N6" i="4"/>
  <c r="N9" i="4" l="1"/>
  <c r="N8" i="4"/>
  <c r="C65" i="5"/>
  <c r="B54" i="3"/>
  <c r="N7" i="4" l="1"/>
  <c r="F46" i="3" s="1"/>
  <c r="C10" i="4" s="1"/>
  <c r="C11" i="4" s="1"/>
  <c r="F47" i="3" s="1"/>
  <c r="G17" i="2"/>
  <c r="C60" i="5"/>
  <c r="F50" i="3" l="1"/>
  <c r="D88" i="5" s="1"/>
  <c r="C40" i="5"/>
  <c r="C85" i="5"/>
  <c r="F48" i="3"/>
  <c r="D86" i="5" s="1"/>
</calcChain>
</file>

<file path=xl/sharedStrings.xml><?xml version="1.0" encoding="utf-8"?>
<sst xmlns="http://schemas.openxmlformats.org/spreadsheetml/2006/main" count="428" uniqueCount="293">
  <si>
    <t>UCC28610 DESIGN CALCULATOR TOOL</t>
  </si>
  <si>
    <t>Disclaimer</t>
  </si>
  <si>
    <t xml:space="preserve">The UCC28610 is a Green-Mode Flyback Converter that operates in discontinuous current mode or transition mode over the entire operating range.  The controller uses a cascoded configuration which allows fully integrated current control without an external current sense resistor. </t>
  </si>
  <si>
    <t>USER INPUTS</t>
  </si>
  <si>
    <t>DESIGN REQUIREMENTS</t>
  </si>
  <si>
    <t>INPUT SPECIFICATIONS:</t>
  </si>
  <si>
    <t>Minimum Input Voltage</t>
  </si>
  <si>
    <t>Maximum Input Voltage</t>
  </si>
  <si>
    <t>Minimum Line Frequency</t>
  </si>
  <si>
    <t>Hz</t>
  </si>
  <si>
    <t>OUTPUT SPECIFICATIONS:</t>
  </si>
  <si>
    <t>Regulated Output Voltage</t>
  </si>
  <si>
    <t>Vdc</t>
  </si>
  <si>
    <t>Maximum Output Load Current</t>
  </si>
  <si>
    <t>A</t>
  </si>
  <si>
    <t>Output Over-Voltage Threshold</t>
  </si>
  <si>
    <t>USER SELECTED COMPONENT PARAMETERS</t>
  </si>
  <si>
    <t>Target</t>
  </si>
  <si>
    <t>Actual</t>
  </si>
  <si>
    <r>
      <t>Input Bulk Capacitor (C</t>
    </r>
    <r>
      <rPr>
        <vertAlign val="subscript"/>
        <sz val="10"/>
        <rFont val="Arial"/>
        <family val="2"/>
      </rPr>
      <t>IN</t>
    </r>
    <r>
      <rPr>
        <sz val="10"/>
        <rFont val="Arial"/>
        <family val="2"/>
        <charset val="162"/>
      </rPr>
      <t>)</t>
    </r>
  </si>
  <si>
    <r>
      <t>Primary to Secondary Turns Ratio (N</t>
    </r>
    <r>
      <rPr>
        <vertAlign val="subscript"/>
        <sz val="10"/>
        <rFont val="Arial"/>
        <family val="2"/>
      </rPr>
      <t>PS</t>
    </r>
    <r>
      <rPr>
        <sz val="10"/>
        <rFont val="Arial"/>
        <family val="2"/>
        <charset val="162"/>
      </rPr>
      <t>)</t>
    </r>
  </si>
  <si>
    <r>
      <t>Primary Inductance (L</t>
    </r>
    <r>
      <rPr>
        <vertAlign val="subscript"/>
        <sz val="10"/>
        <rFont val="Arial"/>
        <family val="2"/>
      </rPr>
      <t>P</t>
    </r>
    <r>
      <rPr>
        <sz val="10"/>
        <rFont val="Arial"/>
        <family val="2"/>
        <charset val="162"/>
      </rPr>
      <t>)</t>
    </r>
  </si>
  <si>
    <t>UCC28610 DESIGN CALCULATOR FOR GREEN-MODE FLYBACK CONVERTER</t>
  </si>
  <si>
    <t>UCC28610 Design Guide Calculations</t>
  </si>
  <si>
    <t>W</t>
  </si>
  <si>
    <t>V</t>
  </si>
  <si>
    <r>
      <t>Output Power</t>
    </r>
    <r>
      <rPr>
        <sz val="10"/>
        <rFont val="Arial"/>
        <family val="2"/>
        <charset val="162"/>
      </rPr>
      <t>:</t>
    </r>
  </si>
  <si>
    <t>kHz</t>
  </si>
  <si>
    <t>Input Bridge Current Rating:</t>
  </si>
  <si>
    <t>Minimum Input Voltage:</t>
  </si>
  <si>
    <t>Input Capacitor Value</t>
  </si>
  <si>
    <r>
      <t>m</t>
    </r>
    <r>
      <rPr>
        <sz val="10"/>
        <rFont val="Arial"/>
        <family val="2"/>
        <charset val="162"/>
      </rPr>
      <t>F</t>
    </r>
  </si>
  <si>
    <t>Input Ripple Voltage</t>
  </si>
  <si>
    <r>
      <t>m</t>
    </r>
    <r>
      <rPr>
        <sz val="10"/>
        <rFont val="Arial"/>
        <family val="2"/>
        <charset val="162"/>
      </rPr>
      <t>H</t>
    </r>
  </si>
  <si>
    <t>Minimum Input Bulk Voltage</t>
  </si>
  <si>
    <t>BRIDGE</t>
  </si>
  <si>
    <t>DESIGN CHARACTERISTICS</t>
  </si>
  <si>
    <r>
      <t>HVMOSFET V</t>
    </r>
    <r>
      <rPr>
        <vertAlign val="subscript"/>
        <sz val="10"/>
        <rFont val="Arial"/>
        <family val="2"/>
      </rPr>
      <t>DS</t>
    </r>
    <r>
      <rPr>
        <sz val="10"/>
        <rFont val="Arial"/>
        <family val="2"/>
        <charset val="162"/>
      </rPr>
      <t xml:space="preserve"> Rating</t>
    </r>
  </si>
  <si>
    <t>HV MOSFET</t>
  </si>
  <si>
    <r>
      <t>V</t>
    </r>
    <r>
      <rPr>
        <vertAlign val="subscript"/>
        <sz val="10"/>
        <rFont val="Arial"/>
        <family val="2"/>
      </rPr>
      <t>DS</t>
    </r>
    <r>
      <rPr>
        <sz val="10"/>
        <rFont val="Arial"/>
        <family val="2"/>
        <charset val="162"/>
      </rPr>
      <t xml:space="preserve"> Rating</t>
    </r>
  </si>
  <si>
    <t>Primary to Secondary Turns Ratio</t>
  </si>
  <si>
    <t>CLEAR ALL USER INPUT GREEN CELLS BEFORE STARTING A NEW DESIGN</t>
  </si>
  <si>
    <t>Minimum Input Bridge Voltage Rating:</t>
  </si>
  <si>
    <t>Minimum Input Capacitor Voltage Rating</t>
  </si>
  <si>
    <t>Minimum Input Capacitor Ripple Current Rating</t>
  </si>
  <si>
    <t>Estimated Efficiency:</t>
  </si>
  <si>
    <t>Estimated Input Power:</t>
  </si>
  <si>
    <t>Estimated Input RMS Current:</t>
  </si>
  <si>
    <t>Estimated Input Peak Current:</t>
  </si>
  <si>
    <t>Estimated Input Average Current:</t>
  </si>
  <si>
    <t>Primary Inductance</t>
  </si>
  <si>
    <t>Leakage Inductance</t>
  </si>
  <si>
    <r>
      <t>k</t>
    </r>
    <r>
      <rPr>
        <sz val="10"/>
        <rFont val="Symbol"/>
        <family val="1"/>
        <charset val="2"/>
      </rPr>
      <t>W</t>
    </r>
  </si>
  <si>
    <t>Primary to Bias Turns Ratio</t>
  </si>
  <si>
    <r>
      <t>Primary to Bias Turns Ratio (N</t>
    </r>
    <r>
      <rPr>
        <vertAlign val="subscript"/>
        <sz val="10"/>
        <rFont val="Arial"/>
        <family val="2"/>
      </rPr>
      <t>PB</t>
    </r>
    <r>
      <rPr>
        <sz val="10"/>
        <rFont val="Arial"/>
        <family val="2"/>
        <charset val="162"/>
      </rPr>
      <t>)</t>
    </r>
  </si>
  <si>
    <t>Bias Voltage</t>
  </si>
  <si>
    <t>Average Secondary Side Short Circuit Current</t>
  </si>
  <si>
    <t>RMS Secondary Side Short Circuit Current</t>
  </si>
  <si>
    <t>Maximum On Time</t>
  </si>
  <si>
    <r>
      <t>m</t>
    </r>
    <r>
      <rPr>
        <sz val="10"/>
        <rFont val="Arial"/>
        <family val="2"/>
      </rPr>
      <t>s</t>
    </r>
  </si>
  <si>
    <t>Demagnetizing Time</t>
  </si>
  <si>
    <r>
      <t>m</t>
    </r>
    <r>
      <rPr>
        <sz val="10"/>
        <rFont val="Arial"/>
        <family val="2"/>
      </rPr>
      <t>F</t>
    </r>
  </si>
  <si>
    <r>
      <t>HVMOSFET C</t>
    </r>
    <r>
      <rPr>
        <vertAlign val="subscript"/>
        <sz val="10"/>
        <rFont val="Arial"/>
        <family val="2"/>
      </rPr>
      <t>OSS</t>
    </r>
  </si>
  <si>
    <t>pF</t>
  </si>
  <si>
    <t>Time to First Resonant Valley</t>
  </si>
  <si>
    <r>
      <t>C</t>
    </r>
    <r>
      <rPr>
        <vertAlign val="subscript"/>
        <sz val="10"/>
        <rFont val="Arial"/>
        <family val="2"/>
      </rPr>
      <t>OSS</t>
    </r>
  </si>
  <si>
    <t>ns</t>
  </si>
  <si>
    <t>Secondary Side Peak Current</t>
  </si>
  <si>
    <r>
      <t>C</t>
    </r>
    <r>
      <rPr>
        <vertAlign val="subscript"/>
        <sz val="10"/>
        <rFont val="Arial"/>
        <family val="2"/>
      </rPr>
      <t>ISS</t>
    </r>
  </si>
  <si>
    <r>
      <t>HVMOSFET C</t>
    </r>
    <r>
      <rPr>
        <vertAlign val="subscript"/>
        <sz val="10"/>
        <rFont val="Arial"/>
        <family val="2"/>
      </rPr>
      <t>ISS</t>
    </r>
  </si>
  <si>
    <t>Primary Side RMS Current</t>
  </si>
  <si>
    <t>Secondary Side RMS Current</t>
  </si>
  <si>
    <t>Maximum Possible Switching Frequency:</t>
  </si>
  <si>
    <t>Minimum Possible Switching Frequency:</t>
  </si>
  <si>
    <t>Maximum Actual Switching Frequency</t>
  </si>
  <si>
    <t>CURRENT LIMIT</t>
  </si>
  <si>
    <r>
      <t>INPUT CAPACITOR, C</t>
    </r>
    <r>
      <rPr>
        <b/>
        <vertAlign val="subscript"/>
        <sz val="10"/>
        <color indexed="9"/>
        <rFont val="Arial"/>
        <family val="2"/>
      </rPr>
      <t>IN</t>
    </r>
  </si>
  <si>
    <r>
      <t>FLYBACK TRANSFORMER, T</t>
    </r>
    <r>
      <rPr>
        <b/>
        <vertAlign val="subscript"/>
        <sz val="10"/>
        <color indexed="9"/>
        <rFont val="Arial"/>
        <family val="2"/>
      </rPr>
      <t>FLYBACK</t>
    </r>
  </si>
  <si>
    <t>DRV</t>
  </si>
  <si>
    <t>VDD</t>
  </si>
  <si>
    <t>FLYBACK INDUCTOR</t>
  </si>
  <si>
    <t>Peak DRV Current</t>
  </si>
  <si>
    <t>RMS Drain Current</t>
  </si>
  <si>
    <t>Peak Drain Current</t>
  </si>
  <si>
    <t>Std. Resistors</t>
  </si>
  <si>
    <t>Capacitors</t>
  </si>
  <si>
    <t>E6</t>
  </si>
  <si>
    <t>E96</t>
  </si>
  <si>
    <t>E12</t>
  </si>
  <si>
    <t>E24</t>
  </si>
  <si>
    <t>E48</t>
  </si>
  <si>
    <t>Primary Side Peak Current</t>
  </si>
  <si>
    <t>Flyback Voltage</t>
  </si>
  <si>
    <r>
      <t>R</t>
    </r>
    <r>
      <rPr>
        <vertAlign val="subscript"/>
        <sz val="10"/>
        <rFont val="Arial"/>
        <family val="2"/>
      </rPr>
      <t xml:space="preserve">CL </t>
    </r>
  </si>
  <si>
    <r>
      <t>VDD Zener Diode (VDD</t>
    </r>
    <r>
      <rPr>
        <vertAlign val="subscript"/>
        <sz val="10"/>
        <rFont val="Arial"/>
        <family val="2"/>
      </rPr>
      <t>ZENER</t>
    </r>
    <r>
      <rPr>
        <sz val="10"/>
        <rFont val="Arial"/>
        <family val="2"/>
        <charset val="162"/>
      </rPr>
      <t>)</t>
    </r>
  </si>
  <si>
    <t>VGG</t>
  </si>
  <si>
    <r>
      <t>VGG Capacitor (C</t>
    </r>
    <r>
      <rPr>
        <vertAlign val="subscript"/>
        <sz val="10"/>
        <rFont val="Arial"/>
        <family val="2"/>
      </rPr>
      <t>VGG</t>
    </r>
    <r>
      <rPr>
        <sz val="10"/>
        <rFont val="Arial"/>
        <family val="2"/>
        <charset val="162"/>
      </rPr>
      <t>)</t>
    </r>
  </si>
  <si>
    <t>mA</t>
  </si>
  <si>
    <r>
      <t>Bias Diode (D</t>
    </r>
    <r>
      <rPr>
        <vertAlign val="subscript"/>
        <sz val="10"/>
        <rFont val="Arial"/>
        <family val="2"/>
      </rPr>
      <t>BIAS</t>
    </r>
    <r>
      <rPr>
        <sz val="10"/>
        <rFont val="Arial"/>
        <family val="2"/>
        <charset val="162"/>
      </rPr>
      <t xml:space="preserve">) Reverse Voltage Rating </t>
    </r>
  </si>
  <si>
    <r>
      <t>DRV Schottky Diode (D</t>
    </r>
    <r>
      <rPr>
        <vertAlign val="subscript"/>
        <sz val="10"/>
        <rFont val="Arial"/>
        <family val="2"/>
      </rPr>
      <t>DRV</t>
    </r>
    <r>
      <rPr>
        <sz val="10"/>
        <rFont val="Arial"/>
        <family val="2"/>
        <charset val="162"/>
      </rPr>
      <t>) Minimum Voltage Rating</t>
    </r>
  </si>
  <si>
    <r>
      <t>Gate Turn-Off Diode (D</t>
    </r>
    <r>
      <rPr>
        <vertAlign val="subscript"/>
        <sz val="10"/>
        <rFont val="Arial"/>
        <family val="2"/>
      </rPr>
      <t>GATE</t>
    </r>
    <r>
      <rPr>
        <sz val="10"/>
        <rFont val="Arial"/>
        <family val="2"/>
        <charset val="162"/>
      </rPr>
      <t>) Average Steady State Current</t>
    </r>
  </si>
  <si>
    <r>
      <t>Gate Turn-Off Diode (D</t>
    </r>
    <r>
      <rPr>
        <vertAlign val="subscript"/>
        <sz val="10"/>
        <rFont val="Arial"/>
        <family val="2"/>
      </rPr>
      <t>GATE</t>
    </r>
    <r>
      <rPr>
        <sz val="10"/>
        <rFont val="Arial"/>
        <family val="2"/>
        <charset val="162"/>
      </rPr>
      <t>) Peak Current</t>
    </r>
  </si>
  <si>
    <r>
      <t>Gate Turn-Off Diode (D</t>
    </r>
    <r>
      <rPr>
        <vertAlign val="subscript"/>
        <sz val="10"/>
        <rFont val="Arial"/>
        <family val="2"/>
      </rPr>
      <t>GATE</t>
    </r>
    <r>
      <rPr>
        <sz val="10"/>
        <rFont val="Arial"/>
        <family val="2"/>
        <charset val="162"/>
      </rPr>
      <t>) Reverse Voltage Rating</t>
    </r>
  </si>
  <si>
    <r>
      <t>Start Up Resistor (R</t>
    </r>
    <r>
      <rPr>
        <vertAlign val="subscript"/>
        <sz val="10"/>
        <rFont val="Arial"/>
        <family val="2"/>
      </rPr>
      <t>START</t>
    </r>
    <r>
      <rPr>
        <sz val="10"/>
        <rFont val="Arial"/>
        <family val="2"/>
        <charset val="162"/>
      </rPr>
      <t>)</t>
    </r>
  </si>
  <si>
    <r>
      <t>M</t>
    </r>
    <r>
      <rPr>
        <sz val="10"/>
        <rFont val="Symbol"/>
        <family val="1"/>
        <charset val="2"/>
      </rPr>
      <t>W</t>
    </r>
  </si>
  <si>
    <r>
      <t>Start Up Resistor (R</t>
    </r>
    <r>
      <rPr>
        <vertAlign val="subscript"/>
        <sz val="10"/>
        <rFont val="Arial"/>
        <family val="2"/>
      </rPr>
      <t>START</t>
    </r>
    <r>
      <rPr>
        <sz val="10"/>
        <rFont val="Arial"/>
        <family val="2"/>
        <charset val="162"/>
      </rPr>
      <t>) Total Voltage Rating</t>
    </r>
  </si>
  <si>
    <t>FB</t>
  </si>
  <si>
    <r>
      <t>Filter Capacitor (C</t>
    </r>
    <r>
      <rPr>
        <vertAlign val="subscript"/>
        <sz val="10"/>
        <rFont val="Arial"/>
        <family val="2"/>
      </rPr>
      <t>FB</t>
    </r>
    <r>
      <rPr>
        <sz val="10"/>
        <rFont val="Arial"/>
        <family val="2"/>
        <charset val="162"/>
      </rPr>
      <t>)</t>
    </r>
  </si>
  <si>
    <r>
      <t>Filter Resistor (R</t>
    </r>
    <r>
      <rPr>
        <vertAlign val="subscript"/>
        <sz val="10"/>
        <rFont val="Arial"/>
        <family val="2"/>
      </rPr>
      <t>FB</t>
    </r>
    <r>
      <rPr>
        <sz val="10"/>
        <rFont val="Arial"/>
        <family val="2"/>
        <charset val="162"/>
      </rPr>
      <t>)</t>
    </r>
  </si>
  <si>
    <t>HVMOSFET</t>
  </si>
  <si>
    <r>
      <t>R</t>
    </r>
    <r>
      <rPr>
        <vertAlign val="subscript"/>
        <sz val="10"/>
        <rFont val="Arial"/>
        <family val="2"/>
      </rPr>
      <t>MOT</t>
    </r>
  </si>
  <si>
    <t>OVER-CURRENT AND BROWN-OUT FAULT RESPONSE</t>
  </si>
  <si>
    <t>MOT</t>
  </si>
  <si>
    <t>ZCD</t>
  </si>
  <si>
    <r>
      <t>R</t>
    </r>
    <r>
      <rPr>
        <vertAlign val="subscript"/>
        <sz val="10"/>
        <rFont val="Arial"/>
        <family val="2"/>
      </rPr>
      <t>ZCD1</t>
    </r>
  </si>
  <si>
    <r>
      <t>R</t>
    </r>
    <r>
      <rPr>
        <vertAlign val="subscript"/>
        <sz val="10"/>
        <rFont val="Arial"/>
        <family val="2"/>
      </rPr>
      <t>ZCD2</t>
    </r>
    <r>
      <rPr>
        <sz val="10"/>
        <rFont val="Arial"/>
        <family val="2"/>
        <charset val="162"/>
      </rPr>
      <t/>
    </r>
  </si>
  <si>
    <r>
      <t>t</t>
    </r>
    <r>
      <rPr>
        <vertAlign val="subscript"/>
        <sz val="10"/>
        <rFont val="Arial"/>
        <family val="2"/>
      </rPr>
      <t>MOT</t>
    </r>
  </si>
  <si>
    <t>Reverse Voltage Rating</t>
  </si>
  <si>
    <t xml:space="preserve">RMS Forward Current </t>
  </si>
  <si>
    <r>
      <t>OUTPUT RECTIFIER (D</t>
    </r>
    <r>
      <rPr>
        <b/>
        <vertAlign val="subscript"/>
        <sz val="10"/>
        <color indexed="9"/>
        <rFont val="Arial"/>
        <family val="2"/>
      </rPr>
      <t>OUT</t>
    </r>
    <r>
      <rPr>
        <b/>
        <sz val="10"/>
        <color indexed="9"/>
        <rFont val="Arial"/>
        <family val="2"/>
      </rPr>
      <t>)</t>
    </r>
  </si>
  <si>
    <r>
      <t>OUTPUT CAPACITOR (C</t>
    </r>
    <r>
      <rPr>
        <b/>
        <vertAlign val="subscript"/>
        <sz val="10"/>
        <color indexed="9"/>
        <rFont val="Arial"/>
        <family val="2"/>
      </rPr>
      <t>OUT</t>
    </r>
    <r>
      <rPr>
        <b/>
        <sz val="10"/>
        <color indexed="9"/>
        <rFont val="Arial"/>
        <family val="2"/>
      </rPr>
      <t>)</t>
    </r>
  </si>
  <si>
    <t>Output Ripple Voltage</t>
  </si>
  <si>
    <r>
      <t>V</t>
    </r>
    <r>
      <rPr>
        <vertAlign val="subscript"/>
        <sz val="10"/>
        <rFont val="Arial"/>
        <family val="2"/>
      </rPr>
      <t>PEAK-PEAK</t>
    </r>
  </si>
  <si>
    <t>Minimum Output Capacitance</t>
  </si>
  <si>
    <t>Minimum Voltage Rating</t>
  </si>
  <si>
    <t>100kHz Minimum Ripple Current Raitng</t>
  </si>
  <si>
    <t>OUTPUT CAPACITOR</t>
  </si>
  <si>
    <t>AC</t>
  </si>
  <si>
    <t>DC</t>
  </si>
  <si>
    <t>- The User Selected Component Parameters will calculate target values for key components.</t>
  </si>
  <si>
    <t>Fault Response</t>
  </si>
  <si>
    <t>LATCH-OFF</t>
  </si>
  <si>
    <t>SHUTDOWN/RETRY</t>
  </si>
  <si>
    <t>Peak Current</t>
  </si>
  <si>
    <t>VOLTAGE FEEDBACK</t>
  </si>
  <si>
    <t>SNUBBER/CLAMP</t>
  </si>
  <si>
    <t>Maximum Output Capacitor ESR</t>
  </si>
  <si>
    <r>
      <t>m</t>
    </r>
    <r>
      <rPr>
        <sz val="10"/>
        <rFont val="Symbol"/>
        <family val="1"/>
        <charset val="2"/>
      </rPr>
      <t>W</t>
    </r>
  </si>
  <si>
    <t>Minimum Output Ripple Current Rating</t>
  </si>
  <si>
    <t>Output Voltage Ripple</t>
  </si>
  <si>
    <t>ESR</t>
  </si>
  <si>
    <t>mV</t>
  </si>
  <si>
    <t>Zener Diode Voltage Rating</t>
  </si>
  <si>
    <t>Series Resistor</t>
  </si>
  <si>
    <t>Nominal Output Voltage</t>
  </si>
  <si>
    <t>Snubber Capacitor</t>
  </si>
  <si>
    <r>
      <t>C</t>
    </r>
    <r>
      <rPr>
        <vertAlign val="subscript"/>
        <sz val="10"/>
        <rFont val="Arial"/>
        <family val="2"/>
      </rPr>
      <t>SNUB</t>
    </r>
  </si>
  <si>
    <t>Clamp Voltage</t>
  </si>
  <si>
    <r>
      <t>R</t>
    </r>
    <r>
      <rPr>
        <vertAlign val="subscript"/>
        <sz val="10"/>
        <rFont val="Arial"/>
        <family val="2"/>
      </rPr>
      <t>SNUB1</t>
    </r>
  </si>
  <si>
    <r>
      <t>Parallel Snubber Resistor, R</t>
    </r>
    <r>
      <rPr>
        <vertAlign val="subscript"/>
        <sz val="10"/>
        <rFont val="Arial"/>
        <family val="2"/>
      </rPr>
      <t>SNUB1</t>
    </r>
  </si>
  <si>
    <r>
      <t>Power Dissipated in R</t>
    </r>
    <r>
      <rPr>
        <vertAlign val="subscript"/>
        <sz val="10"/>
        <rFont val="Arial"/>
        <family val="2"/>
      </rPr>
      <t>SNUB1</t>
    </r>
  </si>
  <si>
    <r>
      <t>Series Snubber Resistor, R</t>
    </r>
    <r>
      <rPr>
        <vertAlign val="subscript"/>
        <sz val="10"/>
        <rFont val="Arial"/>
        <family val="2"/>
      </rPr>
      <t>SNUB2</t>
    </r>
  </si>
  <si>
    <r>
      <t>R</t>
    </r>
    <r>
      <rPr>
        <vertAlign val="subscript"/>
        <sz val="10"/>
        <rFont val="Arial"/>
        <family val="2"/>
      </rPr>
      <t>SNUB2</t>
    </r>
  </si>
  <si>
    <r>
      <t>Power Dissipated in R</t>
    </r>
    <r>
      <rPr>
        <vertAlign val="subscript"/>
        <sz val="10"/>
        <rFont val="Arial"/>
        <family val="2"/>
      </rPr>
      <t>SNUB2</t>
    </r>
  </si>
  <si>
    <t>- Fill in the Input Specifications and Output Specifications</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</si>
  <si>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</si>
  <si>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r>
      <t xml:space="preserve">Be sure the </t>
    </r>
    <r>
      <rPr>
        <b/>
        <sz val="10"/>
        <rFont val="Arial"/>
        <family val="2"/>
      </rPr>
      <t>Analysis ToolPak</t>
    </r>
    <r>
      <rPr>
        <sz val="10"/>
        <rFont val="Arial"/>
        <family val="2"/>
        <charset val="162"/>
      </rPr>
      <t xml:space="preserve"> box, located in the </t>
    </r>
    <r>
      <rPr>
        <b/>
        <sz val="10"/>
        <rFont val="Arial"/>
        <family val="2"/>
      </rPr>
      <t>ADD-Ins</t>
    </r>
    <r>
      <rPr>
        <sz val="10"/>
        <rFont val="Arial"/>
        <family val="2"/>
        <charset val="162"/>
      </rPr>
      <t xml:space="preserve"> section of the </t>
    </r>
    <r>
      <rPr>
        <b/>
        <sz val="10"/>
        <rFont val="Arial"/>
        <family val="2"/>
      </rPr>
      <t>Tools</t>
    </r>
    <r>
      <rPr>
        <sz val="10"/>
        <rFont val="Arial"/>
        <family val="2"/>
        <charset val="162"/>
      </rPr>
      <t xml:space="preserve"> menu, is checked.</t>
    </r>
  </si>
  <si>
    <t>The UCC28610 flyback controller is for use in off-line AC/DC power supply applications of not less than 12W and not greater than 65W output power.  The power limitation of the converter is determined by the peak DRV current, which must be between 1A and 4A.</t>
  </si>
  <si>
    <t>- Select Desired Fault Response (either Latchoff or Shutdown/Retry)</t>
  </si>
  <si>
    <t>- The User must input the Actual component values used to complete the calculations</t>
  </si>
  <si>
    <r>
      <t xml:space="preserve">The first worksheet, </t>
    </r>
    <r>
      <rPr>
        <b/>
        <i/>
        <sz val="10"/>
        <rFont val="Arial"/>
        <family val="2"/>
      </rPr>
      <t>Design Inputs</t>
    </r>
    <r>
      <rPr>
        <sz val="10"/>
        <rFont val="Arial"/>
        <family val="2"/>
        <charset val="162"/>
      </rPr>
      <t>, is where the User enters in the design requirements in the appropriate cells.</t>
    </r>
  </si>
  <si>
    <r>
      <t xml:space="preserve">The second work sheet, </t>
    </r>
    <r>
      <rPr>
        <b/>
        <i/>
        <sz val="10"/>
        <rFont val="Arial"/>
        <family val="2"/>
      </rPr>
      <t>Calculations</t>
    </r>
    <r>
      <rPr>
        <sz val="10"/>
        <rFont val="Arial"/>
        <family val="2"/>
        <charset val="162"/>
      </rPr>
      <t>, provides key calculated parameters in the design.</t>
    </r>
  </si>
  <si>
    <t>Approximate Output Load for Transition from Green Mode to Amplitude Modulation Mode:</t>
  </si>
  <si>
    <t>Approximate Output Load for Transition from Amplitude Modulation Mode to Frequency Modulation Mode:</t>
  </si>
  <si>
    <t>MODULATION THRESHOLDS</t>
  </si>
  <si>
    <r>
      <t xml:space="preserve">The third worksheet, </t>
    </r>
    <r>
      <rPr>
        <b/>
        <i/>
        <sz val="10"/>
        <rFont val="Arial"/>
        <family val="2"/>
      </rPr>
      <t>Schematic</t>
    </r>
    <r>
      <rPr>
        <sz val="10"/>
        <rFont val="Arial"/>
        <family val="2"/>
        <charset val="162"/>
      </rPr>
      <t>, provides the schematic and recommended bill of materials for the design.</t>
    </r>
  </si>
  <si>
    <t>PART</t>
  </si>
  <si>
    <t>DESCRIPTION</t>
  </si>
  <si>
    <t>Cfb</t>
  </si>
  <si>
    <t>Capacitor, Ceramic, 50V, NP0, ±5%</t>
  </si>
  <si>
    <t>Cvdd</t>
  </si>
  <si>
    <t xml:space="preserve">Capacitor, Aluminum Electrolytic, 35V, ±20% </t>
  </si>
  <si>
    <t>0.1uF</t>
  </si>
  <si>
    <t>Capacitor, Ceramic, 50V, X7R, ±10%</t>
  </si>
  <si>
    <t>Cin</t>
  </si>
  <si>
    <t>Cvgg</t>
  </si>
  <si>
    <t>Csnub</t>
  </si>
  <si>
    <t>Capacitor, Ceramic, 630V, C0G, NP0, ±5%</t>
  </si>
  <si>
    <t>Cout</t>
  </si>
  <si>
    <t>Dbias</t>
  </si>
  <si>
    <t>Ddrv</t>
  </si>
  <si>
    <t>Dsnub</t>
  </si>
  <si>
    <t>Dout</t>
  </si>
  <si>
    <t>Dzener</t>
  </si>
  <si>
    <t>Dgate</t>
  </si>
  <si>
    <t>BEAD</t>
  </si>
  <si>
    <t>100k</t>
  </si>
  <si>
    <t>Resistor, Chip, 1/10W, ±1%</t>
  </si>
  <si>
    <t>Rfb</t>
  </si>
  <si>
    <t>Rzcd2</t>
  </si>
  <si>
    <t>Rcl</t>
  </si>
  <si>
    <t>Rzcd1</t>
  </si>
  <si>
    <t>Rmot</t>
  </si>
  <si>
    <t>Rstart</t>
  </si>
  <si>
    <t>Rturnon</t>
  </si>
  <si>
    <t>Resistor, Chip, 1/8W, ±1%</t>
  </si>
  <si>
    <t>Rsnub1</t>
  </si>
  <si>
    <t>Rsnub2</t>
  </si>
  <si>
    <t>Rbode</t>
  </si>
  <si>
    <t>1.00k</t>
  </si>
  <si>
    <t>Rloop</t>
  </si>
  <si>
    <t>Rturnoff</t>
  </si>
  <si>
    <t>Tflyback</t>
  </si>
  <si>
    <t>OPTO</t>
  </si>
  <si>
    <t>VALUE</t>
  </si>
  <si>
    <t>Capacitor, Aluminum Electrolytic, ±20%</t>
  </si>
  <si>
    <t>Flyback Transformer, 2% Leakage max.</t>
  </si>
  <si>
    <t>Diode, Schottky</t>
  </si>
  <si>
    <t>MOSFET, N-Channel</t>
  </si>
  <si>
    <t>Rfb_sense</t>
  </si>
  <si>
    <t>Ropto</t>
  </si>
  <si>
    <t>Cvdd_decoupling</t>
  </si>
  <si>
    <t>Dvdd</t>
  </si>
  <si>
    <t>Peak Current Rating &gt; 4A</t>
  </si>
  <si>
    <t>Steady State Current = 10mA</t>
  </si>
  <si>
    <t>Peak Surge Current Rating &gt; 10A</t>
  </si>
  <si>
    <t xml:space="preserve">Diode, Zener, 500mW </t>
  </si>
  <si>
    <t>Diode, Zener, 500mW</t>
  </si>
  <si>
    <t>Resistor, Chip, ±1%</t>
  </si>
  <si>
    <t>Rbias</t>
  </si>
  <si>
    <t>Smoothing resistor, if needed</t>
  </si>
  <si>
    <r>
      <t>20.5</t>
    </r>
    <r>
      <rPr>
        <sz val="10"/>
        <rFont val="Arial"/>
        <family val="2"/>
      </rPr>
      <t xml:space="preserve"> to 51.1</t>
    </r>
  </si>
  <si>
    <t>3.3 to 100</t>
  </si>
  <si>
    <r>
      <t>&lt; 5</t>
    </r>
    <r>
      <rPr>
        <sz val="10"/>
        <rFont val="Symbol"/>
        <family val="1"/>
        <charset val="2"/>
      </rPr>
      <t>W</t>
    </r>
  </si>
  <si>
    <r>
      <t>&lt; 200</t>
    </r>
    <r>
      <rPr>
        <sz val="10"/>
        <rFont val="Symbol"/>
        <family val="1"/>
        <charset val="2"/>
      </rPr>
      <t>W</t>
    </r>
  </si>
  <si>
    <r>
      <t>R</t>
    </r>
    <r>
      <rPr>
        <vertAlign val="subscript"/>
        <sz val="10"/>
        <rFont val="Arial"/>
        <family val="2"/>
      </rPr>
      <t>CL</t>
    </r>
  </si>
  <si>
    <t>intermediate calculations</t>
  </si>
  <si>
    <t>s</t>
  </si>
  <si>
    <t>H</t>
  </si>
  <si>
    <r>
      <t xml:space="preserve"> NOTE:  24.9k </t>
    </r>
    <r>
      <rPr>
        <sz val="10"/>
        <rFont val="Symbol"/>
        <family val="1"/>
        <charset val="2"/>
      </rPr>
      <t xml:space="preserve">£ </t>
    </r>
    <r>
      <rPr>
        <sz val="10"/>
        <rFont val="Arial"/>
        <family val="2"/>
      </rPr>
      <t xml:space="preserve">Rcl </t>
    </r>
    <r>
      <rPr>
        <sz val="10"/>
        <rFont val="Symbol"/>
        <family val="1"/>
        <charset val="2"/>
      </rPr>
      <t xml:space="preserve">£ </t>
    </r>
    <r>
      <rPr>
        <sz val="10"/>
        <rFont val="Arial"/>
        <family val="2"/>
      </rPr>
      <t>100k</t>
    </r>
  </si>
  <si>
    <t>Cap value</t>
  </si>
  <si>
    <t>C values up to 10nF</t>
  </si>
  <si>
    <t>C values greater than 10nF</t>
  </si>
  <si>
    <t>uF</t>
  </si>
  <si>
    <t>CTR 40%-80%</t>
  </si>
  <si>
    <t>1A</t>
  </si>
  <si>
    <t>Diode, Fast Recovery</t>
  </si>
  <si>
    <t>Ferrite Bead</t>
  </si>
  <si>
    <r>
      <t>4A, 60</t>
    </r>
    <r>
      <rPr>
        <sz val="10"/>
        <rFont val="Symbol"/>
        <family val="1"/>
        <charset val="2"/>
      </rPr>
      <t>W</t>
    </r>
    <r>
      <rPr>
        <sz val="10"/>
        <rFont val="Arial"/>
        <family val="2"/>
        <charset val="162"/>
      </rPr>
      <t xml:space="preserve"> to 80</t>
    </r>
    <r>
      <rPr>
        <sz val="10"/>
        <rFont val="Symbol"/>
        <family val="1"/>
        <charset val="2"/>
      </rPr>
      <t>W</t>
    </r>
    <r>
      <rPr>
        <sz val="10"/>
        <rFont val="Arial"/>
        <family val="2"/>
        <charset val="162"/>
      </rPr>
      <t xml:space="preserve"> at 100MHz</t>
    </r>
  </si>
  <si>
    <t>Diode, Ultra Fast</t>
  </si>
  <si>
    <t xml:space="preserve">Resistor, Chip, 1/10W, ±1% </t>
  </si>
  <si>
    <t>used as a small signal insertion point</t>
  </si>
  <si>
    <t>used to monitor the FB current</t>
  </si>
  <si>
    <t>Diode, MUST be Schottky</t>
  </si>
  <si>
    <t>Vblocking &gt; 40V</t>
  </si>
  <si>
    <t>Vblocking &gt; 30V</t>
  </si>
  <si>
    <t>Optocoupler</t>
  </si>
  <si>
    <t>Minimum Peak Drain Current Rating</t>
  </si>
  <si>
    <r>
      <t>Minimum Bulk VDD Capacitor (C</t>
    </r>
    <r>
      <rPr>
        <vertAlign val="subscript"/>
        <sz val="10"/>
        <rFont val="Arial"/>
        <family val="2"/>
      </rPr>
      <t>VDD</t>
    </r>
    <r>
      <rPr>
        <sz val="10"/>
        <rFont val="Arial"/>
        <family val="2"/>
        <charset val="162"/>
      </rPr>
      <t>)</t>
    </r>
  </si>
  <si>
    <t>tON_initial</t>
  </si>
  <si>
    <t>LP_initial</t>
  </si>
  <si>
    <t>IDRV_initial</t>
  </si>
  <si>
    <t>LP_initial2A</t>
  </si>
  <si>
    <t>LP_initial2</t>
  </si>
  <si>
    <t>tON_initial2</t>
  </si>
  <si>
    <t>LP1</t>
  </si>
  <si>
    <t>LPtarget</t>
  </si>
  <si>
    <t>tONmax</t>
  </si>
  <si>
    <t>t1</t>
  </si>
  <si>
    <t>t3</t>
  </si>
  <si>
    <t>t2</t>
  </si>
  <si>
    <r>
      <t>t</t>
    </r>
    <r>
      <rPr>
        <vertAlign val="subscript"/>
        <sz val="10"/>
        <rFont val="Arial"/>
        <family val="2"/>
      </rPr>
      <t>discharge</t>
    </r>
  </si>
  <si>
    <t>Cin_1</t>
  </si>
  <si>
    <t>t1_1</t>
  </si>
  <si>
    <r>
      <t>V</t>
    </r>
    <r>
      <rPr>
        <vertAlign val="subscript"/>
        <sz val="10"/>
        <rFont val="Arial"/>
        <family val="2"/>
      </rPr>
      <t>BULKmin_1</t>
    </r>
  </si>
  <si>
    <t>t3_1</t>
  </si>
  <si>
    <t>First iteration</t>
  </si>
  <si>
    <t>t2_1</t>
  </si>
  <si>
    <r>
      <t>t</t>
    </r>
    <r>
      <rPr>
        <vertAlign val="subscript"/>
        <sz val="10"/>
        <rFont val="Arial"/>
        <family val="2"/>
      </rPr>
      <t>discharge_1</t>
    </r>
  </si>
  <si>
    <t>Second iteration</t>
  </si>
  <si>
    <t>Third iteration</t>
  </si>
  <si>
    <r>
      <t>V</t>
    </r>
    <r>
      <rPr>
        <vertAlign val="subscript"/>
        <sz val="10"/>
        <rFont val="Arial"/>
        <family val="2"/>
      </rPr>
      <t>BULKmin_2</t>
    </r>
  </si>
  <si>
    <t>t1_2</t>
  </si>
  <si>
    <t>t3_2</t>
  </si>
  <si>
    <t>t2_2</t>
  </si>
  <si>
    <r>
      <t>t</t>
    </r>
    <r>
      <rPr>
        <vertAlign val="subscript"/>
        <sz val="10"/>
        <rFont val="Arial"/>
        <family val="2"/>
      </rPr>
      <t>discharge_2</t>
    </r>
  </si>
  <si>
    <t>Cin_0</t>
  </si>
  <si>
    <t>Cin_2</t>
  </si>
  <si>
    <r>
      <t>V</t>
    </r>
    <r>
      <rPr>
        <vertAlign val="subscript"/>
        <sz val="10"/>
        <rFont val="Arial"/>
        <family val="2"/>
      </rPr>
      <t>BULKmin_3</t>
    </r>
  </si>
  <si>
    <t>t1_3</t>
  </si>
  <si>
    <t>t3_3</t>
  </si>
  <si>
    <t>t2_3</t>
  </si>
  <si>
    <r>
      <t>t</t>
    </r>
    <r>
      <rPr>
        <vertAlign val="subscript"/>
        <sz val="10"/>
        <rFont val="Arial"/>
        <family val="2"/>
      </rPr>
      <t>discharge_3</t>
    </r>
  </si>
  <si>
    <t>Cin_3</t>
  </si>
  <si>
    <r>
      <t>V</t>
    </r>
    <r>
      <rPr>
        <vertAlign val="subscript"/>
        <sz val="10"/>
        <rFont val="Arial"/>
        <family val="2"/>
      </rPr>
      <t>BULKmin</t>
    </r>
  </si>
  <si>
    <t xml:space="preserve">Brownout Input Voltage </t>
  </si>
  <si>
    <t>With ACTUAL VALUE:</t>
  </si>
  <si>
    <t>worstcase on-time assuming 10% higher Lp</t>
  </si>
  <si>
    <t xml:space="preserve">Minimum Power Limit Threshold </t>
  </si>
  <si>
    <t>Nominal Power Limit Threshold</t>
  </si>
  <si>
    <t>Maximum Power Limit Threshold</t>
  </si>
  <si>
    <t>Cin_AC</t>
  </si>
  <si>
    <t>VAC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</si>
</sst>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164" formatCode="0.000"/>
    <numFmt numFmtId="165" formatCode="&quot;&lt;&quot;\ General"/>
    <numFmt numFmtId="166" formatCode="0.0"/>
    <numFmt numFmtId="167" formatCode="0.00\A"/>
    <numFmt numFmtId="168" formatCode="0\V"/>
    <numFmt numFmtId="169" formatCode="0\u\F"/>
    <numFmt numFmtId="170" formatCode="0.00\A&quot; Ripple Current&quot;"/>
    <numFmt numFmtId="171" formatCode="0&quot;uH&quot;"/>
    <numFmt numFmtId="172" formatCode="&quot;Diode Bridge,&quot;\ 0\V"/>
    <numFmt numFmtId="173" formatCode="&quot;VDS Rating = &quot;0\V"/>
    <numFmt numFmtId="174" formatCode="&quot;Ripple Current Rating &gt; &quot;0.00\A"/>
    <numFmt numFmtId="175" formatCode="&quot;RMS Current Rating &gt; &quot;0.00\A"/>
    <numFmt numFmtId="176" formatCode="&quot;Peak Current Rating &gt; &quot;0.00\A"/>
    <numFmt numFmtId="177" formatCode="&quot;Capacitor, Aluminum Electrolytic, ±20%, &quot;0\V"/>
    <numFmt numFmtId="178" formatCode="0.0\k"/>
    <numFmt numFmtId="179" formatCode="&quot;Total Voltage Rating &gt; &quot;0.00\V"/>
    <numFmt numFmtId="180" formatCode="0.00&quot;M&quot;"/>
    <numFmt numFmtId="181" formatCode="General\p\F"/>
    <numFmt numFmtId="182" formatCode="General\u\F"/>
    <numFmt numFmtId="183" formatCode="General\V"/>
    <numFmt numFmtId="184" formatCode="&quot;&gt;&quot;0\u\F"/>
    <numFmt numFmtId="185" formatCode="General\k"/>
    <numFmt numFmtId="186" formatCode="&quot;Power Dissipation = &quot;0.00\W"/>
    <numFmt numFmtId="187" formatCode="&quot;Vblocking &gt; &quot;General\V"/>
    <numFmt numFmtId="188" formatCode="&quot;Vblocking &gt; &quot;0.00\V"/>
    <numFmt numFmtId="189" formatCode="&quot;Primary to Secondary Turns Ratio = &quot;0.000"/>
    <numFmt numFmtId="190" formatCode="&quot;Primary to Bias Turns Ratio = &quot;0.000"/>
    <numFmt numFmtId="191" formatCode="&quot;Peak Primary Side Current = &quot;0.000\A"/>
    <numFmt numFmtId="192" formatCode="&quot;Primary Side RMS Current = &quot;0.000\A"/>
    <numFmt numFmtId="193" formatCode="&quot;Peak Secondary Side Current = &quot;0.000\A"/>
    <numFmt numFmtId="194" formatCode="&quot;Secondary Side RMS Current = &quot;0.000\A"/>
  </numFmts>
  <fonts count="38" x14ac:knownFonts="1">
    <font>
      <sz val="10"/>
      <name val="Arial"/>
    </font>
    <font>
      <sz val="10"/>
      <name val="Arial"/>
      <family val="2"/>
      <charset val="162"/>
    </font>
    <font>
      <sz val="8"/>
      <name val="Arial"/>
      <family val="2"/>
      <charset val="162"/>
    </font>
    <font>
      <b/>
      <sz val="10"/>
      <name val="Arial"/>
      <family val="2"/>
    </font>
    <font>
      <b/>
      <sz val="12"/>
      <name val="Arial"/>
      <family val="2"/>
    </font>
    <font>
      <b/>
      <sz val="18"/>
      <name val="Arial"/>
      <family val="2"/>
    </font>
    <font>
      <b/>
      <i/>
      <sz val="12"/>
      <color indexed="9"/>
      <name val="Arial"/>
      <family val="2"/>
    </font>
    <font>
      <b/>
      <sz val="10"/>
      <color indexed="9"/>
      <name val="Arial"/>
      <family val="2"/>
    </font>
    <font>
      <b/>
      <sz val="10"/>
      <color indexed="17"/>
      <name val="Arial"/>
      <family val="2"/>
    </font>
    <font>
      <vertAlign val="subscript"/>
      <sz val="10"/>
      <name val="Arial"/>
      <family val="2"/>
    </font>
    <font>
      <b/>
      <sz val="12"/>
      <color indexed="9"/>
      <name val="Arial"/>
      <family val="2"/>
    </font>
    <font>
      <sz val="10"/>
      <name val="Symbol"/>
      <family val="1"/>
      <charset val="2"/>
    </font>
    <font>
      <b/>
      <sz val="14"/>
      <color indexed="10"/>
      <name val="Arial"/>
      <family val="2"/>
    </font>
    <font>
      <b/>
      <sz val="7"/>
      <color indexed="10"/>
      <name val="Arial"/>
      <family val="2"/>
    </font>
    <font>
      <sz val="7"/>
      <name val="Arial"/>
      <family val="2"/>
    </font>
    <font>
      <sz val="10"/>
      <name val="Arial"/>
      <family val="2"/>
    </font>
    <font>
      <b/>
      <sz val="8"/>
      <color indexed="10"/>
      <name val="Arial"/>
      <family val="2"/>
    </font>
    <font>
      <b/>
      <vertAlign val="subscript"/>
      <sz val="10"/>
      <color indexed="9"/>
      <name val="Arial"/>
      <family val="2"/>
    </font>
    <font>
      <sz val="14"/>
      <name val="Arial"/>
      <family val="2"/>
      <charset val="162"/>
    </font>
    <font>
      <b/>
      <sz val="14"/>
      <color indexed="10"/>
      <name val="Arial"/>
      <family val="2"/>
      <charset val="162"/>
    </font>
    <font>
      <sz val="10"/>
      <color indexed="10"/>
      <name val="Arial"/>
      <family val="2"/>
      <charset val="162"/>
    </font>
    <font>
      <b/>
      <sz val="10"/>
      <color indexed="8"/>
      <name val="Arial"/>
      <family val="2"/>
    </font>
    <font>
      <sz val="10"/>
      <color indexed="9"/>
      <name val="Arial"/>
      <family val="2"/>
      <charset val="162"/>
    </font>
    <font>
      <b/>
      <sz val="8"/>
      <name val="Arial"/>
      <family val="2"/>
    </font>
    <font>
      <sz val="8"/>
      <name val="Verdana"/>
      <family val="2"/>
    </font>
    <font>
      <b/>
      <sz val="10"/>
      <color indexed="10"/>
      <name val="Arial"/>
      <family val="2"/>
      <charset val="162"/>
    </font>
    <font>
      <sz val="10"/>
      <color indexed="22"/>
      <name val="Arial"/>
      <family val="2"/>
      <charset val="162"/>
    </font>
    <font>
      <b/>
      <i/>
      <sz val="10"/>
      <name val="Arial"/>
      <family val="2"/>
    </font>
    <font>
      <b/>
      <sz val="16"/>
      <color indexed="9"/>
      <name val="Arial"/>
      <family val="2"/>
    </font>
    <font>
      <b/>
      <sz val="24"/>
      <color indexed="9"/>
      <name val="Arial"/>
      <family val="2"/>
    </font>
    <font>
      <sz val="10"/>
      <color rgb="FFFF0000"/>
      <name val="Arial"/>
      <family val="2"/>
    </font>
    <font>
      <b/>
      <sz val="12"/>
      <color rgb="FFFF0000"/>
      <name val="Arial"/>
      <family val="2"/>
    </font>
    <font>
      <b/>
      <sz val="7"/>
      <color rgb="FFFF0000"/>
      <name val="Arial"/>
      <family val="2"/>
    </font>
    <font>
      <b/>
      <sz val="8"/>
      <color rgb="FFFF0000"/>
      <name val="Arial"/>
      <family val="2"/>
    </font>
    <font>
      <sz val="10"/>
      <color theme="0"/>
      <name val="Arial"/>
      <family val="2"/>
    </font>
    <font>
      <b/>
      <sz val="24"/>
      <color rgb="FFFF0000"/>
      <name val="Arial"/>
      <family val="2"/>
    </font>
    <font>
      <b/>
      <sz val="10"/>
      <color theme="0"/>
      <name val="Arial"/>
      <family val="2"/>
    </font>
    <font>
      <b/>
      <sz val="7"/>
      <color theme="0"/>
      <name val="Arial"/>
      <family val="2"/>
    </font>
  </fonts>
  <fills count="9">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indexed="31"/>
        <bgColor indexed="64"/>
      </patternFill>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theme="0"/>
        <bgColor indexed="64"/>
      </patternFill>
    </fill>
  </fills>
  <borders count="48">
    <border>
      <left/>
      <right/>
      <top/>
      <bottom/>
      <diagonal/>
    </border>
    <border>
      <left/>
      <right/>
      <top style="medium">
        <color indexed="64"/>
      </top>
      <bottom/>
      <diagonal/>
    </border>
    <border>
      <left style="medium">
        <color indexed="9"/>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right style="medium">
        <color indexed="9"/>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medium">
        <color indexed="9"/>
      </left>
      <right/>
      <top/>
      <bottom/>
      <diagonal/>
    </border>
    <border>
      <left style="medium">
        <color indexed="9"/>
      </left>
      <right/>
      <top style="medium">
        <color indexed="9"/>
      </top>
      <bottom/>
      <diagonal/>
    </border>
    <border>
      <left/>
      <right style="medium">
        <color indexed="9"/>
      </right>
      <top style="medium">
        <color indexed="9"/>
      </top>
      <bottom/>
      <diagonal/>
    </border>
  </borders>
  <cellStyleXfs count="1">
    <xf numFmtId="0" fontId="0" fillId="0" borderId="0">
      <alignment vertical="center"/>
    </xf>
  </cellStyleXfs>
  <cellXfs count="260">
    <xf numFmtId="0" fontId="0" fillId="0" borderId="0" xfId="0">
      <alignment vertical="center"/>
    </xf>
    <xf numFmtId="0" fontId="0" fillId="2" borderId="0" xfId="0" applyFill="1">
      <alignment vertical="center"/>
    </xf>
    <xf numFmtId="0" fontId="0" fillId="2" borderId="0" xfId="0" applyFill="1" applyAlignment="1">
      <alignment vertical="center"/>
    </xf>
    <xf numFmtId="0" fontId="0" fillId="2" borderId="0" xfId="0" quotePrefix="1" applyFill="1" applyAlignment="1">
      <alignment vertical="center" wrapText="1"/>
    </xf>
    <xf numFmtId="0" fontId="18" fillId="2" borderId="0" xfId="0" applyFont="1" applyFill="1" applyProtection="1">
      <alignment vertical="center"/>
      <protection hidden="1"/>
    </xf>
    <xf numFmtId="0" fontId="1" fillId="2" borderId="0" xfId="0" applyFont="1" applyFill="1" applyProtection="1">
      <alignment vertical="center"/>
      <protection hidden="1"/>
    </xf>
    <xf numFmtId="0" fontId="19" fillId="2" borderId="0" xfId="0" applyFont="1" applyFill="1" applyBorder="1" applyProtection="1">
      <alignment vertical="center"/>
      <protection hidden="1"/>
    </xf>
    <xf numFmtId="0" fontId="1" fillId="2" borderId="0" xfId="0" applyFont="1" applyFill="1" applyBorder="1" applyProtection="1">
      <alignment vertical="center"/>
      <protection hidden="1"/>
    </xf>
    <xf numFmtId="49" fontId="1" fillId="2" borderId="0" xfId="0" applyNumberFormat="1" applyFont="1" applyFill="1" applyBorder="1" applyProtection="1">
      <alignment vertical="center"/>
      <protection hidden="1"/>
    </xf>
    <xf numFmtId="0" fontId="20" fillId="2" borderId="1" xfId="0" applyFont="1" applyFill="1" applyBorder="1" applyProtection="1">
      <alignment vertical="center"/>
      <protection hidden="1"/>
    </xf>
    <xf numFmtId="0" fontId="0" fillId="2" borderId="0" xfId="0" applyFill="1" applyProtection="1">
      <alignment vertical="center"/>
      <protection hidden="1"/>
    </xf>
    <xf numFmtId="0" fontId="20" fillId="2" borderId="0" xfId="0" applyFont="1" applyFill="1" applyProtection="1">
      <alignment vertical="center"/>
      <protection hidden="1"/>
    </xf>
    <xf numFmtId="0" fontId="21" fillId="3" borderId="2" xfId="0" applyFont="1" applyFill="1" applyBorder="1" applyAlignment="1">
      <alignment horizontal="center" wrapText="1"/>
    </xf>
    <xf numFmtId="0" fontId="21" fillId="3" borderId="3" xfId="0" applyFont="1" applyFill="1" applyBorder="1" applyAlignment="1">
      <alignment horizontal="center" wrapText="1"/>
    </xf>
    <xf numFmtId="0" fontId="21" fillId="4" borderId="2" xfId="0" applyFont="1" applyFill="1" applyBorder="1" applyAlignment="1">
      <alignment horizontal="center" wrapText="1"/>
    </xf>
    <xf numFmtId="0" fontId="21" fillId="4" borderId="4" xfId="0" applyFont="1" applyFill="1" applyBorder="1" applyAlignment="1">
      <alignment horizontal="center" wrapText="1"/>
    </xf>
    <xf numFmtId="1" fontId="22" fillId="2" borderId="0" xfId="0" applyNumberFormat="1" applyFont="1" applyFill="1" applyBorder="1" applyProtection="1">
      <alignment vertical="center"/>
      <protection hidden="1"/>
    </xf>
    <xf numFmtId="164" fontId="7" fillId="2" borderId="0" xfId="0" applyNumberFormat="1" applyFont="1" applyFill="1" applyBorder="1" applyAlignment="1" applyProtection="1">
      <alignment horizontal="center"/>
      <protection hidden="1"/>
    </xf>
    <xf numFmtId="2" fontId="22" fillId="2" borderId="0" xfId="0" applyNumberFormat="1" applyFont="1" applyFill="1" applyBorder="1" applyAlignment="1" applyProtection="1">
      <alignment horizontal="center"/>
      <protection hidden="1"/>
    </xf>
    <xf numFmtId="0" fontId="23" fillId="2" borderId="0" xfId="0" applyFont="1" applyFill="1" applyBorder="1" applyProtection="1">
      <alignment vertical="center"/>
      <protection hidden="1"/>
    </xf>
    <xf numFmtId="0" fontId="24" fillId="2" borderId="0" xfId="0" applyFont="1" applyFill="1" applyBorder="1" applyAlignment="1" applyProtection="1">
      <alignment horizontal="center" wrapText="1"/>
      <protection hidden="1"/>
    </xf>
    <xf numFmtId="2" fontId="1" fillId="2" borderId="0" xfId="0" applyNumberFormat="1" applyFont="1" applyFill="1" applyBorder="1" applyAlignment="1" applyProtection="1">
      <alignment horizontal="center"/>
      <protection hidden="1"/>
    </xf>
    <xf numFmtId="0" fontId="20" fillId="2" borderId="0" xfId="0" applyFont="1" applyFill="1" applyBorder="1" applyProtection="1">
      <alignment vertical="center"/>
      <protection hidden="1"/>
    </xf>
    <xf numFmtId="1" fontId="15" fillId="2" borderId="0" xfId="0" applyNumberFormat="1" applyFont="1" applyFill="1" applyBorder="1" applyProtection="1">
      <alignment vertical="center"/>
    </xf>
    <xf numFmtId="0" fontId="21" fillId="5" borderId="5" xfId="0" applyFont="1" applyFill="1" applyBorder="1" applyAlignment="1">
      <alignment horizontal="center" wrapText="1"/>
    </xf>
    <xf numFmtId="0" fontId="15" fillId="2" borderId="0" xfId="0" applyFont="1" applyFill="1" applyBorder="1" applyProtection="1">
      <alignment vertical="center"/>
      <protection hidden="1"/>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1" fillId="2" borderId="0" xfId="0" applyFont="1" applyFill="1" applyBorder="1" applyAlignment="1" applyProtection="1">
      <alignment horizontal="center"/>
      <protection hidden="1"/>
    </xf>
    <xf numFmtId="0" fontId="0" fillId="2" borderId="0" xfId="0" applyFill="1" applyBorder="1" applyAlignment="1">
      <alignment wrapText="1"/>
    </xf>
    <xf numFmtId="0" fontId="0" fillId="2" borderId="0" xfId="0" applyFill="1" applyBorder="1" applyAlignment="1">
      <alignment horizontal="center"/>
    </xf>
    <xf numFmtId="0" fontId="8" fillId="2" borderId="0" xfId="0" applyFont="1" applyFill="1" applyBorder="1" applyProtection="1">
      <alignment vertical="center"/>
      <protection hidden="1"/>
    </xf>
    <xf numFmtId="0" fontId="1" fillId="2" borderId="0" xfId="0" applyFont="1" applyFill="1">
      <alignment vertical="center"/>
    </xf>
    <xf numFmtId="49" fontId="25" fillId="6" borderId="2" xfId="0" applyNumberFormat="1" applyFont="1" applyFill="1" applyBorder="1" applyAlignment="1">
      <alignment horizontal="center" wrapText="1"/>
    </xf>
    <xf numFmtId="49" fontId="25" fillId="6" borderId="3" xfId="0" applyNumberFormat="1" applyFont="1" applyFill="1" applyBorder="1" applyAlignment="1">
      <alignment horizontal="center" wrapText="1"/>
    </xf>
    <xf numFmtId="0" fontId="26" fillId="2" borderId="0" xfId="0" applyFont="1" applyFill="1">
      <alignment vertical="center"/>
    </xf>
    <xf numFmtId="49" fontId="0" fillId="2" borderId="0" xfId="0" applyNumberFormat="1" applyFill="1" applyBorder="1" applyProtection="1">
      <alignment vertical="center"/>
    </xf>
    <xf numFmtId="49" fontId="25" fillId="6" borderId="4" xfId="0" applyNumberFormat="1" applyFont="1" applyFill="1" applyBorder="1" applyAlignment="1">
      <alignment horizontal="center" wrapText="1"/>
    </xf>
    <xf numFmtId="49" fontId="22" fillId="2" borderId="0" xfId="0" applyNumberFormat="1" applyFont="1" applyFill="1" applyBorder="1" applyProtection="1">
      <alignment vertical="center"/>
      <protection hidden="1"/>
    </xf>
    <xf numFmtId="0" fontId="22" fillId="2" borderId="0" xfId="0" applyFont="1" applyFill="1" applyProtection="1">
      <alignment vertical="center"/>
      <protection hidden="1"/>
    </xf>
    <xf numFmtId="0" fontId="22" fillId="2" borderId="0" xfId="0" applyFont="1" applyFill="1" applyBorder="1" applyProtection="1">
      <alignment vertical="center"/>
      <protection hidden="1"/>
    </xf>
    <xf numFmtId="0" fontId="25" fillId="2" borderId="0" xfId="0" applyFont="1" applyFill="1" applyBorder="1" applyAlignment="1" applyProtection="1">
      <alignment horizontal="center" wrapText="1"/>
      <protection hidden="1"/>
    </xf>
    <xf numFmtId="0" fontId="22" fillId="2" borderId="0" xfId="0" applyFont="1" applyFill="1">
      <alignment vertical="center"/>
    </xf>
    <xf numFmtId="0" fontId="10" fillId="7" borderId="6" xfId="0" applyFont="1" applyFill="1" applyBorder="1" applyAlignment="1">
      <alignment vertical="center"/>
    </xf>
    <xf numFmtId="0" fontId="10" fillId="7" borderId="7" xfId="0" applyFont="1" applyFill="1" applyBorder="1" applyAlignment="1">
      <alignment vertical="center"/>
    </xf>
    <xf numFmtId="0" fontId="10" fillId="7" borderId="8" xfId="0" applyFont="1" applyFill="1" applyBorder="1" applyAlignment="1">
      <alignment vertical="center"/>
    </xf>
    <xf numFmtId="0" fontId="6" fillId="2" borderId="0" xfId="0" applyFont="1" applyFill="1" applyBorder="1" applyAlignment="1">
      <alignment horizontal="center" vertical="center"/>
    </xf>
    <xf numFmtId="0" fontId="5" fillId="2" borderId="0" xfId="0" applyFont="1" applyFill="1">
      <alignment vertical="center"/>
    </xf>
    <xf numFmtId="0" fontId="6" fillId="2" borderId="0" xfId="0" applyFont="1" applyFill="1" applyAlignment="1">
      <alignment vertical="center"/>
    </xf>
    <xf numFmtId="0" fontId="10" fillId="2" borderId="0" xfId="0" applyFont="1" applyFill="1" applyBorder="1" applyAlignment="1">
      <alignment horizontal="left" vertical="center"/>
    </xf>
    <xf numFmtId="0" fontId="7" fillId="2" borderId="0" xfId="0" applyFont="1" applyFill="1" applyBorder="1" applyAlignment="1">
      <alignment horizontal="left" vertical="center"/>
    </xf>
    <xf numFmtId="0" fontId="0" fillId="2" borderId="9" xfId="0" applyFill="1" applyBorder="1">
      <alignment vertical="center"/>
    </xf>
    <xf numFmtId="0" fontId="3" fillId="2" borderId="9" xfId="0" applyFont="1" applyFill="1" applyBorder="1" applyAlignment="1">
      <alignment horizontal="center" vertical="center"/>
    </xf>
    <xf numFmtId="0" fontId="0" fillId="2" borderId="10" xfId="0" applyFill="1" applyBorder="1">
      <alignment vertical="center"/>
    </xf>
    <xf numFmtId="0" fontId="0" fillId="2" borderId="11" xfId="0" applyFill="1" applyBorder="1">
      <alignment vertical="center"/>
    </xf>
    <xf numFmtId="0" fontId="0" fillId="2" borderId="0" xfId="0" applyFill="1" applyBorder="1">
      <alignment vertical="center"/>
    </xf>
    <xf numFmtId="164" fontId="0" fillId="2" borderId="9" xfId="0" applyNumberFormat="1" applyFill="1" applyBorder="1">
      <alignment vertical="center"/>
    </xf>
    <xf numFmtId="0" fontId="13" fillId="2" borderId="0" xfId="0" applyFont="1" applyFill="1" applyBorder="1" applyAlignment="1">
      <alignment vertical="center" wrapText="1"/>
    </xf>
    <xf numFmtId="0" fontId="14" fillId="2" borderId="0" xfId="0" applyFont="1" applyFill="1" applyBorder="1" applyAlignment="1">
      <alignment vertical="center" wrapText="1"/>
    </xf>
    <xf numFmtId="165" fontId="0" fillId="2" borderId="9" xfId="0" applyNumberFormat="1" applyFill="1" applyBorder="1">
      <alignment vertical="center"/>
    </xf>
    <xf numFmtId="0" fontId="0" fillId="2" borderId="0" xfId="0" applyFill="1" applyBorder="1" applyAlignment="1">
      <alignment horizontal="center" vertical="center"/>
    </xf>
    <xf numFmtId="0" fontId="0" fillId="2" borderId="12" xfId="0" applyFill="1" applyBorder="1">
      <alignment vertical="center"/>
    </xf>
    <xf numFmtId="0" fontId="0" fillId="2" borderId="13" xfId="0" applyFill="1" applyBorder="1">
      <alignment vertical="center"/>
    </xf>
    <xf numFmtId="0" fontId="3" fillId="2" borderId="14" xfId="0" applyFont="1" applyFill="1" applyBorder="1">
      <alignment vertical="center"/>
    </xf>
    <xf numFmtId="0" fontId="16" fillId="2" borderId="15" xfId="0" applyFont="1" applyFill="1" applyBorder="1" applyAlignment="1">
      <alignment horizontal="center" vertical="center" wrapText="1"/>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0" fillId="2" borderId="9" xfId="0" applyNumberFormat="1" applyFill="1" applyBorder="1">
      <alignment vertical="center"/>
    </xf>
    <xf numFmtId="0" fontId="15" fillId="0" borderId="9" xfId="0" applyFont="1" applyFill="1" applyBorder="1" applyProtection="1">
      <alignment vertical="center"/>
      <protection hidden="1"/>
    </xf>
    <xf numFmtId="2" fontId="15" fillId="0" borderId="9" xfId="0" applyNumberFormat="1" applyFont="1" applyFill="1" applyBorder="1" applyProtection="1">
      <alignment vertical="center"/>
      <protection hidden="1"/>
    </xf>
    <xf numFmtId="0" fontId="11" fillId="2" borderId="11" xfId="0" applyFont="1" applyFill="1" applyBorder="1">
      <alignment vertical="center"/>
    </xf>
    <xf numFmtId="0" fontId="13" fillId="2" borderId="11" xfId="0" applyFont="1" applyFill="1" applyBorder="1">
      <alignment vertical="center"/>
    </xf>
    <xf numFmtId="164" fontId="0" fillId="2" borderId="18" xfId="0" applyNumberFormat="1" applyFill="1" applyBorder="1">
      <alignment vertical="center"/>
    </xf>
    <xf numFmtId="0" fontId="11" fillId="2" borderId="15" xfId="0" applyFont="1" applyFill="1" applyBorder="1">
      <alignment vertical="center"/>
    </xf>
    <xf numFmtId="164" fontId="0" fillId="2" borderId="0" xfId="0" applyNumberFormat="1" applyFill="1">
      <alignment vertical="center"/>
    </xf>
    <xf numFmtId="166" fontId="0" fillId="2" borderId="9" xfId="0" applyNumberFormat="1" applyFill="1" applyBorder="1">
      <alignment vertical="center"/>
    </xf>
    <xf numFmtId="1" fontId="0" fillId="2" borderId="9" xfId="0" applyNumberFormat="1" applyFill="1" applyBorder="1">
      <alignment vertical="center"/>
    </xf>
    <xf numFmtId="0" fontId="0" fillId="2" borderId="18" xfId="0" applyNumberFormat="1" applyFill="1" applyBorder="1">
      <alignment vertical="center"/>
    </xf>
    <xf numFmtId="0" fontId="0" fillId="2" borderId="18" xfId="0" applyFill="1" applyBorder="1">
      <alignment vertical="center"/>
    </xf>
    <xf numFmtId="0" fontId="15" fillId="2" borderId="15" xfId="0" applyFont="1" applyFill="1" applyBorder="1">
      <alignment vertical="center"/>
    </xf>
    <xf numFmtId="0" fontId="15" fillId="2" borderId="11" xfId="0" applyFont="1" applyFill="1" applyBorder="1">
      <alignment vertical="center"/>
    </xf>
    <xf numFmtId="17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quotePrefix="1" applyFill="1" applyAlignment="1">
      <alignment vertical="center"/>
    </xf>
    <xf numFmtId="0" fontId="8" fillId="6" borderId="9" xfId="0" applyFont="1" applyFill="1" applyBorder="1" applyAlignment="1" applyProtection="1">
      <alignment horizontal="center" vertical="center"/>
      <protection locked="0"/>
    </xf>
    <xf numFmtId="0" fontId="8" fillId="6" borderId="18" xfId="0" applyFont="1" applyFill="1" applyBorder="1" applyAlignment="1" applyProtection="1">
      <alignment horizontal="center" vertical="center"/>
      <protection locked="0"/>
    </xf>
    <xf numFmtId="164" fontId="8" fillId="6" borderId="9" xfId="0" applyNumberFormat="1" applyFont="1" applyFill="1" applyBorder="1" applyAlignment="1" applyProtection="1">
      <alignment horizontal="center" vertical="center"/>
      <protection locked="0"/>
    </xf>
    <xf numFmtId="0" fontId="8" fillId="6" borderId="19" xfId="0" applyFont="1" applyFill="1" applyBorder="1" applyAlignment="1" applyProtection="1">
      <alignment horizontal="center" vertical="center"/>
      <protection locked="0"/>
    </xf>
    <xf numFmtId="0" fontId="8" fillId="6" borderId="18" xfId="0" applyFont="1" applyFill="1" applyBorder="1" applyProtection="1">
      <alignment vertical="center"/>
      <protection locked="0"/>
    </xf>
    <xf numFmtId="0" fontId="8" fillId="6" borderId="9" xfId="0" applyFont="1" applyFill="1" applyBorder="1" applyProtection="1">
      <alignment vertical="center"/>
      <protection locked="0"/>
    </xf>
    <xf numFmtId="164" fontId="8" fillId="6" borderId="9" xfId="0" applyNumberFormat="1" applyFont="1" applyFill="1" applyBorder="1" applyProtection="1">
      <alignment vertical="center"/>
      <protection locked="0"/>
    </xf>
    <xf numFmtId="49" fontId="0" fillId="2" borderId="0" xfId="0" applyNumberFormat="1" applyFill="1" applyAlignment="1">
      <alignment vertical="center"/>
    </xf>
    <xf numFmtId="0" fontId="0" fillId="2" borderId="9" xfId="0" applyFill="1" applyBorder="1" applyAlignment="1">
      <alignment horizontal="left" vertical="center"/>
    </xf>
    <xf numFmtId="0" fontId="0" fillId="2" borderId="9" xfId="0" applyFill="1" applyBorder="1" applyAlignment="1">
      <alignment horizontal="center" vertical="center"/>
    </xf>
    <xf numFmtId="168" fontId="0" fillId="2" borderId="0" xfId="0" applyNumberFormat="1" applyFill="1" applyAlignment="1">
      <alignment horizontal="left" vertical="center"/>
    </xf>
    <xf numFmtId="181" fontId="0" fillId="2" borderId="9" xfId="0" applyNumberFormat="1" applyFill="1" applyBorder="1" applyAlignment="1">
      <alignment horizontal="center" vertical="center"/>
    </xf>
    <xf numFmtId="169" fontId="0" fillId="2" borderId="9" xfId="0" applyNumberFormat="1" applyFill="1" applyBorder="1" applyAlignment="1">
      <alignment horizontal="center" vertical="center"/>
    </xf>
    <xf numFmtId="0" fontId="7" fillId="7" borderId="9" xfId="0" applyFont="1" applyFill="1" applyBorder="1" applyAlignment="1">
      <alignment horizontal="center" vertical="center"/>
    </xf>
    <xf numFmtId="178" fontId="0" fillId="2" borderId="9" xfId="0" applyNumberFormat="1" applyFill="1" applyBorder="1" applyAlignment="1">
      <alignment horizontal="center" vertical="center"/>
    </xf>
    <xf numFmtId="0" fontId="0" fillId="2" borderId="9" xfId="0" applyNumberFormat="1" applyFill="1" applyBorder="1" applyAlignment="1">
      <alignment horizontal="center"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71" fontId="0" fillId="2" borderId="23" xfId="0" applyNumberFormat="1" applyFill="1" applyBorder="1" applyAlignment="1">
      <alignment horizontal="center" vertical="center"/>
    </xf>
    <xf numFmtId="1" fontId="0" fillId="2" borderId="18" xfId="0" applyNumberFormat="1" applyFill="1" applyBorder="1">
      <alignment vertical="center"/>
    </xf>
    <xf numFmtId="0" fontId="1" fillId="2" borderId="9" xfId="0" applyFont="1" applyFill="1" applyBorder="1" applyProtection="1">
      <alignment vertical="center"/>
      <protection hidden="1"/>
    </xf>
    <xf numFmtId="0" fontId="0" fillId="2" borderId="23" xfId="0" applyFill="1" applyBorder="1" applyAlignment="1">
      <alignment horizontal="center" vertical="center"/>
    </xf>
    <xf numFmtId="0" fontId="0" fillId="2" borderId="24" xfId="0" applyFill="1" applyBorder="1" applyAlignment="1">
      <alignment horizontal="center" vertical="center"/>
    </xf>
    <xf numFmtId="1" fontId="20" fillId="2" borderId="0" xfId="0" applyNumberFormat="1" applyFont="1" applyFill="1" applyBorder="1" applyProtection="1">
      <alignment vertical="center"/>
      <protection hidden="1"/>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25" xfId="0" applyFill="1" applyBorder="1" applyAlignment="1">
      <alignment horizontal="center" vertical="center"/>
    </xf>
    <xf numFmtId="179" fontId="0" fillId="2" borderId="24" xfId="0" applyNumberFormat="1" applyFill="1" applyBorder="1" applyAlignment="1">
      <alignment horizontal="left" vertical="center"/>
    </xf>
    <xf numFmtId="186" fontId="0" fillId="2" borderId="24" xfId="0" applyNumberFormat="1" applyFill="1" applyBorder="1" applyAlignment="1">
      <alignment horizontal="left" vertical="center"/>
    </xf>
    <xf numFmtId="186" fontId="0" fillId="2" borderId="25" xfId="0" applyNumberFormat="1" applyFill="1" applyBorder="1" applyAlignment="1">
      <alignment horizontal="left" vertical="center"/>
    </xf>
    <xf numFmtId="183" fontId="0" fillId="2" borderId="24" xfId="0" applyNumberFormat="1" applyFill="1" applyBorder="1" applyAlignment="1">
      <alignment horizontal="center" vertical="center"/>
    </xf>
    <xf numFmtId="187" fontId="0" fillId="2" borderId="23" xfId="0" applyNumberFormat="1" applyFill="1" applyBorder="1" applyAlignment="1">
      <alignment horizontal="center" vertical="center"/>
    </xf>
    <xf numFmtId="187" fontId="0" fillId="2" borderId="24" xfId="0" applyNumberFormat="1" applyFill="1" applyBorder="1" applyAlignment="1">
      <alignment horizontal="center" vertical="center"/>
    </xf>
    <xf numFmtId="0" fontId="0" fillId="2" borderId="26" xfId="0" applyFill="1" applyBorder="1" applyAlignment="1">
      <alignment horizontal="center" vertical="center"/>
    </xf>
    <xf numFmtId="183" fontId="0" fillId="2" borderId="25" xfId="0" applyNumberFormat="1" applyFill="1" applyBorder="1" applyAlignment="1">
      <alignment horizontal="center" vertical="center"/>
    </xf>
    <xf numFmtId="181" fontId="0" fillId="2" borderId="24" xfId="0" applyNumberFormat="1" applyFill="1" applyBorder="1" applyAlignment="1">
      <alignment horizontal="center" vertical="center"/>
    </xf>
    <xf numFmtId="167" fontId="0" fillId="2" borderId="24" xfId="0" applyNumberFormat="1" applyFill="1" applyBorder="1" applyAlignment="1">
      <alignment horizontal="center" vertical="center"/>
    </xf>
    <xf numFmtId="177" fontId="0" fillId="2" borderId="23" xfId="0" applyNumberFormat="1" applyFill="1" applyBorder="1" applyAlignment="1">
      <alignment horizontal="left" vertical="center"/>
    </xf>
    <xf numFmtId="174" fontId="0" fillId="2" borderId="24" xfId="0" applyNumberFormat="1" applyFill="1" applyBorder="1" applyAlignment="1">
      <alignment horizontal="left" vertical="center"/>
    </xf>
    <xf numFmtId="174" fontId="0" fillId="2" borderId="25" xfId="0" applyNumberFormat="1" applyFill="1" applyBorder="1" applyAlignment="1">
      <alignment horizontal="left" vertical="center"/>
    </xf>
    <xf numFmtId="182" fontId="0" fillId="2" borderId="23" xfId="0" applyNumberFormat="1" applyFill="1" applyBorder="1" applyAlignment="1">
      <alignment horizontal="center" vertical="center"/>
    </xf>
    <xf numFmtId="188" fontId="0" fillId="2" borderId="23" xfId="0" applyNumberFormat="1" applyFill="1" applyBorder="1" applyAlignment="1">
      <alignment horizontal="center" vertical="center"/>
    </xf>
    <xf numFmtId="175" fontId="0" fillId="2" borderId="25" xfId="0" applyNumberFormat="1" applyFill="1" applyBorder="1" applyAlignment="1">
      <alignment horizontal="center" vertical="center"/>
    </xf>
    <xf numFmtId="176" fontId="0" fillId="2" borderId="24" xfId="0" applyNumberFormat="1" applyFill="1" applyBorder="1" applyAlignment="1">
      <alignment horizontal="center" vertical="center"/>
    </xf>
    <xf numFmtId="188" fontId="0" fillId="2" borderId="25" xfId="0" applyNumberFormat="1" applyFill="1" applyBorder="1" applyAlignment="1">
      <alignment horizontal="center" vertical="center"/>
    </xf>
    <xf numFmtId="173" fontId="0" fillId="2" borderId="23" xfId="0" applyNumberFormat="1" applyFill="1" applyBorder="1" applyAlignment="1">
      <alignment horizontal="center" vertical="center"/>
    </xf>
    <xf numFmtId="176" fontId="0" fillId="2" borderId="25" xfId="0" applyNumberFormat="1" applyFill="1" applyBorder="1" applyAlignment="1">
      <alignment horizontal="center" vertical="center"/>
    </xf>
    <xf numFmtId="189" fontId="0" fillId="2" borderId="25" xfId="0" applyNumberFormat="1" applyFill="1" applyBorder="1" applyAlignment="1">
      <alignment horizontal="center" vertical="center"/>
    </xf>
    <xf numFmtId="168" fontId="0" fillId="2" borderId="23" xfId="0" applyNumberFormat="1" applyFill="1" applyBorder="1" applyAlignment="1">
      <alignment horizontal="center" vertical="center"/>
    </xf>
    <xf numFmtId="192" fontId="0" fillId="2" borderId="25" xfId="0" applyNumberFormat="1" applyFill="1" applyBorder="1" applyAlignment="1">
      <alignment horizontal="center" vertical="center"/>
    </xf>
    <xf numFmtId="193" fontId="0" fillId="2" borderId="25" xfId="0" applyNumberFormat="1" applyFill="1" applyBorder="1" applyAlignment="1">
      <alignment horizontal="center" vertical="center"/>
    </xf>
    <xf numFmtId="190" fontId="0" fillId="2" borderId="25" xfId="0" applyNumberFormat="1" applyFill="1" applyBorder="1" applyAlignment="1">
      <alignment horizontal="center" vertical="center"/>
    </xf>
    <xf numFmtId="191" fontId="0" fillId="2" borderId="25" xfId="0" applyNumberFormat="1" applyFill="1" applyBorder="1" applyAlignment="1">
      <alignment horizontal="center" vertical="center"/>
    </xf>
    <xf numFmtId="194" fontId="0" fillId="2" borderId="25" xfId="0" applyNumberFormat="1" applyFill="1" applyBorder="1" applyAlignment="1">
      <alignment horizontal="center" vertical="center"/>
    </xf>
    <xf numFmtId="0" fontId="30" fillId="2" borderId="0" xfId="0" applyFont="1" applyFill="1">
      <alignment vertical="center"/>
    </xf>
    <xf numFmtId="0" fontId="30" fillId="2" borderId="0" xfId="0" applyFont="1" applyFill="1" applyBorder="1">
      <alignment vertical="center"/>
    </xf>
    <xf numFmtId="0" fontId="31" fillId="2" borderId="0" xfId="0" applyFont="1" applyFill="1" applyBorder="1" applyAlignment="1">
      <alignment vertical="center"/>
    </xf>
    <xf numFmtId="0" fontId="15" fillId="2" borderId="14" xfId="0" applyFont="1" applyFill="1" applyBorder="1">
      <alignment vertical="center"/>
    </xf>
    <xf numFmtId="0" fontId="15" fillId="2" borderId="0" xfId="0" applyFont="1" applyFill="1" applyProtection="1">
      <alignment vertical="center"/>
      <protection hidden="1"/>
    </xf>
    <xf numFmtId="0" fontId="15" fillId="2" borderId="9" xfId="0" applyFont="1" applyFill="1" applyBorder="1" applyProtection="1">
      <alignment vertical="center"/>
      <protection hidden="1"/>
    </xf>
    <xf numFmtId="0" fontId="0" fillId="8" borderId="0" xfId="0" applyFill="1">
      <alignment vertical="center"/>
    </xf>
    <xf numFmtId="0" fontId="0" fillId="2" borderId="27" xfId="0" applyFill="1" applyBorder="1">
      <alignment vertical="center"/>
    </xf>
    <xf numFmtId="0" fontId="32" fillId="2" borderId="0" xfId="0" applyFont="1" applyFill="1" applyBorder="1">
      <alignment vertical="center"/>
    </xf>
    <xf numFmtId="0" fontId="33" fillId="2" borderId="0" xfId="0" applyFont="1" applyFill="1">
      <alignment vertical="center"/>
    </xf>
    <xf numFmtId="0" fontId="34" fillId="2" borderId="0" xfId="0" applyFont="1" applyFill="1">
      <alignment vertical="center"/>
    </xf>
    <xf numFmtId="0" fontId="34" fillId="2" borderId="0" xfId="0" applyNumberFormat="1" applyFont="1" applyFill="1">
      <alignment vertical="center"/>
    </xf>
    <xf numFmtId="0" fontId="35" fillId="2" borderId="0" xfId="0" applyFont="1" applyFill="1" applyBorder="1">
      <alignment vertical="center"/>
    </xf>
    <xf numFmtId="0" fontId="0" fillId="2" borderId="28" xfId="0" applyFill="1" applyBorder="1">
      <alignment vertical="center"/>
    </xf>
    <xf numFmtId="164" fontId="0" fillId="2" borderId="23" xfId="0" applyNumberFormat="1" applyFill="1" applyBorder="1">
      <alignment vertical="center"/>
    </xf>
    <xf numFmtId="0" fontId="0" fillId="2" borderId="29" xfId="0" applyFill="1" applyBorder="1">
      <alignment vertical="center"/>
    </xf>
    <xf numFmtId="0" fontId="15" fillId="2" borderId="10" xfId="0" applyFont="1" applyFill="1" applyBorder="1">
      <alignment vertical="center"/>
    </xf>
    <xf numFmtId="0" fontId="15" fillId="2" borderId="30" xfId="0" applyFont="1" applyFill="1" applyBorder="1">
      <alignment vertical="center"/>
    </xf>
    <xf numFmtId="0" fontId="15" fillId="2" borderId="31" xfId="0" applyFont="1" applyFill="1" applyBorder="1" applyProtection="1">
      <alignment vertical="center"/>
      <protection hidden="1"/>
    </xf>
    <xf numFmtId="0" fontId="0" fillId="2" borderId="1" xfId="0" applyFill="1" applyBorder="1" applyProtection="1">
      <alignment vertical="center"/>
      <protection hidden="1"/>
    </xf>
    <xf numFmtId="0" fontId="1" fillId="2" borderId="1" xfId="0" applyFont="1" applyFill="1" applyBorder="1" applyProtection="1">
      <alignment vertical="center"/>
      <protection hidden="1"/>
    </xf>
    <xf numFmtId="0" fontId="0" fillId="2" borderId="32" xfId="0" applyFill="1" applyBorder="1" applyProtection="1">
      <alignment vertical="center"/>
      <protection hidden="1"/>
    </xf>
    <xf numFmtId="0" fontId="1" fillId="2" borderId="16" xfId="0" applyFont="1" applyFill="1" applyBorder="1" applyProtection="1">
      <alignment vertical="center"/>
      <protection hidden="1"/>
    </xf>
    <xf numFmtId="0" fontId="0" fillId="2" borderId="0" xfId="0" applyFill="1" applyBorder="1" applyProtection="1">
      <alignment vertical="center"/>
      <protection hidden="1"/>
    </xf>
    <xf numFmtId="0" fontId="0" fillId="2" borderId="17" xfId="0" applyFill="1" applyBorder="1" applyProtection="1">
      <alignment vertical="center"/>
      <protection hidden="1"/>
    </xf>
    <xf numFmtId="0" fontId="22" fillId="2" borderId="17" xfId="0" applyFont="1" applyFill="1" applyBorder="1" applyProtection="1">
      <alignment vertical="center"/>
      <protection hidden="1"/>
    </xf>
    <xf numFmtId="0" fontId="22" fillId="2" borderId="16" xfId="0" applyFont="1" applyFill="1" applyBorder="1" applyProtection="1">
      <alignment vertical="center"/>
      <protection hidden="1"/>
    </xf>
    <xf numFmtId="0" fontId="1" fillId="2" borderId="33" xfId="0" applyFont="1" applyFill="1" applyBorder="1" applyProtection="1">
      <alignment vertical="center"/>
      <protection hidden="1"/>
    </xf>
    <xf numFmtId="0" fontId="1" fillId="2" borderId="19" xfId="0" applyFont="1" applyFill="1" applyBorder="1" applyProtection="1">
      <alignment vertical="center"/>
      <protection hidden="1"/>
    </xf>
    <xf numFmtId="0" fontId="0" fillId="2" borderId="19" xfId="0" applyFill="1" applyBorder="1" applyProtection="1">
      <alignment vertical="center"/>
      <protection hidden="1"/>
    </xf>
    <xf numFmtId="0" fontId="0" fillId="2" borderId="34" xfId="0" applyFill="1" applyBorder="1" applyProtection="1">
      <alignment vertical="center"/>
      <protection hidden="1"/>
    </xf>
    <xf numFmtId="0" fontId="35" fillId="2" borderId="0" xfId="0" applyFont="1" applyFill="1">
      <alignment vertical="center"/>
    </xf>
    <xf numFmtId="0" fontId="30" fillId="8" borderId="0" xfId="0" applyFont="1" applyFill="1">
      <alignment vertical="center"/>
    </xf>
    <xf numFmtId="0" fontId="36" fillId="2" borderId="0" xfId="0" applyFont="1" applyFill="1">
      <alignment vertical="center"/>
    </xf>
    <xf numFmtId="0" fontId="37" fillId="2" borderId="0" xfId="0" applyFont="1" applyFill="1">
      <alignment vertical="center"/>
    </xf>
    <xf numFmtId="0" fontId="0" fillId="2" borderId="0" xfId="0" applyFill="1" applyAlignment="1">
      <alignment horizontal="left" vertical="center" wrapText="1"/>
    </xf>
    <xf numFmtId="0" fontId="29" fillId="7" borderId="0" xfId="0" applyFont="1" applyFill="1" applyAlignment="1">
      <alignment horizontal="center" vertical="center"/>
    </xf>
    <xf numFmtId="0" fontId="4" fillId="2" borderId="31" xfId="0" applyFont="1" applyFill="1" applyBorder="1" applyAlignment="1">
      <alignment horizontal="left" vertical="center"/>
    </xf>
    <xf numFmtId="0" fontId="4" fillId="2" borderId="32" xfId="0" applyFont="1" applyFill="1" applyBorder="1" applyAlignment="1">
      <alignment horizontal="left" vertical="center"/>
    </xf>
    <xf numFmtId="0" fontId="0" fillId="2" borderId="33" xfId="0" applyFill="1" applyBorder="1" applyAlignment="1">
      <alignment horizontal="left" vertical="center" wrapText="1"/>
    </xf>
    <xf numFmtId="0" fontId="0" fillId="2" borderId="34" xfId="0" applyFill="1" applyBorder="1" applyAlignment="1">
      <alignment horizontal="left" vertical="center" wrapText="1"/>
    </xf>
    <xf numFmtId="0" fontId="35" fillId="2" borderId="0" xfId="0" applyFont="1" applyFill="1" applyAlignment="1">
      <alignment horizontal="left" vertical="center" wrapText="1"/>
    </xf>
    <xf numFmtId="0" fontId="10" fillId="7" borderId="6" xfId="0" applyFont="1" applyFill="1" applyBorder="1" applyAlignment="1">
      <alignment horizontal="left" vertical="center"/>
    </xf>
    <xf numFmtId="0" fontId="10" fillId="7" borderId="7" xfId="0" applyFont="1" applyFill="1" applyBorder="1" applyAlignment="1">
      <alignment horizontal="left" vertical="center"/>
    </xf>
    <xf numFmtId="0" fontId="10" fillId="7" borderId="8" xfId="0" applyFont="1" applyFill="1" applyBorder="1" applyAlignment="1">
      <alignment horizontal="left" vertical="center"/>
    </xf>
    <xf numFmtId="0" fontId="10" fillId="7" borderId="20" xfId="0" applyFont="1" applyFill="1" applyBorder="1" applyAlignment="1">
      <alignment horizontal="left" vertical="center"/>
    </xf>
    <xf numFmtId="0" fontId="10" fillId="7" borderId="21" xfId="0" applyFont="1" applyFill="1" applyBorder="1" applyAlignment="1">
      <alignment horizontal="left" vertical="center"/>
    </xf>
    <xf numFmtId="0" fontId="10" fillId="7" borderId="22" xfId="0" applyFont="1" applyFill="1" applyBorder="1" applyAlignment="1">
      <alignment horizontal="left" vertical="center"/>
    </xf>
    <xf numFmtId="164" fontId="0" fillId="2" borderId="35" xfId="0" applyNumberFormat="1" applyFill="1" applyBorder="1" applyAlignment="1">
      <alignment horizontal="center" vertical="center"/>
    </xf>
    <xf numFmtId="164" fontId="0" fillId="2" borderId="26" xfId="0" applyNumberFormat="1" applyFill="1" applyBorder="1" applyAlignment="1">
      <alignment horizontal="center" vertical="center"/>
    </xf>
    <xf numFmtId="0" fontId="10" fillId="7" borderId="36" xfId="0" applyFont="1" applyFill="1" applyBorder="1" applyAlignment="1">
      <alignment horizontal="left" vertical="center"/>
    </xf>
    <xf numFmtId="0" fontId="10" fillId="7" borderId="37" xfId="0" applyFont="1" applyFill="1" applyBorder="1" applyAlignment="1">
      <alignment horizontal="left" vertical="center"/>
    </xf>
    <xf numFmtId="0" fontId="10" fillId="7" borderId="38" xfId="0" applyFont="1" applyFill="1" applyBorder="1" applyAlignment="1">
      <alignment horizontal="left" vertical="center"/>
    </xf>
    <xf numFmtId="0" fontId="12" fillId="2" borderId="0" xfId="0" applyFont="1" applyFill="1" applyAlignment="1">
      <alignment horizontal="center" vertical="center"/>
    </xf>
    <xf numFmtId="0" fontId="4" fillId="2" borderId="0" xfId="0" applyFont="1" applyFill="1" applyAlignment="1">
      <alignment horizontal="center" vertical="center"/>
    </xf>
    <xf numFmtId="0" fontId="6" fillId="7" borderId="6" xfId="0" applyFont="1" applyFill="1" applyBorder="1" applyAlignment="1">
      <alignment horizontal="center" vertical="center"/>
    </xf>
    <xf numFmtId="0" fontId="6" fillId="7" borderId="7"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3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32"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7" fillId="7" borderId="36" xfId="0" applyFont="1" applyFill="1" applyBorder="1" applyAlignment="1">
      <alignment horizontal="left" vertical="center"/>
    </xf>
    <xf numFmtId="0" fontId="7" fillId="7" borderId="37" xfId="0" applyFont="1" applyFill="1" applyBorder="1" applyAlignment="1">
      <alignment horizontal="left" vertical="center"/>
    </xf>
    <xf numFmtId="0" fontId="7" fillId="7" borderId="38" xfId="0" applyFont="1" applyFill="1" applyBorder="1" applyAlignment="1">
      <alignment horizontal="left" vertical="center"/>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7" fillId="7" borderId="8" xfId="0" applyFont="1" applyFill="1" applyBorder="1" applyAlignment="1">
      <alignment horizontal="left" vertical="center"/>
    </xf>
    <xf numFmtId="0" fontId="28" fillId="7" borderId="0" xfId="0" applyFont="1" applyFill="1" applyAlignment="1">
      <alignment horizontal="center" vertical="center"/>
    </xf>
    <xf numFmtId="0" fontId="0" fillId="2" borderId="10" xfId="0" applyFill="1" applyBorder="1" applyAlignment="1">
      <alignment vertical="center" wrapText="1"/>
    </xf>
    <xf numFmtId="0" fontId="0" fillId="2" borderId="14" xfId="0" applyFill="1" applyBorder="1" applyAlignment="1">
      <alignment vertical="center" wrapText="1"/>
    </xf>
    <xf numFmtId="0" fontId="0" fillId="2" borderId="11" xfId="0" applyFill="1" applyBorder="1" applyAlignment="1">
      <alignment horizontal="left" vertical="center"/>
    </xf>
    <xf numFmtId="0" fontId="0" fillId="2" borderId="15" xfId="0" applyFill="1" applyBorder="1" applyAlignment="1">
      <alignment horizontal="left" vertical="center"/>
    </xf>
    <xf numFmtId="164" fontId="0" fillId="2" borderId="9" xfId="0" applyNumberFormat="1" applyFill="1" applyBorder="1" applyAlignment="1">
      <alignment horizontal="right" vertical="center"/>
    </xf>
    <xf numFmtId="164" fontId="0" fillId="2" borderId="18" xfId="0" applyNumberFormat="1" applyFill="1" applyBorder="1" applyAlignment="1">
      <alignment horizontal="right" vertical="center"/>
    </xf>
    <xf numFmtId="0" fontId="0" fillId="2" borderId="42" xfId="0" applyFill="1" applyBorder="1" applyAlignment="1">
      <alignment horizontal="center" vertical="center"/>
    </xf>
    <xf numFmtId="0" fontId="0" fillId="2" borderId="44" xfId="0" applyFill="1" applyBorder="1" applyAlignment="1">
      <alignment horizontal="center" vertical="center"/>
    </xf>
    <xf numFmtId="0" fontId="0" fillId="2" borderId="43" xfId="0" applyFill="1" applyBorder="1" applyAlignment="1">
      <alignment horizontal="center" vertical="center"/>
    </xf>
    <xf numFmtId="0" fontId="0" fillId="2" borderId="23" xfId="0" applyFill="1" applyBorder="1" applyAlignment="1">
      <alignment horizontal="left" vertical="center"/>
    </xf>
    <xf numFmtId="0" fontId="0" fillId="2" borderId="25" xfId="0" applyFill="1" applyBorder="1" applyAlignment="1">
      <alignment horizontal="left" vertical="center"/>
    </xf>
    <xf numFmtId="0" fontId="0" fillId="2" borderId="24" xfId="0" applyFill="1" applyBorder="1" applyAlignment="1">
      <alignment horizontal="left" vertical="center"/>
    </xf>
    <xf numFmtId="0" fontId="0" fillId="2" borderId="39" xfId="0" applyFill="1" applyBorder="1" applyAlignment="1">
      <alignment horizontal="left" vertical="center"/>
    </xf>
    <xf numFmtId="0" fontId="0" fillId="2" borderId="41"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169" fontId="0" fillId="2" borderId="42" xfId="0" applyNumberFormat="1" applyFill="1" applyBorder="1" applyAlignment="1">
      <alignment horizontal="center" vertical="center"/>
    </xf>
    <xf numFmtId="169" fontId="0" fillId="2" borderId="43" xfId="0" applyNumberFormat="1" applyFill="1" applyBorder="1" applyAlignment="1">
      <alignment horizontal="center" vertical="center"/>
    </xf>
    <xf numFmtId="0" fontId="0" fillId="2" borderId="9" xfId="0" applyFill="1" applyBorder="1" applyAlignment="1">
      <alignment horizontal="center" vertical="center"/>
    </xf>
    <xf numFmtId="0" fontId="0" fillId="2" borderId="39" xfId="0" applyFill="1" applyBorder="1" applyAlignment="1">
      <alignment horizontal="center" vertical="center"/>
    </xf>
    <xf numFmtId="0" fontId="0" fillId="2" borderId="40" xfId="0" applyFill="1" applyBorder="1" applyAlignment="1">
      <alignment horizontal="center" vertical="center"/>
    </xf>
    <xf numFmtId="185" fontId="0" fillId="2" borderId="35" xfId="0" applyNumberFormat="1" applyFill="1" applyBorder="1" applyAlignment="1">
      <alignment horizontal="center" vertical="center"/>
    </xf>
    <xf numFmtId="0" fontId="0" fillId="2" borderId="35" xfId="0" applyFill="1" applyBorder="1" applyAlignment="1">
      <alignment horizontal="center" vertical="center"/>
    </xf>
    <xf numFmtId="172" fontId="0" fillId="2" borderId="39" xfId="0" applyNumberFormat="1" applyFill="1" applyBorder="1" applyAlignment="1">
      <alignment horizontal="left" vertical="center"/>
    </xf>
    <xf numFmtId="172" fontId="0" fillId="2" borderId="41" xfId="0" applyNumberFormat="1" applyFill="1" applyBorder="1" applyAlignment="1">
      <alignment horizontal="left" vertical="center"/>
    </xf>
    <xf numFmtId="169" fontId="0" fillId="2" borderId="35" xfId="0" applyNumberFormat="1" applyFill="1" applyBorder="1" applyAlignment="1">
      <alignment horizontal="center" vertical="center"/>
    </xf>
    <xf numFmtId="180" fontId="0" fillId="2" borderId="35" xfId="0" applyNumberFormat="1" applyFill="1" applyBorder="1" applyAlignment="1">
      <alignment horizontal="center" vertical="center"/>
    </xf>
    <xf numFmtId="178" fontId="0" fillId="2" borderId="42" xfId="0" applyNumberFormat="1" applyFill="1" applyBorder="1" applyAlignment="1">
      <alignment horizontal="center" vertical="center"/>
    </xf>
    <xf numFmtId="178" fontId="0" fillId="2" borderId="43" xfId="0" applyNumberFormat="1" applyFill="1" applyBorder="1" applyAlignment="1">
      <alignment horizontal="center" vertical="center"/>
    </xf>
    <xf numFmtId="184" fontId="0" fillId="2" borderId="35" xfId="0" applyNumberFormat="1" applyFill="1" applyBorder="1" applyAlignment="1">
      <alignment horizontal="center" vertical="center"/>
    </xf>
    <xf numFmtId="0" fontId="0" fillId="2" borderId="40" xfId="0" applyFill="1" applyBorder="1" applyAlignment="1">
      <alignment horizontal="left" vertical="center"/>
    </xf>
    <xf numFmtId="0" fontId="0" fillId="2" borderId="25" xfId="0" applyFill="1" applyBorder="1" applyAlignment="1">
      <alignment horizontal="center" vertical="center"/>
    </xf>
    <xf numFmtId="0" fontId="21" fillId="3" borderId="45" xfId="0" applyFont="1" applyFill="1" applyBorder="1" applyAlignment="1">
      <alignment horizontal="center" wrapText="1"/>
    </xf>
    <xf numFmtId="0" fontId="21" fillId="3" borderId="5" xfId="0" applyFont="1" applyFill="1" applyBorder="1" applyAlignment="1">
      <alignment horizontal="center" wrapText="1"/>
    </xf>
    <xf numFmtId="0" fontId="15" fillId="2" borderId="23" xfId="0" applyFont="1" applyFill="1" applyBorder="1" applyAlignment="1" applyProtection="1">
      <alignment horizontal="center" vertical="center"/>
      <protection hidden="1"/>
    </xf>
    <xf numFmtId="0" fontId="15" fillId="2" borderId="25" xfId="0" applyFont="1" applyFill="1" applyBorder="1" applyAlignment="1" applyProtection="1">
      <alignment horizontal="center" vertical="center"/>
      <protection hidden="1"/>
    </xf>
    <xf numFmtId="0" fontId="15" fillId="2" borderId="24"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0" fontId="21" fillId="4" borderId="46" xfId="0" applyFont="1" applyFill="1" applyBorder="1" applyAlignment="1">
      <alignment horizontal="center" wrapText="1"/>
    </xf>
    <xf numFmtId="0" fontId="21" fillId="4" borderId="47" xfId="0" applyFont="1" applyFill="1" applyBorder="1" applyAlignment="1">
      <alignment horizontal="center" wrapText="1"/>
    </xf>
    <xf numFmtId="0" fontId="21" fillId="5" borderId="45" xfId="0" applyFont="1" applyFill="1" applyBorder="1" applyAlignment="1">
      <alignment horizontal="center" wrapText="1"/>
    </xf>
    <xf numFmtId="0" fontId="21" fillId="5" borderId="5" xfId="0" applyFont="1" applyFill="1" applyBorder="1" applyAlignment="1">
      <alignment horizontal="center" wrapText="1"/>
    </xf>
    <xf numFmtId="49" fontId="25" fillId="6" borderId="45" xfId="0" applyNumberFormat="1" applyFont="1" applyFill="1" applyBorder="1" applyAlignment="1">
      <alignment horizontal="center" wrapText="1"/>
    </xf>
    <xf numFmtId="49" fontId="25" fillId="6" borderId="0" xfId="0" applyNumberFormat="1" applyFont="1" applyFill="1" applyBorder="1" applyAlignment="1">
      <alignment horizontal="center" wrapText="1"/>
    </xf>
    <xf numFmtId="0" fontId="1" fillId="2" borderId="23" xfId="0" applyFont="1" applyFill="1" applyBorder="1" applyAlignment="1" applyProtection="1">
      <alignment horizontal="center" vertical="center"/>
      <protection hidden="1"/>
    </xf>
    <xf numFmtId="0" fontId="1" fillId="2" borderId="24" xfId="0" applyFont="1" applyFill="1" applyBorder="1" applyAlignment="1" applyProtection="1">
      <alignment horizontal="center" vertical="center"/>
      <protection hidden="1"/>
    </xf>
    <xf numFmtId="0" fontId="25" fillId="2" borderId="0" xfId="0" applyFont="1" applyFill="1" applyBorder="1" applyAlignment="1" applyProtection="1">
      <alignment horizontal="center" wrapText="1"/>
      <protection hidden="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137160</xdr:colOff>
      <xdr:row>0</xdr:row>
      <xdr:rowOff>121920</xdr:rowOff>
    </xdr:from>
    <xdr:to>
      <xdr:col>3</xdr:col>
      <xdr:colOff>3870960</xdr:colOff>
      <xdr:row>28</xdr:row>
      <xdr:rowOff>160020</xdr:rowOff>
    </xdr:to>
    <xdr:pic>
      <xdr:nvPicPr>
        <xdr:cNvPr id="1118" name="Picture 9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121920"/>
          <a:ext cx="7650480" cy="4732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A12" sqref="A12:IV12"/>
    </sheetView>
  </sheetViews>
  <sheetFormatPr defaultColWidth="5.28515625" defaultRowHeight="12.75" x14ac:dyDescent="0.2"/>
  <cols>
    <col min="1" max="2" width="5.28515625" style="1" customWidth="1"/>
    <col min="3" max="3" width="84.28515625" style="1" customWidth="1"/>
    <col min="4" max="16384" width="5.28515625" style="1"/>
  </cols>
  <sheetData>
    <row r="1" spans="1:5" ht="37.5" customHeight="1" thickBot="1" x14ac:dyDescent="0.25">
      <c r="B1" s="178" t="s">
        <v>0</v>
      </c>
      <c r="C1" s="178"/>
    </row>
    <row r="2" spans="1:5" ht="15.75" x14ac:dyDescent="0.2">
      <c r="B2" s="179" t="s">
        <v>1</v>
      </c>
      <c r="C2" s="180"/>
    </row>
    <row r="3" spans="1:5" ht="58.5" customHeight="1" thickBot="1" x14ac:dyDescent="0.25">
      <c r="B3" s="181" t="s">
        <v>155</v>
      </c>
      <c r="C3" s="182"/>
    </row>
    <row r="4" spans="1:5" ht="12.75" customHeight="1" x14ac:dyDescent="0.2">
      <c r="A4" s="2"/>
      <c r="B4" s="2"/>
      <c r="C4" s="2"/>
    </row>
    <row r="5" spans="1:5" ht="12.75" customHeight="1" x14ac:dyDescent="0.2">
      <c r="A5" s="2"/>
      <c r="B5" s="177" t="s">
        <v>156</v>
      </c>
      <c r="C5" s="177"/>
    </row>
    <row r="6" spans="1:5" ht="12.75" customHeight="1" x14ac:dyDescent="0.2">
      <c r="A6" s="2"/>
      <c r="B6" s="2"/>
      <c r="C6" s="2"/>
    </row>
    <row r="7" spans="1:5" ht="41.25" customHeight="1" x14ac:dyDescent="0.2">
      <c r="A7" s="2"/>
      <c r="B7" s="177" t="s">
        <v>2</v>
      </c>
      <c r="C7" s="177"/>
    </row>
    <row r="8" spans="1:5" ht="12.75" customHeight="1" x14ac:dyDescent="0.2">
      <c r="A8" s="2"/>
      <c r="B8" s="2"/>
      <c r="C8" s="2"/>
    </row>
    <row r="9" spans="1:5" ht="44.25" customHeight="1" x14ac:dyDescent="0.2">
      <c r="A9" s="2"/>
      <c r="B9" s="177" t="s">
        <v>157</v>
      </c>
      <c r="C9" s="177"/>
    </row>
    <row r="10" spans="1:5" ht="12.75" customHeight="1" x14ac:dyDescent="0.2">
      <c r="A10" s="2"/>
      <c r="B10" s="2"/>
      <c r="C10" s="2"/>
    </row>
    <row r="11" spans="1:5" ht="28.5" customHeight="1" x14ac:dyDescent="0.2">
      <c r="B11" s="177" t="s">
        <v>160</v>
      </c>
      <c r="C11" s="177"/>
    </row>
    <row r="12" spans="1:5" x14ac:dyDescent="0.2">
      <c r="C12" s="3" t="s">
        <v>154</v>
      </c>
    </row>
    <row r="13" spans="1:5" x14ac:dyDescent="0.2">
      <c r="C13" s="3" t="s">
        <v>158</v>
      </c>
    </row>
    <row r="14" spans="1:5" x14ac:dyDescent="0.2">
      <c r="C14" s="3" t="s">
        <v>129</v>
      </c>
    </row>
    <row r="15" spans="1:5" x14ac:dyDescent="0.2">
      <c r="A15" s="2"/>
      <c r="C15" s="85" t="s">
        <v>159</v>
      </c>
      <c r="D15" s="2"/>
      <c r="E15" s="2"/>
    </row>
    <row r="16" spans="1:5" ht="12.75" customHeight="1" x14ac:dyDescent="0.2"/>
    <row r="17" spans="1:3" ht="14.25" customHeight="1" x14ac:dyDescent="0.2">
      <c r="A17" s="2"/>
      <c r="B17" s="177" t="s">
        <v>161</v>
      </c>
      <c r="C17" s="177"/>
    </row>
    <row r="18" spans="1:3" ht="12.75" customHeight="1" x14ac:dyDescent="0.2">
      <c r="A18" s="2"/>
      <c r="B18" s="2"/>
      <c r="C18" s="2"/>
    </row>
    <row r="19" spans="1:3" ht="12.75" customHeight="1" x14ac:dyDescent="0.2">
      <c r="A19" s="2"/>
      <c r="B19" s="177" t="s">
        <v>165</v>
      </c>
      <c r="C19" s="177"/>
    </row>
    <row r="20" spans="1:3" ht="12.75" customHeight="1" x14ac:dyDescent="0.2"/>
  </sheetData>
  <sheetProtection password="ED1D" sheet="1" objects="1" scenarios="1" selectLockedCells="1" selectUnlockedCells="1"/>
  <mergeCells count="9">
    <mergeCell ref="B11:C11"/>
    <mergeCell ref="B17:C17"/>
    <mergeCell ref="B19:C19"/>
    <mergeCell ref="B1:C1"/>
    <mergeCell ref="B2:C2"/>
    <mergeCell ref="B3:C3"/>
    <mergeCell ref="B7:C7"/>
    <mergeCell ref="B5:C5"/>
    <mergeCell ref="B9:C9"/>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3"/>
  <sheetViews>
    <sheetView tabSelected="1" zoomScaleNormal="100" workbookViewId="0">
      <selection activeCell="H11" sqref="H11"/>
    </sheetView>
  </sheetViews>
  <sheetFormatPr defaultColWidth="9.140625" defaultRowHeight="12.75" x14ac:dyDescent="0.2"/>
  <cols>
    <col min="1" max="1" width="2.28515625" style="1" customWidth="1"/>
    <col min="2" max="2" width="31.140625" style="1" customWidth="1"/>
    <col min="3" max="3" width="18.5703125" style="1" customWidth="1"/>
    <col min="4" max="4" width="25" style="1" customWidth="1"/>
    <col min="5" max="5" width="2.7109375" style="1" customWidth="1"/>
    <col min="6" max="6" width="34.42578125" style="1" customWidth="1"/>
    <col min="7" max="7" width="10.5703125" style="1" customWidth="1"/>
    <col min="8" max="9" width="9.140625" style="1"/>
    <col min="10" max="10" width="42.28515625" style="1" customWidth="1"/>
    <col min="11" max="11" width="14" style="1" customWidth="1"/>
    <col min="12" max="12" width="12.42578125" style="1" bestFit="1" customWidth="1"/>
    <col min="13" max="16384" width="9.140625" style="1"/>
  </cols>
  <sheetData>
    <row r="1" spans="2:18" ht="23.25" x14ac:dyDescent="0.2">
      <c r="B1" s="47" t="s">
        <v>22</v>
      </c>
    </row>
    <row r="2" spans="2:18" ht="18" x14ac:dyDescent="0.2">
      <c r="B2" s="195" t="s">
        <v>41</v>
      </c>
      <c r="C2" s="195"/>
      <c r="D2" s="195"/>
      <c r="E2" s="195"/>
      <c r="F2" s="195"/>
      <c r="G2" s="195"/>
      <c r="H2" s="195"/>
      <c r="I2" s="195"/>
    </row>
    <row r="3" spans="2:18" ht="16.5" thickBot="1" x14ac:dyDescent="0.25">
      <c r="B3" s="196" t="s">
        <v>3</v>
      </c>
      <c r="C3" s="196"/>
      <c r="D3" s="196"/>
      <c r="E3" s="196"/>
      <c r="F3" s="196"/>
      <c r="G3" s="196"/>
      <c r="H3" s="196"/>
      <c r="I3" s="196"/>
    </row>
    <row r="4" spans="2:18" ht="15" x14ac:dyDescent="0.2">
      <c r="B4" s="200" t="s">
        <v>4</v>
      </c>
      <c r="C4" s="201"/>
      <c r="D4" s="202"/>
      <c r="E4" s="48"/>
      <c r="F4" s="197" t="s">
        <v>16</v>
      </c>
      <c r="G4" s="198"/>
      <c r="H4" s="198"/>
      <c r="I4" s="199"/>
      <c r="J4" s="142"/>
      <c r="K4" s="142"/>
      <c r="L4" s="142"/>
      <c r="M4" s="142"/>
      <c r="N4" s="142"/>
      <c r="O4" s="142"/>
      <c r="P4" s="142"/>
      <c r="Q4" s="142"/>
      <c r="R4" s="142"/>
    </row>
    <row r="5" spans="2:18" ht="15.75" thickBot="1" x14ac:dyDescent="0.25">
      <c r="B5" s="203"/>
      <c r="C5" s="204"/>
      <c r="D5" s="205"/>
      <c r="E5" s="46"/>
      <c r="F5" s="53"/>
      <c r="G5" s="52" t="s">
        <v>17</v>
      </c>
      <c r="H5" s="52" t="s">
        <v>18</v>
      </c>
      <c r="I5" s="54"/>
      <c r="J5" s="152"/>
      <c r="K5" s="152"/>
      <c r="L5" s="152"/>
      <c r="M5" s="152"/>
      <c r="N5" s="152"/>
      <c r="O5" s="152"/>
      <c r="P5" s="152"/>
      <c r="Q5" s="152"/>
      <c r="R5" s="152"/>
    </row>
    <row r="6" spans="2:18" ht="15.75" x14ac:dyDescent="0.2">
      <c r="B6" s="184" t="s">
        <v>5</v>
      </c>
      <c r="C6" s="185"/>
      <c r="D6" s="186"/>
      <c r="E6" s="49"/>
      <c r="F6" s="53" t="s">
        <v>19</v>
      </c>
      <c r="G6" s="56">
        <f>Lookup!O54</f>
        <v>15</v>
      </c>
      <c r="H6" s="91">
        <v>68</v>
      </c>
      <c r="I6" s="72" t="s">
        <v>31</v>
      </c>
      <c r="J6" s="175" t="str">
        <f>IF(Cin_actual="","",IF(Cin_actual&lt;0.7*Lookup!O20*10^-6,"YOU MUST USE A LARGER INPUT CAPACITOR",""))</f>
        <v/>
      </c>
      <c r="K6" s="152" t="s">
        <v>127</v>
      </c>
      <c r="L6" s="152"/>
      <c r="M6" s="152"/>
      <c r="N6" s="152"/>
      <c r="O6" s="152"/>
      <c r="P6" s="152"/>
      <c r="Q6" s="152"/>
      <c r="R6" s="152"/>
    </row>
    <row r="7" spans="2:18" ht="16.5" customHeight="1" x14ac:dyDescent="0.2">
      <c r="B7" s="53" t="s">
        <v>6</v>
      </c>
      <c r="C7" s="86">
        <v>180</v>
      </c>
      <c r="D7" s="82" t="s">
        <v>292</v>
      </c>
      <c r="E7" s="50"/>
      <c r="F7" s="187" t="s">
        <v>80</v>
      </c>
      <c r="G7" s="188"/>
      <c r="H7" s="188"/>
      <c r="I7" s="189"/>
      <c r="J7" s="152"/>
      <c r="K7" s="152" t="s">
        <v>128</v>
      </c>
      <c r="L7" s="152"/>
      <c r="M7" s="152"/>
      <c r="N7" s="152"/>
      <c r="O7" s="152"/>
      <c r="P7" s="152"/>
      <c r="Q7" s="152"/>
      <c r="R7" s="152"/>
    </row>
    <row r="8" spans="2:18" ht="16.5" customHeight="1" x14ac:dyDescent="0.2">
      <c r="B8" s="53" t="s">
        <v>7</v>
      </c>
      <c r="C8" s="86">
        <v>260</v>
      </c>
      <c r="D8" s="82" t="s">
        <v>292</v>
      </c>
      <c r="E8" s="55"/>
      <c r="F8" s="53" t="s">
        <v>20</v>
      </c>
      <c r="G8" s="56">
        <f>(Vbulk_min*0.9)/(Vout+0.7)</f>
        <v>13.462045123442635</v>
      </c>
      <c r="H8" s="91">
        <v>6</v>
      </c>
      <c r="I8" s="73" t="str">
        <f>IF(Nps_actual&gt;=Vbulk_min/(Vout+0.7),"TURNS RATIO MUST BE LOWER","")</f>
        <v/>
      </c>
      <c r="J8" s="152"/>
      <c r="K8" s="152" t="s">
        <v>131</v>
      </c>
      <c r="L8" s="152"/>
      <c r="M8" s="152"/>
      <c r="N8" s="152"/>
      <c r="O8" s="152"/>
      <c r="P8" s="152"/>
      <c r="Q8" s="152"/>
      <c r="R8" s="152"/>
    </row>
    <row r="9" spans="2:18" ht="16.5" customHeight="1" x14ac:dyDescent="0.2">
      <c r="B9" s="53" t="s">
        <v>8</v>
      </c>
      <c r="C9" s="86">
        <v>47</v>
      </c>
      <c r="D9" s="54" t="s">
        <v>9</v>
      </c>
      <c r="E9" s="55"/>
      <c r="F9" s="53" t="s">
        <v>21</v>
      </c>
      <c r="G9" s="56">
        <f>Lp_initial3*10^6</f>
        <v>442.2700115179652</v>
      </c>
      <c r="H9" s="91">
        <v>500</v>
      </c>
      <c r="I9" s="72" t="s">
        <v>33</v>
      </c>
      <c r="J9" s="152"/>
      <c r="K9" s="152" t="s">
        <v>132</v>
      </c>
      <c r="L9" s="152"/>
      <c r="M9" s="152"/>
      <c r="N9" s="152"/>
      <c r="O9" s="152"/>
      <c r="P9" s="152"/>
      <c r="Q9" s="152"/>
      <c r="R9" s="152"/>
    </row>
    <row r="10" spans="2:18" ht="16.5" customHeight="1" thickBot="1" x14ac:dyDescent="0.25">
      <c r="B10" s="149" t="s">
        <v>285</v>
      </c>
      <c r="C10" s="87">
        <v>100</v>
      </c>
      <c r="D10" s="159" t="s">
        <v>292</v>
      </c>
      <c r="E10" s="55"/>
      <c r="F10" s="53" t="s">
        <v>51</v>
      </c>
      <c r="G10" s="56">
        <f>Lp*0.02</f>
        <v>10</v>
      </c>
      <c r="H10" s="91">
        <v>5</v>
      </c>
      <c r="I10" s="72" t="s">
        <v>33</v>
      </c>
      <c r="J10" s="152"/>
      <c r="K10" s="152" t="s">
        <v>226</v>
      </c>
      <c r="L10" s="152"/>
      <c r="M10" s="152"/>
      <c r="N10" s="152"/>
      <c r="O10" s="152"/>
      <c r="P10" s="152"/>
      <c r="Q10" s="152"/>
      <c r="R10" s="152"/>
    </row>
    <row r="11" spans="2:18" ht="16.5" customHeight="1" thickBot="1" x14ac:dyDescent="0.25">
      <c r="B11" s="67"/>
      <c r="C11" s="55"/>
      <c r="D11" s="68"/>
      <c r="E11" s="55"/>
      <c r="F11" s="53" t="s">
        <v>54</v>
      </c>
      <c r="G11" s="56">
        <f>(Vout+0.7)*Nps/16.7</f>
        <v>5.6407185628742509</v>
      </c>
      <c r="H11" s="92">
        <v>13.5</v>
      </c>
      <c r="I11" s="54"/>
      <c r="J11" s="152"/>
      <c r="K11" s="152"/>
      <c r="L11" s="152"/>
      <c r="M11" s="152"/>
      <c r="N11" s="152"/>
      <c r="O11" s="152"/>
      <c r="P11" s="152"/>
      <c r="Q11" s="152"/>
      <c r="R11" s="152"/>
    </row>
    <row r="12" spans="2:18" ht="16.5" customHeight="1" x14ac:dyDescent="0.2">
      <c r="B12" s="43" t="s">
        <v>10</v>
      </c>
      <c r="C12" s="44"/>
      <c r="D12" s="45"/>
      <c r="E12" s="57"/>
      <c r="F12" s="187" t="s">
        <v>109</v>
      </c>
      <c r="G12" s="188"/>
      <c r="H12" s="188"/>
      <c r="I12" s="189"/>
      <c r="J12" s="176" t="str">
        <f>IF(Lp_actual="","",IF(Lp_actual&lt;(0.85*Lp_target),"INCREASE PRIMARY INDUCTANCE",IF(Lp_actual&gt;1.15*Lp_target,"DECREASE PRIMARY INDUCTANCE","")))</f>
        <v/>
      </c>
      <c r="K12" s="152" t="s">
        <v>249</v>
      </c>
      <c r="L12" s="153">
        <f>((Vout+0.7)*Nps*((1/(fswmax*10^3))-(0.5*10^-6)))/(Vbulk_min+((Vout+0.7)*Nps))</f>
        <v>2.1113829247764663E-6</v>
      </c>
      <c r="M12" s="152" t="s">
        <v>227</v>
      </c>
      <c r="N12" s="152"/>
      <c r="O12" s="152"/>
      <c r="P12" s="152"/>
      <c r="Q12" s="152"/>
      <c r="R12" s="152"/>
    </row>
    <row r="13" spans="2:18" ht="16.5" customHeight="1" x14ac:dyDescent="0.2">
      <c r="B13" s="53" t="s">
        <v>11</v>
      </c>
      <c r="C13" s="86">
        <v>15</v>
      </c>
      <c r="D13" s="54" t="s">
        <v>12</v>
      </c>
      <c r="E13" s="58"/>
      <c r="F13" s="53" t="s">
        <v>37</v>
      </c>
      <c r="G13" s="51">
        <f>MROUND((Vin_max+Vbulk_min)+(0.3*Vin_max),10)</f>
        <v>710</v>
      </c>
      <c r="H13" s="91">
        <v>600</v>
      </c>
      <c r="I13" s="54" t="s">
        <v>25</v>
      </c>
      <c r="J13" s="152"/>
      <c r="K13" s="152" t="s">
        <v>250</v>
      </c>
      <c r="L13" s="153">
        <f>((Vbulk_min*ton_initial)^2*(fswmax*10^3))/(2*Pin)</f>
        <v>4.4227001151796522E-4</v>
      </c>
      <c r="M13" s="152" t="s">
        <v>228</v>
      </c>
      <c r="N13" s="152"/>
      <c r="O13" s="152"/>
      <c r="P13" s="152"/>
      <c r="Q13" s="152"/>
      <c r="R13" s="152"/>
    </row>
    <row r="14" spans="2:18" ht="16.5" customHeight="1" x14ac:dyDescent="0.2">
      <c r="B14" s="53" t="s">
        <v>13</v>
      </c>
      <c r="C14" s="88">
        <v>2</v>
      </c>
      <c r="D14" s="54" t="s">
        <v>14</v>
      </c>
      <c r="E14" s="55"/>
      <c r="F14" s="53" t="s">
        <v>62</v>
      </c>
      <c r="G14" s="78">
        <f>(((500*10^-9)/PI())^2)/(Lp*10^-6)*10^12</f>
        <v>50.660591821168907</v>
      </c>
      <c r="H14" s="91">
        <v>240</v>
      </c>
      <c r="I14" s="54" t="s">
        <v>63</v>
      </c>
      <c r="J14" s="152"/>
      <c r="K14" s="152" t="s">
        <v>251</v>
      </c>
      <c r="L14" s="153">
        <f>Vbulk_min*ton_initial/Lp_initial</f>
        <v>1.1211086340316245</v>
      </c>
      <c r="M14" s="152" t="s">
        <v>14</v>
      </c>
      <c r="N14" s="152"/>
      <c r="O14" s="152"/>
      <c r="P14" s="152"/>
      <c r="Q14" s="152"/>
      <c r="R14" s="152"/>
    </row>
    <row r="15" spans="2:18" ht="16.5" customHeight="1" x14ac:dyDescent="0.2">
      <c r="B15" s="53" t="s">
        <v>15</v>
      </c>
      <c r="C15" s="86">
        <v>18</v>
      </c>
      <c r="D15" s="54" t="s">
        <v>12</v>
      </c>
      <c r="E15" s="60"/>
      <c r="F15" s="53" t="s">
        <v>69</v>
      </c>
      <c r="G15" s="59">
        <v>5000</v>
      </c>
      <c r="H15" s="91">
        <v>2220</v>
      </c>
      <c r="I15" s="54" t="s">
        <v>63</v>
      </c>
      <c r="J15" s="152"/>
      <c r="K15" s="152" t="s">
        <v>252</v>
      </c>
      <c r="L15" s="153">
        <f>(IF(2*Pin/((Vbulk_min*ton_initial)*(fswmax*10^3))&gt;4,(((((24.9*10^3)^2)*Pin/(0.66*(33.2*10^3)^2)))/0.9)*10^-6,(((Vbulk_min*ton_initial)^2*(fswmax*10^3))/(2*Pin))))</f>
        <v>4.4227001151796522E-4</v>
      </c>
      <c r="M15" s="152" t="s">
        <v>228</v>
      </c>
      <c r="N15" s="152"/>
      <c r="O15" s="152"/>
      <c r="P15" s="152"/>
      <c r="Q15" s="152"/>
      <c r="R15" s="152"/>
    </row>
    <row r="16" spans="2:18" ht="16.5" customHeight="1" thickBot="1" x14ac:dyDescent="0.25">
      <c r="B16" s="61" t="s">
        <v>121</v>
      </c>
      <c r="C16" s="89">
        <v>0.24</v>
      </c>
      <c r="D16" s="62" t="s">
        <v>122</v>
      </c>
      <c r="F16" s="53" t="s">
        <v>247</v>
      </c>
      <c r="G16" s="190">
        <f>Idrv*2</f>
        <v>2.5412960609911055</v>
      </c>
      <c r="H16" s="191"/>
      <c r="I16" s="54" t="s">
        <v>14</v>
      </c>
      <c r="J16" s="152"/>
      <c r="K16" s="152" t="s">
        <v>253</v>
      </c>
      <c r="L16" s="152">
        <f>(IF(2*Pin/((Vbulk_min*ton_initial)*(fswmax*10^3))&lt;1,(((((100*10^3)^2)*Pin/(0.66*(33.2*10^3)^2)))/0.9)*10^-6,LP_initial2A))</f>
        <v>4.4227001151796522E-4</v>
      </c>
      <c r="M16" s="152" t="s">
        <v>228</v>
      </c>
      <c r="N16" s="152"/>
      <c r="O16" s="152"/>
      <c r="P16" s="152"/>
      <c r="Q16" s="152"/>
      <c r="R16" s="152"/>
    </row>
    <row r="17" spans="2:18" ht="16.5" customHeight="1" thickBot="1" x14ac:dyDescent="0.25">
      <c r="B17" s="67"/>
      <c r="C17" s="55"/>
      <c r="D17" s="68"/>
      <c r="F17" s="53" t="s">
        <v>82</v>
      </c>
      <c r="G17" s="190">
        <f>Idrain_rms</f>
        <v>0.42998460107669317</v>
      </c>
      <c r="H17" s="191"/>
      <c r="I17" s="54" t="s">
        <v>14</v>
      </c>
      <c r="J17" s="152"/>
      <c r="K17" s="152" t="s">
        <v>254</v>
      </c>
      <c r="L17" s="153">
        <f>Idrv*1.01*Lp_initial2*1.1/Vbulk_min</f>
        <v>2.6586344892147854E-6</v>
      </c>
      <c r="M17" s="152" t="s">
        <v>227</v>
      </c>
      <c r="N17" s="152" t="s">
        <v>287</v>
      </c>
      <c r="O17" s="152"/>
      <c r="P17" s="152"/>
      <c r="Q17" s="152"/>
      <c r="R17" s="152"/>
    </row>
    <row r="18" spans="2:18" ht="16.5" customHeight="1" x14ac:dyDescent="0.2">
      <c r="B18" s="192" t="s">
        <v>111</v>
      </c>
      <c r="C18" s="193"/>
      <c r="D18" s="194"/>
      <c r="F18" s="102" t="s">
        <v>126</v>
      </c>
      <c r="G18" s="103"/>
      <c r="H18" s="103"/>
      <c r="I18" s="104"/>
      <c r="J18" s="152"/>
      <c r="K18" s="152" t="s">
        <v>255</v>
      </c>
      <c r="L18" s="152">
        <f>IF(ton_initial2&gt;0.000005,(0.0000049*Vbulk_min)/(Idrv*1.1),Lp_initial2)</f>
        <v>4.4227001151796522E-4</v>
      </c>
      <c r="M18" s="152" t="s">
        <v>228</v>
      </c>
      <c r="N18" s="152"/>
      <c r="O18" s="152"/>
      <c r="P18" s="152"/>
      <c r="Q18" s="152"/>
      <c r="R18" s="152"/>
    </row>
    <row r="19" spans="2:18" ht="16.5" customHeight="1" thickBot="1" x14ac:dyDescent="0.25">
      <c r="B19" s="63" t="s">
        <v>130</v>
      </c>
      <c r="C19" s="90" t="s">
        <v>132</v>
      </c>
      <c r="D19" s="64" t="str">
        <f>IF(FAULT="SHUTDOWN/RETRY","SHUTDOWN/RETRY SELECTED","LATCH-OFF SELECTED")</f>
        <v>SHUTDOWN/RETRY SELECTED</v>
      </c>
      <c r="F19" s="53" t="s">
        <v>138</v>
      </c>
      <c r="G19" s="56">
        <f>SQRT(Iout^2+(((Lp*10^-6)*Idrv*(fswmax*10^3))/Vbulk_min)*((Ipeak_sec*(-Iout))+((Ipeak_sec^2)/3)))</f>
        <v>2.3275978290775492</v>
      </c>
      <c r="H19" s="91">
        <v>2</v>
      </c>
      <c r="I19" s="54" t="s">
        <v>14</v>
      </c>
      <c r="J19" s="152"/>
      <c r="K19" s="152" t="s">
        <v>256</v>
      </c>
      <c r="L19" s="153">
        <f>IF(ton_initial2&lt;(0.0000015),((0.0000015)*Vbulk_min)/(Idrv*1.1),Lp_1)</f>
        <v>4.4227001151796522E-4</v>
      </c>
      <c r="M19" s="152" t="s">
        <v>228</v>
      </c>
      <c r="N19" s="152"/>
      <c r="O19" s="152"/>
      <c r="P19" s="152"/>
      <c r="Q19" s="152"/>
      <c r="R19" s="152"/>
    </row>
    <row r="20" spans="2:18" ht="16.5" customHeight="1" x14ac:dyDescent="0.2">
      <c r="C20" s="142"/>
      <c r="D20" s="142"/>
      <c r="F20" s="53" t="s">
        <v>136</v>
      </c>
      <c r="G20" s="56">
        <f>(Vripple_target/Ipeak_sec)*10^3</f>
        <v>31.48</v>
      </c>
      <c r="H20" s="91">
        <v>10</v>
      </c>
      <c r="I20" s="54" t="s">
        <v>137</v>
      </c>
      <c r="J20" s="152"/>
      <c r="K20" s="152" t="s">
        <v>257</v>
      </c>
      <c r="L20" s="153">
        <f>Idrv*Lp*10^-6*1.1/Vbulk_min</f>
        <v>2.9759098592571631E-6</v>
      </c>
      <c r="M20" s="152" t="s">
        <v>227</v>
      </c>
      <c r="N20" s="152"/>
      <c r="O20" s="152"/>
      <c r="P20" s="152"/>
      <c r="Q20" s="152"/>
      <c r="R20" s="152"/>
    </row>
    <row r="21" spans="2:18" ht="21.75" customHeight="1" thickBot="1" x14ac:dyDescent="0.25">
      <c r="B21" s="154" t="str">
        <f>IF(Vovp&lt;=1.1*Vout,"SET OVP HIGHER","")</f>
        <v/>
      </c>
      <c r="C21" s="143"/>
      <c r="D21" s="144"/>
      <c r="E21" s="150"/>
      <c r="F21" s="145" t="s">
        <v>123</v>
      </c>
      <c r="G21" s="106">
        <f>(Iout*Lp*Idrv/Vbulk_min)/(0.3*Vripple_target)</f>
        <v>75.149238870130375</v>
      </c>
      <c r="H21" s="90">
        <v>100</v>
      </c>
      <c r="I21" s="75" t="s">
        <v>31</v>
      </c>
      <c r="J21" s="142"/>
      <c r="K21" s="142"/>
      <c r="L21" s="142"/>
      <c r="M21" s="142"/>
      <c r="N21" s="142"/>
      <c r="O21" s="142"/>
      <c r="P21" s="142"/>
      <c r="Q21" s="142"/>
      <c r="R21" s="142"/>
    </row>
    <row r="22" spans="2:18" ht="50.1" customHeight="1" x14ac:dyDescent="0.2">
      <c r="B22" s="173" t="str">
        <f>IF(Cin_actual="","",IF(Cin_actual&lt;0.7*Lookup!O20*10^-6,"YOU MUST USE A LARGER INPUT CAPACITOR",""))</f>
        <v/>
      </c>
      <c r="C22" s="142"/>
      <c r="D22" s="142"/>
      <c r="E22" s="142"/>
      <c r="F22" s="142"/>
      <c r="J22" s="142"/>
      <c r="K22" s="142"/>
      <c r="L22" s="142"/>
      <c r="M22" s="142"/>
      <c r="N22" s="142"/>
      <c r="O22" s="142"/>
      <c r="P22" s="142"/>
      <c r="Q22" s="142"/>
      <c r="R22" s="142"/>
    </row>
    <row r="23" spans="2:18" ht="50.1" customHeight="1" x14ac:dyDescent="0.2">
      <c r="B23" s="173" t="str">
        <f>IF(Vbulk_min&lt;((SQRT(2)*Vbrownout)-Vinput_ripple),"SET BROWNOUT VOLTAGE LOWER","")</f>
        <v/>
      </c>
      <c r="C23" s="142"/>
      <c r="D23" s="142"/>
      <c r="E23" s="142"/>
      <c r="F23" s="142"/>
      <c r="I23" s="148"/>
      <c r="J23" s="174"/>
      <c r="K23" s="174"/>
      <c r="L23" s="174"/>
      <c r="M23" s="174"/>
      <c r="N23" s="174"/>
      <c r="O23" s="174"/>
      <c r="P23" s="142"/>
      <c r="Q23" s="142"/>
      <c r="R23" s="142"/>
    </row>
    <row r="24" spans="2:18" ht="67.5" customHeight="1" x14ac:dyDescent="0.2">
      <c r="B24" s="183" t="str">
        <f>IF(Calculations!B47&lt;Pout,"APPLICATION IS OUTSIDE OF THE ACCEPTABLE OPERATING RANGE OF THE UCC28610","")</f>
        <v/>
      </c>
      <c r="C24" s="183"/>
      <c r="D24" s="183"/>
      <c r="E24" s="183"/>
      <c r="F24" s="183"/>
      <c r="G24" s="183"/>
      <c r="H24" s="183"/>
      <c r="I24" s="183"/>
      <c r="J24" s="142"/>
      <c r="K24" s="142"/>
      <c r="L24" s="142"/>
      <c r="M24" s="142"/>
      <c r="N24" s="142"/>
      <c r="O24" s="142"/>
      <c r="P24" s="142"/>
    </row>
    <row r="25" spans="2:18" x14ac:dyDescent="0.2">
      <c r="B25" s="142"/>
      <c r="C25" s="142"/>
      <c r="D25" s="142"/>
      <c r="E25" s="142"/>
      <c r="F25" s="142"/>
    </row>
    <row r="26" spans="2:18" x14ac:dyDescent="0.2">
      <c r="B26" s="142"/>
      <c r="C26" s="142"/>
      <c r="D26" s="142"/>
      <c r="E26" s="142"/>
      <c r="F26" s="142"/>
    </row>
    <row r="27" spans="2:18" x14ac:dyDescent="0.2">
      <c r="B27" s="142"/>
      <c r="C27" s="142"/>
      <c r="D27" s="142"/>
      <c r="E27" s="142"/>
      <c r="F27" s="142"/>
    </row>
    <row r="28" spans="2:18" x14ac:dyDescent="0.2">
      <c r="B28" s="142"/>
      <c r="C28" s="142"/>
      <c r="D28" s="142"/>
      <c r="E28" s="142"/>
      <c r="F28" s="142"/>
    </row>
    <row r="29" spans="2:18" x14ac:dyDescent="0.2">
      <c r="B29" s="142"/>
      <c r="C29" s="142"/>
      <c r="D29" s="142"/>
      <c r="E29" s="142"/>
      <c r="F29" s="142"/>
    </row>
    <row r="30" spans="2:18" x14ac:dyDescent="0.2">
      <c r="B30" s="142"/>
      <c r="C30" s="142"/>
      <c r="D30" s="142"/>
      <c r="E30" s="142"/>
      <c r="F30" s="142"/>
    </row>
    <row r="31" spans="2:18" x14ac:dyDescent="0.2">
      <c r="B31" s="142"/>
      <c r="C31" s="142"/>
      <c r="D31" s="142"/>
      <c r="E31" s="142"/>
      <c r="F31" s="142"/>
    </row>
    <row r="32" spans="2:18" x14ac:dyDescent="0.2">
      <c r="B32" s="142"/>
      <c r="C32" s="142"/>
      <c r="D32" s="142"/>
      <c r="E32" s="142"/>
      <c r="F32" s="151" t="str">
        <f>IF(Rcl_actual&gt;1.06*Rcl_target,"SELECT A VALUE WITHIN 5% OF TARGET",IF(Rcl_actual&lt;0.94*Rcl_target,"SELECT A VALUE WITHIN 5% OF TARGET",""))</f>
        <v/>
      </c>
    </row>
    <row r="33" spans="5:6" x14ac:dyDescent="0.2">
      <c r="E33" s="142"/>
      <c r="F33" s="142"/>
    </row>
  </sheetData>
  <sheetProtection password="ED1D" sheet="1" selectLockedCells="1"/>
  <mergeCells count="12">
    <mergeCell ref="B2:I2"/>
    <mergeCell ref="B3:I3"/>
    <mergeCell ref="F4:I4"/>
    <mergeCell ref="B4:D4"/>
    <mergeCell ref="B5:D5"/>
    <mergeCell ref="B24:I24"/>
    <mergeCell ref="B6:D6"/>
    <mergeCell ref="F7:I7"/>
    <mergeCell ref="G16:H16"/>
    <mergeCell ref="G17:H17"/>
    <mergeCell ref="F12:I12"/>
    <mergeCell ref="B18:D18"/>
  </mergeCells>
  <phoneticPr fontId="2" type="noConversion"/>
  <dataValidations count="2">
    <dataValidation type="list" allowBlank="1" showInputMessage="1" showErrorMessage="1" sqref="C19">
      <formula1>$K$8:$K$9</formula1>
    </dataValidation>
    <dataValidation type="list" allowBlank="1" showInputMessage="1" showErrorMessage="1" sqref="K23">
      <formula1>$K$6:$K$7</formula1>
    </dataValidation>
  </dataValidations>
  <pageMargins left="0.75" right="0.75" top="1" bottom="1" header="0.5" footer="0.5"/>
  <pageSetup scale="6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1"/>
  <sheetViews>
    <sheetView topLeftCell="B10" zoomScale="130" zoomScaleNormal="130" workbookViewId="0">
      <selection activeCell="C9" sqref="C9"/>
    </sheetView>
  </sheetViews>
  <sheetFormatPr defaultColWidth="9.140625" defaultRowHeight="12.75" x14ac:dyDescent="0.2"/>
  <cols>
    <col min="1" max="1" width="50.7109375" style="1" customWidth="1"/>
    <col min="2" max="4" width="9.7109375" style="1" customWidth="1"/>
    <col min="5" max="5" width="50.7109375" style="1" customWidth="1"/>
    <col min="6" max="8" width="9.7109375" style="1" customWidth="1"/>
    <col min="9" max="16384" width="9.140625" style="1"/>
  </cols>
  <sheetData>
    <row r="1" spans="1:11" ht="20.25" x14ac:dyDescent="0.2">
      <c r="A1" s="212" t="s">
        <v>23</v>
      </c>
      <c r="B1" s="212"/>
      <c r="C1" s="212"/>
      <c r="D1" s="212"/>
      <c r="E1" s="212"/>
      <c r="F1" s="212"/>
      <c r="G1" s="212"/>
    </row>
    <row r="2" spans="1:11" ht="13.5" thickBot="1" x14ac:dyDescent="0.25">
      <c r="K2" s="76"/>
    </row>
    <row r="3" spans="1:11" x14ac:dyDescent="0.2">
      <c r="A3" s="209" t="s">
        <v>36</v>
      </c>
      <c r="B3" s="210"/>
      <c r="C3" s="211"/>
      <c r="E3" s="209" t="s">
        <v>78</v>
      </c>
      <c r="F3" s="210"/>
      <c r="G3" s="211"/>
    </row>
    <row r="4" spans="1:11" ht="16.5" thickBot="1" x14ac:dyDescent="0.25">
      <c r="A4" s="53" t="s">
        <v>29</v>
      </c>
      <c r="B4" s="56">
        <f>Vmin*SQRT(2)</f>
        <v>254.55844122715712</v>
      </c>
      <c r="C4" s="54" t="s">
        <v>25</v>
      </c>
      <c r="E4" s="65" t="s">
        <v>99</v>
      </c>
      <c r="F4" s="80">
        <v>30</v>
      </c>
      <c r="G4" s="66" t="s">
        <v>25</v>
      </c>
    </row>
    <row r="5" spans="1:11" ht="13.5" thickBot="1" x14ac:dyDescent="0.25">
      <c r="A5" s="53" t="s">
        <v>7</v>
      </c>
      <c r="B5" s="56">
        <f>Vmax*SQRT(2)</f>
        <v>367.69552621700473</v>
      </c>
      <c r="C5" s="54" t="s">
        <v>25</v>
      </c>
    </row>
    <row r="6" spans="1:11" x14ac:dyDescent="0.2">
      <c r="A6" s="53" t="s">
        <v>26</v>
      </c>
      <c r="B6" s="56">
        <f>Vout*Iout</f>
        <v>30</v>
      </c>
      <c r="C6" s="54" t="s">
        <v>24</v>
      </c>
      <c r="E6" s="209" t="s">
        <v>95</v>
      </c>
      <c r="F6" s="210"/>
      <c r="G6" s="211"/>
    </row>
    <row r="7" spans="1:11" ht="15.75" x14ac:dyDescent="0.2">
      <c r="A7" s="53" t="s">
        <v>45</v>
      </c>
      <c r="B7" s="51">
        <f>IF(Vout&gt;=12,0.85,0.8)</f>
        <v>0.85</v>
      </c>
      <c r="C7" s="54"/>
      <c r="E7" s="53" t="s">
        <v>96</v>
      </c>
      <c r="F7" s="51">
        <f>IF(10*Ciss*10^-12&lt;0.1*10^-6,0.1,10*Ciss*10^-12*10^6)</f>
        <v>0.1</v>
      </c>
      <c r="G7" s="72" t="s">
        <v>61</v>
      </c>
    </row>
    <row r="8" spans="1:11" ht="15.75" x14ac:dyDescent="0.2">
      <c r="A8" s="53" t="s">
        <v>46</v>
      </c>
      <c r="B8" s="56">
        <f>Pout/eff</f>
        <v>35.294117647058826</v>
      </c>
      <c r="C8" s="54" t="s">
        <v>24</v>
      </c>
      <c r="E8" s="53" t="s">
        <v>102</v>
      </c>
      <c r="F8" s="51">
        <v>30</v>
      </c>
      <c r="G8" s="54" t="s">
        <v>25</v>
      </c>
    </row>
    <row r="9" spans="1:11" ht="15.75" x14ac:dyDescent="0.2">
      <c r="A9" s="53" t="s">
        <v>47</v>
      </c>
      <c r="B9" s="56">
        <f>Pin/(Vmin*0.4)</f>
        <v>0.49019607843137258</v>
      </c>
      <c r="C9" s="54" t="s">
        <v>14</v>
      </c>
      <c r="E9" s="53" t="s">
        <v>100</v>
      </c>
      <c r="F9" s="56">
        <f>(Ciss*10^-12*16*fswmax*10^3)*10^3</f>
        <v>4.510476190476191</v>
      </c>
      <c r="G9" s="54" t="s">
        <v>97</v>
      </c>
    </row>
    <row r="10" spans="1:11" ht="15.75" x14ac:dyDescent="0.2">
      <c r="A10" s="53" t="s">
        <v>48</v>
      </c>
      <c r="B10" s="56">
        <f>SQRT(2)*Iin_rms</f>
        <v>0.69324194233975256</v>
      </c>
      <c r="C10" s="54" t="s">
        <v>14</v>
      </c>
      <c r="E10" s="53" t="s">
        <v>101</v>
      </c>
      <c r="F10" s="51">
        <v>4</v>
      </c>
      <c r="G10" s="54" t="s">
        <v>14</v>
      </c>
    </row>
    <row r="11" spans="1:11" ht="15.75" x14ac:dyDescent="0.2">
      <c r="A11" s="53" t="s">
        <v>49</v>
      </c>
      <c r="B11" s="56">
        <f>2*Iin_peak/PI()</f>
        <v>0.44133152752799326</v>
      </c>
      <c r="C11" s="54" t="s">
        <v>14</v>
      </c>
      <c r="E11" s="53" t="s">
        <v>103</v>
      </c>
      <c r="F11" s="56">
        <f>Vbulk_min/((15*10^-6)+((Cvgg*10^-6)*10.7))*10^-6</f>
        <v>14.613434864001201</v>
      </c>
      <c r="G11" s="54" t="s">
        <v>104</v>
      </c>
    </row>
    <row r="12" spans="1:11" ht="16.5" thickBot="1" x14ac:dyDescent="0.25">
      <c r="A12" s="53" t="s">
        <v>72</v>
      </c>
      <c r="B12" s="56">
        <f>1/(0.007875)</f>
        <v>126.98412698412699</v>
      </c>
      <c r="C12" s="54" t="s">
        <v>27</v>
      </c>
      <c r="E12" s="65" t="s">
        <v>105</v>
      </c>
      <c r="F12" s="79">
        <f>MROUND(Vin_max,100)</f>
        <v>400</v>
      </c>
      <c r="G12" s="66" t="s">
        <v>25</v>
      </c>
    </row>
    <row r="13" spans="1:11" ht="13.5" thickBot="1" x14ac:dyDescent="0.25">
      <c r="A13" s="65" t="s">
        <v>73</v>
      </c>
      <c r="B13" s="74">
        <f>1/0.038</f>
        <v>26.315789473684212</v>
      </c>
      <c r="C13" s="66" t="s">
        <v>27</v>
      </c>
    </row>
    <row r="14" spans="1:11" ht="13.5" thickBot="1" x14ac:dyDescent="0.25">
      <c r="E14" s="209" t="s">
        <v>106</v>
      </c>
      <c r="F14" s="210"/>
      <c r="G14" s="211"/>
    </row>
    <row r="15" spans="1:11" ht="15.75" x14ac:dyDescent="0.2">
      <c r="A15" s="209" t="s">
        <v>35</v>
      </c>
      <c r="B15" s="210"/>
      <c r="C15" s="211"/>
      <c r="E15" s="53" t="s">
        <v>107</v>
      </c>
      <c r="F15" s="51">
        <v>100</v>
      </c>
      <c r="G15" s="54" t="s">
        <v>63</v>
      </c>
    </row>
    <row r="16" spans="1:11" ht="16.5" thickBot="1" x14ac:dyDescent="0.25">
      <c r="A16" s="53" t="s">
        <v>28</v>
      </c>
      <c r="B16" s="56">
        <f>Icin</f>
        <v>0.26894862165886363</v>
      </c>
      <c r="C16" s="54" t="s">
        <v>14</v>
      </c>
      <c r="E16" s="65" t="s">
        <v>108</v>
      </c>
      <c r="F16" s="74">
        <f>(IF((10^(LOG((1/(2*PI()*3*fswmin*10^3*Cfb*10^-12))*10^-3)-INT(LOG((1/(2*PI()*3*fswmin*10^3*Cfb*10^-12))*10^-3)))*100)-VLOOKUP((10^(LOG((1/(2*PI()*3*fswmin*10^3*Cfb*10^-12))*10^-3)-INT(LOG((1/(2*PI()*3*fswmin*10^3*Cfb*10^-12))*10^-3)))*100),E48_s:E48_f,1)&lt;VLOOKUP((10^(LOG((1/(2*PI()*3*fswmin*10^3*Cfb*10^-12))*10^-3)-INT(LOG((1/(2*PI()*3*fswmin*10^3*Cfb*10^-12))*10^-3)))*100),E48_s:E48_f,2)-(10^(LOG((1/(2*PI()*3*fswmin*10^3*Cfb*10^-12))*10^-3)-INT(LOG((1/(2*PI()*3*fswmin*10^3*Cfb*10^-12))*10^-3)))*100),VLOOKUP((10^(LOG((1/(2*PI()*3*fswmin*10^3*Cfb*10^-12))*10^-3)-INT(LOG((1/(2*PI()*3*fswmin*10^3*Cfb*10^-12))*10^-3)))*100),E48_s:E48_f,1),VLOOKUP((10^(LOG((1/(2*PI()*3*fswmin*10^3*Cfb*10^-12))*10^-3)-INT(LOG((1/(2*PI()*3*fswmin*10^3*Cfb*10^-12))*10^-3)))*100),E48_s:E48_f,2)))*10^INT(LOG((1/(2*PI()*3*fswmin*10^3*Cfb*10^-12))*10^-3))/100</f>
        <v>20.5</v>
      </c>
      <c r="G16" s="81" t="s">
        <v>52</v>
      </c>
    </row>
    <row r="17" spans="1:7" ht="13.5" thickBot="1" x14ac:dyDescent="0.25">
      <c r="A17" s="65" t="s">
        <v>42</v>
      </c>
      <c r="B17" s="79">
        <f>MROUND(Vin_max,100)</f>
        <v>400</v>
      </c>
      <c r="C17" s="66" t="s">
        <v>25</v>
      </c>
    </row>
    <row r="18" spans="1:7" ht="13.5" thickBot="1" x14ac:dyDescent="0.25">
      <c r="E18" s="209" t="s">
        <v>112</v>
      </c>
      <c r="F18" s="210"/>
      <c r="G18" s="211"/>
    </row>
    <row r="19" spans="1:7" ht="15.75" x14ac:dyDescent="0.2">
      <c r="A19" s="209" t="s">
        <v>76</v>
      </c>
      <c r="B19" s="210"/>
      <c r="C19" s="211"/>
      <c r="E19" s="53" t="s">
        <v>110</v>
      </c>
      <c r="F19" s="51">
        <f>Lookup!C9</f>
        <v>115</v>
      </c>
      <c r="G19" s="82" t="s">
        <v>52</v>
      </c>
    </row>
    <row r="20" spans="1:7" ht="16.5" thickBot="1" x14ac:dyDescent="0.25">
      <c r="A20" s="53" t="s">
        <v>43</v>
      </c>
      <c r="B20" s="51">
        <f>MROUND(Vin_max,100)</f>
        <v>400</v>
      </c>
      <c r="C20" s="54" t="s">
        <v>25</v>
      </c>
      <c r="E20" s="65" t="s">
        <v>116</v>
      </c>
      <c r="F20" s="74">
        <f>(IF(FAULT="SHUTDOWN/RETRY",(Rmot*10^3)/(2*10^10),(Rmot*10^3)/(1*10^11)))*10^6</f>
        <v>5.75</v>
      </c>
      <c r="G20" s="75" t="s">
        <v>59</v>
      </c>
    </row>
    <row r="21" spans="1:7" ht="13.5" thickBot="1" x14ac:dyDescent="0.25">
      <c r="A21" s="53" t="s">
        <v>30</v>
      </c>
      <c r="B21" s="56">
        <f>IF(Cin_actual="",Cin_target,Cin_actual)</f>
        <v>68</v>
      </c>
      <c r="C21" s="72" t="s">
        <v>31</v>
      </c>
    </row>
    <row r="22" spans="1:7" x14ac:dyDescent="0.2">
      <c r="A22" s="53" t="s">
        <v>32</v>
      </c>
      <c r="B22" s="56">
        <f>Vin_min-Vbulk_min</f>
        <v>19.720542962657817</v>
      </c>
      <c r="C22" s="54" t="s">
        <v>25</v>
      </c>
      <c r="E22" s="209" t="s">
        <v>113</v>
      </c>
      <c r="F22" s="210"/>
      <c r="G22" s="211"/>
    </row>
    <row r="23" spans="1:7" ht="15.75" x14ac:dyDescent="0.2">
      <c r="A23" s="53" t="s">
        <v>34</v>
      </c>
      <c r="B23" s="56">
        <f>IF(Cin_actual="",Lookup!O58,Lookup!S58)</f>
        <v>234.8378982644993</v>
      </c>
      <c r="C23" s="54" t="s">
        <v>25</v>
      </c>
      <c r="E23" s="53" t="s">
        <v>114</v>
      </c>
      <c r="F23" s="77">
        <f>(IF((10^(LOG(((Vout+0.7)/(100*10^-6))*(Nps/Npb)*10^-3)-INT(LOG(((Vout+0.7)/(100*10^-6))*(Nps/Npb)*10^-3)))*100)-VLOOKUP((10^(LOG(((Vout+0.7)/(100*10^-6))*(Nps/Npb)*10^-3)-INT(LOG(((Vout+0.7)/(100*10^-6))*(Nps/Npb)*10^-3)))*100),E48_s:E48_f,1)&lt;VLOOKUP((10^(LOG(((Vout+0.7)/(100*10^-6))*(Nps/Npb)*10^-3)-INT(LOG(((Vout+0.7)/(100*10^-6))*(Nps/Npb)*10^-3)))*100),E48_s:E48_f,2)-(10^(LOG(((Vout+0.7)/(100*10^-6))*(Nps/Npb)*10^-3)-INT(LOG(((Vout+0.7)/(100*10^-6))*(Nps/Npb)*10^-3)))*100),VLOOKUP((10^(LOG(((Vout+0.7)/(100*10^-6))*(Nps/Npb)*10^-3)-INT(LOG(((Vout+0.7)/(100*10^-6))*(Nps/Npb)*10^-3)))*100),E48_s:E48_f,1),VLOOKUP((10^(LOG(((Vout+0.7)/(100*10^-6))*(Nps/Npb)*10^-3)-INT(LOG(((Vout+0.7)/(100*10^-6))*(Nps/Npb)*10^-3)))*100),E48_s:E48_f,2)))*10^INT(LOG(((Vout+0.7)/(100*10^-6))*(Nps/Npb)*10^-3))/100</f>
        <v>68.099999999999994</v>
      </c>
      <c r="G23" s="82" t="s">
        <v>52</v>
      </c>
    </row>
    <row r="24" spans="1:7" ht="16.5" thickBot="1" x14ac:dyDescent="0.25">
      <c r="A24" s="65" t="s">
        <v>44</v>
      </c>
      <c r="B24" s="74">
        <f>Cin*10^-6*(Vin_min-Vbulk_min)/(Lookup!O51-Lookup!O49)/SQRT(3)</f>
        <v>0.26894862165886363</v>
      </c>
      <c r="C24" s="66" t="s">
        <v>14</v>
      </c>
      <c r="E24" s="53" t="s">
        <v>115</v>
      </c>
      <c r="F24" s="51">
        <f>(IF((10^(LOG((4.85*Rzcd1)/(Vovp*(Nps/Npb)-4.85))-INT(LOG((4.85*Rzcd1)/(Vovp*(Nps/Npb)-4.85))))*100)-VLOOKUP((10^(LOG((4.85*Rzcd1)/(Vovp*(Nps/Npb)-4.85))-INT(LOG((4.85*Rzcd1)/(Vovp*(Nps/Npb)-4.85))))*100),E48_s:E48_f,1)&lt;VLOOKUP((10^(LOG((4.85*Rzcd1)/(Vovp*(Nps/Npb)-4.85))-INT(LOG((4.85*Rzcd1)/(Vovp*(Nps/Npb)-4.85))))*100),E48_s:E48_f,2)-(10^(LOG((4.85*Rzcd1)/(Vovp*(Nps/Npb)-4.85))-INT(LOG((4.85*Rzcd1)/(Vovp*(Nps/Npb)-4.85))))*100),VLOOKUP((10^(LOG((4.85*Rzcd1)/(Vovp*(Nps/Npb)-4.85))-INT(LOG((4.85*Rzcd1)/(Vovp*(Nps/Npb)-4.85))))*100),E48_s:E48_f,1),VLOOKUP((10^(LOG((4.85*Rzcd1)/(Vovp*(Nps/Npb)-4.85))-INT(LOG((4.85*Rzcd1)/(Vovp*(Nps/Npb)-4.85))))*100),E48_s:E48_f,2)))*10^INT(LOG((4.85*Rzcd1)/(Vovp*(Nps/Npb)-4.85)))/100</f>
        <v>105</v>
      </c>
      <c r="G24" s="82" t="s">
        <v>52</v>
      </c>
    </row>
    <row r="25" spans="1:7" ht="13.5" thickBot="1" x14ac:dyDescent="0.25">
      <c r="E25" s="65" t="s">
        <v>15</v>
      </c>
      <c r="F25" s="74">
        <f>4.85*Npb*(Rzcd1+Rzcd2)/(Rzcd2*Nps)</f>
        <v>17.99003571428571</v>
      </c>
      <c r="G25" s="81" t="s">
        <v>25</v>
      </c>
    </row>
    <row r="26" spans="1:7" ht="15" thickBot="1" x14ac:dyDescent="0.25">
      <c r="A26" s="209" t="s">
        <v>77</v>
      </c>
      <c r="B26" s="210"/>
      <c r="C26" s="211"/>
    </row>
    <row r="27" spans="1:7" ht="14.25" x14ac:dyDescent="0.2">
      <c r="A27" s="53" t="s">
        <v>40</v>
      </c>
      <c r="B27" s="56">
        <f>IF(Nps_actual="",Nps_target,Nps_actual)</f>
        <v>6</v>
      </c>
      <c r="C27" s="54"/>
      <c r="E27" s="209" t="s">
        <v>119</v>
      </c>
      <c r="F27" s="210"/>
      <c r="G27" s="211"/>
    </row>
    <row r="28" spans="1:7" x14ac:dyDescent="0.2">
      <c r="A28" s="53" t="s">
        <v>92</v>
      </c>
      <c r="B28" s="56">
        <f>Nps*(Vout+0.7)</f>
        <v>94.199999999999989</v>
      </c>
      <c r="C28" s="54" t="s">
        <v>25</v>
      </c>
      <c r="E28" s="53" t="s">
        <v>117</v>
      </c>
      <c r="F28" s="56">
        <f>((Vin_max/Nps)+Vout)*1.3</f>
        <v>99.167364013684363</v>
      </c>
      <c r="G28" s="54" t="s">
        <v>25</v>
      </c>
    </row>
    <row r="29" spans="1:7" x14ac:dyDescent="0.2">
      <c r="A29" s="53" t="s">
        <v>50</v>
      </c>
      <c r="B29" s="56">
        <f>IF(Lp_actual="",Lp_target,Lp_actual)</f>
        <v>500</v>
      </c>
      <c r="C29" s="72" t="s">
        <v>33</v>
      </c>
      <c r="E29" s="53" t="s">
        <v>118</v>
      </c>
      <c r="F29" s="56">
        <f>Isrms</f>
        <v>4.0734537906273127</v>
      </c>
      <c r="G29" s="54" t="s">
        <v>14</v>
      </c>
    </row>
    <row r="30" spans="1:7" ht="13.5" thickBot="1" x14ac:dyDescent="0.25">
      <c r="A30" s="53" t="s">
        <v>53</v>
      </c>
      <c r="B30" s="56">
        <f>IF(Npb_actual="",Npb_target,Npb_actual)</f>
        <v>13.5</v>
      </c>
      <c r="C30" s="54"/>
      <c r="E30" s="65" t="s">
        <v>133</v>
      </c>
      <c r="F30" s="74">
        <f>Ipeak_sec</f>
        <v>7.6238881829733165</v>
      </c>
      <c r="G30" s="66" t="s">
        <v>14</v>
      </c>
    </row>
    <row r="31" spans="1:7" ht="13.5" thickBot="1" x14ac:dyDescent="0.25">
      <c r="A31" s="53" t="s">
        <v>51</v>
      </c>
      <c r="B31" s="56">
        <f>IF(Lleak_actual="",Lleak_target,Lleak_actual)</f>
        <v>5</v>
      </c>
      <c r="C31" s="72" t="s">
        <v>33</v>
      </c>
    </row>
    <row r="32" spans="1:7" ht="14.25" x14ac:dyDescent="0.2">
      <c r="A32" s="53" t="s">
        <v>58</v>
      </c>
      <c r="B32" s="56">
        <f>((Idrv*Lp*10^-6)/Vbulk_min)*10^6</f>
        <v>2.7053725993246935</v>
      </c>
      <c r="C32" s="72" t="s">
        <v>59</v>
      </c>
      <c r="E32" s="209" t="s">
        <v>120</v>
      </c>
      <c r="F32" s="210"/>
      <c r="G32" s="211"/>
    </row>
    <row r="33" spans="1:7" x14ac:dyDescent="0.2">
      <c r="A33" s="53" t="s">
        <v>60</v>
      </c>
      <c r="B33" s="56">
        <f>(Lp*10^-6*Idrv/((Vout+0.7)*Nps))*10^6</f>
        <v>6.7444162977470965</v>
      </c>
      <c r="C33" s="72" t="s">
        <v>59</v>
      </c>
      <c r="E33" s="53" t="s">
        <v>123</v>
      </c>
      <c r="F33" s="56">
        <f>IF(Cout_actual="",Cout_target,Cout_actual)</f>
        <v>100</v>
      </c>
      <c r="G33" s="72" t="s">
        <v>61</v>
      </c>
    </row>
    <row r="34" spans="1:7" x14ac:dyDescent="0.2">
      <c r="A34" s="53" t="s">
        <v>64</v>
      </c>
      <c r="B34" s="56">
        <f>PI()*SQRT(Lp*Coss)</f>
        <v>1088.2796185405307</v>
      </c>
      <c r="C34" s="82" t="s">
        <v>66</v>
      </c>
      <c r="E34" s="53" t="s">
        <v>124</v>
      </c>
      <c r="F34" s="56">
        <f>Vovp*1.1</f>
        <v>19.8</v>
      </c>
      <c r="G34" s="54" t="s">
        <v>25</v>
      </c>
    </row>
    <row r="35" spans="1:7" x14ac:dyDescent="0.2">
      <c r="A35" s="53" t="s">
        <v>74</v>
      </c>
      <c r="B35" s="56">
        <f>IF((1/((ton*10^-6)+(tdemag*10^-6)+(tres*10^-9)))*10^-3&gt;fswmax,fswmax,(1/((ton*10^-6)+(tdemag*10^-6)+(tres*10^-9)))*10^-3)</f>
        <v>94.894049940791675</v>
      </c>
      <c r="C35" s="82" t="s">
        <v>27</v>
      </c>
      <c r="E35" s="53" t="s">
        <v>125</v>
      </c>
      <c r="F35" s="56">
        <f>SQRT(Iout^2+(((Lp*10^-6)*Idrv*(fswmax*10^3))/Vbulk_min)*((Ipeak_sec*(-Iout))+((Ipeak_sec^2)/3)))</f>
        <v>2.3275978290775492</v>
      </c>
      <c r="G35" s="54" t="s">
        <v>14</v>
      </c>
    </row>
    <row r="36" spans="1:7" x14ac:dyDescent="0.2">
      <c r="A36" s="53" t="s">
        <v>91</v>
      </c>
      <c r="B36" s="56">
        <f>100/Rcl</f>
        <v>1.2706480304955527</v>
      </c>
      <c r="C36" s="54" t="s">
        <v>14</v>
      </c>
      <c r="E36" s="53" t="s">
        <v>140</v>
      </c>
      <c r="F36" s="56">
        <f>IF(ESR_actual="",ESR_target,ESR_actual)</f>
        <v>10</v>
      </c>
      <c r="G36" s="54" t="s">
        <v>137</v>
      </c>
    </row>
    <row r="37" spans="1:7" ht="13.5" thickBot="1" x14ac:dyDescent="0.25">
      <c r="A37" s="53" t="s">
        <v>70</v>
      </c>
      <c r="B37" s="56">
        <f>Idrv*SQRT((ton*10^-6)*(fswmax*10^3)/3)</f>
        <v>0.42998460107669317</v>
      </c>
      <c r="C37" s="82" t="s">
        <v>14</v>
      </c>
      <c r="E37" s="65" t="s">
        <v>139</v>
      </c>
      <c r="F37" s="74">
        <f>(SQRT(((Ipeak_sec*(ESRtotal*10^-3))^2)+((Iout*(ton*10^-6))/(Cout*10^-6))^2))*10^3</f>
        <v>93.487878696217933</v>
      </c>
      <c r="G37" s="66" t="s">
        <v>141</v>
      </c>
    </row>
    <row r="38" spans="1:7" ht="13.5" thickBot="1" x14ac:dyDescent="0.25">
      <c r="A38" s="53" t="s">
        <v>67</v>
      </c>
      <c r="B38" s="56">
        <f>Idrv*Nps</f>
        <v>7.6238881829733165</v>
      </c>
      <c r="C38" s="82" t="s">
        <v>14</v>
      </c>
    </row>
    <row r="39" spans="1:7" x14ac:dyDescent="0.2">
      <c r="A39" s="53" t="s">
        <v>71</v>
      </c>
      <c r="B39" s="56">
        <f>Ipeak_sec*(SQRT((tdemag*10^-6)*fswmax*10^3/3))</f>
        <v>4.0734537906273127</v>
      </c>
      <c r="C39" s="82" t="s">
        <v>14</v>
      </c>
      <c r="E39" s="206" t="s">
        <v>134</v>
      </c>
      <c r="F39" s="207"/>
      <c r="G39" s="208"/>
    </row>
    <row r="40" spans="1:7" ht="13.5" thickBot="1" x14ac:dyDescent="0.25">
      <c r="A40" s="65" t="s">
        <v>55</v>
      </c>
      <c r="B40" s="74">
        <f>(((Vout+0.7)*Nps)-Npb*0.7)/Npb</f>
        <v>6.2777777777777768</v>
      </c>
      <c r="C40" s="66" t="s">
        <v>25</v>
      </c>
      <c r="E40" s="53" t="s">
        <v>142</v>
      </c>
      <c r="F40" s="51">
        <f>Vout-1.5</f>
        <v>13.5</v>
      </c>
      <c r="G40" s="54" t="s">
        <v>25</v>
      </c>
    </row>
    <row r="41" spans="1:7" ht="13.5" thickBot="1" x14ac:dyDescent="0.25">
      <c r="E41" s="53" t="s">
        <v>143</v>
      </c>
      <c r="F41" s="51">
        <f>(IF((10^(LOG(((Vout+0.7)-1.35-Vzener)/(2*10^-3))-INT(LOG(((Vout+0.7)-1.35-Vzener)/(2*10^-3))))*100)-VLOOKUP((10^(LOG(((Vout+0.7)-1.35-Vzener)/(2*10^-3))-INT(LOG(((Vout+0.7)-1.35-Vzener)/(2*10^-3))))*100),E48_s:E48_f,1)&lt;VLOOKUP((10^(LOG(((Vout+0.7)-1.35-Vzener)/(2*10^-3))-INT(LOG(((Vout+0.7)-1.35-Vzener)/(2*10^-3))))*100),E48_s:E48_f,2)-(10^(LOG(((Vout+0.7)-1.35-Vzener)/(2*10^-3))-INT(LOG(((Vout+0.7)-1.35-Vzener)/(2*10^-3))))*100),VLOOKUP((10^(LOG(((Vout+0.7)-1.35-Vzener)/(2*10^-3))-INT(LOG(((Vout+0.7)-1.35-Vzener)/(2*10^-3))))*100),E48_s:E48_f,1),VLOOKUP((10^(LOG(((Vout+0.7)-1.35-Vzener)/(2*10^-3))-INT(LOG(((Vout+0.7)-1.35-Vzener)/(2*10^-3))))*100),E48_s:E48_f,2)))*10^INT(LOG(((Vout+0.7)-1.35-Vzener)/(2*10^-3)))/100</f>
        <v>422</v>
      </c>
      <c r="G41" s="72" t="s">
        <v>24</v>
      </c>
    </row>
    <row r="42" spans="1:7" ht="13.5" thickBot="1" x14ac:dyDescent="0.25">
      <c r="A42" s="206" t="s">
        <v>75</v>
      </c>
      <c r="B42" s="207"/>
      <c r="C42" s="208"/>
      <c r="E42" s="65" t="s">
        <v>144</v>
      </c>
      <c r="F42" s="80">
        <f>(F41*2*10^-3)+1.4+Vzener</f>
        <v>15.744</v>
      </c>
      <c r="G42" s="66" t="s">
        <v>25</v>
      </c>
    </row>
    <row r="43" spans="1:7" ht="16.5" thickBot="1" x14ac:dyDescent="0.25">
      <c r="A43" s="53" t="s">
        <v>93</v>
      </c>
      <c r="B43" s="51">
        <f>Lookup!C7</f>
        <v>78.7</v>
      </c>
      <c r="C43" s="82" t="s">
        <v>52</v>
      </c>
    </row>
    <row r="44" spans="1:7" x14ac:dyDescent="0.2">
      <c r="A44" s="53" t="s">
        <v>81</v>
      </c>
      <c r="B44" s="56">
        <f>100/Rcl</f>
        <v>1.2706480304955527</v>
      </c>
      <c r="C44" s="82" t="s">
        <v>14</v>
      </c>
      <c r="E44" s="206" t="s">
        <v>135</v>
      </c>
      <c r="F44" s="207"/>
      <c r="G44" s="208"/>
    </row>
    <row r="45" spans="1:7" x14ac:dyDescent="0.2">
      <c r="A45" s="53" t="s">
        <v>56</v>
      </c>
      <c r="B45" s="56">
        <f>Nps*Idrv/2</f>
        <v>3.8119440914866582</v>
      </c>
      <c r="C45" s="54" t="s">
        <v>14</v>
      </c>
      <c r="E45" s="53" t="s">
        <v>147</v>
      </c>
      <c r="F45" s="56">
        <f>(Vdsrating*0.85)-(Vin_max+Vflyback)</f>
        <v>48.104473782995285</v>
      </c>
      <c r="G45" s="54" t="s">
        <v>25</v>
      </c>
    </row>
    <row r="46" spans="1:7" x14ac:dyDescent="0.2">
      <c r="A46" s="155" t="s">
        <v>57</v>
      </c>
      <c r="B46" s="156">
        <f>Nps*Idrv/SQRT(3)</f>
        <v>4.4016538947112513</v>
      </c>
      <c r="C46" s="157" t="s">
        <v>14</v>
      </c>
      <c r="E46" s="53" t="s">
        <v>145</v>
      </c>
      <c r="F46" s="69">
        <f>Lookup!N7</f>
        <v>180</v>
      </c>
      <c r="G46" s="54" t="s">
        <v>63</v>
      </c>
    </row>
    <row r="47" spans="1:7" ht="15.75" x14ac:dyDescent="0.2">
      <c r="A47" s="158" t="s">
        <v>288</v>
      </c>
      <c r="B47" s="56">
        <f>eff*0.54*(Lp*0.9)*(33.2^2)/(Rcl*1.01)^2</f>
        <v>36.03372455503434</v>
      </c>
      <c r="C47" s="54" t="s">
        <v>24</v>
      </c>
      <c r="E47" s="53" t="s">
        <v>149</v>
      </c>
      <c r="F47" s="56">
        <f>Lookup!C11</f>
        <v>442</v>
      </c>
      <c r="G47" s="54" t="s">
        <v>52</v>
      </c>
    </row>
    <row r="48" spans="1:7" ht="15.75" x14ac:dyDescent="0.2">
      <c r="A48" s="158" t="s">
        <v>289</v>
      </c>
      <c r="B48" s="56">
        <f>eff*0.6*(Lp)*(33.2^2)/(Rcl^2)</f>
        <v>45.380249899494494</v>
      </c>
      <c r="C48" s="82" t="s">
        <v>24</v>
      </c>
      <c r="E48" s="53" t="s">
        <v>150</v>
      </c>
      <c r="F48" s="56">
        <f>(0.5*(Lleak*10^-6)*Idrv^2*(fswmax*10^3))+((Vout+0.7)^2)/(Rsnub1*10^3)</f>
        <v>0.51311208790618712</v>
      </c>
      <c r="G48" s="54" t="s">
        <v>24</v>
      </c>
    </row>
    <row r="49" spans="1:7" ht="16.5" thickBot="1" x14ac:dyDescent="0.25">
      <c r="A49" s="145" t="s">
        <v>290</v>
      </c>
      <c r="B49" s="74">
        <f>eff*0.66*(Lp*1.1*(33.2^2)/(Rcl*0.99)^2)</f>
        <v>56.024999875919136</v>
      </c>
      <c r="C49" s="81" t="s">
        <v>24</v>
      </c>
      <c r="E49" s="53" t="s">
        <v>151</v>
      </c>
      <c r="F49" s="56">
        <f>Lookup!C13</f>
        <v>147</v>
      </c>
      <c r="G49" s="72" t="s">
        <v>24</v>
      </c>
    </row>
    <row r="50" spans="1:7" ht="16.5" thickBot="1" x14ac:dyDescent="0.25">
      <c r="E50" s="65" t="s">
        <v>153</v>
      </c>
      <c r="F50" s="74">
        <f>4*(Csnub*10^-12)^2*(Vdsrating^2)*(fswmax*10^3)^2*Rsnub2</f>
        <v>0.11059199999999998</v>
      </c>
      <c r="G50" s="66" t="s">
        <v>24</v>
      </c>
    </row>
    <row r="51" spans="1:7" ht="13.5" thickBot="1" x14ac:dyDescent="0.25">
      <c r="A51" s="209" t="s">
        <v>38</v>
      </c>
      <c r="B51" s="210"/>
      <c r="C51" s="211"/>
    </row>
    <row r="52" spans="1:7" ht="15.75" x14ac:dyDescent="0.2">
      <c r="A52" s="53" t="s">
        <v>39</v>
      </c>
      <c r="B52" s="51">
        <f>IF(Vdsrating_actual="",Vdsrating_target,Vdsrating_actual)</f>
        <v>600</v>
      </c>
      <c r="C52" s="54" t="s">
        <v>25</v>
      </c>
      <c r="E52" s="206" t="s">
        <v>164</v>
      </c>
      <c r="F52" s="207"/>
      <c r="G52" s="208"/>
    </row>
    <row r="53" spans="1:7" x14ac:dyDescent="0.2">
      <c r="A53" s="53" t="s">
        <v>83</v>
      </c>
      <c r="B53" s="56">
        <f>100/Rcl</f>
        <v>1.2706480304955527</v>
      </c>
      <c r="C53" s="54" t="s">
        <v>14</v>
      </c>
      <c r="E53" s="213" t="s">
        <v>162</v>
      </c>
      <c r="F53" s="217">
        <f>(Lp*10^-6)*(0.33*Idrv)^2*30*10^3*eff/2</f>
        <v>1.120878668451279</v>
      </c>
      <c r="G53" s="215" t="s">
        <v>24</v>
      </c>
    </row>
    <row r="54" spans="1:7" x14ac:dyDescent="0.2">
      <c r="A54" s="53" t="s">
        <v>82</v>
      </c>
      <c r="B54" s="56">
        <f>Iprms</f>
        <v>0.42998460107669317</v>
      </c>
      <c r="C54" s="82" t="s">
        <v>14</v>
      </c>
      <c r="E54" s="213"/>
      <c r="F54" s="217"/>
      <c r="G54" s="215"/>
    </row>
    <row r="55" spans="1:7" ht="15.75" x14ac:dyDescent="0.2">
      <c r="A55" s="53" t="s">
        <v>65</v>
      </c>
      <c r="B55" s="78">
        <f>IF(Coss_actual="",Coss_target,Coss_actual)</f>
        <v>240</v>
      </c>
      <c r="C55" s="54" t="s">
        <v>63</v>
      </c>
      <c r="E55" s="213" t="s">
        <v>163</v>
      </c>
      <c r="F55" s="217">
        <f>(Lp*10^-6)*Idrv^2*30*10^3*eff/2</f>
        <v>10.292733410939199</v>
      </c>
      <c r="G55" s="215" t="s">
        <v>24</v>
      </c>
    </row>
    <row r="56" spans="1:7" ht="16.5" thickBot="1" x14ac:dyDescent="0.25">
      <c r="A56" s="65" t="s">
        <v>68</v>
      </c>
      <c r="B56" s="80">
        <f>IF(Ciss_actual="",Ciss_target,Ciss_actual)</f>
        <v>2220</v>
      </c>
      <c r="C56" s="66" t="s">
        <v>63</v>
      </c>
      <c r="E56" s="214"/>
      <c r="F56" s="218"/>
      <c r="G56" s="216"/>
    </row>
    <row r="57" spans="1:7" ht="13.5" thickBot="1" x14ac:dyDescent="0.25"/>
    <row r="58" spans="1:7" x14ac:dyDescent="0.2">
      <c r="A58" s="206" t="s">
        <v>79</v>
      </c>
      <c r="B58" s="207"/>
      <c r="C58" s="208"/>
    </row>
    <row r="59" spans="1:7" ht="15.75" x14ac:dyDescent="0.2">
      <c r="A59" s="53" t="s">
        <v>98</v>
      </c>
      <c r="B59" s="56">
        <f>(Vout*(Nps/Npb))+(Vin_max/Npb)+Vbias</f>
        <v>40.181150090148499</v>
      </c>
      <c r="C59" s="54" t="s">
        <v>25</v>
      </c>
    </row>
    <row r="60" spans="1:7" ht="15.75" x14ac:dyDescent="0.2">
      <c r="A60" s="53" t="s">
        <v>248</v>
      </c>
      <c r="B60" s="78">
        <f>900*10^-6/(10*1.9)*10^6</f>
        <v>47.368421052631582</v>
      </c>
      <c r="C60" s="72" t="s">
        <v>61</v>
      </c>
    </row>
    <row r="61" spans="1:7" ht="16.5" thickBot="1" x14ac:dyDescent="0.25">
      <c r="A61" s="65" t="s">
        <v>94</v>
      </c>
      <c r="B61" s="80">
        <f>IF(CEILING(Vbias,5)&lt;25,CEILING(Vbias,5), 22)</f>
        <v>10</v>
      </c>
      <c r="C61" s="66" t="s">
        <v>25</v>
      </c>
    </row>
  </sheetData>
  <sheetProtection password="ED1D" sheet="1" selectLockedCells="1" selectUnlockedCells="1"/>
  <mergeCells count="24">
    <mergeCell ref="A58:C58"/>
    <mergeCell ref="A51:C51"/>
    <mergeCell ref="E55:E56"/>
    <mergeCell ref="G55:G56"/>
    <mergeCell ref="F55:F56"/>
    <mergeCell ref="E53:E54"/>
    <mergeCell ref="F53:F54"/>
    <mergeCell ref="G53:G54"/>
    <mergeCell ref="E18:G18"/>
    <mergeCell ref="A19:C19"/>
    <mergeCell ref="A26:C26"/>
    <mergeCell ref="E22:G22"/>
    <mergeCell ref="A1:G1"/>
    <mergeCell ref="A15:C15"/>
    <mergeCell ref="E14:G14"/>
    <mergeCell ref="E6:G6"/>
    <mergeCell ref="E3:G3"/>
    <mergeCell ref="A3:C3"/>
    <mergeCell ref="A42:C42"/>
    <mergeCell ref="E52:G52"/>
    <mergeCell ref="E27:G27"/>
    <mergeCell ref="E32:G32"/>
    <mergeCell ref="E39:G39"/>
    <mergeCell ref="E44:G44"/>
  </mergeCells>
  <phoneticPr fontId="2" type="noConversion"/>
  <pageMargins left="0.75" right="0.75" top="1" bottom="1" header="0.5" footer="0.5"/>
  <pageSetup scale="48" orientation="portrait" r:id="rId1"/>
  <headerFooter alignWithMargins="0"/>
  <ignoredErrors>
    <ignoredError sqref="B4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1:M97"/>
  <sheetViews>
    <sheetView topLeftCell="A16" zoomScale="175" zoomScaleNormal="175" workbookViewId="0">
      <selection activeCell="A2" sqref="A2"/>
    </sheetView>
  </sheetViews>
  <sheetFormatPr defaultColWidth="9.140625" defaultRowHeight="12.75" x14ac:dyDescent="0.2"/>
  <cols>
    <col min="1" max="1" width="9.140625" style="2"/>
    <col min="2" max="2" width="15.5703125" style="2" customWidth="1"/>
    <col min="3" max="3" width="41.5703125" style="2" customWidth="1"/>
    <col min="4" max="4" width="57.28515625" style="2" customWidth="1"/>
    <col min="5" max="5" width="70.28515625" style="2" customWidth="1"/>
    <col min="6" max="6" width="30" style="2" customWidth="1"/>
    <col min="7" max="12" width="9.140625" style="2"/>
    <col min="13" max="13" width="9.140625" style="93"/>
    <col min="14" max="16384" width="9.140625" style="2"/>
  </cols>
  <sheetData>
    <row r="31" spans="2:4" x14ac:dyDescent="0.2">
      <c r="B31" s="99" t="s">
        <v>166</v>
      </c>
      <c r="C31" s="99" t="s">
        <v>204</v>
      </c>
      <c r="D31" s="99" t="s">
        <v>167</v>
      </c>
    </row>
    <row r="32" spans="2:4" x14ac:dyDescent="0.2">
      <c r="B32" s="95" t="s">
        <v>185</v>
      </c>
      <c r="C32" s="108" t="s">
        <v>238</v>
      </c>
      <c r="D32" s="94" t="s">
        <v>237</v>
      </c>
    </row>
    <row r="33" spans="2:5" x14ac:dyDescent="0.2">
      <c r="B33" s="227" t="s">
        <v>35</v>
      </c>
      <c r="C33" s="136">
        <f>Calculations!B17</f>
        <v>400</v>
      </c>
      <c r="D33" s="236" t="str">
        <f>IF(Calculations!B17="","Not Used","Input Diode Bridge")</f>
        <v>Input Diode Bridge</v>
      </c>
    </row>
    <row r="34" spans="2:5" x14ac:dyDescent="0.2">
      <c r="B34" s="228"/>
      <c r="C34" s="124">
        <f>Ifuse</f>
        <v>0.26894862165886363</v>
      </c>
      <c r="D34" s="237"/>
    </row>
    <row r="35" spans="2:5" x14ac:dyDescent="0.2">
      <c r="B35" s="95" t="s">
        <v>168</v>
      </c>
      <c r="C35" s="123">
        <f>Cfb</f>
        <v>100</v>
      </c>
      <c r="D35" s="111" t="s">
        <v>169</v>
      </c>
    </row>
    <row r="36" spans="2:5" x14ac:dyDescent="0.2">
      <c r="B36" s="231" t="s">
        <v>174</v>
      </c>
      <c r="C36" s="229">
        <f>Cin</f>
        <v>68</v>
      </c>
      <c r="D36" s="125">
        <f>Calculations!B20</f>
        <v>400</v>
      </c>
    </row>
    <row r="37" spans="2:5" x14ac:dyDescent="0.2">
      <c r="B37" s="231"/>
      <c r="C37" s="230"/>
      <c r="D37" s="127">
        <f>Icin</f>
        <v>0.26894862165886363</v>
      </c>
    </row>
    <row r="38" spans="2:5" x14ac:dyDescent="0.2">
      <c r="B38" s="231" t="s">
        <v>178</v>
      </c>
      <c r="C38" s="242">
        <f>Cout_target</f>
        <v>75.149238870130375</v>
      </c>
      <c r="D38" s="111" t="s">
        <v>205</v>
      </c>
      <c r="E38" s="83"/>
    </row>
    <row r="39" spans="2:5" x14ac:dyDescent="0.2">
      <c r="B39" s="231"/>
      <c r="C39" s="242"/>
      <c r="D39" s="126">
        <f>Cout_Iripple_target</f>
        <v>2.3275978290775492</v>
      </c>
      <c r="E39" s="83"/>
    </row>
    <row r="40" spans="2:5" x14ac:dyDescent="0.2">
      <c r="B40" s="95" t="s">
        <v>176</v>
      </c>
      <c r="C40" s="97">
        <f>Csnub</f>
        <v>180</v>
      </c>
      <c r="D40" s="113" t="s">
        <v>177</v>
      </c>
      <c r="E40" s="83"/>
    </row>
    <row r="41" spans="2:5" x14ac:dyDescent="0.2">
      <c r="B41" s="95" t="s">
        <v>170</v>
      </c>
      <c r="C41" s="98">
        <f>Cvdd_bulk</f>
        <v>47.368421052631582</v>
      </c>
      <c r="D41" s="94" t="s">
        <v>171</v>
      </c>
    </row>
    <row r="42" spans="2:5" x14ac:dyDescent="0.2">
      <c r="B42" s="95" t="s">
        <v>211</v>
      </c>
      <c r="C42" s="95" t="s">
        <v>172</v>
      </c>
      <c r="D42" s="94" t="s">
        <v>173</v>
      </c>
    </row>
    <row r="43" spans="2:5" x14ac:dyDescent="0.2">
      <c r="B43" s="95" t="s">
        <v>175</v>
      </c>
      <c r="C43" s="128">
        <f>Cvgg</f>
        <v>0.1</v>
      </c>
      <c r="D43" s="94" t="s">
        <v>173</v>
      </c>
    </row>
    <row r="44" spans="2:5" x14ac:dyDescent="0.2">
      <c r="B44" s="219" t="s">
        <v>179</v>
      </c>
      <c r="C44" s="129">
        <f>Dbias</f>
        <v>40.181150090148499</v>
      </c>
      <c r="D44" s="222" t="s">
        <v>239</v>
      </c>
    </row>
    <row r="45" spans="2:5" x14ac:dyDescent="0.2">
      <c r="B45" s="221"/>
      <c r="C45" s="114" t="s">
        <v>235</v>
      </c>
      <c r="D45" s="224"/>
    </row>
    <row r="46" spans="2:5" x14ac:dyDescent="0.2">
      <c r="B46" s="227" t="s">
        <v>180</v>
      </c>
      <c r="C46" s="108" t="s">
        <v>244</v>
      </c>
      <c r="D46" s="225" t="s">
        <v>243</v>
      </c>
    </row>
    <row r="47" spans="2:5" x14ac:dyDescent="0.2">
      <c r="B47" s="244"/>
      <c r="C47" s="114" t="s">
        <v>214</v>
      </c>
      <c r="D47" s="243"/>
    </row>
    <row r="48" spans="2:5" x14ac:dyDescent="0.2">
      <c r="B48" s="228"/>
      <c r="C48" s="114" t="s">
        <v>215</v>
      </c>
      <c r="D48" s="226"/>
    </row>
    <row r="49" spans="2:5" x14ac:dyDescent="0.2">
      <c r="B49" s="219" t="s">
        <v>184</v>
      </c>
      <c r="C49" s="108" t="s">
        <v>245</v>
      </c>
      <c r="D49" s="222" t="s">
        <v>236</v>
      </c>
    </row>
    <row r="50" spans="2:5" x14ac:dyDescent="0.2">
      <c r="B50" s="221"/>
      <c r="C50" s="109" t="s">
        <v>213</v>
      </c>
      <c r="D50" s="224"/>
    </row>
    <row r="51" spans="2:5" x14ac:dyDescent="0.2">
      <c r="B51" s="219" t="s">
        <v>182</v>
      </c>
      <c r="C51" s="132">
        <f>VDout</f>
        <v>99.167364013684363</v>
      </c>
      <c r="D51" s="222" t="s">
        <v>207</v>
      </c>
    </row>
    <row r="52" spans="2:5" x14ac:dyDescent="0.2">
      <c r="B52" s="220"/>
      <c r="C52" s="130">
        <f>Calculations!F29</f>
        <v>4.0734537906273127</v>
      </c>
      <c r="D52" s="223"/>
    </row>
    <row r="53" spans="2:5" x14ac:dyDescent="0.2">
      <c r="B53" s="220"/>
      <c r="C53" s="131">
        <f>Calculations!F30</f>
        <v>7.6238881829733165</v>
      </c>
      <c r="D53" s="224"/>
      <c r="E53" s="96"/>
    </row>
    <row r="54" spans="2:5" x14ac:dyDescent="0.2">
      <c r="B54" s="95" t="s">
        <v>212</v>
      </c>
      <c r="C54" s="122">
        <f>VDDzener</f>
        <v>10</v>
      </c>
      <c r="D54" s="94" t="s">
        <v>217</v>
      </c>
      <c r="E54" s="96"/>
    </row>
    <row r="55" spans="2:5" x14ac:dyDescent="0.2">
      <c r="B55" s="219" t="s">
        <v>181</v>
      </c>
      <c r="C55" s="119">
        <f>Vdsrating</f>
        <v>600</v>
      </c>
      <c r="D55" s="225" t="s">
        <v>236</v>
      </c>
      <c r="E55" s="96"/>
    </row>
    <row r="56" spans="2:5" x14ac:dyDescent="0.2">
      <c r="B56" s="221"/>
      <c r="C56" s="120" t="s">
        <v>235</v>
      </c>
      <c r="D56" s="226"/>
      <c r="E56" s="96"/>
    </row>
    <row r="57" spans="2:5" x14ac:dyDescent="0.2">
      <c r="B57" s="95" t="s">
        <v>183</v>
      </c>
      <c r="C57" s="118">
        <f>Vzener</f>
        <v>13.5</v>
      </c>
      <c r="D57" s="111" t="s">
        <v>216</v>
      </c>
      <c r="E57" s="96"/>
    </row>
    <row r="58" spans="2:5" x14ac:dyDescent="0.2">
      <c r="B58" s="219" t="s">
        <v>109</v>
      </c>
      <c r="C58" s="133">
        <f>Vdsrating</f>
        <v>600</v>
      </c>
      <c r="D58" s="222" t="s">
        <v>208</v>
      </c>
      <c r="E58" s="96"/>
    </row>
    <row r="59" spans="2:5" x14ac:dyDescent="0.2">
      <c r="B59" s="220"/>
      <c r="C59" s="134">
        <f>Idrain</f>
        <v>1.2706480304955527</v>
      </c>
      <c r="D59" s="223"/>
      <c r="E59" s="96"/>
    </row>
    <row r="60" spans="2:5" x14ac:dyDescent="0.2">
      <c r="B60" s="220"/>
      <c r="C60" s="130">
        <f>Idrain_rms</f>
        <v>0.42998460107669317</v>
      </c>
      <c r="D60" s="224"/>
      <c r="E60" s="96"/>
    </row>
    <row r="61" spans="2:5" x14ac:dyDescent="0.2">
      <c r="B61" s="219" t="s">
        <v>202</v>
      </c>
      <c r="C61" s="105">
        <f>Lp</f>
        <v>500</v>
      </c>
      <c r="D61" s="232" t="s">
        <v>206</v>
      </c>
      <c r="E61" s="96"/>
    </row>
    <row r="62" spans="2:5" x14ac:dyDescent="0.2">
      <c r="B62" s="220"/>
      <c r="C62" s="135">
        <f>Nps</f>
        <v>6</v>
      </c>
      <c r="D62" s="233"/>
      <c r="E62" s="96"/>
    </row>
    <row r="63" spans="2:5" x14ac:dyDescent="0.2">
      <c r="B63" s="220"/>
      <c r="C63" s="139">
        <f>Npb</f>
        <v>13.5</v>
      </c>
      <c r="D63" s="233"/>
      <c r="E63" s="96"/>
    </row>
    <row r="64" spans="2:5" x14ac:dyDescent="0.2">
      <c r="B64" s="220"/>
      <c r="C64" s="140">
        <f>Idrv</f>
        <v>1.2706480304955527</v>
      </c>
      <c r="D64" s="233"/>
      <c r="E64" s="96"/>
    </row>
    <row r="65" spans="2:5" x14ac:dyDescent="0.2">
      <c r="B65" s="220"/>
      <c r="C65" s="137">
        <f>Iprms</f>
        <v>0.42998460107669317</v>
      </c>
      <c r="D65" s="233"/>
      <c r="E65" s="96"/>
    </row>
    <row r="66" spans="2:5" x14ac:dyDescent="0.2">
      <c r="B66" s="220"/>
      <c r="C66" s="138">
        <f>Ipeak_sec</f>
        <v>7.6238881829733165</v>
      </c>
      <c r="D66" s="233"/>
      <c r="E66" s="96"/>
    </row>
    <row r="67" spans="2:5" x14ac:dyDescent="0.2">
      <c r="B67" s="220"/>
      <c r="C67" s="141">
        <f>Isrms</f>
        <v>4.0734537906273127</v>
      </c>
      <c r="D67" s="233"/>
      <c r="E67" s="96"/>
    </row>
    <row r="68" spans="2:5" x14ac:dyDescent="0.2">
      <c r="B68" s="95" t="s">
        <v>203</v>
      </c>
      <c r="C68" s="121" t="s">
        <v>234</v>
      </c>
      <c r="D68" s="94" t="s">
        <v>246</v>
      </c>
      <c r="E68" s="96"/>
    </row>
    <row r="69" spans="2:5" x14ac:dyDescent="0.2">
      <c r="B69" s="231" t="s">
        <v>219</v>
      </c>
      <c r="C69" s="238" t="s">
        <v>222</v>
      </c>
      <c r="D69" s="111" t="s">
        <v>187</v>
      </c>
      <c r="E69" s="96"/>
    </row>
    <row r="70" spans="2:5" x14ac:dyDescent="0.2">
      <c r="B70" s="231"/>
      <c r="C70" s="238"/>
      <c r="D70" s="113" t="s">
        <v>220</v>
      </c>
      <c r="E70" s="96"/>
    </row>
    <row r="71" spans="2:5" x14ac:dyDescent="0.2">
      <c r="B71" s="227" t="s">
        <v>198</v>
      </c>
      <c r="C71" s="227" t="s">
        <v>221</v>
      </c>
      <c r="D71" s="112" t="s">
        <v>240</v>
      </c>
      <c r="E71" s="96"/>
    </row>
    <row r="72" spans="2:5" x14ac:dyDescent="0.2">
      <c r="B72" s="228"/>
      <c r="C72" s="228"/>
      <c r="D72" s="112" t="s">
        <v>241</v>
      </c>
      <c r="E72" s="96"/>
    </row>
    <row r="73" spans="2:5" x14ac:dyDescent="0.2">
      <c r="B73" s="227" t="s">
        <v>190</v>
      </c>
      <c r="C73" s="240">
        <f>Rcl</f>
        <v>78.7</v>
      </c>
      <c r="D73" s="111" t="s">
        <v>187</v>
      </c>
    </row>
    <row r="74" spans="2:5" x14ac:dyDescent="0.2">
      <c r="B74" s="228"/>
      <c r="C74" s="241"/>
      <c r="D74" s="113" t="s">
        <v>229</v>
      </c>
    </row>
    <row r="75" spans="2:5" x14ac:dyDescent="0.2">
      <c r="B75" s="95" t="s">
        <v>188</v>
      </c>
      <c r="C75" s="100">
        <f>Rfb</f>
        <v>20.5</v>
      </c>
      <c r="D75" s="112" t="s">
        <v>187</v>
      </c>
      <c r="E75" s="96"/>
    </row>
    <row r="76" spans="2:5" x14ac:dyDescent="0.2">
      <c r="B76" s="227" t="s">
        <v>209</v>
      </c>
      <c r="C76" s="229" t="s">
        <v>199</v>
      </c>
      <c r="D76" s="111" t="s">
        <v>240</v>
      </c>
      <c r="E76" s="96"/>
    </row>
    <row r="77" spans="2:5" x14ac:dyDescent="0.2">
      <c r="B77" s="228"/>
      <c r="C77" s="230"/>
      <c r="D77" s="113" t="s">
        <v>242</v>
      </c>
      <c r="E77" s="96"/>
    </row>
    <row r="78" spans="2:5" x14ac:dyDescent="0.2">
      <c r="B78" s="95" t="s">
        <v>200</v>
      </c>
      <c r="C78" s="101">
        <f>Calculations!F41</f>
        <v>422</v>
      </c>
      <c r="D78" s="113" t="s">
        <v>187</v>
      </c>
      <c r="E78" s="96"/>
    </row>
    <row r="79" spans="2:5" x14ac:dyDescent="0.2">
      <c r="B79" s="95" t="s">
        <v>192</v>
      </c>
      <c r="C79" s="100">
        <f>Rmot</f>
        <v>115</v>
      </c>
      <c r="D79" s="94" t="s">
        <v>187</v>
      </c>
      <c r="E79" s="96"/>
    </row>
    <row r="80" spans="2:5" x14ac:dyDescent="0.2">
      <c r="B80" s="95" t="s">
        <v>210</v>
      </c>
      <c r="C80" s="95" t="s">
        <v>186</v>
      </c>
      <c r="D80" s="94" t="s">
        <v>187</v>
      </c>
      <c r="E80" s="96"/>
    </row>
    <row r="81" spans="2:5" x14ac:dyDescent="0.2">
      <c r="B81" s="231" t="s">
        <v>193</v>
      </c>
      <c r="C81" s="239">
        <f>Rstart</f>
        <v>14.613434864001201</v>
      </c>
      <c r="D81" s="111" t="s">
        <v>195</v>
      </c>
      <c r="E81" s="96"/>
    </row>
    <row r="82" spans="2:5" x14ac:dyDescent="0.2">
      <c r="B82" s="231"/>
      <c r="C82" s="239"/>
      <c r="D82" s="115">
        <f>Vin_max</f>
        <v>367.69552621700473</v>
      </c>
      <c r="E82" s="96"/>
    </row>
    <row r="83" spans="2:5" x14ac:dyDescent="0.2">
      <c r="B83" s="95" t="s">
        <v>201</v>
      </c>
      <c r="C83" s="95" t="s">
        <v>223</v>
      </c>
      <c r="D83" s="113" t="s">
        <v>187</v>
      </c>
      <c r="E83" s="96"/>
    </row>
    <row r="84" spans="2:5" x14ac:dyDescent="0.2">
      <c r="B84" s="95" t="s">
        <v>194</v>
      </c>
      <c r="C84" s="95" t="s">
        <v>224</v>
      </c>
      <c r="D84" s="111" t="s">
        <v>187</v>
      </c>
      <c r="E84" s="96"/>
    </row>
    <row r="85" spans="2:5" x14ac:dyDescent="0.2">
      <c r="B85" s="231" t="s">
        <v>196</v>
      </c>
      <c r="C85" s="234">
        <f>Rsnub1</f>
        <v>442</v>
      </c>
      <c r="D85" s="111" t="s">
        <v>218</v>
      </c>
    </row>
    <row r="86" spans="2:5" x14ac:dyDescent="0.2">
      <c r="B86" s="231"/>
      <c r="C86" s="234"/>
      <c r="D86" s="117">
        <f>Calculations!F48</f>
        <v>0.51311208790618712</v>
      </c>
    </row>
    <row r="87" spans="2:5" x14ac:dyDescent="0.2">
      <c r="B87" s="231" t="s">
        <v>197</v>
      </c>
      <c r="C87" s="235">
        <f>Calculations!F49</f>
        <v>147</v>
      </c>
      <c r="D87" s="111" t="s">
        <v>218</v>
      </c>
      <c r="E87" s="84"/>
    </row>
    <row r="88" spans="2:5" x14ac:dyDescent="0.2">
      <c r="B88" s="231"/>
      <c r="C88" s="235"/>
      <c r="D88" s="116">
        <f>Calculations!F50</f>
        <v>0.11059199999999998</v>
      </c>
      <c r="E88" s="84"/>
    </row>
    <row r="89" spans="2:5" x14ac:dyDescent="0.2">
      <c r="B89" s="95" t="s">
        <v>191</v>
      </c>
      <c r="C89" s="100">
        <f>Rzcd1</f>
        <v>68.099999999999994</v>
      </c>
      <c r="D89" s="113" t="s">
        <v>187</v>
      </c>
      <c r="E89" s="84"/>
    </row>
    <row r="90" spans="2:5" x14ac:dyDescent="0.2">
      <c r="B90" s="95" t="s">
        <v>189</v>
      </c>
      <c r="C90" s="100">
        <f>Rzcd2</f>
        <v>105</v>
      </c>
      <c r="D90" s="94" t="s">
        <v>187</v>
      </c>
    </row>
    <row r="92" spans="2:5" x14ac:dyDescent="0.2">
      <c r="C92" s="84"/>
    </row>
    <row r="94" spans="2:5" x14ac:dyDescent="0.2">
      <c r="B94" s="84"/>
      <c r="C94" s="84"/>
      <c r="D94" s="84"/>
    </row>
    <row r="97" spans="2:4" x14ac:dyDescent="0.2">
      <c r="B97" s="84"/>
      <c r="C97" s="84"/>
      <c r="D97" s="84"/>
    </row>
  </sheetData>
  <sheetProtection password="ED1D" sheet="1" objects="1" selectLockedCells="1" selectUnlockedCells="1"/>
  <mergeCells count="34">
    <mergeCell ref="C38:C39"/>
    <mergeCell ref="B38:B39"/>
    <mergeCell ref="D46:D48"/>
    <mergeCell ref="B46:B48"/>
    <mergeCell ref="B49:B50"/>
    <mergeCell ref="D49:D50"/>
    <mergeCell ref="B85:B86"/>
    <mergeCell ref="C85:C86"/>
    <mergeCell ref="B87:B88"/>
    <mergeCell ref="C87:C88"/>
    <mergeCell ref="D33:D34"/>
    <mergeCell ref="B33:B34"/>
    <mergeCell ref="B44:B45"/>
    <mergeCell ref="D44:D45"/>
    <mergeCell ref="B36:B37"/>
    <mergeCell ref="C36:C37"/>
    <mergeCell ref="C69:C70"/>
    <mergeCell ref="B81:B82"/>
    <mergeCell ref="C81:C82"/>
    <mergeCell ref="B73:B74"/>
    <mergeCell ref="C73:C74"/>
    <mergeCell ref="B71:B72"/>
    <mergeCell ref="C71:C72"/>
    <mergeCell ref="C76:C77"/>
    <mergeCell ref="B76:B77"/>
    <mergeCell ref="B69:B70"/>
    <mergeCell ref="D61:D67"/>
    <mergeCell ref="B58:B60"/>
    <mergeCell ref="B51:B53"/>
    <mergeCell ref="B55:B56"/>
    <mergeCell ref="B61:B67"/>
    <mergeCell ref="D58:D60"/>
    <mergeCell ref="D55:D56"/>
    <mergeCell ref="D51:D53"/>
  </mergeCells>
  <phoneticPr fontId="2" type="noConversion"/>
  <pageMargins left="0.75" right="0.75" top="1" bottom="1" header="0.5" footer="0.5"/>
  <pageSetup orientation="portrait" r:id="rId1"/>
  <headerFooter alignWithMargins="0"/>
  <ignoredErrors>
    <ignoredError sqref="C5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5"/>
  <sheetViews>
    <sheetView workbookViewId="0">
      <selection activeCell="O20" sqref="O20"/>
    </sheetView>
  </sheetViews>
  <sheetFormatPr defaultColWidth="9.140625" defaultRowHeight="12.75" x14ac:dyDescent="0.2"/>
  <cols>
    <col min="1" max="1" width="9.140625" style="11"/>
    <col min="2" max="2" width="19.28515625" style="11" bestFit="1" customWidth="1"/>
    <col min="3" max="3" width="12.42578125" style="11" bestFit="1" customWidth="1"/>
    <col min="4" max="4" width="7.7109375" style="11" customWidth="1"/>
    <col min="5" max="5" width="8.7109375" style="5" customWidth="1"/>
    <col min="6" max="8" width="8.7109375" style="7" customWidth="1"/>
    <col min="9" max="9" width="8.7109375" style="8" customWidth="1"/>
    <col min="10" max="10" width="9.140625" style="32"/>
    <col min="11" max="11" width="12.42578125" style="32" bestFit="1" customWidth="1"/>
    <col min="12" max="12" width="8" style="32" customWidth="1"/>
    <col min="13" max="13" width="9.140625" style="5"/>
    <col min="14" max="15" width="12.42578125" style="5" bestFit="1" customWidth="1"/>
    <col min="16" max="17" width="9.140625" style="5"/>
    <col min="18" max="16384" width="9.140625" style="10"/>
  </cols>
  <sheetData>
    <row r="1" spans="1:20" ht="18.75" thickBot="1" x14ac:dyDescent="0.25">
      <c r="A1" s="4"/>
      <c r="B1" s="5"/>
      <c r="C1" s="5"/>
      <c r="D1" s="5"/>
      <c r="E1" s="6" t="s">
        <v>84</v>
      </c>
      <c r="J1" s="6" t="s">
        <v>85</v>
      </c>
      <c r="K1" s="9"/>
      <c r="L1" s="9"/>
    </row>
    <row r="2" spans="1:20" ht="16.5" customHeight="1" thickBot="1" x14ac:dyDescent="0.25">
      <c r="A2" s="5"/>
      <c r="D2" s="5"/>
      <c r="E2" s="245" t="s">
        <v>86</v>
      </c>
      <c r="F2" s="246"/>
      <c r="G2" s="251" t="s">
        <v>87</v>
      </c>
      <c r="H2" s="252"/>
      <c r="J2" s="110" t="s">
        <v>230</v>
      </c>
      <c r="K2" s="1"/>
      <c r="L2" s="1"/>
      <c r="M2" s="148"/>
      <c r="N2" s="148"/>
      <c r="O2" s="148"/>
    </row>
    <row r="3" spans="1:20" ht="13.5" thickBot="1" x14ac:dyDescent="0.25">
      <c r="E3" s="12">
        <v>100</v>
      </c>
      <c r="F3" s="13">
        <v>150</v>
      </c>
      <c r="G3" s="14">
        <v>100</v>
      </c>
      <c r="H3" s="15">
        <v>102</v>
      </c>
      <c r="J3" s="110"/>
      <c r="K3" s="1"/>
      <c r="L3" s="1"/>
      <c r="M3" s="148"/>
      <c r="N3" s="148"/>
      <c r="O3" s="148"/>
    </row>
    <row r="4" spans="1:20" ht="16.5" customHeight="1" thickBot="1" x14ac:dyDescent="0.25">
      <c r="E4" s="13">
        <v>150</v>
      </c>
      <c r="F4" s="12">
        <v>220</v>
      </c>
      <c r="G4" s="15">
        <v>102</v>
      </c>
      <c r="H4" s="14">
        <v>105</v>
      </c>
      <c r="J4" s="16"/>
      <c r="K4" s="17"/>
      <c r="L4" s="18"/>
      <c r="M4" s="148"/>
      <c r="N4" s="148"/>
      <c r="O4" s="148"/>
    </row>
    <row r="5" spans="1:20" ht="13.5" thickBot="1" x14ac:dyDescent="0.25">
      <c r="E5" s="12">
        <v>220</v>
      </c>
      <c r="F5" s="13">
        <v>330</v>
      </c>
      <c r="G5" s="14">
        <v>105</v>
      </c>
      <c r="H5" s="15">
        <v>107</v>
      </c>
      <c r="J5" s="19" t="s">
        <v>231</v>
      </c>
      <c r="K5" s="20"/>
      <c r="L5" s="1"/>
      <c r="M5" s="148"/>
      <c r="N5" s="148"/>
      <c r="O5" s="148"/>
    </row>
    <row r="6" spans="1:20" ht="16.5" customHeight="1" thickBot="1" x14ac:dyDescent="0.25">
      <c r="B6" s="250" t="s">
        <v>225</v>
      </c>
      <c r="C6" s="107">
        <f>VLOOKUP(((10^(LOG(33.2*SQRT(0.54*Lp_initial2*10^6/Pin))-INT(LOG(33.2*SQRT(0.54*Lp_initial2*10^6/Pin))))*100)*0.95),E48_s:E48_f,1)*10^INT(LOG(33.2*SQRT(0.54*Lp_initial2*10^6/Pin)))/100</f>
        <v>78.7</v>
      </c>
      <c r="E6" s="13">
        <v>330</v>
      </c>
      <c r="F6" s="12">
        <v>470</v>
      </c>
      <c r="G6" s="15">
        <v>107</v>
      </c>
      <c r="H6" s="14">
        <v>110</v>
      </c>
      <c r="J6" s="20">
        <v>1</v>
      </c>
      <c r="K6" s="20">
        <v>1.2</v>
      </c>
      <c r="L6" s="1"/>
      <c r="M6" s="250" t="s">
        <v>146</v>
      </c>
      <c r="N6" s="107">
        <f>((Lleak*10^-6)*Idrv^2)/(Vclamp*(Vclamp+(2*((Vout+0.7)*Nps+Vin_max))))*10^12</f>
        <v>172.66944312419614</v>
      </c>
      <c r="O6" s="107" t="s">
        <v>63</v>
      </c>
    </row>
    <row r="7" spans="1:20" ht="13.5" thickBot="1" x14ac:dyDescent="0.25">
      <c r="B7" s="250"/>
      <c r="C7" s="107">
        <f>IF(C6&lt;24.9,24.9,IF(C6&gt;100,100,C6))</f>
        <v>78.7</v>
      </c>
      <c r="D7" s="22"/>
      <c r="E7" s="12">
        <v>470</v>
      </c>
      <c r="F7" s="13">
        <v>680</v>
      </c>
      <c r="G7" s="14">
        <v>110</v>
      </c>
      <c r="H7" s="15">
        <v>113</v>
      </c>
      <c r="J7" s="20">
        <v>1.2</v>
      </c>
      <c r="K7" s="20">
        <v>1.5</v>
      </c>
      <c r="L7" s="1"/>
      <c r="M7" s="250"/>
      <c r="N7" s="107">
        <f>(IF(N6&lt;10000,N8*10^INT(LOG(N6)),N9*10^INT(LOG(N6))))</f>
        <v>180</v>
      </c>
      <c r="O7" s="107" t="s">
        <v>63</v>
      </c>
    </row>
    <row r="8" spans="1:20" ht="13.5" thickBot="1" x14ac:dyDescent="0.25">
      <c r="B8" s="250" t="s">
        <v>110</v>
      </c>
      <c r="C8" s="71">
        <f>(IF(FAULT="SHUTDOWN/RETRY",((76*10^3)/(3.8*10^-6))*(Idrv*Lp*1.1*10^-6/(SQRT(2)*Vbrownout-Vinput_ripple)),((383*10^3)/(3.83*10^-6)*(Idrv*Lp*1.1*10^-6/Vbrownout-Vinput_ripple))))/10^3</f>
        <v>114.84827388875219</v>
      </c>
      <c r="D8" s="7"/>
      <c r="E8" s="13">
        <v>680</v>
      </c>
      <c r="F8" s="13">
        <v>1000</v>
      </c>
      <c r="G8" s="15">
        <v>113</v>
      </c>
      <c r="H8" s="14">
        <v>115</v>
      </c>
      <c r="J8" s="20">
        <v>1.5</v>
      </c>
      <c r="K8" s="20">
        <v>1.8</v>
      </c>
      <c r="L8" s="1"/>
      <c r="M8" s="250"/>
      <c r="N8" s="107">
        <f>IF((10^(LOG(N6)-INT(LOG(N6))))-VLOOKUP((10^(LOG(N6)-INT(LOG(N6)))),c_s1:C_f1,1)&lt;VLOOKUP((10^(LOG(N6)-INT(LOG(N6)))),c_s1:C_f1,2)-(10^(LOG(N6)-INT(LOG(N6)))),VLOOKUP((10^(LOG(N6)-INT(LOG(N6)))),c_s1:C_f1,1),VLOOKUP((10^(LOG(N6)-INT(LOG(N6)))),c_s1:C_f1,2))</f>
        <v>1.8</v>
      </c>
      <c r="O8" s="107"/>
    </row>
    <row r="9" spans="1:20" ht="13.5" thickBot="1" x14ac:dyDescent="0.25">
      <c r="B9" s="250"/>
      <c r="C9" s="70">
        <f>(IF((10^(LOG(C8)-INT(LOG(C8)))*100)-VLOOKUP((10^(LOG(C8)-INT(LOG(C8)))*100),E48_s:E48_f,1)&lt;VLOOKUP((10^(LOG(C8)-INT(LOG(C8)))*100),E48_s:E48_f,2)-(10^(LOG(C8)-INT(LOG(C8)))*100),VLOOKUP((10^(LOG(C8)-INT(LOG(C8)))*100),E48_s:E48_f,1),VLOOKUP((10^(LOG(C8)-INT(LOG(C8)))*100),E48_s:E48_f,2)))*10^INT(LOG(C8))/100</f>
        <v>115</v>
      </c>
      <c r="D9" s="22"/>
      <c r="E9" s="253" t="s">
        <v>88</v>
      </c>
      <c r="F9" s="254"/>
      <c r="G9" s="14">
        <v>115</v>
      </c>
      <c r="H9" s="15">
        <v>118</v>
      </c>
      <c r="J9" s="20">
        <v>1.8</v>
      </c>
      <c r="K9" s="20">
        <v>2.2000000000000002</v>
      </c>
      <c r="L9" s="1"/>
      <c r="M9" s="250"/>
      <c r="N9" s="107">
        <f>IF((10^(LOG(N6)-INT(LOG(N6))))-VLOOKUP((10^(LOG(N6)-INT(LOG(N6)))),C_s2:C_f2,1)&lt;VLOOKUP((10^(LOG(N6)-INT(LOG(N6)))),C_s2:C_f2,2)-(10^(LOG(N6)-INT(LOG(N6)))),VLOOKUP((10^(LOG(N6)-INT(LOG(N6)))),C_s2:C_f2,1),VLOOKUP((10^(LOG(N6)-INT(LOG(N6)))),C_s2:C_f2,2))</f>
        <v>1.5</v>
      </c>
      <c r="O9" s="107"/>
    </row>
    <row r="10" spans="1:20" ht="13.5" thickBot="1" x14ac:dyDescent="0.25">
      <c r="B10" s="257" t="s">
        <v>148</v>
      </c>
      <c r="C10" s="71">
        <f>10/((Csnub*(10^-12))*(fswmax*10^3))/10^3</f>
        <v>437.5</v>
      </c>
      <c r="E10" s="26">
        <v>100</v>
      </c>
      <c r="F10" s="27">
        <v>120</v>
      </c>
      <c r="G10" s="15">
        <v>118</v>
      </c>
      <c r="H10" s="14">
        <v>121</v>
      </c>
      <c r="J10" s="20">
        <v>2.2000000000000002</v>
      </c>
      <c r="K10" s="20">
        <v>2.7</v>
      </c>
      <c r="L10" s="1"/>
    </row>
    <row r="11" spans="1:20" ht="13.5" thickBot="1" x14ac:dyDescent="0.25">
      <c r="B11" s="258"/>
      <c r="C11" s="70">
        <f>(IF((10^(LOG(C10)-INT(LOG(C10)))*100)-VLOOKUP((10^(LOG(C10)-INT(LOG(C10)))*100),E48_s:E48_f,1)&lt;VLOOKUP((10^(LOG(C10)-INT(LOG(C10)))*100),E48_s:E48_f,2)-(10^(LOG(C10)-INT(LOG(C10)))*100),VLOOKUP((10^(LOG(C10)-INT(LOG(C10)))*100),E48_s:E48_f,1),VLOOKUP((10^(LOG(C10)-INT(LOG(C10)))*100),E48_s:E48_f,2)))*10^INT(LOG(C10))/100</f>
        <v>442</v>
      </c>
      <c r="E11" s="27">
        <v>120</v>
      </c>
      <c r="F11" s="27">
        <v>150</v>
      </c>
      <c r="G11" s="14">
        <v>121</v>
      </c>
      <c r="H11" s="15">
        <v>124</v>
      </c>
      <c r="J11" s="20">
        <v>2.7</v>
      </c>
      <c r="K11" s="20">
        <v>3.3</v>
      </c>
      <c r="L11" s="1"/>
    </row>
    <row r="12" spans="1:20" ht="13.5" thickBot="1" x14ac:dyDescent="0.25">
      <c r="B12" s="257" t="s">
        <v>152</v>
      </c>
      <c r="C12" s="71">
        <f>SQRT((Lleak*10^-6)/(Coss*10^-12))</f>
        <v>144.33756729740642</v>
      </c>
      <c r="E12" s="27">
        <v>150</v>
      </c>
      <c r="F12" s="27">
        <v>180</v>
      </c>
      <c r="G12" s="15">
        <v>124</v>
      </c>
      <c r="H12" s="14">
        <v>127</v>
      </c>
      <c r="J12" s="20">
        <v>3.3</v>
      </c>
      <c r="K12" s="20">
        <v>3.9</v>
      </c>
      <c r="L12" s="1"/>
    </row>
    <row r="13" spans="1:20" ht="13.5" thickBot="1" x14ac:dyDescent="0.25">
      <c r="A13" s="22"/>
      <c r="B13" s="258"/>
      <c r="C13" s="70">
        <f>(IF((10^(LOG(C12)-INT(LOG(C12)))*100)-VLOOKUP((10^(LOG(C12)-INT(LOG(C12)))*100),E48_s:E48_f,1)&lt;VLOOKUP((10^(LOG(C12)-INT(LOG(C12)))*100),E48_s:E48_f,2)-(10^(LOG(C12)-INT(LOG(C12)))*100),VLOOKUP((10^(LOG(C12)-INT(LOG(C12)))*100),E48_s:E48_f,1),VLOOKUP((10^(LOG(C12)-INT(LOG(C12)))*100),E48_s:E48_f,2)))*10^INT(LOG(C12))/100</f>
        <v>147</v>
      </c>
      <c r="D13" s="22"/>
      <c r="E13" s="27">
        <v>180</v>
      </c>
      <c r="F13" s="26">
        <v>220</v>
      </c>
      <c r="G13" s="14">
        <v>127</v>
      </c>
      <c r="H13" s="15">
        <v>130</v>
      </c>
      <c r="J13" s="20">
        <v>3.9</v>
      </c>
      <c r="K13" s="20">
        <v>4.7</v>
      </c>
      <c r="L13" s="1"/>
    </row>
    <row r="14" spans="1:20" ht="13.5" thickBot="1" x14ac:dyDescent="0.25">
      <c r="A14" s="22"/>
      <c r="D14" s="28"/>
      <c r="E14" s="26">
        <v>220</v>
      </c>
      <c r="F14" s="27">
        <v>270</v>
      </c>
      <c r="G14" s="15">
        <v>130</v>
      </c>
      <c r="H14" s="14">
        <v>133</v>
      </c>
      <c r="J14" s="20">
        <v>4.7</v>
      </c>
      <c r="K14" s="20">
        <v>5.6</v>
      </c>
      <c r="L14" s="1"/>
    </row>
    <row r="15" spans="1:20" ht="13.5" thickBot="1" x14ac:dyDescent="0.25">
      <c r="A15" s="29"/>
      <c r="D15" s="31"/>
      <c r="E15" s="27">
        <v>270</v>
      </c>
      <c r="F15" s="27">
        <v>330</v>
      </c>
      <c r="G15" s="14">
        <v>133</v>
      </c>
      <c r="H15" s="15">
        <v>137</v>
      </c>
      <c r="J15" s="20">
        <v>5.6</v>
      </c>
      <c r="K15" s="20">
        <v>6.8</v>
      </c>
      <c r="L15" s="1"/>
    </row>
    <row r="16" spans="1:20" ht="13.5" thickBot="1" x14ac:dyDescent="0.25">
      <c r="A16" s="29"/>
      <c r="B16" s="1"/>
      <c r="C16" s="1"/>
      <c r="D16" s="31"/>
      <c r="E16" s="27">
        <v>330</v>
      </c>
      <c r="F16" s="27">
        <v>390</v>
      </c>
      <c r="G16" s="15">
        <v>137</v>
      </c>
      <c r="H16" s="14">
        <v>140</v>
      </c>
      <c r="J16" s="20">
        <v>6.8</v>
      </c>
      <c r="K16" s="20">
        <v>8.1999999999999993</v>
      </c>
      <c r="L16" s="1"/>
      <c r="M16" s="160" t="s">
        <v>291</v>
      </c>
      <c r="N16" s="161" t="s">
        <v>258</v>
      </c>
      <c r="O16" s="162">
        <f>(1/fline)/(2*PI())*ASIN((0.7*Vin_min)/Vin_min)</f>
        <v>2.6257094563123941E-3</v>
      </c>
      <c r="P16" s="161" t="s">
        <v>227</v>
      </c>
      <c r="Q16" s="162"/>
      <c r="R16" s="161"/>
      <c r="S16" s="161"/>
      <c r="T16" s="163"/>
    </row>
    <row r="17" spans="1:20" ht="13.5" thickBot="1" x14ac:dyDescent="0.25">
      <c r="A17" s="29"/>
      <c r="B17" s="1"/>
      <c r="C17" s="1"/>
      <c r="D17" s="31"/>
      <c r="E17" s="27">
        <v>390</v>
      </c>
      <c r="F17" s="26">
        <v>470</v>
      </c>
      <c r="G17" s="14">
        <v>140</v>
      </c>
      <c r="H17" s="15">
        <v>143</v>
      </c>
      <c r="J17" s="20">
        <v>8.1999999999999993</v>
      </c>
      <c r="K17" s="20">
        <v>10</v>
      </c>
      <c r="L17" s="1"/>
      <c r="M17" s="164"/>
      <c r="N17" s="165" t="s">
        <v>259</v>
      </c>
      <c r="O17" s="7">
        <f>((1/fline)/2)+Lookup!O16</f>
        <v>1.326400732865282E-2</v>
      </c>
      <c r="P17" s="165" t="s">
        <v>227</v>
      </c>
      <c r="Q17" s="7"/>
      <c r="R17" s="165"/>
      <c r="S17" s="165"/>
      <c r="T17" s="166"/>
    </row>
    <row r="18" spans="1:20" ht="13.5" thickBot="1" x14ac:dyDescent="0.25">
      <c r="A18" s="29"/>
      <c r="B18" s="1"/>
      <c r="C18" s="1"/>
      <c r="D18" s="31"/>
      <c r="E18" s="26">
        <v>470</v>
      </c>
      <c r="F18" s="27">
        <v>560</v>
      </c>
      <c r="G18" s="15">
        <v>143</v>
      </c>
      <c r="H18" s="14">
        <v>147</v>
      </c>
      <c r="J18" s="19" t="s">
        <v>232</v>
      </c>
      <c r="K18" s="20"/>
      <c r="L18" s="1"/>
      <c r="M18" s="164"/>
      <c r="N18" s="165" t="s">
        <v>260</v>
      </c>
      <c r="O18" s="7">
        <f>((1/fline)/4)</f>
        <v>5.3191489361702126E-3</v>
      </c>
      <c r="P18" s="165" t="s">
        <v>227</v>
      </c>
      <c r="Q18" s="7"/>
      <c r="R18" s="165"/>
      <c r="S18" s="165"/>
      <c r="T18" s="166"/>
    </row>
    <row r="19" spans="1:20" ht="16.5" thickBot="1" x14ac:dyDescent="0.25">
      <c r="A19" s="29"/>
      <c r="B19" s="1"/>
      <c r="C19" s="1"/>
      <c r="D19" s="31"/>
      <c r="E19" s="27">
        <v>560</v>
      </c>
      <c r="F19" s="27">
        <v>680</v>
      </c>
      <c r="G19" s="14">
        <v>147</v>
      </c>
      <c r="H19" s="15">
        <v>150</v>
      </c>
      <c r="J19" s="20">
        <v>1</v>
      </c>
      <c r="K19" s="20">
        <v>1.5</v>
      </c>
      <c r="L19" s="1"/>
      <c r="M19" s="164"/>
      <c r="N19" s="25" t="s">
        <v>261</v>
      </c>
      <c r="O19" s="7">
        <f>O17-(O18)</f>
        <v>7.944858392482608E-3</v>
      </c>
      <c r="P19" s="25" t="s">
        <v>227</v>
      </c>
      <c r="Q19" s="7"/>
      <c r="R19" s="165"/>
      <c r="S19" s="165"/>
      <c r="T19" s="166"/>
    </row>
    <row r="20" spans="1:20" ht="13.5" thickBot="1" x14ac:dyDescent="0.25">
      <c r="A20" s="29"/>
      <c r="B20" s="1"/>
      <c r="C20" s="1"/>
      <c r="D20" s="31"/>
      <c r="E20" s="24">
        <v>680</v>
      </c>
      <c r="F20" s="27">
        <v>820</v>
      </c>
      <c r="G20" s="15">
        <v>150</v>
      </c>
      <c r="H20" s="14">
        <v>154</v>
      </c>
      <c r="J20" s="20">
        <v>1.5</v>
      </c>
      <c r="K20" s="20">
        <v>2.2000000000000002</v>
      </c>
      <c r="M20" s="164"/>
      <c r="N20" s="247" t="s">
        <v>276</v>
      </c>
      <c r="O20" s="107">
        <f>(2*Pin*(Lookup!O19/(Vin_min^2-(0.7*Vin_min)^2)))*10^12</f>
        <v>16969666.351579744</v>
      </c>
      <c r="P20" s="147" t="s">
        <v>63</v>
      </c>
      <c r="Q20" s="7"/>
      <c r="R20" s="165"/>
      <c r="S20" s="165"/>
      <c r="T20" s="166"/>
    </row>
    <row r="21" spans="1:20" ht="13.5" thickBot="1" x14ac:dyDescent="0.25">
      <c r="A21" s="29"/>
      <c r="B21" s="30"/>
      <c r="C21" s="22"/>
      <c r="D21" s="31"/>
      <c r="E21" s="24">
        <v>820</v>
      </c>
      <c r="F21" s="27">
        <v>1000</v>
      </c>
      <c r="G21" s="14">
        <v>154</v>
      </c>
      <c r="H21" s="15">
        <v>158</v>
      </c>
      <c r="J21" s="20">
        <v>2.2000000000000002</v>
      </c>
      <c r="K21" s="20">
        <v>3.3</v>
      </c>
      <c r="L21" s="21"/>
      <c r="M21" s="164"/>
      <c r="N21" s="248"/>
      <c r="O21" s="107">
        <f>(IF(O20&lt;10000,O22*10^INT(LOG(O20)),O23*10^INT(LOG(O20))))*10^-6</f>
        <v>15</v>
      </c>
      <c r="P21" s="147" t="s">
        <v>233</v>
      </c>
      <c r="Q21" s="7"/>
      <c r="R21" s="165"/>
      <c r="S21" s="165"/>
      <c r="T21" s="166"/>
    </row>
    <row r="22" spans="1:20" ht="13.5" thickBot="1" x14ac:dyDescent="0.25">
      <c r="A22" s="29"/>
      <c r="B22" s="30"/>
      <c r="C22" s="22"/>
      <c r="D22" s="31"/>
      <c r="E22" s="255" t="s">
        <v>89</v>
      </c>
      <c r="F22" s="256"/>
      <c r="G22" s="15">
        <v>158</v>
      </c>
      <c r="H22" s="14">
        <v>162</v>
      </c>
      <c r="J22" s="20">
        <v>3.3</v>
      </c>
      <c r="K22" s="20">
        <v>4.7</v>
      </c>
      <c r="L22" s="21"/>
      <c r="M22" s="164"/>
      <c r="N22" s="248"/>
      <c r="O22" s="107">
        <f>IF((10^(LOG(O20)-INT(LOG(O20))))-VLOOKUP((10^(LOG(O20)-INT(LOG(O20)))),c_s1:C_f1,1)&lt;VLOOKUP((10^(LOG(O20)-INT(LOG(O20)))),c_s1:C_f1,2)-(10^(LOG(O20)-INT(LOG(O20)))),VLOOKUP((10^(LOG(O20)-INT(LOG(O20)))),c_s1:C_f1,1),VLOOKUP((10^(LOG(O20)-INT(LOG(O20)))),c_s1:C_f1,2))</f>
        <v>1.8</v>
      </c>
      <c r="P22" s="107"/>
      <c r="Q22" s="7"/>
      <c r="R22" s="165"/>
      <c r="S22" s="165"/>
      <c r="T22" s="166"/>
    </row>
    <row r="23" spans="1:20" ht="13.5" thickBot="1" x14ac:dyDescent="0.25">
      <c r="A23" s="29"/>
      <c r="B23" s="30"/>
      <c r="C23" s="22"/>
      <c r="D23" s="31"/>
      <c r="E23" s="33">
        <v>100</v>
      </c>
      <c r="F23" s="34">
        <v>110</v>
      </c>
      <c r="G23" s="14">
        <v>162</v>
      </c>
      <c r="H23" s="15">
        <v>165</v>
      </c>
      <c r="J23" s="20">
        <v>4.7</v>
      </c>
      <c r="K23" s="20">
        <v>6.8</v>
      </c>
      <c r="L23" s="7"/>
      <c r="M23" s="164"/>
      <c r="N23" s="249"/>
      <c r="O23" s="107">
        <f>IF((10^(LOG(O20)-INT(LOG(O20))))-VLOOKUP((10^(LOG(O20)-INT(LOG(O20)))),C_s2:C_f2,1)&lt;VLOOKUP((10^(LOG(O20)-INT(LOG(O20)))),C_s2:C_f2,2)-(10^(LOG(O20)-INT(LOG(O20)))),VLOOKUP((10^(LOG(O20)-INT(LOG(O20)))),C_s2:C_f2,1),VLOOKUP((10^(LOG(O20)-INT(LOG(O20)))),C_s2:C_f2,2))</f>
        <v>1.5</v>
      </c>
      <c r="P23" s="107"/>
      <c r="Q23" s="7"/>
      <c r="R23" s="165"/>
      <c r="S23" s="165"/>
      <c r="T23" s="166"/>
    </row>
    <row r="24" spans="1:20" ht="13.5" thickBot="1" x14ac:dyDescent="0.25">
      <c r="A24" s="29"/>
      <c r="B24" s="30"/>
      <c r="C24" s="22"/>
      <c r="D24" s="31"/>
      <c r="E24" s="34">
        <v>110</v>
      </c>
      <c r="F24" s="34">
        <v>120</v>
      </c>
      <c r="G24" s="15">
        <v>165</v>
      </c>
      <c r="H24" s="14">
        <v>169</v>
      </c>
      <c r="J24" s="20">
        <v>6.8</v>
      </c>
      <c r="K24" s="20">
        <v>10</v>
      </c>
      <c r="L24" s="7"/>
      <c r="M24" s="164"/>
      <c r="N24" s="7"/>
      <c r="O24" s="7"/>
      <c r="P24" s="7"/>
      <c r="Q24" s="7"/>
      <c r="R24" s="165"/>
      <c r="S24" s="165"/>
      <c r="T24" s="166"/>
    </row>
    <row r="25" spans="1:20" ht="13.5" thickBot="1" x14ac:dyDescent="0.25">
      <c r="A25" s="29"/>
      <c r="B25" s="30"/>
      <c r="C25" s="22"/>
      <c r="D25" s="31"/>
      <c r="E25" s="34">
        <v>120</v>
      </c>
      <c r="F25" s="34">
        <v>130</v>
      </c>
      <c r="G25" s="14">
        <v>169</v>
      </c>
      <c r="H25" s="15">
        <v>174</v>
      </c>
      <c r="J25" s="35"/>
      <c r="K25" s="35"/>
      <c r="L25" s="35"/>
      <c r="M25" s="164"/>
      <c r="N25" s="25" t="s">
        <v>266</v>
      </c>
      <c r="O25" s="7"/>
      <c r="P25" s="7"/>
      <c r="Q25" s="7"/>
      <c r="R25" s="165" t="s">
        <v>286</v>
      </c>
      <c r="S25" s="165"/>
      <c r="T25" s="166"/>
    </row>
    <row r="26" spans="1:20" ht="16.5" thickBot="1" x14ac:dyDescent="0.25">
      <c r="A26" s="29"/>
      <c r="B26" s="30"/>
      <c r="C26" s="22"/>
      <c r="D26" s="31"/>
      <c r="E26" s="34">
        <v>130</v>
      </c>
      <c r="F26" s="34">
        <v>150</v>
      </c>
      <c r="G26" s="15">
        <v>174</v>
      </c>
      <c r="H26" s="14">
        <v>178</v>
      </c>
      <c r="J26" s="1"/>
      <c r="K26" s="1"/>
      <c r="M26" s="67"/>
      <c r="N26" s="25" t="s">
        <v>264</v>
      </c>
      <c r="O26" s="7">
        <f>(SQRT(2*(O21*10^-6)*(((O21*10^-6)*Vmin^2)-(Pin*O19))))/(Lookup!O21*10^-6)</f>
        <v>165.56699880773186</v>
      </c>
      <c r="P26" s="25" t="s">
        <v>25</v>
      </c>
      <c r="Q26" s="7"/>
      <c r="R26" s="165"/>
      <c r="S26" s="165">
        <f>IF(Cin_actual="",O26,(SQRT(2*(Cin_actual*10^-6)*(((Cin_actual*10^-6)*Vmin^2)-(Pin*O19))))/(Cin_actual*10^-6))</f>
        <v>237.80820455386362</v>
      </c>
      <c r="T26" s="166"/>
    </row>
    <row r="27" spans="1:20" ht="13.5" thickBot="1" x14ac:dyDescent="0.25">
      <c r="A27" s="29"/>
      <c r="B27" s="30"/>
      <c r="C27" s="22"/>
      <c r="D27" s="31"/>
      <c r="E27" s="34">
        <v>150</v>
      </c>
      <c r="F27" s="34">
        <v>160</v>
      </c>
      <c r="G27" s="14">
        <v>178</v>
      </c>
      <c r="H27" s="15">
        <v>182</v>
      </c>
      <c r="I27" s="36"/>
      <c r="J27" s="1"/>
      <c r="K27" s="1"/>
      <c r="L27" s="1"/>
      <c r="M27" s="67"/>
      <c r="N27" s="25" t="s">
        <v>263</v>
      </c>
      <c r="O27" s="7">
        <f>(1/fline)/(2*PI())*ASIN((O26)/Vin_min)</f>
        <v>2.3978968960335014E-3</v>
      </c>
      <c r="P27" s="25" t="s">
        <v>227</v>
      </c>
      <c r="Q27" s="7"/>
      <c r="R27" s="165"/>
      <c r="S27" s="7">
        <f>(1/fline)/(2*PI())*ASIN((S26)/Vin_min)</f>
        <v>4.0838710190573306E-3</v>
      </c>
      <c r="T27" s="166"/>
    </row>
    <row r="28" spans="1:20" ht="13.5" thickBot="1" x14ac:dyDescent="0.25">
      <c r="A28" s="29"/>
      <c r="B28" s="30"/>
      <c r="C28" s="22"/>
      <c r="D28" s="31"/>
      <c r="E28" s="34">
        <v>160</v>
      </c>
      <c r="F28" s="34">
        <v>180</v>
      </c>
      <c r="G28" s="15">
        <v>182</v>
      </c>
      <c r="H28" s="14">
        <v>187</v>
      </c>
      <c r="I28" s="36"/>
      <c r="J28" s="1"/>
      <c r="K28" s="1"/>
      <c r="L28" s="1"/>
      <c r="M28" s="67"/>
      <c r="N28" s="25" t="s">
        <v>265</v>
      </c>
      <c r="O28" s="7">
        <f>((1/fline)/2)+O27</f>
        <v>1.3036194768373926E-2</v>
      </c>
      <c r="P28" s="25" t="s">
        <v>227</v>
      </c>
      <c r="Q28" s="7"/>
      <c r="R28" s="165"/>
      <c r="S28" s="7">
        <f>((1/fline)/2)+S27</f>
        <v>1.4722168891397755E-2</v>
      </c>
      <c r="T28" s="166"/>
    </row>
    <row r="29" spans="1:20" ht="13.5" thickBot="1" x14ac:dyDescent="0.25">
      <c r="A29" s="29"/>
      <c r="B29" s="30"/>
      <c r="C29" s="22"/>
      <c r="D29" s="31"/>
      <c r="E29" s="34">
        <v>180</v>
      </c>
      <c r="F29" s="37">
        <v>200</v>
      </c>
      <c r="G29" s="14">
        <v>187</v>
      </c>
      <c r="H29" s="15">
        <v>191</v>
      </c>
      <c r="I29" s="36"/>
      <c r="J29" s="1"/>
      <c r="K29" s="1"/>
      <c r="L29" s="1"/>
      <c r="M29" s="67"/>
      <c r="N29" s="25" t="s">
        <v>267</v>
      </c>
      <c r="O29" s="7">
        <f>((1/fline)/4)</f>
        <v>5.3191489361702126E-3</v>
      </c>
      <c r="P29" s="165" t="s">
        <v>227</v>
      </c>
      <c r="Q29" s="7"/>
      <c r="R29" s="165"/>
      <c r="S29" s="7">
        <f>((1/fline)/4)</f>
        <v>5.3191489361702126E-3</v>
      </c>
      <c r="T29" s="166"/>
    </row>
    <row r="30" spans="1:20" ht="16.5" thickBot="1" x14ac:dyDescent="0.25">
      <c r="A30" s="29"/>
      <c r="B30" s="30"/>
      <c r="C30" s="22"/>
      <c r="D30" s="31"/>
      <c r="E30" s="37">
        <v>200</v>
      </c>
      <c r="F30" s="33">
        <v>220</v>
      </c>
      <c r="G30" s="15">
        <v>191</v>
      </c>
      <c r="H30" s="14">
        <v>196</v>
      </c>
      <c r="I30" s="36"/>
      <c r="J30" s="1"/>
      <c r="K30" s="1"/>
      <c r="L30" s="1"/>
      <c r="M30" s="67"/>
      <c r="N30" s="25" t="s">
        <v>268</v>
      </c>
      <c r="O30" s="7">
        <f>O28-(O29)</f>
        <v>7.7170458322037136E-3</v>
      </c>
      <c r="P30" s="25" t="s">
        <v>227</v>
      </c>
      <c r="Q30" s="7"/>
      <c r="R30" s="165"/>
      <c r="S30" s="7">
        <f>S28-(S29)</f>
        <v>9.4030199552275415E-3</v>
      </c>
      <c r="T30" s="166"/>
    </row>
    <row r="31" spans="1:20" ht="13.5" thickBot="1" x14ac:dyDescent="0.25">
      <c r="A31" s="29"/>
      <c r="B31" s="30"/>
      <c r="C31" s="22"/>
      <c r="D31" s="31"/>
      <c r="E31" s="33">
        <v>220</v>
      </c>
      <c r="F31" s="34">
        <v>240</v>
      </c>
      <c r="G31" s="14">
        <v>196</v>
      </c>
      <c r="H31" s="15">
        <v>200</v>
      </c>
      <c r="I31" s="36"/>
      <c r="J31" s="16"/>
      <c r="K31" s="17"/>
      <c r="L31" s="18"/>
      <c r="M31" s="164"/>
      <c r="N31" s="247" t="s">
        <v>262</v>
      </c>
      <c r="O31" s="107">
        <f>(2*Pin*(Lookup!O30/(Vin_min^2-(O26)^2)))*10^12</f>
        <v>14569886.80787353</v>
      </c>
      <c r="P31" s="147" t="s">
        <v>63</v>
      </c>
      <c r="Q31" s="7"/>
      <c r="R31" s="165"/>
      <c r="S31" s="107">
        <f>(2*Pin*(Lookup!S30/(Vin_min^2-(S26)^2)))*10^12</f>
        <v>80480396.926957816</v>
      </c>
      <c r="T31" s="166"/>
    </row>
    <row r="32" spans="1:20" ht="13.5" thickBot="1" x14ac:dyDescent="0.25">
      <c r="A32" s="29"/>
      <c r="B32" s="30"/>
      <c r="C32" s="22"/>
      <c r="D32" s="31"/>
      <c r="E32" s="34">
        <v>240</v>
      </c>
      <c r="F32" s="34">
        <v>270</v>
      </c>
      <c r="G32" s="15">
        <v>200</v>
      </c>
      <c r="H32" s="14">
        <v>205</v>
      </c>
      <c r="I32" s="36"/>
      <c r="L32" s="7"/>
      <c r="M32" s="164"/>
      <c r="N32" s="248"/>
      <c r="O32" s="107">
        <f>(IF(O31&lt;10000,O33*10^INT(LOG(O31)),O34*10^INT(LOG(O31))))*10^-6</f>
        <v>15</v>
      </c>
      <c r="P32" s="147" t="s">
        <v>233</v>
      </c>
      <c r="Q32" s="7"/>
      <c r="R32" s="165"/>
      <c r="S32" s="107">
        <f>(IF(S31&lt;10000,S33*10^INT(LOG(S31)),S34*10^INT(LOG(S31))))*10^-6</f>
        <v>68</v>
      </c>
      <c r="T32" s="166"/>
    </row>
    <row r="33" spans="1:20" s="39" customFormat="1" ht="13.5" thickBot="1" x14ac:dyDescent="0.25">
      <c r="A33" s="29"/>
      <c r="B33" s="30"/>
      <c r="C33" s="22"/>
      <c r="D33" s="31"/>
      <c r="E33" s="34">
        <v>270</v>
      </c>
      <c r="F33" s="34">
        <v>300</v>
      </c>
      <c r="G33" s="14">
        <v>205</v>
      </c>
      <c r="H33" s="15">
        <v>210</v>
      </c>
      <c r="I33" s="38"/>
      <c r="L33" s="21"/>
      <c r="M33" s="164"/>
      <c r="N33" s="248"/>
      <c r="O33" s="107">
        <f>IF((10^(LOG(O31)-INT(LOG(O31))))-VLOOKUP((10^(LOG(O31)-INT(LOG(O31)))),c_s1:C_f1,1)&lt;VLOOKUP((10^(LOG(O31)-INT(LOG(O31)))),c_s1:C_f1,2)-(10^(LOG(O31)-INT(LOG(O31)))),VLOOKUP((10^(LOG(O31)-INT(LOG(O31)))),c_s1:C_f1,1),VLOOKUP((10^(LOG(O31)-INT(LOG(O31)))),c_s1:C_f1,2))</f>
        <v>1.5</v>
      </c>
      <c r="P33" s="107"/>
      <c r="Q33" s="40"/>
      <c r="R33" s="40"/>
      <c r="S33" s="107">
        <f>IF((10^(LOG(S31)-INT(LOG(S31))))-VLOOKUP((10^(LOG(S31)-INT(LOG(S31)))),c_s1:C_f1,1)&lt;VLOOKUP((10^(LOG(S31)-INT(LOG(S31)))),c_s1:C_f1,2)-(10^(LOG(S31)-INT(LOG(S31)))),VLOOKUP((10^(LOG(S31)-INT(LOG(S31)))),c_s1:C_f1,1),VLOOKUP((10^(LOG(S31)-INT(LOG(S31)))),c_s1:C_f1,2))</f>
        <v>8.1999999999999993</v>
      </c>
      <c r="T33" s="167"/>
    </row>
    <row r="34" spans="1:20" s="39" customFormat="1" ht="13.5" thickBot="1" x14ac:dyDescent="0.25">
      <c r="A34" s="40"/>
      <c r="B34" s="40"/>
      <c r="C34" s="40"/>
      <c r="D34" s="40"/>
      <c r="E34" s="34">
        <v>300</v>
      </c>
      <c r="F34" s="34">
        <v>330</v>
      </c>
      <c r="G34" s="15">
        <v>210</v>
      </c>
      <c r="H34" s="14">
        <v>215</v>
      </c>
      <c r="I34" s="8"/>
      <c r="L34" s="23"/>
      <c r="M34" s="164"/>
      <c r="N34" s="249"/>
      <c r="O34" s="107">
        <f>IF((10^(LOG(O31)-INT(LOG(O31))))-VLOOKUP((10^(LOG(O31)-INT(LOG(O31)))),C_s2:C_f2,1)&lt;VLOOKUP((10^(LOG(O31)-INT(LOG(O31)))),C_s2:C_f2,2)-(10^(LOG(O31)-INT(LOG(O31)))),VLOOKUP((10^(LOG(O31)-INT(LOG(O31)))),C_s2:C_f2,1),VLOOKUP((10^(LOG(O31)-INT(LOG(O31)))),C_s2:C_f2,2))</f>
        <v>1.5</v>
      </c>
      <c r="P34" s="107"/>
      <c r="Q34" s="40"/>
      <c r="R34" s="40"/>
      <c r="S34" s="107">
        <f>IF((10^(LOG(S31)-INT(LOG(S31))))-VLOOKUP((10^(LOG(S31)-INT(LOG(S31)))),C_s2:C_f2,1)&lt;VLOOKUP((10^(LOG(S31)-INT(LOG(S31)))),C_s2:C_f2,2)-(10^(LOG(S31)-INT(LOG(S31)))),VLOOKUP((10^(LOG(S31)-INT(LOG(S31)))),C_s2:C_f2,1),VLOOKUP((10^(LOG(S31)-INT(LOG(S31)))),C_s2:C_f2,2))</f>
        <v>6.8</v>
      </c>
      <c r="T34" s="167"/>
    </row>
    <row r="35" spans="1:20" s="39" customFormat="1" ht="13.5" thickBot="1" x14ac:dyDescent="0.25">
      <c r="E35" s="34">
        <v>330</v>
      </c>
      <c r="F35" s="34">
        <v>360</v>
      </c>
      <c r="G35" s="14">
        <v>215</v>
      </c>
      <c r="H35" s="15">
        <v>221</v>
      </c>
      <c r="I35" s="8"/>
      <c r="L35" s="23"/>
      <c r="M35" s="168"/>
      <c r="N35" s="40"/>
      <c r="O35" s="40"/>
      <c r="P35" s="40"/>
      <c r="Q35" s="40"/>
      <c r="R35" s="40"/>
      <c r="S35" s="40"/>
      <c r="T35" s="167"/>
    </row>
    <row r="36" spans="1:20" s="39" customFormat="1" ht="13.5" thickBot="1" x14ac:dyDescent="0.25">
      <c r="E36" s="34">
        <v>360</v>
      </c>
      <c r="F36" s="34">
        <v>390</v>
      </c>
      <c r="G36" s="15">
        <v>221</v>
      </c>
      <c r="H36" s="14">
        <v>226</v>
      </c>
      <c r="I36" s="8"/>
      <c r="L36" s="25"/>
      <c r="M36" s="168"/>
      <c r="N36" s="25" t="s">
        <v>269</v>
      </c>
      <c r="O36" s="7"/>
      <c r="P36" s="7"/>
      <c r="Q36" s="40"/>
      <c r="R36" s="40"/>
      <c r="S36" s="40"/>
      <c r="T36" s="167"/>
    </row>
    <row r="37" spans="1:20" s="39" customFormat="1" ht="16.5" thickBot="1" x14ac:dyDescent="0.25">
      <c r="E37" s="34">
        <v>390</v>
      </c>
      <c r="F37" s="37">
        <v>430</v>
      </c>
      <c r="G37" s="14">
        <v>226</v>
      </c>
      <c r="H37" s="15">
        <v>232</v>
      </c>
      <c r="I37" s="36"/>
      <c r="L37" s="7"/>
      <c r="M37" s="168"/>
      <c r="N37" s="25" t="s">
        <v>271</v>
      </c>
      <c r="O37" s="7">
        <f>(SQRT(2*(O32*10^-6)*(((O32*10^-6)*Vmin^2)-(Pin*O30))))/(Lookup!O32*10^-6)</f>
        <v>168.77348785100779</v>
      </c>
      <c r="P37" s="25" t="s">
        <v>25</v>
      </c>
      <c r="Q37" s="40"/>
      <c r="R37" s="40"/>
      <c r="S37" s="7">
        <f>(SQRT(2*(S32*10^-6)*(((S32*10^-6)*Vmin^2)-(Pin*S30))))/(Lookup!S32*10^-6)</f>
        <v>234.60409125002846</v>
      </c>
      <c r="T37" s="167"/>
    </row>
    <row r="38" spans="1:20" ht="13.5" thickBot="1" x14ac:dyDescent="0.25">
      <c r="E38" s="37">
        <v>430</v>
      </c>
      <c r="F38" s="33">
        <v>470</v>
      </c>
      <c r="G38" s="15">
        <v>232</v>
      </c>
      <c r="H38" s="14">
        <v>237</v>
      </c>
      <c r="I38" s="36"/>
      <c r="L38" s="7"/>
      <c r="M38" s="164"/>
      <c r="N38" s="25" t="s">
        <v>272</v>
      </c>
      <c r="O38" s="7">
        <f>(1/fline)/(2*PI())*ASIN((O37)/Vin_min)</f>
        <v>2.4544590065692911E-3</v>
      </c>
      <c r="P38" s="25" t="s">
        <v>227</v>
      </c>
      <c r="Q38" s="7"/>
      <c r="R38" s="165"/>
      <c r="S38" s="7">
        <f>(1/fline)/(2*PI())*ASIN((S37)/Vin_min)</f>
        <v>3.9694374413543837E-3</v>
      </c>
      <c r="T38" s="166"/>
    </row>
    <row r="39" spans="1:20" ht="13.5" thickBot="1" x14ac:dyDescent="0.25">
      <c r="E39" s="33">
        <v>470</v>
      </c>
      <c r="F39" s="34">
        <v>510</v>
      </c>
      <c r="G39" s="14">
        <v>237</v>
      </c>
      <c r="H39" s="15">
        <v>243</v>
      </c>
      <c r="I39" s="36"/>
      <c r="L39" s="7"/>
      <c r="M39" s="164"/>
      <c r="N39" s="25" t="s">
        <v>273</v>
      </c>
      <c r="O39" s="7">
        <f>((1/fline)/2)+O38</f>
        <v>1.3092756878909716E-2</v>
      </c>
      <c r="P39" s="25" t="s">
        <v>227</v>
      </c>
      <c r="Q39" s="7"/>
      <c r="R39" s="165"/>
      <c r="S39" s="7">
        <f>((1/fline)/2)+S38</f>
        <v>1.460773531369481E-2</v>
      </c>
      <c r="T39" s="166"/>
    </row>
    <row r="40" spans="1:20" ht="13.5" thickBot="1" x14ac:dyDescent="0.25">
      <c r="E40" s="34">
        <v>510</v>
      </c>
      <c r="F40" s="34">
        <v>560</v>
      </c>
      <c r="G40" s="15">
        <v>243</v>
      </c>
      <c r="H40" s="14">
        <v>249</v>
      </c>
      <c r="I40" s="36"/>
      <c r="L40" s="7"/>
      <c r="M40" s="164"/>
      <c r="N40" s="25" t="s">
        <v>274</v>
      </c>
      <c r="O40" s="7">
        <f>((1/fline)/4)</f>
        <v>5.3191489361702126E-3</v>
      </c>
      <c r="P40" s="165" t="s">
        <v>227</v>
      </c>
      <c r="Q40" s="7"/>
      <c r="R40" s="165"/>
      <c r="S40" s="7">
        <f>((1/fline)/4)</f>
        <v>5.3191489361702126E-3</v>
      </c>
      <c r="T40" s="166"/>
    </row>
    <row r="41" spans="1:20" ht="16.5" thickBot="1" x14ac:dyDescent="0.25">
      <c r="E41" s="34">
        <v>560</v>
      </c>
      <c r="F41" s="34">
        <v>620</v>
      </c>
      <c r="G41" s="14">
        <v>249</v>
      </c>
      <c r="H41" s="15">
        <v>255</v>
      </c>
      <c r="I41" s="36"/>
      <c r="L41" s="7"/>
      <c r="M41" s="164"/>
      <c r="N41" s="25" t="s">
        <v>275</v>
      </c>
      <c r="O41" s="7">
        <f>O39-(O40)</f>
        <v>7.7736079427395037E-3</v>
      </c>
      <c r="P41" s="25" t="s">
        <v>227</v>
      </c>
      <c r="Q41" s="7"/>
      <c r="R41" s="165"/>
      <c r="S41" s="7">
        <f>S39-(S40)</f>
        <v>9.2885863775245964E-3</v>
      </c>
      <c r="T41" s="166"/>
    </row>
    <row r="42" spans="1:20" ht="13.5" thickBot="1" x14ac:dyDescent="0.25">
      <c r="E42" s="34">
        <v>620</v>
      </c>
      <c r="F42" s="34">
        <v>680</v>
      </c>
      <c r="G42" s="15">
        <v>255</v>
      </c>
      <c r="H42" s="14">
        <v>261</v>
      </c>
      <c r="I42" s="36"/>
      <c r="L42" s="7"/>
      <c r="M42" s="164"/>
      <c r="N42" s="247" t="s">
        <v>277</v>
      </c>
      <c r="O42" s="107">
        <f>(2*Pin*(Lookup!O41/(Vin_min^2-(O37)^2)))*10^12</f>
        <v>15109942.544917412</v>
      </c>
      <c r="P42" s="147" t="s">
        <v>63</v>
      </c>
      <c r="Q42" s="7"/>
      <c r="R42" s="165"/>
      <c r="S42" s="107">
        <f>(2*Pin*(Lookup!S41/(Vin_min^2-(S37)^2)))*10^12</f>
        <v>67172448.498370469</v>
      </c>
      <c r="T42" s="166"/>
    </row>
    <row r="43" spans="1:20" ht="13.5" thickBot="1" x14ac:dyDescent="0.25">
      <c r="E43" s="34">
        <v>680</v>
      </c>
      <c r="F43" s="34">
        <v>750</v>
      </c>
      <c r="G43" s="14">
        <v>261</v>
      </c>
      <c r="H43" s="15">
        <v>267</v>
      </c>
      <c r="I43" s="36"/>
      <c r="L43" s="7"/>
      <c r="M43" s="164"/>
      <c r="N43" s="248"/>
      <c r="O43" s="107">
        <f>(IF(O42&lt;10000,O44*10^INT(LOG(O42)),O45*10^INT(LOG(O42))))*10^-6</f>
        <v>15</v>
      </c>
      <c r="P43" s="147" t="s">
        <v>233</v>
      </c>
      <c r="Q43" s="7"/>
      <c r="R43" s="165"/>
      <c r="S43" s="107">
        <f>(IF(S42&lt;10000,S44*10^INT(LOG(S42)),S45*10^INT(LOG(S42))))*10^-6</f>
        <v>68</v>
      </c>
      <c r="T43" s="166"/>
    </row>
    <row r="44" spans="1:20" ht="13.5" thickBot="1" x14ac:dyDescent="0.25">
      <c r="E44" s="34">
        <v>750</v>
      </c>
      <c r="F44" s="34">
        <v>820</v>
      </c>
      <c r="G44" s="15">
        <v>267</v>
      </c>
      <c r="H44" s="14">
        <v>274</v>
      </c>
      <c r="L44" s="7"/>
      <c r="M44" s="164"/>
      <c r="N44" s="248"/>
      <c r="O44" s="107">
        <f>IF((10^(LOG(O42)-INT(LOG(O42))))-VLOOKUP((10^(LOG(O42)-INT(LOG(O42)))),c_s1:C_f1,1)&lt;VLOOKUP((10^(LOG(O42)-INT(LOG(O42)))),c_s1:C_f1,2)-(10^(LOG(O42)-INT(LOG(O42)))),VLOOKUP((10^(LOG(O42)-INT(LOG(O42)))),c_s1:C_f1,1),VLOOKUP((10^(LOG(O42)-INT(LOG(O42)))),c_s1:C_f1,2))</f>
        <v>1.5</v>
      </c>
      <c r="P44" s="107"/>
      <c r="Q44" s="7"/>
      <c r="R44" s="165"/>
      <c r="S44" s="107">
        <f>IF((10^(LOG(S42)-INT(LOG(S42))))-VLOOKUP((10^(LOG(S42)-INT(LOG(S42)))),c_s1:C_f1,1)&lt;VLOOKUP((10^(LOG(S42)-INT(LOG(S42)))),c_s1:C_f1,2)-(10^(LOG(S42)-INT(LOG(S42)))),VLOOKUP((10^(LOG(S42)-INT(LOG(S42)))),c_s1:C_f1,1),VLOOKUP((10^(LOG(S42)-INT(LOG(S42)))),c_s1:C_f1,2))</f>
        <v>6.8</v>
      </c>
      <c r="T44" s="166"/>
    </row>
    <row r="45" spans="1:20" ht="13.5" thickBot="1" x14ac:dyDescent="0.25">
      <c r="E45" s="34">
        <v>820</v>
      </c>
      <c r="F45" s="37">
        <v>910</v>
      </c>
      <c r="G45" s="14">
        <v>274</v>
      </c>
      <c r="H45" s="15">
        <v>280</v>
      </c>
      <c r="L45" s="20"/>
      <c r="M45" s="164"/>
      <c r="N45" s="249"/>
      <c r="O45" s="107">
        <f>IF((10^(LOG(O42)-INT(LOG(O42))))-VLOOKUP((10^(LOG(O42)-INT(LOG(O42)))),C_s2:C_f2,1)&lt;VLOOKUP((10^(LOG(O42)-INT(LOG(O42)))),C_s2:C_f2,2)-(10^(LOG(O42)-INT(LOG(O42)))),VLOOKUP((10^(LOG(O42)-INT(LOG(O42)))),C_s2:C_f2,1),VLOOKUP((10^(LOG(O42)-INT(LOG(O42)))),C_s2:C_f2,2))</f>
        <v>1.5</v>
      </c>
      <c r="P45" s="107"/>
      <c r="Q45" s="7"/>
      <c r="R45" s="165"/>
      <c r="S45" s="107">
        <f>IF((10^(LOG(S42)-INT(LOG(S42))))-VLOOKUP((10^(LOG(S42)-INT(LOG(S42)))),C_s2:C_f2,1)&lt;VLOOKUP((10^(LOG(S42)-INT(LOG(S42)))),C_s2:C_f2,2)-(10^(LOG(S42)-INT(LOG(S42)))),VLOOKUP((10^(LOG(S42)-INT(LOG(S42)))),C_s2:C_f2,1),VLOOKUP((10^(LOG(S42)-INT(LOG(S42)))),C_s2:C_f2,2))</f>
        <v>6.8</v>
      </c>
      <c r="T45" s="166"/>
    </row>
    <row r="46" spans="1:20" ht="13.5" thickBot="1" x14ac:dyDescent="0.25">
      <c r="E46" s="37">
        <v>910</v>
      </c>
      <c r="F46" s="37">
        <v>1000</v>
      </c>
      <c r="G46" s="15">
        <v>280</v>
      </c>
      <c r="H46" s="14">
        <v>287</v>
      </c>
      <c r="L46" s="21"/>
      <c r="M46" s="164"/>
      <c r="N46" s="7"/>
      <c r="O46" s="7"/>
      <c r="P46" s="7"/>
      <c r="Q46" s="7"/>
      <c r="R46" s="165"/>
      <c r="S46" s="7"/>
      <c r="T46" s="166"/>
    </row>
    <row r="47" spans="1:20" ht="13.5" thickBot="1" x14ac:dyDescent="0.25">
      <c r="E47" s="259" t="s">
        <v>90</v>
      </c>
      <c r="F47" s="259"/>
      <c r="G47" s="14">
        <v>287</v>
      </c>
      <c r="H47" s="15">
        <v>294</v>
      </c>
      <c r="M47" s="164"/>
      <c r="N47" s="25" t="s">
        <v>270</v>
      </c>
      <c r="O47" s="7"/>
      <c r="P47" s="7"/>
      <c r="Q47" s="7"/>
      <c r="R47" s="165"/>
      <c r="S47" s="7"/>
      <c r="T47" s="166"/>
    </row>
    <row r="48" spans="1:20" ht="16.5" thickBot="1" x14ac:dyDescent="0.25">
      <c r="E48" s="41">
        <v>100</v>
      </c>
      <c r="F48" s="41">
        <v>105</v>
      </c>
      <c r="G48" s="15">
        <v>294</v>
      </c>
      <c r="H48" s="14">
        <v>301</v>
      </c>
      <c r="L48" s="21"/>
      <c r="M48" s="164"/>
      <c r="N48" s="25" t="s">
        <v>278</v>
      </c>
      <c r="O48" s="7">
        <f>(SQRT(2*(O43*10^-6)*(((O43*10^-6)*Vmin^2)-(Pin*O41))))/(Lookup!O43*10^-6)</f>
        <v>167.98308118253695</v>
      </c>
      <c r="P48" s="25" t="s">
        <v>25</v>
      </c>
      <c r="Q48" s="7"/>
      <c r="R48" s="165"/>
      <c r="S48" s="7">
        <f>(SQRT(2*(S43*10^-6)*(((S43*10^-6)*Vmin^2)-(Pin*S41))))/(Lookup!S43*10^-6)</f>
        <v>234.85712425272141</v>
      </c>
      <c r="T48" s="166"/>
    </row>
    <row r="49" spans="5:20" ht="13.5" thickBot="1" x14ac:dyDescent="0.25">
      <c r="E49" s="41">
        <v>105</v>
      </c>
      <c r="F49" s="41">
        <v>110</v>
      </c>
      <c r="G49" s="14">
        <v>301</v>
      </c>
      <c r="H49" s="15">
        <v>309</v>
      </c>
      <c r="L49" s="21"/>
      <c r="M49" s="164"/>
      <c r="N49" s="25" t="s">
        <v>279</v>
      </c>
      <c r="O49" s="7">
        <f>(1/fline)/(2*PI())*ASIN((O48)/Vin_min)</f>
        <v>2.4404395053040998E-3</v>
      </c>
      <c r="P49" s="25" t="s">
        <v>227</v>
      </c>
      <c r="Q49" s="7"/>
      <c r="R49" s="165"/>
      <c r="S49" s="7">
        <f>(1/fline)/(2*PI())*ASIN((S48)/Vin_min)</f>
        <v>3.978136679456329E-3</v>
      </c>
      <c r="T49" s="166"/>
    </row>
    <row r="50" spans="5:20" ht="13.5" thickBot="1" x14ac:dyDescent="0.25">
      <c r="E50" s="41">
        <v>110</v>
      </c>
      <c r="F50" s="41">
        <v>115</v>
      </c>
      <c r="G50" s="15">
        <v>309</v>
      </c>
      <c r="H50" s="14">
        <v>316</v>
      </c>
      <c r="L50" s="7"/>
      <c r="M50" s="164"/>
      <c r="N50" s="25" t="s">
        <v>280</v>
      </c>
      <c r="O50" s="7">
        <f>((1/fline)/2)+O49</f>
        <v>1.3078737377644525E-2</v>
      </c>
      <c r="P50" s="25" t="s">
        <v>227</v>
      </c>
      <c r="Q50" s="7"/>
      <c r="R50" s="165"/>
      <c r="S50" s="7">
        <f>((1/fline)/2)+S49</f>
        <v>1.4616434551796755E-2</v>
      </c>
      <c r="T50" s="166"/>
    </row>
    <row r="51" spans="5:20" ht="13.5" thickBot="1" x14ac:dyDescent="0.25">
      <c r="E51" s="41">
        <v>115</v>
      </c>
      <c r="F51" s="41">
        <v>121</v>
      </c>
      <c r="G51" s="14">
        <v>316</v>
      </c>
      <c r="H51" s="15">
        <v>324</v>
      </c>
      <c r="L51" s="7"/>
      <c r="M51" s="164"/>
      <c r="N51" s="25" t="s">
        <v>281</v>
      </c>
      <c r="O51" s="7">
        <f>((1/fline)/4)</f>
        <v>5.3191489361702126E-3</v>
      </c>
      <c r="P51" s="165" t="s">
        <v>227</v>
      </c>
      <c r="Q51" s="7"/>
      <c r="R51" s="165"/>
      <c r="S51" s="7">
        <f>((1/fline)/4)</f>
        <v>5.3191489361702126E-3</v>
      </c>
      <c r="T51" s="166"/>
    </row>
    <row r="52" spans="5:20" ht="16.5" thickBot="1" x14ac:dyDescent="0.25">
      <c r="E52" s="41">
        <v>121</v>
      </c>
      <c r="F52" s="41">
        <v>127</v>
      </c>
      <c r="G52" s="15">
        <v>324</v>
      </c>
      <c r="H52" s="14">
        <v>332</v>
      </c>
      <c r="J52" s="35"/>
      <c r="K52" s="35"/>
      <c r="L52" s="35"/>
      <c r="M52" s="164"/>
      <c r="N52" s="25" t="s">
        <v>282</v>
      </c>
      <c r="O52" s="7">
        <f>O50-(O51)</f>
        <v>7.7595884414743124E-3</v>
      </c>
      <c r="P52" s="25" t="s">
        <v>227</v>
      </c>
      <c r="Q52" s="7"/>
      <c r="R52" s="165"/>
      <c r="S52" s="7">
        <f>S50-(S51)</f>
        <v>9.2972856156265417E-3</v>
      </c>
      <c r="T52" s="166"/>
    </row>
    <row r="53" spans="5:20" ht="13.5" thickBot="1" x14ac:dyDescent="0.25">
      <c r="E53" s="41">
        <v>127</v>
      </c>
      <c r="F53" s="41">
        <v>133</v>
      </c>
      <c r="G53" s="14">
        <v>332</v>
      </c>
      <c r="H53" s="15">
        <v>340</v>
      </c>
      <c r="J53" s="35"/>
      <c r="K53" s="35"/>
      <c r="L53" s="35"/>
      <c r="M53" s="164"/>
      <c r="N53" s="247" t="s">
        <v>283</v>
      </c>
      <c r="O53" s="107">
        <f>(2*Pin*(Lookup!O52/(Vin_min^2-(O48)^2)))*10^12</f>
        <v>14972947.887193834</v>
      </c>
      <c r="P53" s="147" t="s">
        <v>63</v>
      </c>
      <c r="Q53" s="7"/>
      <c r="R53" s="165"/>
      <c r="S53" s="107">
        <f>(2*Pin*(Lookup!S52/(Vin_min^2-(S48)^2)))*10^12</f>
        <v>68063685.491730422</v>
      </c>
      <c r="T53" s="166"/>
    </row>
    <row r="54" spans="5:20" ht="13.5" thickBot="1" x14ac:dyDescent="0.25">
      <c r="E54" s="41">
        <v>133</v>
      </c>
      <c r="F54" s="41">
        <v>140</v>
      </c>
      <c r="G54" s="15">
        <v>340</v>
      </c>
      <c r="H54" s="14">
        <v>348</v>
      </c>
      <c r="J54" s="35"/>
      <c r="K54" s="35"/>
      <c r="L54" s="35"/>
      <c r="M54" s="164"/>
      <c r="N54" s="248"/>
      <c r="O54" s="107">
        <f>(IF(O53&lt;10000,O55*10^INT(LOG(O53)),O56*10^INT(LOG(O53))))*10^-6</f>
        <v>15</v>
      </c>
      <c r="P54" s="147" t="s">
        <v>233</v>
      </c>
      <c r="Q54" s="7"/>
      <c r="R54" s="165"/>
      <c r="S54" s="107">
        <f>(IF(S53&lt;10000,S55*10^INT(LOG(S53)),S56*10^INT(LOG(S53))))*10^-6</f>
        <v>68</v>
      </c>
      <c r="T54" s="166"/>
    </row>
    <row r="55" spans="5:20" ht="13.5" thickBot="1" x14ac:dyDescent="0.25">
      <c r="E55" s="41">
        <v>140</v>
      </c>
      <c r="F55" s="41">
        <v>147</v>
      </c>
      <c r="G55" s="14">
        <v>348</v>
      </c>
      <c r="H55" s="15">
        <v>357</v>
      </c>
      <c r="J55" s="35"/>
      <c r="K55" s="35"/>
      <c r="L55" s="35"/>
      <c r="M55" s="164"/>
      <c r="N55" s="248"/>
      <c r="O55" s="107">
        <f>IF((10^(LOG(O53)-INT(LOG(O53))))-VLOOKUP((10^(LOG(O53)-INT(LOG(O53)))),c_s1:C_f1,1)&lt;VLOOKUP((10^(LOG(O53)-INT(LOG(O53)))),c_s1:C_f1,2)-(10^(LOG(O53)-INT(LOG(O53)))),VLOOKUP((10^(LOG(O53)-INT(LOG(O53)))),c_s1:C_f1,1),VLOOKUP((10^(LOG(O53)-INT(LOG(O53)))),c_s1:C_f1,2))</f>
        <v>1.5</v>
      </c>
      <c r="P55" s="107"/>
      <c r="Q55" s="7"/>
      <c r="R55" s="165"/>
      <c r="S55" s="107">
        <f>IF((10^(LOG(S53)-INT(LOG(S53))))-VLOOKUP((10^(LOG(S53)-INT(LOG(S53)))),c_s1:C_f1,1)&lt;VLOOKUP((10^(LOG(S53)-INT(LOG(S53)))),c_s1:C_f1,2)-(10^(LOG(S53)-INT(LOG(S53)))),VLOOKUP((10^(LOG(S53)-INT(LOG(S53)))),c_s1:C_f1,1),VLOOKUP((10^(LOG(S53)-INT(LOG(S53)))),c_s1:C_f1,2))</f>
        <v>6.8</v>
      </c>
      <c r="T55" s="166"/>
    </row>
    <row r="56" spans="5:20" ht="13.5" thickBot="1" x14ac:dyDescent="0.25">
      <c r="E56" s="41">
        <v>147</v>
      </c>
      <c r="F56" s="41">
        <v>154</v>
      </c>
      <c r="G56" s="15">
        <v>357</v>
      </c>
      <c r="H56" s="14">
        <v>365</v>
      </c>
      <c r="J56" s="35"/>
      <c r="K56" s="35"/>
      <c r="L56" s="35"/>
      <c r="M56" s="164"/>
      <c r="N56" s="249"/>
      <c r="O56" s="107">
        <f>IF((10^(LOG(O53)-INT(LOG(O53))))-VLOOKUP((10^(LOG(O53)-INT(LOG(O53)))),C_s2:C_f2,1)&lt;VLOOKUP((10^(LOG(O53)-INT(LOG(O53)))),C_s2:C_f2,2)-(10^(LOG(O53)-INT(LOG(O53)))),VLOOKUP((10^(LOG(O53)-INT(LOG(O53)))),C_s2:C_f2,1),VLOOKUP((10^(LOG(O53)-INT(LOG(O53)))),C_s2:C_f2,2))</f>
        <v>1.5</v>
      </c>
      <c r="P56" s="107"/>
      <c r="Q56" s="7"/>
      <c r="R56" s="165"/>
      <c r="S56" s="107">
        <f>IF((10^(LOG(S53)-INT(LOG(S53))))-VLOOKUP((10^(LOG(S53)-INT(LOG(S53)))),C_s2:C_f2,1)&lt;VLOOKUP((10^(LOG(S53)-INT(LOG(S53)))),C_s2:C_f2,2)-(10^(LOG(S53)-INT(LOG(S53)))),VLOOKUP((10^(LOG(S53)-INT(LOG(S53)))),C_s2:C_f2,1),VLOOKUP((10^(LOG(S53)-INT(LOG(S53)))),C_s2:C_f2,2))</f>
        <v>6.8</v>
      </c>
      <c r="T56" s="166"/>
    </row>
    <row r="57" spans="5:20" ht="13.5" thickBot="1" x14ac:dyDescent="0.25">
      <c r="E57" s="41">
        <v>154</v>
      </c>
      <c r="F57" s="41">
        <v>162</v>
      </c>
      <c r="G57" s="14">
        <v>365</v>
      </c>
      <c r="H57" s="15">
        <v>374</v>
      </c>
      <c r="J57" s="35"/>
      <c r="K57" s="35"/>
      <c r="L57" s="35"/>
      <c r="M57" s="164"/>
      <c r="N57" s="7"/>
      <c r="O57" s="7"/>
      <c r="P57" s="7"/>
      <c r="Q57" s="7"/>
      <c r="R57" s="165"/>
      <c r="S57" s="7"/>
      <c r="T57" s="166"/>
    </row>
    <row r="58" spans="5:20" ht="16.5" thickBot="1" x14ac:dyDescent="0.25">
      <c r="E58" s="41">
        <v>162</v>
      </c>
      <c r="F58" s="41">
        <v>169</v>
      </c>
      <c r="G58" s="15">
        <v>374</v>
      </c>
      <c r="H58" s="14">
        <v>383</v>
      </c>
      <c r="J58" s="35"/>
      <c r="K58" s="35"/>
      <c r="L58" s="35"/>
      <c r="M58" s="164"/>
      <c r="N58" s="25" t="s">
        <v>284</v>
      </c>
      <c r="O58" s="7">
        <f>(SQRT(2*(O54*10^-6)*(((O54*10^-6)*Vmin^2)-(Pin*O52))))/(Lookup!O54*10^-6)</f>
        <v>168.17933787234298</v>
      </c>
      <c r="P58" s="25" t="s">
        <v>25</v>
      </c>
      <c r="Q58" s="7"/>
      <c r="R58" s="165"/>
      <c r="S58" s="7">
        <f>(SQRT(2*(S54*10^-6)*(((S54*10^-6)*Vmin^2)-(Pin*S52))))/(Lookup!S54*10^-6)</f>
        <v>234.8378982644993</v>
      </c>
      <c r="T58" s="166"/>
    </row>
    <row r="59" spans="5:20" ht="13.5" thickBot="1" x14ac:dyDescent="0.25">
      <c r="E59" s="41">
        <v>169</v>
      </c>
      <c r="F59" s="41">
        <v>178</v>
      </c>
      <c r="G59" s="14">
        <v>383</v>
      </c>
      <c r="H59" s="15">
        <v>392</v>
      </c>
      <c r="J59" s="35"/>
      <c r="K59" s="35"/>
      <c r="L59" s="35"/>
      <c r="M59" s="169"/>
      <c r="N59" s="170"/>
      <c r="O59" s="170"/>
      <c r="P59" s="170"/>
      <c r="Q59" s="170"/>
      <c r="R59" s="171"/>
      <c r="S59" s="171"/>
      <c r="T59" s="172"/>
    </row>
    <row r="60" spans="5:20" ht="13.5" thickBot="1" x14ac:dyDescent="0.25">
      <c r="E60" s="41">
        <v>178</v>
      </c>
      <c r="F60" s="41">
        <v>187</v>
      </c>
      <c r="G60" s="15">
        <v>392</v>
      </c>
      <c r="H60" s="14">
        <v>402</v>
      </c>
      <c r="J60" s="35"/>
      <c r="K60" s="35"/>
      <c r="L60" s="35"/>
    </row>
    <row r="61" spans="5:20" ht="13.5" thickBot="1" x14ac:dyDescent="0.25">
      <c r="E61" s="41">
        <v>187</v>
      </c>
      <c r="F61" s="41">
        <v>196</v>
      </c>
      <c r="G61" s="14">
        <v>402</v>
      </c>
      <c r="H61" s="15">
        <v>412</v>
      </c>
      <c r="J61" s="35"/>
      <c r="K61" s="35"/>
      <c r="L61" s="35"/>
    </row>
    <row r="62" spans="5:20" ht="13.5" thickBot="1" x14ac:dyDescent="0.25">
      <c r="E62" s="41">
        <v>196</v>
      </c>
      <c r="F62" s="41">
        <v>205</v>
      </c>
      <c r="G62" s="15">
        <v>412</v>
      </c>
      <c r="H62" s="14">
        <v>422</v>
      </c>
      <c r="J62" s="35"/>
      <c r="K62" s="35"/>
      <c r="L62" s="35"/>
    </row>
    <row r="63" spans="5:20" ht="13.5" thickBot="1" x14ac:dyDescent="0.25">
      <c r="E63" s="41">
        <v>205</v>
      </c>
      <c r="F63" s="41">
        <v>215</v>
      </c>
      <c r="G63" s="14">
        <v>422</v>
      </c>
      <c r="H63" s="15">
        <v>432</v>
      </c>
      <c r="J63" s="35"/>
      <c r="K63" s="35"/>
      <c r="L63" s="35"/>
      <c r="N63" s="146"/>
      <c r="P63" s="146"/>
    </row>
    <row r="64" spans="5:20" ht="13.5" thickBot="1" x14ac:dyDescent="0.25">
      <c r="E64" s="41">
        <v>215</v>
      </c>
      <c r="F64" s="41">
        <v>226</v>
      </c>
      <c r="G64" s="15">
        <v>432</v>
      </c>
      <c r="H64" s="14">
        <v>442</v>
      </c>
      <c r="J64" s="35"/>
      <c r="K64" s="35"/>
      <c r="L64" s="35"/>
      <c r="P64" s="146"/>
    </row>
    <row r="65" spans="5:12" ht="13.5" thickBot="1" x14ac:dyDescent="0.25">
      <c r="E65" s="41">
        <v>226</v>
      </c>
      <c r="F65" s="41">
        <v>237</v>
      </c>
      <c r="G65" s="14">
        <v>442</v>
      </c>
      <c r="H65" s="15">
        <v>453</v>
      </c>
      <c r="J65" s="35"/>
      <c r="K65" s="35"/>
      <c r="L65" s="35"/>
    </row>
    <row r="66" spans="5:12" ht="13.5" thickBot="1" x14ac:dyDescent="0.25">
      <c r="E66" s="41">
        <v>237</v>
      </c>
      <c r="F66" s="41">
        <v>249</v>
      </c>
      <c r="G66" s="15">
        <v>453</v>
      </c>
      <c r="H66" s="14">
        <v>464</v>
      </c>
      <c r="J66" s="35"/>
      <c r="K66" s="35"/>
      <c r="L66" s="35"/>
    </row>
    <row r="67" spans="5:12" ht="13.5" thickBot="1" x14ac:dyDescent="0.25">
      <c r="E67" s="41">
        <v>249</v>
      </c>
      <c r="F67" s="41">
        <v>261</v>
      </c>
      <c r="G67" s="14">
        <v>464</v>
      </c>
      <c r="H67" s="15">
        <v>475</v>
      </c>
      <c r="J67" s="35"/>
      <c r="K67" s="35"/>
      <c r="L67" s="35"/>
    </row>
    <row r="68" spans="5:12" ht="13.5" thickBot="1" x14ac:dyDescent="0.25">
      <c r="E68" s="41">
        <v>261</v>
      </c>
      <c r="F68" s="41">
        <v>274</v>
      </c>
      <c r="G68" s="15">
        <v>475</v>
      </c>
      <c r="H68" s="14">
        <v>487</v>
      </c>
      <c r="J68" s="35"/>
      <c r="K68" s="35"/>
      <c r="L68" s="35"/>
    </row>
    <row r="69" spans="5:12" ht="13.5" thickBot="1" x14ac:dyDescent="0.25">
      <c r="E69" s="41">
        <v>274</v>
      </c>
      <c r="F69" s="41">
        <v>287</v>
      </c>
      <c r="G69" s="14">
        <v>487</v>
      </c>
      <c r="H69" s="15">
        <v>499</v>
      </c>
      <c r="J69" s="35"/>
      <c r="K69" s="35"/>
      <c r="L69" s="35"/>
    </row>
    <row r="70" spans="5:12" ht="13.5" thickBot="1" x14ac:dyDescent="0.25">
      <c r="E70" s="41">
        <v>287</v>
      </c>
      <c r="F70" s="41">
        <v>301</v>
      </c>
      <c r="G70" s="15">
        <v>499</v>
      </c>
      <c r="H70" s="14">
        <v>511</v>
      </c>
      <c r="J70" s="35"/>
      <c r="K70" s="35"/>
      <c r="L70" s="35"/>
    </row>
    <row r="71" spans="5:12" ht="13.5" thickBot="1" x14ac:dyDescent="0.25">
      <c r="E71" s="41">
        <v>301</v>
      </c>
      <c r="F71" s="41">
        <v>316</v>
      </c>
      <c r="G71" s="14">
        <v>511</v>
      </c>
      <c r="H71" s="15">
        <v>523</v>
      </c>
      <c r="J71" s="35"/>
      <c r="K71" s="35"/>
      <c r="L71" s="35"/>
    </row>
    <row r="72" spans="5:12" ht="13.5" thickBot="1" x14ac:dyDescent="0.25">
      <c r="E72" s="41">
        <v>316</v>
      </c>
      <c r="F72" s="41">
        <v>332</v>
      </c>
      <c r="G72" s="15">
        <v>523</v>
      </c>
      <c r="H72" s="14">
        <v>536</v>
      </c>
      <c r="J72" s="35"/>
      <c r="K72" s="35"/>
      <c r="L72" s="35"/>
    </row>
    <row r="73" spans="5:12" ht="13.5" thickBot="1" x14ac:dyDescent="0.25">
      <c r="E73" s="41">
        <v>332</v>
      </c>
      <c r="F73" s="41">
        <v>348</v>
      </c>
      <c r="G73" s="14">
        <v>536</v>
      </c>
      <c r="H73" s="15">
        <v>549</v>
      </c>
      <c r="J73" s="35"/>
      <c r="K73" s="35"/>
      <c r="L73" s="35"/>
    </row>
    <row r="74" spans="5:12" ht="13.5" thickBot="1" x14ac:dyDescent="0.25">
      <c r="E74" s="41">
        <v>348</v>
      </c>
      <c r="F74" s="41">
        <v>365</v>
      </c>
      <c r="G74" s="15">
        <v>549</v>
      </c>
      <c r="H74" s="14">
        <v>562</v>
      </c>
      <c r="J74" s="35"/>
      <c r="K74" s="35"/>
      <c r="L74" s="35"/>
    </row>
    <row r="75" spans="5:12" ht="13.5" thickBot="1" x14ac:dyDescent="0.25">
      <c r="E75" s="41">
        <v>365</v>
      </c>
      <c r="F75" s="41">
        <v>383</v>
      </c>
      <c r="G75" s="14">
        <v>562</v>
      </c>
      <c r="H75" s="15">
        <v>576</v>
      </c>
      <c r="J75" s="42"/>
      <c r="K75" s="42"/>
      <c r="L75" s="42"/>
    </row>
    <row r="76" spans="5:12" ht="13.5" thickBot="1" x14ac:dyDescent="0.25">
      <c r="E76" s="41">
        <v>383</v>
      </c>
      <c r="F76" s="41">
        <v>402</v>
      </c>
      <c r="G76" s="15">
        <v>576</v>
      </c>
      <c r="H76" s="14">
        <v>590</v>
      </c>
      <c r="J76" s="42"/>
      <c r="K76" s="42"/>
      <c r="L76" s="42"/>
    </row>
    <row r="77" spans="5:12" ht="13.5" thickBot="1" x14ac:dyDescent="0.25">
      <c r="E77" s="41">
        <v>402</v>
      </c>
      <c r="F77" s="41">
        <v>422</v>
      </c>
      <c r="G77" s="14">
        <v>590</v>
      </c>
      <c r="H77" s="15">
        <v>604</v>
      </c>
      <c r="J77" s="42"/>
      <c r="K77" s="42"/>
      <c r="L77" s="42"/>
    </row>
    <row r="78" spans="5:12" ht="13.5" thickBot="1" x14ac:dyDescent="0.25">
      <c r="E78" s="41">
        <v>422</v>
      </c>
      <c r="F78" s="41">
        <v>442</v>
      </c>
      <c r="G78" s="15">
        <v>604</v>
      </c>
      <c r="H78" s="14">
        <v>619</v>
      </c>
      <c r="J78" s="42"/>
      <c r="K78" s="42"/>
      <c r="L78" s="42"/>
    </row>
    <row r="79" spans="5:12" ht="13.5" thickBot="1" x14ac:dyDescent="0.25">
      <c r="E79" s="41">
        <v>442</v>
      </c>
      <c r="F79" s="41">
        <v>464</v>
      </c>
      <c r="G79" s="14">
        <v>619</v>
      </c>
      <c r="H79" s="15">
        <v>634</v>
      </c>
      <c r="J79" s="42"/>
      <c r="K79" s="42"/>
      <c r="L79" s="42"/>
    </row>
    <row r="80" spans="5:12" ht="13.5" thickBot="1" x14ac:dyDescent="0.25">
      <c r="E80" s="41">
        <v>464</v>
      </c>
      <c r="F80" s="41">
        <v>487</v>
      </c>
      <c r="G80" s="15">
        <v>634</v>
      </c>
      <c r="H80" s="14">
        <v>649</v>
      </c>
      <c r="J80" s="42"/>
      <c r="K80" s="42"/>
      <c r="L80" s="42"/>
    </row>
    <row r="81" spans="5:12" ht="13.5" thickBot="1" x14ac:dyDescent="0.25">
      <c r="E81" s="41">
        <v>487</v>
      </c>
      <c r="F81" s="41">
        <v>511</v>
      </c>
      <c r="G81" s="14">
        <v>649</v>
      </c>
      <c r="H81" s="15">
        <v>665</v>
      </c>
      <c r="J81" s="42"/>
      <c r="K81" s="42"/>
      <c r="L81" s="42"/>
    </row>
    <row r="82" spans="5:12" ht="13.5" thickBot="1" x14ac:dyDescent="0.25">
      <c r="E82" s="41">
        <v>511</v>
      </c>
      <c r="F82" s="41">
        <v>536</v>
      </c>
      <c r="G82" s="15">
        <v>665</v>
      </c>
      <c r="H82" s="14">
        <v>681</v>
      </c>
      <c r="J82" s="42"/>
      <c r="K82" s="42"/>
      <c r="L82" s="42"/>
    </row>
    <row r="83" spans="5:12" ht="13.5" thickBot="1" x14ac:dyDescent="0.25">
      <c r="E83" s="41">
        <v>536</v>
      </c>
      <c r="F83" s="41">
        <v>562</v>
      </c>
      <c r="G83" s="14">
        <v>681</v>
      </c>
      <c r="H83" s="15">
        <v>698</v>
      </c>
      <c r="J83" s="42"/>
      <c r="K83" s="42"/>
      <c r="L83" s="42"/>
    </row>
    <row r="84" spans="5:12" ht="13.5" thickBot="1" x14ac:dyDescent="0.25">
      <c r="E84" s="41">
        <v>562</v>
      </c>
      <c r="F84" s="41">
        <v>590</v>
      </c>
      <c r="G84" s="15">
        <v>698</v>
      </c>
      <c r="H84" s="14">
        <v>715</v>
      </c>
      <c r="J84" s="42"/>
      <c r="K84" s="42"/>
      <c r="L84" s="42"/>
    </row>
    <row r="85" spans="5:12" ht="13.5" thickBot="1" x14ac:dyDescent="0.25">
      <c r="E85" s="41">
        <v>590</v>
      </c>
      <c r="F85" s="41">
        <v>619</v>
      </c>
      <c r="G85" s="14">
        <v>715</v>
      </c>
      <c r="H85" s="15">
        <v>732</v>
      </c>
      <c r="J85" s="42"/>
      <c r="K85" s="42"/>
      <c r="L85" s="42"/>
    </row>
    <row r="86" spans="5:12" ht="13.5" thickBot="1" x14ac:dyDescent="0.25">
      <c r="E86" s="41">
        <v>619</v>
      </c>
      <c r="F86" s="41">
        <v>649</v>
      </c>
      <c r="G86" s="15">
        <v>732</v>
      </c>
      <c r="H86" s="14">
        <v>750</v>
      </c>
      <c r="J86" s="42"/>
      <c r="K86" s="42"/>
      <c r="L86" s="42"/>
    </row>
    <row r="87" spans="5:12" ht="13.5" thickBot="1" x14ac:dyDescent="0.25">
      <c r="E87" s="41">
        <v>649</v>
      </c>
      <c r="F87" s="41">
        <v>681</v>
      </c>
      <c r="G87" s="14">
        <v>750</v>
      </c>
      <c r="H87" s="15">
        <v>768</v>
      </c>
      <c r="J87" s="42"/>
      <c r="K87" s="42"/>
      <c r="L87" s="42"/>
    </row>
    <row r="88" spans="5:12" ht="13.5" thickBot="1" x14ac:dyDescent="0.25">
      <c r="E88" s="41">
        <v>681</v>
      </c>
      <c r="F88" s="41">
        <v>715</v>
      </c>
      <c r="G88" s="15">
        <v>768</v>
      </c>
      <c r="H88" s="14">
        <v>787</v>
      </c>
      <c r="J88" s="42"/>
      <c r="K88" s="42"/>
      <c r="L88" s="42"/>
    </row>
    <row r="89" spans="5:12" ht="13.5" thickBot="1" x14ac:dyDescent="0.25">
      <c r="E89" s="41">
        <v>715</v>
      </c>
      <c r="F89" s="41">
        <v>750</v>
      </c>
      <c r="G89" s="14">
        <v>787</v>
      </c>
      <c r="H89" s="15">
        <v>806</v>
      </c>
      <c r="J89" s="42"/>
      <c r="K89" s="42"/>
      <c r="L89" s="42"/>
    </row>
    <row r="90" spans="5:12" ht="13.5" thickBot="1" x14ac:dyDescent="0.25">
      <c r="E90" s="41">
        <v>750</v>
      </c>
      <c r="F90" s="41">
        <v>787</v>
      </c>
      <c r="G90" s="15">
        <v>806</v>
      </c>
      <c r="H90" s="14">
        <v>825</v>
      </c>
      <c r="J90" s="42"/>
      <c r="K90" s="42"/>
      <c r="L90" s="42"/>
    </row>
    <row r="91" spans="5:12" ht="13.5" thickBot="1" x14ac:dyDescent="0.25">
      <c r="E91" s="41">
        <v>787</v>
      </c>
      <c r="F91" s="41">
        <v>825</v>
      </c>
      <c r="G91" s="14">
        <v>825</v>
      </c>
      <c r="H91" s="15">
        <v>845</v>
      </c>
      <c r="J91" s="42"/>
      <c r="K91" s="42"/>
      <c r="L91" s="42"/>
    </row>
    <row r="92" spans="5:12" ht="13.5" thickBot="1" x14ac:dyDescent="0.25">
      <c r="E92" s="41">
        <v>825</v>
      </c>
      <c r="F92" s="41">
        <v>866</v>
      </c>
      <c r="G92" s="15">
        <v>845</v>
      </c>
      <c r="H92" s="14">
        <v>866</v>
      </c>
      <c r="J92" s="42"/>
      <c r="K92" s="42"/>
      <c r="L92" s="42"/>
    </row>
    <row r="93" spans="5:12" ht="13.5" thickBot="1" x14ac:dyDescent="0.25">
      <c r="E93" s="41">
        <v>866</v>
      </c>
      <c r="F93" s="41">
        <v>909</v>
      </c>
      <c r="G93" s="14">
        <v>866</v>
      </c>
      <c r="H93" s="15">
        <v>887</v>
      </c>
      <c r="J93" s="42"/>
      <c r="K93" s="42"/>
      <c r="L93" s="42"/>
    </row>
    <row r="94" spans="5:12" ht="13.5" thickBot="1" x14ac:dyDescent="0.25">
      <c r="E94" s="41">
        <v>909</v>
      </c>
      <c r="F94" s="41">
        <v>953</v>
      </c>
      <c r="G94" s="15">
        <v>887</v>
      </c>
      <c r="H94" s="14">
        <v>909</v>
      </c>
      <c r="J94" s="42"/>
      <c r="K94" s="42"/>
      <c r="L94" s="42"/>
    </row>
    <row r="95" spans="5:12" ht="13.5" thickBot="1" x14ac:dyDescent="0.25">
      <c r="E95" s="41">
        <v>953</v>
      </c>
      <c r="F95" s="41">
        <v>1000</v>
      </c>
      <c r="G95" s="14">
        <v>909</v>
      </c>
      <c r="H95" s="15">
        <v>931</v>
      </c>
      <c r="J95" s="42"/>
      <c r="K95" s="42"/>
      <c r="L95" s="42"/>
    </row>
    <row r="96" spans="5:12" ht="13.5" thickBot="1" x14ac:dyDescent="0.25">
      <c r="G96" s="15">
        <v>931</v>
      </c>
      <c r="H96" s="14">
        <v>953</v>
      </c>
      <c r="J96" s="42"/>
      <c r="K96" s="42"/>
      <c r="L96" s="42"/>
    </row>
    <row r="97" spans="7:12" ht="13.5" thickBot="1" x14ac:dyDescent="0.25">
      <c r="G97" s="14">
        <v>953</v>
      </c>
      <c r="H97" s="15">
        <v>976</v>
      </c>
      <c r="J97" s="42"/>
      <c r="K97" s="42"/>
      <c r="L97" s="42"/>
    </row>
    <row r="98" spans="7:12" ht="13.5" thickBot="1" x14ac:dyDescent="0.25">
      <c r="G98" s="15">
        <v>976</v>
      </c>
      <c r="H98" s="15">
        <v>1000</v>
      </c>
      <c r="J98" s="42"/>
      <c r="K98" s="42"/>
      <c r="L98" s="42"/>
    </row>
    <row r="99" spans="7:12" x14ac:dyDescent="0.2">
      <c r="J99" s="42"/>
      <c r="K99" s="42"/>
      <c r="L99" s="42"/>
    </row>
    <row r="100" spans="7:12" x14ac:dyDescent="0.2">
      <c r="J100" s="42"/>
      <c r="K100" s="42"/>
      <c r="L100" s="42"/>
    </row>
    <row r="101" spans="7:12" x14ac:dyDescent="0.2">
      <c r="J101" s="42"/>
      <c r="K101" s="42"/>
      <c r="L101" s="42"/>
    </row>
    <row r="102" spans="7:12" x14ac:dyDescent="0.2">
      <c r="J102" s="42"/>
      <c r="K102" s="42"/>
      <c r="L102" s="42"/>
    </row>
    <row r="103" spans="7:12" x14ac:dyDescent="0.2">
      <c r="J103" s="42"/>
      <c r="K103" s="42"/>
      <c r="L103" s="42"/>
    </row>
    <row r="104" spans="7:12" x14ac:dyDescent="0.2">
      <c r="J104" s="42"/>
      <c r="K104" s="42"/>
      <c r="L104" s="42"/>
    </row>
    <row r="105" spans="7:12" x14ac:dyDescent="0.2">
      <c r="J105" s="42"/>
      <c r="K105" s="42"/>
      <c r="L105" s="42"/>
    </row>
    <row r="106" spans="7:12" x14ac:dyDescent="0.2">
      <c r="J106" s="42"/>
      <c r="K106" s="42"/>
      <c r="L106" s="42"/>
    </row>
    <row r="107" spans="7:12" x14ac:dyDescent="0.2">
      <c r="J107" s="42"/>
      <c r="K107" s="42"/>
      <c r="L107" s="42"/>
    </row>
    <row r="108" spans="7:12" x14ac:dyDescent="0.2">
      <c r="J108" s="42"/>
      <c r="K108" s="42"/>
      <c r="L108" s="42"/>
    </row>
    <row r="109" spans="7:12" x14ac:dyDescent="0.2">
      <c r="J109" s="42"/>
      <c r="K109" s="42"/>
      <c r="L109" s="42"/>
    </row>
    <row r="110" spans="7:12" x14ac:dyDescent="0.2">
      <c r="J110" s="42"/>
      <c r="K110" s="42"/>
      <c r="L110" s="42"/>
    </row>
    <row r="111" spans="7:12" x14ac:dyDescent="0.2">
      <c r="J111" s="42"/>
      <c r="K111" s="42"/>
      <c r="L111" s="42"/>
    </row>
    <row r="112" spans="7:12" x14ac:dyDescent="0.2">
      <c r="J112" s="42"/>
      <c r="K112" s="42"/>
      <c r="L112" s="42"/>
    </row>
    <row r="113" spans="10:12" x14ac:dyDescent="0.2">
      <c r="J113" s="42"/>
      <c r="K113" s="42"/>
      <c r="L113" s="42"/>
    </row>
    <row r="114" spans="10:12" x14ac:dyDescent="0.2">
      <c r="J114" s="42"/>
      <c r="K114" s="42"/>
      <c r="L114" s="42"/>
    </row>
    <row r="115" spans="10:12" x14ac:dyDescent="0.2">
      <c r="J115" s="42"/>
      <c r="K115" s="42"/>
      <c r="L115" s="42"/>
    </row>
    <row r="116" spans="10:12" x14ac:dyDescent="0.2">
      <c r="J116" s="42"/>
      <c r="K116" s="42"/>
      <c r="L116" s="42"/>
    </row>
    <row r="117" spans="10:12" x14ac:dyDescent="0.2">
      <c r="J117" s="42"/>
      <c r="K117" s="42"/>
      <c r="L117" s="42"/>
    </row>
    <row r="118" spans="10:12" x14ac:dyDescent="0.2">
      <c r="J118" s="42"/>
      <c r="K118" s="42"/>
      <c r="L118" s="42"/>
    </row>
    <row r="119" spans="10:12" x14ac:dyDescent="0.2">
      <c r="J119" s="42"/>
      <c r="K119" s="42"/>
      <c r="L119" s="42"/>
    </row>
    <row r="120" spans="10:12" x14ac:dyDescent="0.2">
      <c r="J120" s="42"/>
      <c r="K120" s="42"/>
      <c r="L120" s="42"/>
    </row>
    <row r="121" spans="10:12" x14ac:dyDescent="0.2">
      <c r="J121" s="42"/>
      <c r="K121" s="42"/>
      <c r="L121" s="42"/>
    </row>
    <row r="122" spans="10:12" x14ac:dyDescent="0.2">
      <c r="J122" s="42"/>
      <c r="K122" s="42"/>
      <c r="L122" s="42"/>
    </row>
    <row r="123" spans="10:12" x14ac:dyDescent="0.2">
      <c r="J123" s="42"/>
      <c r="K123" s="42"/>
      <c r="L123" s="42"/>
    </row>
    <row r="124" spans="10:12" x14ac:dyDescent="0.2">
      <c r="J124" s="42"/>
      <c r="K124" s="42"/>
      <c r="L124" s="42"/>
    </row>
    <row r="125" spans="10:12" x14ac:dyDescent="0.2">
      <c r="J125" s="42"/>
      <c r="K125" s="42"/>
      <c r="L125" s="42"/>
    </row>
    <row r="126" spans="10:12" x14ac:dyDescent="0.2">
      <c r="J126" s="42"/>
      <c r="K126" s="42"/>
      <c r="L126" s="42"/>
    </row>
    <row r="127" spans="10:12" x14ac:dyDescent="0.2">
      <c r="J127" s="42"/>
      <c r="K127" s="42"/>
      <c r="L127" s="42"/>
    </row>
    <row r="128" spans="10:12" x14ac:dyDescent="0.2">
      <c r="J128" s="42"/>
      <c r="K128" s="42"/>
      <c r="L128" s="42"/>
    </row>
    <row r="129" spans="10:12" x14ac:dyDescent="0.2">
      <c r="J129" s="42"/>
      <c r="K129" s="42"/>
      <c r="L129" s="42"/>
    </row>
    <row r="130" spans="10:12" x14ac:dyDescent="0.2">
      <c r="J130" s="42"/>
      <c r="K130" s="42"/>
      <c r="L130" s="42"/>
    </row>
    <row r="131" spans="10:12" x14ac:dyDescent="0.2">
      <c r="J131" s="42"/>
      <c r="K131" s="42"/>
      <c r="L131" s="42"/>
    </row>
    <row r="132" spans="10:12" x14ac:dyDescent="0.2">
      <c r="J132" s="42"/>
      <c r="K132" s="42"/>
      <c r="L132" s="42"/>
    </row>
    <row r="133" spans="10:12" x14ac:dyDescent="0.2">
      <c r="J133" s="42"/>
      <c r="K133" s="42"/>
      <c r="L133" s="42"/>
    </row>
    <row r="134" spans="10:12" x14ac:dyDescent="0.2">
      <c r="J134" s="42"/>
      <c r="K134" s="42"/>
      <c r="L134" s="42"/>
    </row>
    <row r="135" spans="10:12" x14ac:dyDescent="0.2">
      <c r="J135" s="42"/>
      <c r="K135" s="42"/>
      <c r="L135" s="42"/>
    </row>
    <row r="136" spans="10:12" x14ac:dyDescent="0.2">
      <c r="J136" s="42"/>
      <c r="K136" s="42"/>
      <c r="L136" s="42"/>
    </row>
    <row r="137" spans="10:12" x14ac:dyDescent="0.2">
      <c r="J137" s="42"/>
      <c r="K137" s="42"/>
      <c r="L137" s="42"/>
    </row>
    <row r="138" spans="10:12" x14ac:dyDescent="0.2">
      <c r="J138" s="42"/>
      <c r="K138" s="42"/>
      <c r="L138" s="42"/>
    </row>
    <row r="139" spans="10:12" x14ac:dyDescent="0.2">
      <c r="J139" s="42"/>
      <c r="K139" s="42"/>
      <c r="L139" s="42"/>
    </row>
    <row r="140" spans="10:12" x14ac:dyDescent="0.2">
      <c r="J140" s="42"/>
      <c r="K140" s="42"/>
      <c r="L140" s="42"/>
    </row>
    <row r="141" spans="10:12" x14ac:dyDescent="0.2">
      <c r="J141" s="42"/>
      <c r="K141" s="42"/>
      <c r="L141" s="42"/>
    </row>
    <row r="142" spans="10:12" x14ac:dyDescent="0.2">
      <c r="J142" s="42"/>
      <c r="K142" s="42"/>
      <c r="L142" s="42"/>
    </row>
    <row r="143" spans="10:12" x14ac:dyDescent="0.2">
      <c r="J143" s="42"/>
      <c r="K143" s="42"/>
      <c r="L143" s="42"/>
    </row>
    <row r="144" spans="10:12" x14ac:dyDescent="0.2">
      <c r="J144" s="42"/>
      <c r="K144" s="42"/>
      <c r="L144" s="42"/>
    </row>
    <row r="145" spans="10:12" x14ac:dyDescent="0.2">
      <c r="J145" s="42"/>
      <c r="K145" s="42"/>
      <c r="L145" s="42"/>
    </row>
  </sheetData>
  <sheetProtection password="ED1D" sheet="1" objects="1" scenarios="1" selectLockedCells="1" selectUnlockedCells="1"/>
  <mergeCells count="14">
    <mergeCell ref="B6:B7"/>
    <mergeCell ref="B8:B9"/>
    <mergeCell ref="B10:B11"/>
    <mergeCell ref="B12:B13"/>
    <mergeCell ref="E47:F47"/>
    <mergeCell ref="E2:F2"/>
    <mergeCell ref="N31:N34"/>
    <mergeCell ref="N42:N45"/>
    <mergeCell ref="N53:N56"/>
    <mergeCell ref="M6:M9"/>
    <mergeCell ref="G2:H2"/>
    <mergeCell ref="E9:F9"/>
    <mergeCell ref="E22:F22"/>
    <mergeCell ref="N20:N23"/>
  </mergeCells>
  <phoneticPr fontId="2" type="noConversion"/>
  <pageMargins left="0.75" right="0.75" top="1" bottom="1" header="0.5" footer="0.5"/>
  <pageSetup orientation="portrait" r:id="rId1"/>
  <headerFooter alignWithMargins="0"/>
  <ignoredErrors>
    <ignoredError sqref="C10 C1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121</vt:i4>
      </vt:variant>
    </vt:vector>
  </HeadingPairs>
  <TitlesOfParts>
    <vt:vector size="126" baseType="lpstr">
      <vt:lpstr>Introduction</vt:lpstr>
      <vt:lpstr>Design Inputs</vt:lpstr>
      <vt:lpstr>Calculations</vt:lpstr>
      <vt:lpstr>Schematic</vt:lpstr>
      <vt:lpstr>Lookup</vt:lpstr>
      <vt:lpstr>C_f1</vt:lpstr>
      <vt:lpstr>C_f2</vt:lpstr>
      <vt:lpstr>c_s1</vt:lpstr>
      <vt:lpstr>C_s2</vt:lpstr>
      <vt:lpstr>Cfb</vt:lpstr>
      <vt:lpstr>Cfb_actual</vt:lpstr>
      <vt:lpstr>Cfb_target</vt:lpstr>
      <vt:lpstr>Cin</vt:lpstr>
      <vt:lpstr>Cin_actual</vt:lpstr>
      <vt:lpstr>Cin_target</vt:lpstr>
      <vt:lpstr>Ciss</vt:lpstr>
      <vt:lpstr>Ciss_actual</vt:lpstr>
      <vt:lpstr>Ciss_target</vt:lpstr>
      <vt:lpstr>Coss</vt:lpstr>
      <vt:lpstr>Coss_actual</vt:lpstr>
      <vt:lpstr>Coss_target</vt:lpstr>
      <vt:lpstr>Cout</vt:lpstr>
      <vt:lpstr>Cout_actual</vt:lpstr>
      <vt:lpstr>Cout_Iripple_actual</vt:lpstr>
      <vt:lpstr>Cout_Iripple_target</vt:lpstr>
      <vt:lpstr>Cout_target</vt:lpstr>
      <vt:lpstr>Csnub</vt:lpstr>
      <vt:lpstr>Cvdd_bulk</vt:lpstr>
      <vt:lpstr>Cvgg</vt:lpstr>
      <vt:lpstr>Dbias</vt:lpstr>
      <vt:lpstr>Ddrv</vt:lpstr>
      <vt:lpstr>Dgate_avg</vt:lpstr>
      <vt:lpstr>E12_f</vt:lpstr>
      <vt:lpstr>E12_s</vt:lpstr>
      <vt:lpstr>E24_f</vt:lpstr>
      <vt:lpstr>E24_s</vt:lpstr>
      <vt:lpstr>E48_f</vt:lpstr>
      <vt:lpstr>E48_s</vt:lpstr>
      <vt:lpstr>E6_f</vt:lpstr>
      <vt:lpstr>E6_s</vt:lpstr>
      <vt:lpstr>E96_f</vt:lpstr>
      <vt:lpstr>E96_s</vt:lpstr>
      <vt:lpstr>eff</vt:lpstr>
      <vt:lpstr>ESR_actual</vt:lpstr>
      <vt:lpstr>ESR_target</vt:lpstr>
      <vt:lpstr>ESRtotal</vt:lpstr>
      <vt:lpstr>FAULT</vt:lpstr>
      <vt:lpstr>fline</vt:lpstr>
      <vt:lpstr>fmax</vt:lpstr>
      <vt:lpstr>fswmax</vt:lpstr>
      <vt:lpstr>fswmin</vt:lpstr>
      <vt:lpstr>Icin</vt:lpstr>
      <vt:lpstr>Icout</vt:lpstr>
      <vt:lpstr>Idrain</vt:lpstr>
      <vt:lpstr>Idrain_rms</vt:lpstr>
      <vt:lpstr>Idrv</vt:lpstr>
      <vt:lpstr>Idrv_initial</vt:lpstr>
      <vt:lpstr>Ifuse</vt:lpstr>
      <vt:lpstr>Iin_avg</vt:lpstr>
      <vt:lpstr>Iin_peak</vt:lpstr>
      <vt:lpstr>Iin_rms</vt:lpstr>
      <vt:lpstr>Iinpeak</vt:lpstr>
      <vt:lpstr>input</vt:lpstr>
      <vt:lpstr>Iout</vt:lpstr>
      <vt:lpstr>Ipeak_sec</vt:lpstr>
      <vt:lpstr>Iprms</vt:lpstr>
      <vt:lpstr>Isrms</vt:lpstr>
      <vt:lpstr>Lleak</vt:lpstr>
      <vt:lpstr>Lleak_actual</vt:lpstr>
      <vt:lpstr>Lleak_target</vt:lpstr>
      <vt:lpstr>Lp</vt:lpstr>
      <vt:lpstr>Lp_1</vt:lpstr>
      <vt:lpstr>Lp_actual</vt:lpstr>
      <vt:lpstr>Lp_initial</vt:lpstr>
      <vt:lpstr>Lp_initial2</vt:lpstr>
      <vt:lpstr>LP_initial2A</vt:lpstr>
      <vt:lpstr>Lp_initial3</vt:lpstr>
      <vt:lpstr>Lp_target</vt:lpstr>
      <vt:lpstr>Npb</vt:lpstr>
      <vt:lpstr>Npb_actual</vt:lpstr>
      <vt:lpstr>Npb_target</vt:lpstr>
      <vt:lpstr>Nps</vt:lpstr>
      <vt:lpstr>Nps_actual</vt:lpstr>
      <vt:lpstr>Nps_target</vt:lpstr>
      <vt:lpstr>Pin</vt:lpstr>
      <vt:lpstr>Pout</vt:lpstr>
      <vt:lpstr>PowerLimitThreshold</vt:lpstr>
      <vt:lpstr>'Design Inputs'!Print_Area</vt:lpstr>
      <vt:lpstr>Rcl</vt:lpstr>
      <vt:lpstr>Rcl_actual</vt:lpstr>
      <vt:lpstr>Rcl_target</vt:lpstr>
      <vt:lpstr>Rfb</vt:lpstr>
      <vt:lpstr>Rmot</vt:lpstr>
      <vt:lpstr>Rmot_actual</vt:lpstr>
      <vt:lpstr>Rmot_target</vt:lpstr>
      <vt:lpstr>Rsnub1</vt:lpstr>
      <vt:lpstr>Rsnub2</vt:lpstr>
      <vt:lpstr>Rstart</vt:lpstr>
      <vt:lpstr>Rzcd1</vt:lpstr>
      <vt:lpstr>Rzcd2</vt:lpstr>
      <vt:lpstr>tdemag</vt:lpstr>
      <vt:lpstr>tmot</vt:lpstr>
      <vt:lpstr>ton</vt:lpstr>
      <vt:lpstr>ton_initial</vt:lpstr>
      <vt:lpstr>ton_initial2</vt:lpstr>
      <vt:lpstr>tres</vt:lpstr>
      <vt:lpstr>Vbias</vt:lpstr>
      <vt:lpstr>Vbrownout</vt:lpstr>
      <vt:lpstr>Vbulk_min</vt:lpstr>
      <vt:lpstr>Vclamp</vt:lpstr>
      <vt:lpstr>VDDzener</vt:lpstr>
      <vt:lpstr>VDout</vt:lpstr>
      <vt:lpstr>Vdsrating</vt:lpstr>
      <vt:lpstr>Vdsrating_actual</vt:lpstr>
      <vt:lpstr>Vdsrating_target</vt:lpstr>
      <vt:lpstr>Vflyback</vt:lpstr>
      <vt:lpstr>Vin_max</vt:lpstr>
      <vt:lpstr>Vin_min</vt:lpstr>
      <vt:lpstr>Vinput_ripple</vt:lpstr>
      <vt:lpstr>Vmax</vt:lpstr>
      <vt:lpstr>Vmin</vt:lpstr>
      <vt:lpstr>Vout</vt:lpstr>
      <vt:lpstr>Vovp</vt:lpstr>
      <vt:lpstr>Vovp_actual</vt:lpstr>
      <vt:lpstr>Vripple_target</vt:lpstr>
      <vt:lpstr>Vzener</vt:lpstr>
    </vt:vector>
  </TitlesOfParts>
  <Company>Texas Instruments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Dinwoodie</dc:creator>
  <cp:lastModifiedBy>Windows User</cp:lastModifiedBy>
  <cp:lastPrinted>2012-03-06T19:07:22Z</cp:lastPrinted>
  <dcterms:created xsi:type="dcterms:W3CDTF">2010-03-30T12:25:05Z</dcterms:created>
  <dcterms:modified xsi:type="dcterms:W3CDTF">2019-02-21T17:35:35Z</dcterms:modified>
</cp:coreProperties>
</file>